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namedSheetViews/namedSheetView1.xml" ContentType="application/vnd.ms-excel.namedsheetviews+xml"/>
  <Override PartName="/xl/drawings/drawing8.xml" ContentType="application/vnd.openxmlformats-officedocument.drawing+xml"/>
  <Override PartName="/xl/namedSheetViews/namedSheetView2.xml" ContentType="application/vnd.ms-excel.namedsheetview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18"/>
  <workbookPr codeName="ThisWorkbook"/>
  <mc:AlternateContent xmlns:mc="http://schemas.openxmlformats.org/markup-compatibility/2006">
    <mc:Choice Requires="x15">
      <x15ac:absPath xmlns:x15ac="http://schemas.microsoft.com/office/spreadsheetml/2010/11/ac" url="https://d.docs.live.net/e213746c67ab4efb/Documentos/PLANEACIÓN/SEGUIMIENTO PDD/"/>
    </mc:Choice>
  </mc:AlternateContent>
  <xr:revisionPtr revIDLastSave="196" documentId="104_{44775001-720D-40F9-9CB1-2F2958E0CE58}" xr6:coauthVersionLast="47" xr6:coauthVersionMax="47" xr10:uidLastSave="{FCA4B12F-DE75-4BED-A8E9-90D62B61D6CC}"/>
  <bookViews>
    <workbookView xWindow="-108" yWindow="-108" windowWidth="23256" windowHeight="12576" firstSheet="9" activeTab="9" xr2:uid="{00000000-000D-0000-FFFF-FFFF00000000}"/>
  </bookViews>
  <sheets>
    <sheet name="Base Unificada" sheetId="1" r:id="rId1"/>
    <sheet name="Base Unificada Protegida" sheetId="2" state="hidden" r:id="rId2"/>
    <sheet name="Guía" sheetId="3" r:id="rId3"/>
    <sheet name="1103 General" sheetId="4" r:id="rId4"/>
    <sheet name="1104 Jurídica" sheetId="5" r:id="rId5"/>
    <sheet name="1105 Gobierno" sheetId="6" r:id="rId6"/>
    <sheet name="1106 Hacienda" sheetId="7" r:id="rId7"/>
    <sheet name="1108 Educación" sheetId="8" r:id="rId8"/>
    <sheet name="1113 Planeación" sheetId="9" r:id="rId9"/>
    <sheet name="1120 Competitividad" sheetId="11" r:id="rId10"/>
    <sheet name="1114 Función Pub." sheetId="10" r:id="rId11"/>
    <sheet name="1121 Ambiente" sheetId="12" r:id="rId12"/>
    <sheet name="1123 Transporte" sheetId="13" r:id="rId13"/>
    <sheet name="1124 Agricultura" sheetId="15" r:id="rId14"/>
    <sheet name="1125 CTeI" sheetId="16" r:id="rId15"/>
    <sheet name="1126 Desarrollo Social" sheetId="14" r:id="rId16"/>
    <sheet name="Hoja2" sheetId="41" r:id="rId17"/>
    <sheet name="1128 TICS" sheetId="17" r:id="rId18"/>
    <sheet name="1129 Integración" sheetId="18" r:id="rId19"/>
    <sheet name="1130 Mujer" sheetId="19" r:id="rId20"/>
    <sheet name="1131 Hábitat" sheetId="20" r:id="rId21"/>
    <sheet name="1132 Minas" sheetId="21" r:id="rId22"/>
    <sheet name="1133 Felicidad" sheetId="22" r:id="rId23"/>
    <sheet name="1135 Asuntos Int." sheetId="23" r:id="rId24"/>
    <sheet name="1136 APEC" sheetId="24" r:id="rId25"/>
    <sheet name="1152 UAEGRD" sheetId="25" r:id="rId26"/>
    <sheet name="1184 Prensa" sheetId="26" r:id="rId27"/>
    <sheet name="1197 Salud" sheetId="27" r:id="rId28"/>
    <sheet name="1203 IPYBAC" sheetId="29" r:id="rId29"/>
    <sheet name="1204 IDACO" sheetId="30" r:id="rId30"/>
    <sheet name="1207 Beneficencia" sheetId="32" r:id="rId31"/>
    <sheet name="1208 Indeportes" sheetId="31" r:id="rId32"/>
    <sheet name="1215 Corporación" sheetId="33" r:id="rId33"/>
    <sheet name="1220 IDECUT" sheetId="34" r:id="rId34"/>
    <sheet name="1223 ICCU" sheetId="35" r:id="rId35"/>
    <sheet name="1230 Ag. Catastral" sheetId="36" r:id="rId36"/>
    <sheet name="1231 PAZ" sheetId="28" r:id="rId37"/>
    <sheet name="1263 Pensiones" sheetId="37" r:id="rId38"/>
    <sheet name="1285 EPC" sheetId="38" r:id="rId39"/>
    <sheet name="Hoja1" sheetId="39" state="hidden" r:id="rId40"/>
    <sheet name="1290 ACIC" sheetId="40" r:id="rId41"/>
  </sheets>
  <definedNames>
    <definedName name="_xlnm._FilterDatabase" localSheetId="3" hidden="1">'1103 General'!$A$12:$IZ$21</definedName>
    <definedName name="_xlnm._FilterDatabase" localSheetId="4" hidden="1">'1104 Jurídica'!$A$12:$IZ$13</definedName>
    <definedName name="_xlnm._FilterDatabase" localSheetId="5" hidden="1">'1105 Gobierno'!$A$11:$IZ$33</definedName>
    <definedName name="_xlnm._FilterDatabase" localSheetId="6" hidden="1">'1106 Hacienda'!$A$12:$IZ$15</definedName>
    <definedName name="_xlnm._FilterDatabase" localSheetId="7" hidden="1">'1108 Educación'!$A$12:$IZ$40</definedName>
    <definedName name="_xlnm._FilterDatabase" localSheetId="8" hidden="1">'1113 Planeación'!$A$12:$IZ$19</definedName>
    <definedName name="_xlnm._FilterDatabase" localSheetId="10" hidden="1">'1114 Función Pub.'!$A$12:$IZ$16</definedName>
    <definedName name="_xlnm._FilterDatabase" localSheetId="9" hidden="1">'1120 Competitividad'!$A$12:$IZ$24</definedName>
    <definedName name="_xlnm._FilterDatabase" localSheetId="11" hidden="1">'1121 Ambiente'!$A$12:$IZ$38</definedName>
    <definedName name="_xlnm._FilterDatabase" localSheetId="12" hidden="1">'1123 Transporte'!$A$12:$IZ$23</definedName>
    <definedName name="_xlnm._FilterDatabase" localSheetId="13" hidden="1">'1124 Agricultura'!$A$12:$IZ$25</definedName>
    <definedName name="_xlnm._FilterDatabase" localSheetId="14" hidden="1">'1125 CTeI'!$A$12:$IZ$20</definedName>
    <definedName name="_xlnm._FilterDatabase" localSheetId="15" hidden="1">'1126 Desarrollo Social'!$A$12:$IZ$59</definedName>
    <definedName name="_xlnm._FilterDatabase" localSheetId="17" hidden="1">'1128 TICS'!$A$12:$IZ$27</definedName>
    <definedName name="_xlnm._FilterDatabase" localSheetId="18" hidden="1">'1129 Integración'!$A$12:$IZ$18</definedName>
    <definedName name="_xlnm._FilterDatabase" localSheetId="19" hidden="1">'1130 Mujer'!$A$12:$IZ$19</definedName>
    <definedName name="_xlnm._FilterDatabase" localSheetId="20" hidden="1">'1131 Hábitat'!$A$12:$IZ$24</definedName>
    <definedName name="_xlnm._FilterDatabase" localSheetId="21" hidden="1">'1132 Minas'!$A$12:$IZ$20</definedName>
    <definedName name="_xlnm._FilterDatabase" localSheetId="22" hidden="1">'1133 Felicidad'!$A$12:$IZ$15</definedName>
    <definedName name="_xlnm._FilterDatabase" localSheetId="23" hidden="1">'1135 Asuntos Int.'!$A$12:$IZ$16</definedName>
    <definedName name="_xlnm._FilterDatabase" localSheetId="24" hidden="1">'1136 APEC'!$A$12:$IZ$13</definedName>
    <definedName name="_xlnm._FilterDatabase" localSheetId="25" hidden="1">'1152 UAEGRD'!$A$12:$IZ$22</definedName>
    <definedName name="_xlnm._FilterDatabase" localSheetId="26" hidden="1">'1184 Prensa'!$A$12:$IZ$15</definedName>
    <definedName name="_xlnm._FilterDatabase" localSheetId="27" hidden="1">'1197 Salud'!$A$12:$IZ$54</definedName>
    <definedName name="_xlnm._FilterDatabase" localSheetId="28" hidden="1">'1203 IPYBAC'!$A$12:$IZ$14</definedName>
    <definedName name="_xlnm._FilterDatabase" localSheetId="29" hidden="1">'1204 IDACO'!$A$11:$IZ$17</definedName>
    <definedName name="_xlnm._FilterDatabase" localSheetId="30" hidden="1">'1207 Beneficencia'!$A$12:$IZ$15</definedName>
    <definedName name="_xlnm._FilterDatabase" localSheetId="31" hidden="1">'1208 Indeportes'!$A$12:$IZ$39</definedName>
    <definedName name="_xlnm._FilterDatabase" localSheetId="32" hidden="1">'1215 Corporación'!$A$12:$IZ$14</definedName>
    <definedName name="_xlnm._FilterDatabase" localSheetId="33" hidden="1">'1220 IDECUT'!$A$12:$IZ$48</definedName>
    <definedName name="_xlnm._FilterDatabase" localSheetId="34" hidden="1">'1223 ICCU'!$A$12:$IZ$25</definedName>
    <definedName name="_xlnm._FilterDatabase" localSheetId="35" hidden="1">'1230 Ag. Catastral'!$A$12:$IZ$14</definedName>
    <definedName name="_xlnm._FilterDatabase" localSheetId="36" hidden="1">'1231 PAZ'!$A$12:$IZ$15</definedName>
    <definedName name="_xlnm._FilterDatabase" localSheetId="37" hidden="1">'1263 Pensiones'!$A$12:$IZ$15</definedName>
    <definedName name="_xlnm._FilterDatabase" localSheetId="38" hidden="1">'1285 EPC'!$A$12:$IZ$35</definedName>
    <definedName name="_xlnm._FilterDatabase" localSheetId="40" hidden="1">'1290 ACIC'!$A$12:$IZ$13</definedName>
    <definedName name="_xlnm._FilterDatabase" localSheetId="0" hidden="1">'Base Unificada'!$A$11:$JA$441</definedName>
    <definedName name="_xlnm._FilterDatabase" localSheetId="1" hidden="1">'Base Unificada Protegida'!$A$11:$CL$458</definedName>
    <definedName name="Z_75629C99_8367_48E9_A2A2_D8C49A9E68E3_.wvu.Cols" localSheetId="24" hidden="1">'1136 APEC'!$T:$AC</definedName>
    <definedName name="Z_75629C99_8367_48E9_A2A2_D8C49A9E68E3_.wvu.Cols" localSheetId="31" hidden="1">'1208 Indeportes'!$T:$AC</definedName>
    <definedName name="Z_75629C99_8367_48E9_A2A2_D8C49A9E68E3_.wvu.Cols" localSheetId="35" hidden="1">'1230 Ag. Catastral'!$T:$AC</definedName>
    <definedName name="Z_75629C99_8367_48E9_A2A2_D8C49A9E68E3_.wvu.Cols" localSheetId="40" hidden="1">'1290 ACIC'!$T:$AC</definedName>
    <definedName name="Z_75629C99_8367_48E9_A2A2_D8C49A9E68E3_.wvu.Cols" localSheetId="1" hidden="1">'Base Unificada Protegida'!$AR:$AY</definedName>
    <definedName name="Z_75629C99_8367_48E9_A2A2_D8C49A9E68E3_.wvu.FilterData" localSheetId="3" hidden="1">'1103 General'!$A$12:$IZ$21</definedName>
    <definedName name="Z_75629C99_8367_48E9_A2A2_D8C49A9E68E3_.wvu.FilterData" localSheetId="4" hidden="1">'1104 Jurídica'!$A$12:$IZ$13</definedName>
    <definedName name="Z_75629C99_8367_48E9_A2A2_D8C49A9E68E3_.wvu.FilterData" localSheetId="5" hidden="1">'1105 Gobierno'!$A$11:$IZ$31</definedName>
    <definedName name="Z_75629C99_8367_48E9_A2A2_D8C49A9E68E3_.wvu.FilterData" localSheetId="6" hidden="1">'1106 Hacienda'!$A$12:$IZ$15</definedName>
    <definedName name="Z_75629C99_8367_48E9_A2A2_D8C49A9E68E3_.wvu.FilterData" localSheetId="7" hidden="1">'1108 Educación'!$A$12:$IZ$40</definedName>
    <definedName name="Z_75629C99_8367_48E9_A2A2_D8C49A9E68E3_.wvu.FilterData" localSheetId="8" hidden="1">'1113 Planeación'!$A$12:$IZ$19</definedName>
    <definedName name="Z_75629C99_8367_48E9_A2A2_D8C49A9E68E3_.wvu.FilterData" localSheetId="10" hidden="1">'1114 Función Pub.'!$A$12:$IZ$16</definedName>
    <definedName name="Z_75629C99_8367_48E9_A2A2_D8C49A9E68E3_.wvu.FilterData" localSheetId="9" hidden="1">'1120 Competitividad'!$A$12:$IZ$24</definedName>
    <definedName name="Z_75629C99_8367_48E9_A2A2_D8C49A9E68E3_.wvu.FilterData" localSheetId="11" hidden="1">'1121 Ambiente'!$A$12:$IZ$38</definedName>
    <definedName name="Z_75629C99_8367_48E9_A2A2_D8C49A9E68E3_.wvu.FilterData" localSheetId="12" hidden="1">'1123 Transporte'!$A$12:$IZ$23</definedName>
    <definedName name="Z_75629C99_8367_48E9_A2A2_D8C49A9E68E3_.wvu.FilterData" localSheetId="13" hidden="1">'1124 Agricultura'!$A$12:$IZ$25</definedName>
    <definedName name="Z_75629C99_8367_48E9_A2A2_D8C49A9E68E3_.wvu.FilterData" localSheetId="14" hidden="1">'1125 CTeI'!$A$12:$IZ$20</definedName>
    <definedName name="Z_75629C99_8367_48E9_A2A2_D8C49A9E68E3_.wvu.FilterData" localSheetId="15" hidden="1">'1126 Desarrollo Social'!$A$12:$IZ$58</definedName>
    <definedName name="Z_75629C99_8367_48E9_A2A2_D8C49A9E68E3_.wvu.FilterData" localSheetId="17" hidden="1">'1128 TICS'!$A$12:$IZ$27</definedName>
    <definedName name="Z_75629C99_8367_48E9_A2A2_D8C49A9E68E3_.wvu.FilterData" localSheetId="18" hidden="1">'1129 Integración'!$A$12:$IZ$18</definedName>
    <definedName name="Z_75629C99_8367_48E9_A2A2_D8C49A9E68E3_.wvu.FilterData" localSheetId="19" hidden="1">'1130 Mujer'!$A$12:$IZ$19</definedName>
    <definedName name="Z_75629C99_8367_48E9_A2A2_D8C49A9E68E3_.wvu.FilterData" localSheetId="20" hidden="1">'1131 Hábitat'!$A$12:$IZ$24</definedName>
    <definedName name="Z_75629C99_8367_48E9_A2A2_D8C49A9E68E3_.wvu.FilterData" localSheetId="21" hidden="1">'1132 Minas'!$A$12:$IZ$20</definedName>
    <definedName name="Z_75629C99_8367_48E9_A2A2_D8C49A9E68E3_.wvu.FilterData" localSheetId="22" hidden="1">'1133 Felicidad'!$A$12:$IZ$15</definedName>
    <definedName name="Z_75629C99_8367_48E9_A2A2_D8C49A9E68E3_.wvu.FilterData" localSheetId="23" hidden="1">'1135 Asuntos Int.'!$A$12:$IZ$16</definedName>
    <definedName name="Z_75629C99_8367_48E9_A2A2_D8C49A9E68E3_.wvu.FilterData" localSheetId="24" hidden="1">'1136 APEC'!$A$12:$IZ$13</definedName>
    <definedName name="Z_75629C99_8367_48E9_A2A2_D8C49A9E68E3_.wvu.FilterData" localSheetId="25" hidden="1">'1152 UAEGRD'!$A$12:$IZ$21</definedName>
    <definedName name="Z_75629C99_8367_48E9_A2A2_D8C49A9E68E3_.wvu.FilterData" localSheetId="26" hidden="1">'1184 Prensa'!$A$12:$IZ$15</definedName>
    <definedName name="Z_75629C99_8367_48E9_A2A2_D8C49A9E68E3_.wvu.FilterData" localSheetId="27" hidden="1">'1197 Salud'!$A$12:$IZ$54</definedName>
    <definedName name="Z_75629C99_8367_48E9_A2A2_D8C49A9E68E3_.wvu.FilterData" localSheetId="28" hidden="1">'1203 IPYBAC'!$A$12:$IZ$14</definedName>
    <definedName name="Z_75629C99_8367_48E9_A2A2_D8C49A9E68E3_.wvu.FilterData" localSheetId="29" hidden="1">'1204 IDACO'!$A$11:$IZ$17</definedName>
    <definedName name="Z_75629C99_8367_48E9_A2A2_D8C49A9E68E3_.wvu.FilterData" localSheetId="30" hidden="1">'1207 Beneficencia'!$A$12:$IZ$15</definedName>
    <definedName name="Z_75629C99_8367_48E9_A2A2_D8C49A9E68E3_.wvu.FilterData" localSheetId="31" hidden="1">'1208 Indeportes'!$A$12:$IZ$39</definedName>
    <definedName name="Z_75629C99_8367_48E9_A2A2_D8C49A9E68E3_.wvu.FilterData" localSheetId="32" hidden="1">'1215 Corporación'!$A$12:$IZ$14</definedName>
    <definedName name="Z_75629C99_8367_48E9_A2A2_D8C49A9E68E3_.wvu.FilterData" localSheetId="33" hidden="1">'1220 IDECUT'!$A$12:$IZ$48</definedName>
    <definedName name="Z_75629C99_8367_48E9_A2A2_D8C49A9E68E3_.wvu.FilterData" localSheetId="34" hidden="1">'1223 ICCU'!$A$12:$IZ$25</definedName>
    <definedName name="Z_75629C99_8367_48E9_A2A2_D8C49A9E68E3_.wvu.FilterData" localSheetId="35" hidden="1">'1230 Ag. Catastral'!$A$12:$IZ$14</definedName>
    <definedName name="Z_75629C99_8367_48E9_A2A2_D8C49A9E68E3_.wvu.FilterData" localSheetId="36" hidden="1">'1231 PAZ'!$A$12:$IZ$15</definedName>
    <definedName name="Z_75629C99_8367_48E9_A2A2_D8C49A9E68E3_.wvu.FilterData" localSheetId="37" hidden="1">'1263 Pensiones'!$A$12:$IZ$15</definedName>
    <definedName name="Z_75629C99_8367_48E9_A2A2_D8C49A9E68E3_.wvu.FilterData" localSheetId="38" hidden="1">'1285 EPC'!$A$12:$IZ$35</definedName>
    <definedName name="Z_75629C99_8367_48E9_A2A2_D8C49A9E68E3_.wvu.FilterData" localSheetId="40" hidden="1">'1290 ACIC'!$A$12:$IZ$13</definedName>
    <definedName name="Z_75629C99_8367_48E9_A2A2_D8C49A9E68E3_.wvu.FilterData" localSheetId="0" hidden="1">'Base Unificada'!$A$11:$JA$441</definedName>
    <definedName name="Z_75629C99_8367_48E9_A2A2_D8C49A9E68E3_.wvu.FilterData" localSheetId="1" hidden="1">'Base Unificada Protegida'!$A$11:$CL$458</definedName>
    <definedName name="Z_75629C99_8367_48E9_A2A2_D8C49A9E68E3_.wvu.Rows" localSheetId="3" hidden="1">'1103 General'!$5:$6,'1103 General'!$8:$8</definedName>
    <definedName name="Z_75629C99_8367_48E9_A2A2_D8C49A9E68E3_.wvu.Rows" localSheetId="4" hidden="1">'1104 Jurídica'!$5:$6,'1104 Jurídica'!$8:$8</definedName>
    <definedName name="Z_75629C99_8367_48E9_A2A2_D8C49A9E68E3_.wvu.Rows" localSheetId="5" hidden="1">'1105 Gobierno'!$5:$6,'1105 Gobierno'!$8:$8</definedName>
    <definedName name="Z_75629C99_8367_48E9_A2A2_D8C49A9E68E3_.wvu.Rows" localSheetId="6" hidden="1">'1106 Hacienda'!$5:$6,'1106 Hacienda'!$8:$8</definedName>
    <definedName name="Z_75629C99_8367_48E9_A2A2_D8C49A9E68E3_.wvu.Rows" localSheetId="7" hidden="1">'1108 Educación'!$5:$6,'1108 Educación'!$8:$8</definedName>
    <definedName name="Z_75629C99_8367_48E9_A2A2_D8C49A9E68E3_.wvu.Rows" localSheetId="8" hidden="1">'1113 Planeación'!$5:$6,'1113 Planeación'!$8:$8</definedName>
    <definedName name="Z_75629C99_8367_48E9_A2A2_D8C49A9E68E3_.wvu.Rows" localSheetId="10" hidden="1">'1114 Función Pub.'!$5:$6,'1114 Función Pub.'!$8:$8</definedName>
    <definedName name="Z_75629C99_8367_48E9_A2A2_D8C49A9E68E3_.wvu.Rows" localSheetId="9" hidden="1">'1120 Competitividad'!$5:$6,'1120 Competitividad'!$8:$8</definedName>
    <definedName name="Z_75629C99_8367_48E9_A2A2_D8C49A9E68E3_.wvu.Rows" localSheetId="11" hidden="1">'1121 Ambiente'!$5:$6,'1121 Ambiente'!$8:$8</definedName>
    <definedName name="Z_75629C99_8367_48E9_A2A2_D8C49A9E68E3_.wvu.Rows" localSheetId="12" hidden="1">'1123 Transporte'!$5:$6,'1123 Transporte'!$8:$8</definedName>
    <definedName name="Z_75629C99_8367_48E9_A2A2_D8C49A9E68E3_.wvu.Rows" localSheetId="13" hidden="1">'1124 Agricultura'!$5:$6,'1124 Agricultura'!$8:$8</definedName>
    <definedName name="Z_75629C99_8367_48E9_A2A2_D8C49A9E68E3_.wvu.Rows" localSheetId="14" hidden="1">'1125 CTeI'!$5:$6,'1125 CTeI'!$8:$8</definedName>
    <definedName name="Z_75629C99_8367_48E9_A2A2_D8C49A9E68E3_.wvu.Rows" localSheetId="15" hidden="1">'1126 Desarrollo Social'!$5:$6,'1126 Desarrollo Social'!$8:$8</definedName>
    <definedName name="Z_75629C99_8367_48E9_A2A2_D8C49A9E68E3_.wvu.Rows" localSheetId="17" hidden="1">'1128 TICS'!$5:$6,'1128 TICS'!$8:$8</definedName>
    <definedName name="Z_75629C99_8367_48E9_A2A2_D8C49A9E68E3_.wvu.Rows" localSheetId="18" hidden="1">'1129 Integración'!$1:$8</definedName>
    <definedName name="Z_75629C99_8367_48E9_A2A2_D8C49A9E68E3_.wvu.Rows" localSheetId="19" hidden="1">'1130 Mujer'!$1:$8</definedName>
    <definedName name="Z_75629C99_8367_48E9_A2A2_D8C49A9E68E3_.wvu.Rows" localSheetId="20" hidden="1">'1131 Hábitat'!$5:$6,'1131 Hábitat'!$8:$8</definedName>
    <definedName name="Z_75629C99_8367_48E9_A2A2_D8C49A9E68E3_.wvu.Rows" localSheetId="21" hidden="1">'1132 Minas'!$5:$6,'1132 Minas'!$8:$8</definedName>
    <definedName name="Z_75629C99_8367_48E9_A2A2_D8C49A9E68E3_.wvu.Rows" localSheetId="22" hidden="1">'1133 Felicidad'!$5:$6,'1133 Felicidad'!$8:$8</definedName>
    <definedName name="Z_75629C99_8367_48E9_A2A2_D8C49A9E68E3_.wvu.Rows" localSheetId="23" hidden="1">'1135 Asuntos Int.'!$5:$6,'1135 Asuntos Int.'!$8:$8</definedName>
    <definedName name="Z_75629C99_8367_48E9_A2A2_D8C49A9E68E3_.wvu.Rows" localSheetId="24" hidden="1">'1136 APEC'!$5:$6,'1136 APEC'!$8:$8</definedName>
    <definedName name="Z_75629C99_8367_48E9_A2A2_D8C49A9E68E3_.wvu.Rows" localSheetId="25" hidden="1">'1152 UAEGRD'!$5:$6,'1152 UAEGRD'!$8:$8</definedName>
    <definedName name="Z_75629C99_8367_48E9_A2A2_D8C49A9E68E3_.wvu.Rows" localSheetId="26" hidden="1">'1184 Prensa'!$5:$6,'1184 Prensa'!$8:$8</definedName>
    <definedName name="Z_75629C99_8367_48E9_A2A2_D8C49A9E68E3_.wvu.Rows" localSheetId="27" hidden="1">'1197 Salud'!$5:$6,'1197 Salud'!$8:$8</definedName>
    <definedName name="Z_75629C99_8367_48E9_A2A2_D8C49A9E68E3_.wvu.Rows" localSheetId="28" hidden="1">'1203 IPYBAC'!$5:$6,'1203 IPYBAC'!$8:$8</definedName>
    <definedName name="Z_75629C99_8367_48E9_A2A2_D8C49A9E68E3_.wvu.Rows" localSheetId="29" hidden="1">'1204 IDACO'!$4:$5,'1204 IDACO'!$7:$7</definedName>
    <definedName name="Z_75629C99_8367_48E9_A2A2_D8C49A9E68E3_.wvu.Rows" localSheetId="30" hidden="1">'1207 Beneficencia'!$5:$6,'1207 Beneficencia'!$8:$8</definedName>
    <definedName name="Z_75629C99_8367_48E9_A2A2_D8C49A9E68E3_.wvu.Rows" localSheetId="31" hidden="1">'1208 Indeportes'!$1:$8</definedName>
    <definedName name="Z_75629C99_8367_48E9_A2A2_D8C49A9E68E3_.wvu.Rows" localSheetId="32" hidden="1">'1215 Corporación'!$5:$6,'1215 Corporación'!$8:$8</definedName>
    <definedName name="Z_75629C99_8367_48E9_A2A2_D8C49A9E68E3_.wvu.Rows" localSheetId="33" hidden="1">'1220 IDECUT'!$5:$6,'1220 IDECUT'!$8:$8</definedName>
    <definedName name="Z_75629C99_8367_48E9_A2A2_D8C49A9E68E3_.wvu.Rows" localSheetId="34" hidden="1">'1223 ICCU'!$5:$6,'1223 ICCU'!$8:$8</definedName>
    <definedName name="Z_75629C99_8367_48E9_A2A2_D8C49A9E68E3_.wvu.Rows" localSheetId="35" hidden="1">'1230 Ag. Catastral'!$5:$6,'1230 Ag. Catastral'!$8:$8</definedName>
    <definedName name="Z_75629C99_8367_48E9_A2A2_D8C49A9E68E3_.wvu.Rows" localSheetId="36" hidden="1">'1231 PAZ'!$5:$6,'1231 PAZ'!$8:$8</definedName>
    <definedName name="Z_75629C99_8367_48E9_A2A2_D8C49A9E68E3_.wvu.Rows" localSheetId="37" hidden="1">'1263 Pensiones'!$5:$6,'1263 Pensiones'!$8:$8</definedName>
    <definedName name="Z_75629C99_8367_48E9_A2A2_D8C49A9E68E3_.wvu.Rows" localSheetId="38" hidden="1">'1285 EPC'!$5:$6,'1285 EPC'!$8:$8</definedName>
    <definedName name="Z_75629C99_8367_48E9_A2A2_D8C49A9E68E3_.wvu.Rows" localSheetId="40" hidden="1">'1290 ACIC'!$5:$6,'1290 ACIC'!$8:$8</definedName>
    <definedName name="Z_75629C99_8367_48E9_A2A2_D8C49A9E68E3_.wvu.Rows" localSheetId="1" hidden="1">'Base Unificada Protegida'!$5:$10</definedName>
  </definedNames>
  <calcPr calcId="191028" calcCompleted="0"/>
  <customWorkbookViews>
    <customWorkbookView name="dalba - Vista personalizada" guid="{75629C99-8367-48E9-A2A2-D8C49A9E68E3}" mergeInterval="0" personalView="1" maximized="1" xWindow="-9" yWindow="-9" windowWidth="1938" windowHeight="1048" tabRatio="891" activeSheetId="1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23" i="14" l="1"/>
  <c r="AH21" i="14"/>
  <c r="AH59" i="14"/>
  <c r="BY433" i="1"/>
  <c r="BS443" i="1"/>
  <c r="AF18" i="38" l="1"/>
  <c r="AF20" i="38"/>
  <c r="AF15" i="38"/>
  <c r="AF31" i="38"/>
  <c r="AF29" i="38"/>
  <c r="AM17" i="20"/>
  <c r="AF17" i="20"/>
  <c r="AF13" i="21"/>
  <c r="AH14" i="11"/>
  <c r="AH15" i="11"/>
  <c r="AH16" i="11"/>
  <c r="AH17" i="11"/>
  <c r="AH18" i="11"/>
  <c r="AH20" i="11"/>
  <c r="AH21" i="11"/>
  <c r="AH22" i="11"/>
  <c r="AH23" i="11"/>
  <c r="AH24" i="11"/>
  <c r="AM14" i="11"/>
  <c r="AG13" i="8"/>
  <c r="AH15" i="8"/>
  <c r="AG20" i="17"/>
  <c r="BQ444" i="1"/>
  <c r="BD446" i="1"/>
  <c r="BD445" i="1"/>
  <c r="BU449" i="1" l="1"/>
  <c r="BW450" i="1" s="1"/>
  <c r="BC424" i="1"/>
  <c r="BG424" i="1"/>
  <c r="BB446" i="1"/>
  <c r="BV450" i="1" l="1"/>
  <c r="AH15" i="17" l="1"/>
  <c r="CI162" i="1" l="1"/>
  <c r="CJ162" i="1"/>
  <c r="CK162" i="1"/>
  <c r="BC186" i="1"/>
  <c r="AH17" i="25"/>
  <c r="AH19" i="25"/>
  <c r="AM20" i="20"/>
  <c r="AM18" i="20"/>
  <c r="AM16" i="20"/>
  <c r="AM18" i="21"/>
  <c r="AF18" i="21"/>
  <c r="AH12" i="30"/>
  <c r="AF396" i="1"/>
  <c r="AH396" i="1" s="1"/>
  <c r="AF303" i="1"/>
  <c r="CL162" i="1" l="1"/>
  <c r="BC162" i="1" s="1"/>
  <c r="AJ72" i="8"/>
  <c r="AJ64" i="8"/>
  <c r="AJ56" i="8"/>
  <c r="AJ57" i="8" s="1"/>
  <c r="AJ71" i="8"/>
  <c r="AJ63" i="8"/>
  <c r="AJ55" i="8"/>
  <c r="AJ73" i="8"/>
  <c r="AJ49" i="8"/>
  <c r="AF54" i="1"/>
  <c r="AH54" i="1" s="1"/>
  <c r="R54" i="1" s="1"/>
  <c r="AZ54" i="1" s="1"/>
  <c r="BK54" i="1" s="1"/>
  <c r="BR54" i="1" s="1"/>
  <c r="BX54" i="1" s="1"/>
  <c r="CA54" i="1" s="1"/>
  <c r="AF55" i="1"/>
  <c r="AH55" i="1" s="1"/>
  <c r="AF56" i="1"/>
  <c r="AH56" i="1" s="1"/>
  <c r="AF108" i="1"/>
  <c r="AH108" i="1" s="1"/>
  <c r="R108" i="1" s="1"/>
  <c r="AZ108" i="1" s="1"/>
  <c r="BK108" i="1" s="1"/>
  <c r="BR108" i="1" s="1"/>
  <c r="BX108" i="1" s="1"/>
  <c r="AF117" i="1"/>
  <c r="AH117" i="1" s="1"/>
  <c r="AF165" i="1"/>
  <c r="AH165" i="1" s="1"/>
  <c r="AF189" i="1"/>
  <c r="AH189" i="1" s="1"/>
  <c r="AF195" i="1"/>
  <c r="AH195" i="1" s="1"/>
  <c r="AF202" i="1"/>
  <c r="AH202" i="1" s="1"/>
  <c r="AF203" i="1"/>
  <c r="AH203" i="1" s="1"/>
  <c r="AF231" i="1"/>
  <c r="AH231" i="1" s="1"/>
  <c r="AF245" i="1"/>
  <c r="AH245" i="1" s="1"/>
  <c r="AF246" i="1"/>
  <c r="AH246" i="1" s="1"/>
  <c r="AF247" i="1"/>
  <c r="AH247" i="1" s="1"/>
  <c r="AF248" i="1"/>
  <c r="AH248" i="1" s="1"/>
  <c r="AF249" i="1"/>
  <c r="AH249" i="1" s="1"/>
  <c r="AG251" i="1"/>
  <c r="AH251" i="1" s="1"/>
  <c r="BD251" i="1" s="1" a="1"/>
  <c r="BD251" i="1" s="1"/>
  <c r="AF252" i="1"/>
  <c r="AH252" i="1" s="1"/>
  <c r="R252" i="1" s="1"/>
  <c r="AZ252" i="1" s="1"/>
  <c r="BK252" i="1" s="1"/>
  <c r="BR252" i="1" s="1"/>
  <c r="BX252" i="1" s="1"/>
  <c r="AF253" i="1"/>
  <c r="AH253" i="1" s="1"/>
  <c r="AF254" i="1"/>
  <c r="AH254" i="1" s="1"/>
  <c r="R254" i="1" s="1"/>
  <c r="AZ254" i="1" s="1"/>
  <c r="BK254" i="1" s="1"/>
  <c r="BR254" i="1" s="1"/>
  <c r="BX254" i="1" s="1"/>
  <c r="AF255" i="1"/>
  <c r="AH255" i="1" s="1"/>
  <c r="AF256" i="1"/>
  <c r="AH256" i="1" s="1"/>
  <c r="R256" i="1" s="1"/>
  <c r="AZ256" i="1" s="1"/>
  <c r="BK256" i="1" s="1"/>
  <c r="BR256" i="1" s="1"/>
  <c r="BX256" i="1" s="1"/>
  <c r="CA256" i="1" s="1"/>
  <c r="AF257" i="1"/>
  <c r="AH257" i="1" s="1"/>
  <c r="AF258" i="1"/>
  <c r="AH258" i="1" s="1"/>
  <c r="AF261" i="1"/>
  <c r="AH261" i="1" s="1"/>
  <c r="AF262" i="1"/>
  <c r="AH262" i="1" s="1"/>
  <c r="AF263" i="1"/>
  <c r="AH263" i="1" s="1"/>
  <c r="AF264" i="1"/>
  <c r="AH264" i="1" s="1"/>
  <c r="AF265" i="1"/>
  <c r="AH265" i="1" s="1"/>
  <c r="AF270" i="1"/>
  <c r="AH270" i="1" s="1"/>
  <c r="AF271" i="1"/>
  <c r="AH271" i="1" s="1"/>
  <c r="AF315" i="1"/>
  <c r="AH315" i="1" s="1"/>
  <c r="AF327" i="1"/>
  <c r="AH327" i="1" s="1"/>
  <c r="AF329" i="1"/>
  <c r="AH329" i="1" s="1"/>
  <c r="AF330" i="1"/>
  <c r="AH330" i="1" s="1"/>
  <c r="AF331" i="1"/>
  <c r="AH331" i="1" s="1"/>
  <c r="AF332" i="1"/>
  <c r="AH332" i="1" s="1"/>
  <c r="AF333" i="1"/>
  <c r="AH333" i="1" s="1"/>
  <c r="AF334" i="1"/>
  <c r="AH334" i="1" s="1"/>
  <c r="R334" i="1" s="1"/>
  <c r="AZ334" i="1" s="1"/>
  <c r="BK334" i="1" s="1"/>
  <c r="BR334" i="1" s="1"/>
  <c r="BX334" i="1" s="1"/>
  <c r="AF335" i="1"/>
  <c r="AH335" i="1" s="1"/>
  <c r="R335" i="1" s="1"/>
  <c r="AZ335" i="1" s="1"/>
  <c r="BK335" i="1" s="1"/>
  <c r="BR335" i="1" s="1"/>
  <c r="BX335" i="1" s="1"/>
  <c r="AF336" i="1"/>
  <c r="AH336" i="1" s="1"/>
  <c r="R336" i="1" s="1"/>
  <c r="AZ336" i="1" s="1"/>
  <c r="BK336" i="1" s="1"/>
  <c r="BR336" i="1" s="1"/>
  <c r="AZ433" i="1"/>
  <c r="BK433" i="1" s="1"/>
  <c r="BR433" i="1" s="1"/>
  <c r="AZ436" i="1"/>
  <c r="BK436" i="1" s="1"/>
  <c r="BR436" i="1" s="1"/>
  <c r="AZ437" i="1"/>
  <c r="BK437" i="1" s="1"/>
  <c r="BR437" i="1" s="1"/>
  <c r="BX437" i="1" s="1"/>
  <c r="CA437" i="1" s="1"/>
  <c r="AZ438" i="1"/>
  <c r="BK438" i="1" s="1"/>
  <c r="BR438" i="1" s="1"/>
  <c r="BX438" i="1" s="1"/>
  <c r="AZ439" i="1"/>
  <c r="BK439" i="1" s="1"/>
  <c r="BR439" i="1" s="1"/>
  <c r="BX439" i="1" s="1"/>
  <c r="AZ440" i="1"/>
  <c r="BK440" i="1" s="1"/>
  <c r="BR440" i="1" s="1"/>
  <c r="AZ441" i="1"/>
  <c r="BK441" i="1" s="1"/>
  <c r="BR441" i="1" s="1"/>
  <c r="AH28" i="8"/>
  <c r="AH17" i="9"/>
  <c r="AG395" i="1"/>
  <c r="AH395" i="1" s="1"/>
  <c r="AH24" i="17"/>
  <c r="AH20" i="17"/>
  <c r="AH14" i="17"/>
  <c r="AH13" i="17"/>
  <c r="S14" i="17"/>
  <c r="S13" i="17"/>
  <c r="AJ13" i="17"/>
  <c r="AF13" i="17"/>
  <c r="BY450" i="1"/>
  <c r="BE88" i="1"/>
  <c r="AH22" i="8"/>
  <c r="AH21" i="4"/>
  <c r="R21" i="4" s="1"/>
  <c r="AH23" i="17"/>
  <c r="AH16" i="17"/>
  <c r="CB360" i="1"/>
  <c r="BY360" i="1"/>
  <c r="BV360" i="1"/>
  <c r="BG360" i="1"/>
  <c r="BE360" i="1"/>
  <c r="BC360" i="1"/>
  <c r="BQ443" i="1"/>
  <c r="BG404" i="1"/>
  <c r="BC404" i="1"/>
  <c r="BE404" i="1"/>
  <c r="AF404" i="1"/>
  <c r="AH404" i="1" s="1"/>
  <c r="AG13" i="1"/>
  <c r="AH13" i="1" s="1"/>
  <c r="CK435" i="1"/>
  <c r="CJ435" i="1"/>
  <c r="CI435" i="1"/>
  <c r="CH435" i="1"/>
  <c r="CK426" i="1"/>
  <c r="CJ426" i="1"/>
  <c r="CI426" i="1"/>
  <c r="CH426" i="1"/>
  <c r="CK425" i="1"/>
  <c r="CJ425" i="1"/>
  <c r="CI425" i="1"/>
  <c r="CH425" i="1"/>
  <c r="CK423" i="1"/>
  <c r="CJ423" i="1"/>
  <c r="CI423" i="1"/>
  <c r="CK422" i="1"/>
  <c r="CJ422" i="1"/>
  <c r="CI422" i="1"/>
  <c r="CH422" i="1"/>
  <c r="CK421" i="1"/>
  <c r="CJ421" i="1"/>
  <c r="CI421" i="1"/>
  <c r="CH421" i="1"/>
  <c r="CK420" i="1"/>
  <c r="CJ420" i="1"/>
  <c r="CI420" i="1"/>
  <c r="CH420" i="1"/>
  <c r="CK419" i="1"/>
  <c r="CJ419" i="1"/>
  <c r="CI419" i="1"/>
  <c r="CH419" i="1"/>
  <c r="CK410" i="1"/>
  <c r="CJ410" i="1"/>
  <c r="CI410" i="1"/>
  <c r="CH410" i="1"/>
  <c r="CK407" i="1"/>
  <c r="CJ407" i="1"/>
  <c r="CI407" i="1"/>
  <c r="CH407" i="1"/>
  <c r="CK406" i="1"/>
  <c r="CJ406" i="1"/>
  <c r="CI406" i="1"/>
  <c r="CH406" i="1"/>
  <c r="CK404" i="1"/>
  <c r="CJ404" i="1"/>
  <c r="CI404" i="1"/>
  <c r="CH404" i="1"/>
  <c r="CK402" i="1"/>
  <c r="CJ402" i="1"/>
  <c r="CI402" i="1"/>
  <c r="CH402" i="1"/>
  <c r="CK399" i="1"/>
  <c r="CJ399" i="1"/>
  <c r="CI399" i="1"/>
  <c r="CH399" i="1"/>
  <c r="CK395" i="1"/>
  <c r="CJ395" i="1"/>
  <c r="CI395" i="1"/>
  <c r="CH395" i="1"/>
  <c r="CK393" i="1"/>
  <c r="CJ393" i="1"/>
  <c r="CI393" i="1"/>
  <c r="CH393" i="1"/>
  <c r="CK391" i="1"/>
  <c r="CJ391" i="1"/>
  <c r="CI391" i="1"/>
  <c r="CH391" i="1"/>
  <c r="CK388" i="1"/>
  <c r="CJ388" i="1"/>
  <c r="CI388" i="1"/>
  <c r="CH388" i="1"/>
  <c r="CK387" i="1"/>
  <c r="CJ387" i="1"/>
  <c r="CI387" i="1"/>
  <c r="CH387" i="1"/>
  <c r="CK386" i="1"/>
  <c r="CJ386" i="1"/>
  <c r="CI386" i="1"/>
  <c r="CH386" i="1"/>
  <c r="CK385" i="1"/>
  <c r="CJ385" i="1"/>
  <c r="CI385" i="1"/>
  <c r="CH385" i="1"/>
  <c r="CK384" i="1"/>
  <c r="CJ384" i="1"/>
  <c r="CI384" i="1"/>
  <c r="CH384" i="1"/>
  <c r="CK383" i="1"/>
  <c r="CJ383" i="1"/>
  <c r="CI383" i="1"/>
  <c r="CH383" i="1"/>
  <c r="CK378" i="1"/>
  <c r="CJ378" i="1"/>
  <c r="CI378" i="1"/>
  <c r="CH378" i="1"/>
  <c r="CK375" i="1"/>
  <c r="CJ375" i="1"/>
  <c r="CI375" i="1"/>
  <c r="CH375" i="1"/>
  <c r="CK369" i="1"/>
  <c r="CJ369" i="1"/>
  <c r="CI369" i="1"/>
  <c r="CH369" i="1"/>
  <c r="CK367" i="1"/>
  <c r="CJ367" i="1"/>
  <c r="CI367" i="1"/>
  <c r="CH367" i="1"/>
  <c r="CK360" i="1"/>
  <c r="CJ360" i="1"/>
  <c r="CI360" i="1"/>
  <c r="CH360" i="1"/>
  <c r="CK359" i="1"/>
  <c r="CJ359" i="1"/>
  <c r="CI359" i="1"/>
  <c r="CH359" i="1"/>
  <c r="CK348" i="1"/>
  <c r="CJ348" i="1"/>
  <c r="CI348" i="1"/>
  <c r="CH348" i="1"/>
  <c r="CK312" i="1"/>
  <c r="CJ312" i="1"/>
  <c r="CI312" i="1"/>
  <c r="CH312" i="1"/>
  <c r="CK308" i="1"/>
  <c r="CJ308" i="1"/>
  <c r="CI308" i="1"/>
  <c r="CH308" i="1"/>
  <c r="CK307" i="1"/>
  <c r="CJ307" i="1"/>
  <c r="CI307" i="1"/>
  <c r="CK304" i="1"/>
  <c r="CJ304" i="1"/>
  <c r="CI304" i="1"/>
  <c r="CH304" i="1"/>
  <c r="CK298" i="1"/>
  <c r="CJ298" i="1"/>
  <c r="CI298" i="1"/>
  <c r="CH298" i="1"/>
  <c r="CK284" i="1"/>
  <c r="CJ284" i="1"/>
  <c r="CI284" i="1"/>
  <c r="CH284" i="1"/>
  <c r="CK283" i="1"/>
  <c r="CJ283" i="1"/>
  <c r="CI283" i="1"/>
  <c r="CH283" i="1"/>
  <c r="CK268" i="1"/>
  <c r="CJ268" i="1"/>
  <c r="CI268" i="1"/>
  <c r="CH268" i="1"/>
  <c r="CK251" i="1"/>
  <c r="CJ251" i="1"/>
  <c r="CI251" i="1"/>
  <c r="CH251" i="1"/>
  <c r="CK227" i="1"/>
  <c r="CJ227" i="1"/>
  <c r="CI227" i="1"/>
  <c r="CH227" i="1"/>
  <c r="CK224" i="1"/>
  <c r="CJ224" i="1"/>
  <c r="CI224" i="1"/>
  <c r="CH224" i="1"/>
  <c r="CK212" i="1"/>
  <c r="CJ212" i="1"/>
  <c r="CI212" i="1"/>
  <c r="CH212" i="1"/>
  <c r="CK211" i="1"/>
  <c r="CJ211" i="1"/>
  <c r="CI211" i="1"/>
  <c r="CH211" i="1"/>
  <c r="CK210" i="1"/>
  <c r="CJ210" i="1"/>
  <c r="CI210" i="1"/>
  <c r="CH210" i="1"/>
  <c r="CK182" i="1"/>
  <c r="CJ182" i="1"/>
  <c r="CI182" i="1"/>
  <c r="CH182" i="1"/>
  <c r="CK180" i="1"/>
  <c r="CJ180" i="1"/>
  <c r="CI180" i="1"/>
  <c r="CH180" i="1"/>
  <c r="CK179" i="1"/>
  <c r="CJ179" i="1"/>
  <c r="CI179" i="1"/>
  <c r="CH179" i="1"/>
  <c r="CK177" i="1"/>
  <c r="CJ177" i="1"/>
  <c r="CI177" i="1"/>
  <c r="CH177" i="1"/>
  <c r="CK175" i="1"/>
  <c r="CJ175" i="1"/>
  <c r="CI175" i="1"/>
  <c r="CH175" i="1"/>
  <c r="CK172" i="1"/>
  <c r="CJ172" i="1"/>
  <c r="CI172" i="1"/>
  <c r="CH172" i="1"/>
  <c r="CK168" i="1"/>
  <c r="CJ168" i="1"/>
  <c r="CI168" i="1"/>
  <c r="CH168" i="1"/>
  <c r="CK167" i="1"/>
  <c r="CJ167" i="1"/>
  <c r="CI167" i="1"/>
  <c r="CH167" i="1"/>
  <c r="CK164" i="1"/>
  <c r="CJ164" i="1"/>
  <c r="CI164" i="1"/>
  <c r="CH164" i="1"/>
  <c r="CK161" i="1"/>
  <c r="CJ161" i="1"/>
  <c r="CI161" i="1"/>
  <c r="CH161" i="1"/>
  <c r="CK160" i="1"/>
  <c r="CJ160" i="1"/>
  <c r="CI160" i="1"/>
  <c r="CH160" i="1"/>
  <c r="CK159" i="1"/>
  <c r="CJ159" i="1"/>
  <c r="CI159" i="1"/>
  <c r="CH159" i="1"/>
  <c r="CK145" i="1"/>
  <c r="CJ145" i="1"/>
  <c r="CI145" i="1"/>
  <c r="CH145" i="1"/>
  <c r="CK143" i="1"/>
  <c r="CJ143" i="1"/>
  <c r="CI143" i="1"/>
  <c r="CH143" i="1"/>
  <c r="CK135" i="1"/>
  <c r="CJ135" i="1"/>
  <c r="CI135" i="1"/>
  <c r="CH135" i="1"/>
  <c r="CK133" i="1"/>
  <c r="CJ133" i="1"/>
  <c r="CI133" i="1"/>
  <c r="CH133" i="1"/>
  <c r="CK132" i="1"/>
  <c r="CJ132" i="1"/>
  <c r="CI132" i="1"/>
  <c r="CH132" i="1"/>
  <c r="CK130" i="1"/>
  <c r="CJ130" i="1"/>
  <c r="CI130" i="1"/>
  <c r="CH130" i="1"/>
  <c r="CK127" i="1"/>
  <c r="CJ127" i="1"/>
  <c r="CI127" i="1"/>
  <c r="CH127" i="1"/>
  <c r="CK120" i="1"/>
  <c r="CJ120" i="1"/>
  <c r="CI120" i="1"/>
  <c r="CH120" i="1"/>
  <c r="CK118" i="1"/>
  <c r="CJ118" i="1"/>
  <c r="CI118" i="1"/>
  <c r="CH118" i="1"/>
  <c r="CK90" i="1"/>
  <c r="CJ90" i="1"/>
  <c r="CI90" i="1"/>
  <c r="CH90" i="1"/>
  <c r="CK89" i="1"/>
  <c r="CJ89" i="1"/>
  <c r="CI89" i="1"/>
  <c r="CH89" i="1"/>
  <c r="CK87" i="1"/>
  <c r="CJ87" i="1"/>
  <c r="CI87" i="1"/>
  <c r="CH87" i="1"/>
  <c r="CK81" i="1"/>
  <c r="CJ81" i="1"/>
  <c r="CI81" i="1"/>
  <c r="CH81" i="1"/>
  <c r="CK80" i="1"/>
  <c r="CJ80" i="1"/>
  <c r="CI80" i="1"/>
  <c r="CH80" i="1"/>
  <c r="CK76" i="1"/>
  <c r="CJ76" i="1"/>
  <c r="CI76" i="1"/>
  <c r="CH76" i="1"/>
  <c r="CK53" i="1"/>
  <c r="CJ53" i="1"/>
  <c r="CI53" i="1"/>
  <c r="CH53" i="1"/>
  <c r="CK49" i="1"/>
  <c r="CJ49" i="1"/>
  <c r="CI49" i="1"/>
  <c r="CH49" i="1"/>
  <c r="CK47" i="1"/>
  <c r="CJ47" i="1"/>
  <c r="CI47" i="1"/>
  <c r="CH47" i="1"/>
  <c r="CK27" i="1"/>
  <c r="CJ27" i="1"/>
  <c r="CI27" i="1"/>
  <c r="CH27" i="1"/>
  <c r="CK18" i="1"/>
  <c r="CJ18" i="1"/>
  <c r="CI18" i="1"/>
  <c r="CH18" i="1"/>
  <c r="BG441" i="1"/>
  <c r="BE441" i="1"/>
  <c r="BC441" i="1"/>
  <c r="BG440" i="1"/>
  <c r="BE440" i="1"/>
  <c r="BC440" i="1"/>
  <c r="BG439" i="1"/>
  <c r="BE439" i="1"/>
  <c r="BC439" i="1"/>
  <c r="BG438" i="1"/>
  <c r="BE438" i="1"/>
  <c r="BG437" i="1"/>
  <c r="BE437" i="1"/>
  <c r="BC437" i="1"/>
  <c r="BG436" i="1"/>
  <c r="BE436" i="1"/>
  <c r="BC436" i="1"/>
  <c r="BG434" i="1"/>
  <c r="BE434" i="1"/>
  <c r="BC434" i="1"/>
  <c r="BG433" i="1"/>
  <c r="BE433" i="1"/>
  <c r="BC433" i="1"/>
  <c r="BG432" i="1"/>
  <c r="BE432" i="1"/>
  <c r="BC432" i="1"/>
  <c r="BG431" i="1"/>
  <c r="BE431" i="1"/>
  <c r="BC431" i="1"/>
  <c r="BG430" i="1"/>
  <c r="BE430" i="1"/>
  <c r="BC430" i="1"/>
  <c r="BG429" i="1"/>
  <c r="BE429" i="1"/>
  <c r="BC429" i="1"/>
  <c r="BG428" i="1"/>
  <c r="BE428" i="1"/>
  <c r="BC428" i="1"/>
  <c r="BG427" i="1"/>
  <c r="BE424" i="1"/>
  <c r="BG418" i="1"/>
  <c r="BE418" i="1"/>
  <c r="BC418" i="1"/>
  <c r="BG417" i="1"/>
  <c r="BE417" i="1"/>
  <c r="BC417" i="1"/>
  <c r="BG416" i="1"/>
  <c r="BE416" i="1"/>
  <c r="BC416" i="1"/>
  <c r="BG415" i="1"/>
  <c r="BE415" i="1"/>
  <c r="BC415" i="1"/>
  <c r="BG414" i="1"/>
  <c r="BE414" i="1"/>
  <c r="BC414" i="1"/>
  <c r="BG413" i="1"/>
  <c r="BE413" i="1"/>
  <c r="BC413" i="1"/>
  <c r="BG412" i="1"/>
  <c r="BE412" i="1"/>
  <c r="BC412" i="1"/>
  <c r="BG411" i="1"/>
  <c r="BE411" i="1"/>
  <c r="BC411" i="1"/>
  <c r="BG409" i="1"/>
  <c r="BE409" i="1"/>
  <c r="BC409" i="1"/>
  <c r="BG408" i="1"/>
  <c r="BE408" i="1"/>
  <c r="BC408" i="1"/>
  <c r="BG405" i="1"/>
  <c r="BE405" i="1"/>
  <c r="BC405" i="1"/>
  <c r="BG403" i="1"/>
  <c r="BE403" i="1"/>
  <c r="BC403" i="1"/>
  <c r="BG401" i="1"/>
  <c r="BE401" i="1"/>
  <c r="BC401" i="1"/>
  <c r="BG400" i="1"/>
  <c r="BE400" i="1"/>
  <c r="BC400" i="1"/>
  <c r="BG397" i="1"/>
  <c r="BE397" i="1"/>
  <c r="BC397" i="1"/>
  <c r="BG396" i="1"/>
  <c r="BE396" i="1"/>
  <c r="BC396" i="1"/>
  <c r="BG394" i="1"/>
  <c r="BE394" i="1"/>
  <c r="BC394" i="1"/>
  <c r="BG392" i="1"/>
  <c r="BE392" i="1"/>
  <c r="BC392" i="1"/>
  <c r="BG390" i="1"/>
  <c r="BE390" i="1"/>
  <c r="BC390" i="1"/>
  <c r="BG389" i="1"/>
  <c r="BE389" i="1"/>
  <c r="BC389" i="1"/>
  <c r="BG382" i="1"/>
  <c r="BE382" i="1"/>
  <c r="BC382" i="1"/>
  <c r="BG381" i="1"/>
  <c r="BE381" i="1"/>
  <c r="BC381" i="1"/>
  <c r="BG380" i="1"/>
  <c r="BE380" i="1"/>
  <c r="BC380" i="1"/>
  <c r="BG379" i="1"/>
  <c r="BE379" i="1"/>
  <c r="BC379" i="1"/>
  <c r="BG377" i="1"/>
  <c r="BE377" i="1"/>
  <c r="BC377" i="1"/>
  <c r="BG376" i="1"/>
  <c r="BE376" i="1"/>
  <c r="BC376" i="1"/>
  <c r="BG374" i="1"/>
  <c r="BE374" i="1"/>
  <c r="BC374" i="1"/>
  <c r="BG373" i="1"/>
  <c r="BE373" i="1"/>
  <c r="BC373" i="1"/>
  <c r="BG372" i="1"/>
  <c r="BE372" i="1"/>
  <c r="BC372" i="1"/>
  <c r="BG371" i="1"/>
  <c r="BE371" i="1"/>
  <c r="BC371" i="1"/>
  <c r="BG370" i="1"/>
  <c r="BE370" i="1"/>
  <c r="BC370" i="1"/>
  <c r="BG368" i="1"/>
  <c r="BE368" i="1"/>
  <c r="BC368" i="1"/>
  <c r="BG366" i="1"/>
  <c r="BE366" i="1"/>
  <c r="BC366" i="1"/>
  <c r="BG365" i="1"/>
  <c r="BE365" i="1"/>
  <c r="BC365" i="1"/>
  <c r="BG364" i="1"/>
  <c r="BE364" i="1"/>
  <c r="BC364" i="1"/>
  <c r="BG363" i="1"/>
  <c r="BE363" i="1"/>
  <c r="BC363" i="1"/>
  <c r="BG362" i="1"/>
  <c r="BE362" i="1"/>
  <c r="BC362" i="1"/>
  <c r="BG361" i="1"/>
  <c r="BE361" i="1"/>
  <c r="BC361" i="1"/>
  <c r="BG358" i="1"/>
  <c r="BE358" i="1"/>
  <c r="BC358" i="1"/>
  <c r="BG357" i="1"/>
  <c r="BE357" i="1"/>
  <c r="BC357" i="1"/>
  <c r="BG356" i="1"/>
  <c r="BE356" i="1"/>
  <c r="BC356" i="1"/>
  <c r="BG355" i="1"/>
  <c r="BE355" i="1"/>
  <c r="BC355" i="1"/>
  <c r="BG354" i="1"/>
  <c r="BE354" i="1"/>
  <c r="BC354" i="1"/>
  <c r="BG353" i="1"/>
  <c r="BE353" i="1"/>
  <c r="BC353" i="1"/>
  <c r="BG352" i="1"/>
  <c r="BE352" i="1"/>
  <c r="BC352" i="1"/>
  <c r="BG351" i="1"/>
  <c r="BE351" i="1"/>
  <c r="BC351" i="1"/>
  <c r="BG350" i="1"/>
  <c r="BE350" i="1"/>
  <c r="BC350" i="1"/>
  <c r="BG349" i="1"/>
  <c r="BE349" i="1"/>
  <c r="BC349" i="1"/>
  <c r="BG347" i="1"/>
  <c r="BE347" i="1"/>
  <c r="BC347" i="1"/>
  <c r="BG346" i="1"/>
  <c r="BE346" i="1"/>
  <c r="BC346" i="1"/>
  <c r="BG345" i="1"/>
  <c r="BE345" i="1"/>
  <c r="BC345" i="1"/>
  <c r="BG344" i="1"/>
  <c r="BE344" i="1"/>
  <c r="BC344" i="1"/>
  <c r="BG343" i="1"/>
  <c r="BE343" i="1"/>
  <c r="BC343" i="1"/>
  <c r="BG342" i="1"/>
  <c r="BE342" i="1"/>
  <c r="BC342" i="1"/>
  <c r="BG341" i="1"/>
  <c r="BE341" i="1"/>
  <c r="BC341" i="1"/>
  <c r="BG340" i="1"/>
  <c r="BE340" i="1"/>
  <c r="BC340" i="1"/>
  <c r="BG339" i="1"/>
  <c r="BE339" i="1"/>
  <c r="BC339" i="1"/>
  <c r="BG338" i="1"/>
  <c r="BE338" i="1"/>
  <c r="BC338" i="1"/>
  <c r="BG337" i="1"/>
  <c r="BE337" i="1"/>
  <c r="BC337" i="1"/>
  <c r="BG336" i="1"/>
  <c r="BE336" i="1"/>
  <c r="BC336" i="1"/>
  <c r="BG335" i="1"/>
  <c r="BE335" i="1"/>
  <c r="BC335" i="1"/>
  <c r="BG334" i="1"/>
  <c r="BE334" i="1"/>
  <c r="BC334" i="1"/>
  <c r="BG333" i="1"/>
  <c r="BE333" i="1"/>
  <c r="BC333" i="1"/>
  <c r="BG332" i="1"/>
  <c r="BE332" i="1"/>
  <c r="BC332" i="1"/>
  <c r="BG331" i="1"/>
  <c r="BE331" i="1"/>
  <c r="BC331" i="1"/>
  <c r="BG330" i="1"/>
  <c r="BE330" i="1"/>
  <c r="BC330" i="1"/>
  <c r="BG329" i="1"/>
  <c r="BE329" i="1"/>
  <c r="BC329" i="1"/>
  <c r="BG328" i="1"/>
  <c r="BE328" i="1"/>
  <c r="BC328" i="1"/>
  <c r="BG327" i="1"/>
  <c r="BE327" i="1"/>
  <c r="BC327" i="1"/>
  <c r="BG326" i="1"/>
  <c r="BE326" i="1"/>
  <c r="BC326" i="1"/>
  <c r="BG325" i="1"/>
  <c r="BE325" i="1"/>
  <c r="BC325" i="1"/>
  <c r="BG324" i="1"/>
  <c r="BE324" i="1"/>
  <c r="BC324" i="1"/>
  <c r="BG323" i="1"/>
  <c r="BE323" i="1"/>
  <c r="BC323" i="1"/>
  <c r="BG322" i="1"/>
  <c r="BE322" i="1"/>
  <c r="BC322" i="1"/>
  <c r="BG321" i="1"/>
  <c r="BE321" i="1"/>
  <c r="BC321" i="1"/>
  <c r="BG320" i="1"/>
  <c r="BE320" i="1"/>
  <c r="BC320" i="1"/>
  <c r="BG319" i="1"/>
  <c r="BE319" i="1"/>
  <c r="BC319" i="1"/>
  <c r="BG318" i="1"/>
  <c r="BE318" i="1"/>
  <c r="BC318" i="1"/>
  <c r="BG317" i="1"/>
  <c r="BE317" i="1"/>
  <c r="BC317" i="1"/>
  <c r="BG316" i="1"/>
  <c r="BE316" i="1"/>
  <c r="BC316" i="1"/>
  <c r="BG315" i="1"/>
  <c r="BE315" i="1"/>
  <c r="BC315" i="1"/>
  <c r="BG314" i="1"/>
  <c r="BE314" i="1"/>
  <c r="BC314" i="1"/>
  <c r="BG313" i="1"/>
  <c r="BE313" i="1"/>
  <c r="BC313" i="1"/>
  <c r="BG311" i="1"/>
  <c r="BE311" i="1"/>
  <c r="BC311" i="1"/>
  <c r="BG310" i="1"/>
  <c r="BE310" i="1"/>
  <c r="BC310" i="1"/>
  <c r="BG306" i="1"/>
  <c r="BE306" i="1"/>
  <c r="BC306" i="1"/>
  <c r="BG305" i="1"/>
  <c r="BE305" i="1"/>
  <c r="BC305" i="1"/>
  <c r="BG302" i="1"/>
  <c r="BE302" i="1"/>
  <c r="BC302" i="1"/>
  <c r="BG301" i="1"/>
  <c r="BE301" i="1"/>
  <c r="BC301" i="1"/>
  <c r="BG300" i="1"/>
  <c r="BE300" i="1"/>
  <c r="BC300" i="1"/>
  <c r="BG299" i="1"/>
  <c r="BE299" i="1"/>
  <c r="BC299" i="1"/>
  <c r="BG297" i="1"/>
  <c r="BE297" i="1"/>
  <c r="BC297" i="1"/>
  <c r="BG296" i="1"/>
  <c r="BE296" i="1"/>
  <c r="BC296" i="1"/>
  <c r="BG295" i="1"/>
  <c r="BE295" i="1"/>
  <c r="BC295" i="1"/>
  <c r="BG294" i="1"/>
  <c r="BE294" i="1"/>
  <c r="BC294" i="1"/>
  <c r="BG293" i="1"/>
  <c r="BE293" i="1"/>
  <c r="BC293" i="1"/>
  <c r="BG292" i="1"/>
  <c r="BE292" i="1"/>
  <c r="BC292" i="1"/>
  <c r="BG291" i="1"/>
  <c r="BE291" i="1"/>
  <c r="BC291" i="1"/>
  <c r="BG290" i="1"/>
  <c r="BE290" i="1"/>
  <c r="BC290" i="1"/>
  <c r="BG289" i="1"/>
  <c r="BE289" i="1"/>
  <c r="BC289" i="1"/>
  <c r="BG288" i="1"/>
  <c r="BE288" i="1"/>
  <c r="BC288" i="1"/>
  <c r="BG287" i="1"/>
  <c r="BE287" i="1"/>
  <c r="BC287" i="1"/>
  <c r="BG286" i="1"/>
  <c r="BE286" i="1"/>
  <c r="BC286" i="1"/>
  <c r="BG285" i="1"/>
  <c r="BE285" i="1"/>
  <c r="BC285" i="1"/>
  <c r="BG282" i="1"/>
  <c r="BE282" i="1"/>
  <c r="BC282" i="1"/>
  <c r="BG281" i="1"/>
  <c r="BE281" i="1"/>
  <c r="BC281" i="1"/>
  <c r="BG280" i="1"/>
  <c r="BE280" i="1"/>
  <c r="BC280" i="1"/>
  <c r="BG279" i="1"/>
  <c r="BE279" i="1"/>
  <c r="BC279" i="1"/>
  <c r="BG278" i="1"/>
  <c r="BE278" i="1"/>
  <c r="BC278" i="1"/>
  <c r="BG277" i="1"/>
  <c r="BE277" i="1"/>
  <c r="BC277" i="1"/>
  <c r="BG276" i="1"/>
  <c r="BE276" i="1"/>
  <c r="BC276" i="1"/>
  <c r="BG275" i="1"/>
  <c r="BE275" i="1"/>
  <c r="BC275" i="1"/>
  <c r="BG274" i="1"/>
  <c r="BE274" i="1"/>
  <c r="BC274" i="1"/>
  <c r="BG273" i="1"/>
  <c r="BE273" i="1"/>
  <c r="BC273" i="1"/>
  <c r="BG272" i="1"/>
  <c r="BE272" i="1"/>
  <c r="BC272" i="1"/>
  <c r="BG271" i="1"/>
  <c r="BE271" i="1"/>
  <c r="BC271" i="1"/>
  <c r="BG270" i="1"/>
  <c r="BE270" i="1"/>
  <c r="BC270" i="1"/>
  <c r="BG269" i="1"/>
  <c r="BE269" i="1"/>
  <c r="BC269" i="1"/>
  <c r="BG267" i="1"/>
  <c r="BE267" i="1"/>
  <c r="BC267" i="1"/>
  <c r="BG266" i="1"/>
  <c r="BE266" i="1"/>
  <c r="BC266" i="1"/>
  <c r="BG265" i="1"/>
  <c r="BE265" i="1"/>
  <c r="BC265" i="1"/>
  <c r="BG264" i="1"/>
  <c r="BE264" i="1"/>
  <c r="BC264" i="1"/>
  <c r="BG263" i="1"/>
  <c r="BE263" i="1"/>
  <c r="BC263" i="1"/>
  <c r="BG262" i="1"/>
  <c r="BE262" i="1"/>
  <c r="BC262" i="1"/>
  <c r="BG261" i="1"/>
  <c r="BE261" i="1"/>
  <c r="BC261" i="1"/>
  <c r="BG260" i="1"/>
  <c r="BE260" i="1"/>
  <c r="BC260" i="1"/>
  <c r="BG259" i="1"/>
  <c r="BE259" i="1"/>
  <c r="BC259" i="1"/>
  <c r="BG258" i="1"/>
  <c r="BE258" i="1"/>
  <c r="BC258" i="1"/>
  <c r="BG257" i="1"/>
  <c r="BE257" i="1"/>
  <c r="BC257" i="1"/>
  <c r="BG256" i="1"/>
  <c r="BE256" i="1"/>
  <c r="BC256" i="1"/>
  <c r="BG255" i="1"/>
  <c r="BE255" i="1"/>
  <c r="BC255" i="1"/>
  <c r="BG254" i="1"/>
  <c r="BE254" i="1"/>
  <c r="BC254" i="1"/>
  <c r="BG253" i="1"/>
  <c r="BE253" i="1"/>
  <c r="BC253" i="1"/>
  <c r="BG252" i="1"/>
  <c r="BE252" i="1"/>
  <c r="BC252" i="1"/>
  <c r="BG250" i="1"/>
  <c r="BE250" i="1"/>
  <c r="BC250" i="1"/>
  <c r="BG249" i="1"/>
  <c r="BE249" i="1"/>
  <c r="BC249" i="1"/>
  <c r="BG248" i="1"/>
  <c r="BE248" i="1"/>
  <c r="BC248" i="1"/>
  <c r="BG247" i="1"/>
  <c r="BE247" i="1"/>
  <c r="BC247" i="1"/>
  <c r="BG246" i="1"/>
  <c r="BE246" i="1"/>
  <c r="BC246" i="1"/>
  <c r="BG245" i="1"/>
  <c r="BE245" i="1"/>
  <c r="BC245" i="1"/>
  <c r="BG244" i="1"/>
  <c r="BE244" i="1"/>
  <c r="BC244" i="1"/>
  <c r="BG243" i="1"/>
  <c r="BE243" i="1"/>
  <c r="BC243" i="1"/>
  <c r="BG242" i="1"/>
  <c r="BE242" i="1"/>
  <c r="BC242" i="1"/>
  <c r="BG241" i="1"/>
  <c r="BE241" i="1"/>
  <c r="BC241" i="1"/>
  <c r="BG240" i="1"/>
  <c r="BE240" i="1"/>
  <c r="BC240" i="1"/>
  <c r="BG239" i="1"/>
  <c r="BE239" i="1"/>
  <c r="BC239" i="1"/>
  <c r="BG238" i="1"/>
  <c r="BE238" i="1"/>
  <c r="BC238" i="1"/>
  <c r="BG237" i="1"/>
  <c r="BE237" i="1"/>
  <c r="BC237" i="1"/>
  <c r="BG236" i="1"/>
  <c r="BE236" i="1"/>
  <c r="BC236" i="1"/>
  <c r="BG235" i="1"/>
  <c r="BE235" i="1"/>
  <c r="BC235" i="1"/>
  <c r="BG234" i="1"/>
  <c r="BE234" i="1"/>
  <c r="BC234" i="1"/>
  <c r="BG233" i="1"/>
  <c r="BE233" i="1"/>
  <c r="BC233" i="1"/>
  <c r="BG232" i="1"/>
  <c r="BE232" i="1"/>
  <c r="BC232" i="1"/>
  <c r="BG231" i="1"/>
  <c r="BE231" i="1"/>
  <c r="BC231" i="1"/>
  <c r="BG230" i="1"/>
  <c r="BE230" i="1"/>
  <c r="BC230" i="1"/>
  <c r="BG229" i="1"/>
  <c r="BE229" i="1"/>
  <c r="BC229" i="1"/>
  <c r="BG228" i="1"/>
  <c r="BE228" i="1"/>
  <c r="BC228" i="1"/>
  <c r="BG226" i="1"/>
  <c r="BE226" i="1"/>
  <c r="BC226" i="1"/>
  <c r="BG225" i="1"/>
  <c r="BE225" i="1"/>
  <c r="BC225" i="1"/>
  <c r="BG223" i="1"/>
  <c r="BE223" i="1"/>
  <c r="BC223" i="1"/>
  <c r="BG222" i="1"/>
  <c r="BE222" i="1"/>
  <c r="BC222" i="1"/>
  <c r="BG221" i="1"/>
  <c r="BE221" i="1"/>
  <c r="BC221" i="1"/>
  <c r="BG220" i="1"/>
  <c r="BE220" i="1"/>
  <c r="BC220" i="1"/>
  <c r="BG219" i="1"/>
  <c r="BE219" i="1"/>
  <c r="BC219" i="1"/>
  <c r="BG218" i="1"/>
  <c r="BE218" i="1"/>
  <c r="BC218" i="1"/>
  <c r="BG217" i="1"/>
  <c r="BE217" i="1"/>
  <c r="BC217" i="1"/>
  <c r="BG216" i="1"/>
  <c r="BE216" i="1"/>
  <c r="BC216" i="1"/>
  <c r="BG215" i="1"/>
  <c r="BE215" i="1"/>
  <c r="BC215" i="1"/>
  <c r="BG214" i="1"/>
  <c r="BE214" i="1"/>
  <c r="BC214" i="1"/>
  <c r="BG213" i="1"/>
  <c r="BE213" i="1"/>
  <c r="BC213" i="1"/>
  <c r="BG209" i="1"/>
  <c r="BE209" i="1"/>
  <c r="BC209" i="1"/>
  <c r="BG208" i="1"/>
  <c r="BE208" i="1"/>
  <c r="BC208" i="1"/>
  <c r="BG207" i="1"/>
  <c r="BE207" i="1"/>
  <c r="BC207" i="1"/>
  <c r="BG206" i="1"/>
  <c r="BE206" i="1"/>
  <c r="BC206" i="1"/>
  <c r="BG205" i="1"/>
  <c r="BE205" i="1"/>
  <c r="BC205" i="1"/>
  <c r="BG204" i="1"/>
  <c r="BE204" i="1"/>
  <c r="BC204" i="1"/>
  <c r="BG203" i="1"/>
  <c r="BE203" i="1"/>
  <c r="BC203" i="1"/>
  <c r="BG202" i="1"/>
  <c r="BE202" i="1"/>
  <c r="BC202" i="1"/>
  <c r="BG201" i="1"/>
  <c r="BE201" i="1"/>
  <c r="BC201" i="1"/>
  <c r="BG200" i="1"/>
  <c r="BE200" i="1"/>
  <c r="BC200" i="1"/>
  <c r="BG199" i="1"/>
  <c r="BE199" i="1"/>
  <c r="BC199" i="1"/>
  <c r="BG198" i="1"/>
  <c r="BE198" i="1"/>
  <c r="BC198" i="1"/>
  <c r="BG197" i="1"/>
  <c r="BE197" i="1"/>
  <c r="BC197" i="1"/>
  <c r="BG196" i="1"/>
  <c r="BE196" i="1"/>
  <c r="BC196" i="1"/>
  <c r="BG195" i="1"/>
  <c r="BE195" i="1"/>
  <c r="BC195" i="1"/>
  <c r="BG194" i="1"/>
  <c r="BE194" i="1"/>
  <c r="BC194" i="1"/>
  <c r="BG193" i="1"/>
  <c r="BE193" i="1"/>
  <c r="BC193" i="1"/>
  <c r="BG192" i="1"/>
  <c r="BE192" i="1"/>
  <c r="BC192" i="1"/>
  <c r="BG191" i="1"/>
  <c r="BE191" i="1"/>
  <c r="BC191" i="1"/>
  <c r="BG190" i="1"/>
  <c r="BE190" i="1"/>
  <c r="BC190" i="1"/>
  <c r="BG189" i="1"/>
  <c r="BE189" i="1"/>
  <c r="BC189" i="1"/>
  <c r="BG188" i="1"/>
  <c r="BE188" i="1"/>
  <c r="BC188" i="1"/>
  <c r="BG187" i="1"/>
  <c r="BE187" i="1"/>
  <c r="BC187" i="1"/>
  <c r="BG186" i="1"/>
  <c r="BE186" i="1"/>
  <c r="BG185" i="1"/>
  <c r="BE185" i="1"/>
  <c r="BC185" i="1"/>
  <c r="BG184" i="1"/>
  <c r="BE184" i="1"/>
  <c r="BC184" i="1"/>
  <c r="BG183" i="1"/>
  <c r="BE183" i="1"/>
  <c r="BC183" i="1"/>
  <c r="BG181" i="1"/>
  <c r="BE181" i="1"/>
  <c r="BC181" i="1"/>
  <c r="BG178" i="1"/>
  <c r="BE178" i="1"/>
  <c r="BC178" i="1"/>
  <c r="BG176" i="1"/>
  <c r="BE176" i="1"/>
  <c r="BC176" i="1"/>
  <c r="BG174" i="1"/>
  <c r="BE174" i="1"/>
  <c r="BC174" i="1"/>
  <c r="BG173" i="1"/>
  <c r="BE173" i="1"/>
  <c r="BC173" i="1"/>
  <c r="BG171" i="1"/>
  <c r="BE171" i="1"/>
  <c r="BC171" i="1"/>
  <c r="BG170" i="1"/>
  <c r="BE170" i="1"/>
  <c r="BC170" i="1"/>
  <c r="BG169" i="1"/>
  <c r="BE169" i="1"/>
  <c r="BC169" i="1"/>
  <c r="BG166" i="1"/>
  <c r="BE166" i="1"/>
  <c r="BC166" i="1"/>
  <c r="BG165" i="1"/>
  <c r="BE165" i="1"/>
  <c r="BC165" i="1"/>
  <c r="BG163" i="1"/>
  <c r="BE163" i="1"/>
  <c r="BC163" i="1"/>
  <c r="BG162" i="1"/>
  <c r="BE162" i="1"/>
  <c r="BG158" i="1"/>
  <c r="BE158" i="1"/>
  <c r="BC158" i="1"/>
  <c r="BG157" i="1"/>
  <c r="BE157" i="1"/>
  <c r="BC157" i="1"/>
  <c r="BG156" i="1"/>
  <c r="BE156" i="1"/>
  <c r="BC156" i="1"/>
  <c r="BG155" i="1"/>
  <c r="BE155" i="1"/>
  <c r="BC155" i="1"/>
  <c r="BG154" i="1"/>
  <c r="BE154" i="1"/>
  <c r="BC154" i="1"/>
  <c r="BG153" i="1"/>
  <c r="BE153" i="1"/>
  <c r="BC153" i="1"/>
  <c r="BG152" i="1"/>
  <c r="BE152" i="1"/>
  <c r="BC152" i="1"/>
  <c r="BG151" i="1"/>
  <c r="BE151" i="1"/>
  <c r="BC151" i="1"/>
  <c r="BG150" i="1"/>
  <c r="BE150" i="1"/>
  <c r="BC150" i="1"/>
  <c r="BG149" i="1"/>
  <c r="BE149" i="1"/>
  <c r="BC149" i="1"/>
  <c r="BG148" i="1"/>
  <c r="BE148" i="1"/>
  <c r="BC148" i="1"/>
  <c r="BG147" i="1"/>
  <c r="BE147" i="1"/>
  <c r="BC147" i="1"/>
  <c r="BG146" i="1"/>
  <c r="BE146" i="1"/>
  <c r="BC146" i="1"/>
  <c r="BG144" i="1"/>
  <c r="BE144" i="1"/>
  <c r="BC144" i="1"/>
  <c r="BG142" i="1"/>
  <c r="BE142" i="1"/>
  <c r="BC142" i="1"/>
  <c r="BG141" i="1"/>
  <c r="BE141" i="1"/>
  <c r="BC141" i="1"/>
  <c r="BG140" i="1"/>
  <c r="BE140" i="1"/>
  <c r="BC140" i="1"/>
  <c r="BG139" i="1"/>
  <c r="BE139" i="1"/>
  <c r="BC139" i="1"/>
  <c r="BG137" i="1"/>
  <c r="BE137" i="1"/>
  <c r="BC137" i="1"/>
  <c r="BG136" i="1"/>
  <c r="BE136" i="1"/>
  <c r="BC136" i="1"/>
  <c r="BG134" i="1"/>
  <c r="BE134" i="1"/>
  <c r="BC134" i="1"/>
  <c r="BG131" i="1"/>
  <c r="BE131" i="1"/>
  <c r="BC131" i="1"/>
  <c r="BG129" i="1"/>
  <c r="BE129" i="1"/>
  <c r="BC129" i="1"/>
  <c r="BG128" i="1"/>
  <c r="BE128" i="1"/>
  <c r="BC128" i="1"/>
  <c r="BG126" i="1"/>
  <c r="BE126" i="1"/>
  <c r="BC126" i="1"/>
  <c r="BG125" i="1"/>
  <c r="BE125" i="1"/>
  <c r="BC125" i="1"/>
  <c r="BG124" i="1"/>
  <c r="BE124" i="1"/>
  <c r="BC124" i="1"/>
  <c r="BG123" i="1"/>
  <c r="BE123" i="1"/>
  <c r="BC123" i="1"/>
  <c r="BG122" i="1"/>
  <c r="BE122" i="1"/>
  <c r="BC122" i="1"/>
  <c r="BG121" i="1"/>
  <c r="BE121" i="1"/>
  <c r="BC121" i="1"/>
  <c r="BG119" i="1"/>
  <c r="BE119" i="1"/>
  <c r="BC119" i="1"/>
  <c r="BG117" i="1"/>
  <c r="BE117" i="1"/>
  <c r="BC117" i="1"/>
  <c r="BG116" i="1"/>
  <c r="BE116" i="1"/>
  <c r="BC116" i="1"/>
  <c r="BG115" i="1"/>
  <c r="BE115" i="1"/>
  <c r="BC115" i="1"/>
  <c r="BG114" i="1"/>
  <c r="BE114" i="1"/>
  <c r="BC114" i="1"/>
  <c r="BG113" i="1"/>
  <c r="BE113" i="1"/>
  <c r="BC113" i="1"/>
  <c r="BG112" i="1"/>
  <c r="BE112" i="1"/>
  <c r="BC112" i="1"/>
  <c r="BG111" i="1"/>
  <c r="BE111" i="1"/>
  <c r="BC111" i="1"/>
  <c r="BG110" i="1"/>
  <c r="BE110" i="1"/>
  <c r="BC110" i="1"/>
  <c r="BG109" i="1"/>
  <c r="BE109" i="1"/>
  <c r="BC109" i="1"/>
  <c r="BG108" i="1"/>
  <c r="BE108" i="1"/>
  <c r="BC108" i="1"/>
  <c r="BG107" i="1"/>
  <c r="BE107" i="1"/>
  <c r="BC107" i="1"/>
  <c r="BG105" i="1"/>
  <c r="BE105" i="1"/>
  <c r="BC105" i="1"/>
  <c r="BG104" i="1"/>
  <c r="BE104" i="1"/>
  <c r="BC104" i="1"/>
  <c r="BG103" i="1"/>
  <c r="BE103" i="1"/>
  <c r="BC103" i="1"/>
  <c r="BG102" i="1"/>
  <c r="BE102" i="1"/>
  <c r="BC102" i="1"/>
  <c r="BG101" i="1"/>
  <c r="BE101" i="1"/>
  <c r="BC101" i="1"/>
  <c r="BG100" i="1"/>
  <c r="BE100" i="1"/>
  <c r="BC100" i="1"/>
  <c r="BG98" i="1"/>
  <c r="BE98" i="1"/>
  <c r="BC98" i="1"/>
  <c r="BG97" i="1"/>
  <c r="BE97" i="1"/>
  <c r="BC97" i="1"/>
  <c r="BG96" i="1"/>
  <c r="BE96" i="1"/>
  <c r="BC96" i="1"/>
  <c r="BG95" i="1"/>
  <c r="BE95" i="1"/>
  <c r="BC95" i="1"/>
  <c r="BG94" i="1"/>
  <c r="BE94" i="1"/>
  <c r="BC94" i="1"/>
  <c r="BG93" i="1"/>
  <c r="BE93" i="1"/>
  <c r="BC93" i="1"/>
  <c r="BG92" i="1"/>
  <c r="BE92" i="1"/>
  <c r="BC92" i="1"/>
  <c r="BG91" i="1"/>
  <c r="BE91" i="1"/>
  <c r="BC91" i="1"/>
  <c r="BG88" i="1"/>
  <c r="BC88" i="1"/>
  <c r="BG86" i="1"/>
  <c r="BE86" i="1"/>
  <c r="BC86" i="1"/>
  <c r="BG85" i="1"/>
  <c r="BE85" i="1"/>
  <c r="BC85" i="1"/>
  <c r="BG84" i="1"/>
  <c r="BE84" i="1"/>
  <c r="BC84" i="1"/>
  <c r="BG83" i="1"/>
  <c r="BE83" i="1"/>
  <c r="BC83" i="1"/>
  <c r="BG82" i="1"/>
  <c r="BE82" i="1"/>
  <c r="BC82" i="1"/>
  <c r="BG79" i="1"/>
  <c r="BE79" i="1"/>
  <c r="BC79" i="1"/>
  <c r="BG78" i="1"/>
  <c r="BE78" i="1"/>
  <c r="BC78" i="1"/>
  <c r="BG77" i="1"/>
  <c r="BE77" i="1"/>
  <c r="BC77" i="1"/>
  <c r="BG75" i="1"/>
  <c r="BE75" i="1"/>
  <c r="BC75" i="1"/>
  <c r="BG74" i="1"/>
  <c r="BE74" i="1"/>
  <c r="BC74" i="1"/>
  <c r="BG73" i="1"/>
  <c r="BE73" i="1"/>
  <c r="BC73" i="1"/>
  <c r="BG72" i="1"/>
  <c r="BE72" i="1"/>
  <c r="BC72" i="1"/>
  <c r="BG71" i="1"/>
  <c r="BE71" i="1"/>
  <c r="BC71" i="1"/>
  <c r="BG70" i="1"/>
  <c r="BE70" i="1"/>
  <c r="BC70" i="1"/>
  <c r="BG69" i="1"/>
  <c r="BE69" i="1"/>
  <c r="BC69" i="1"/>
  <c r="BG68" i="1"/>
  <c r="BE68" i="1"/>
  <c r="BC68" i="1"/>
  <c r="BG67" i="1"/>
  <c r="BE67" i="1"/>
  <c r="BC67" i="1"/>
  <c r="BG66" i="1"/>
  <c r="BE66" i="1"/>
  <c r="BC66" i="1"/>
  <c r="BG65" i="1"/>
  <c r="BE65" i="1"/>
  <c r="BC65" i="1"/>
  <c r="BG64" i="1"/>
  <c r="BE64" i="1"/>
  <c r="BC64" i="1"/>
  <c r="BG63" i="1"/>
  <c r="BE63" i="1"/>
  <c r="BC63" i="1"/>
  <c r="BG62" i="1"/>
  <c r="BE62" i="1"/>
  <c r="BC62" i="1"/>
  <c r="BG61" i="1"/>
  <c r="BE61" i="1"/>
  <c r="BC61" i="1"/>
  <c r="BG60" i="1"/>
  <c r="BE60" i="1"/>
  <c r="BC60" i="1"/>
  <c r="BG59" i="1"/>
  <c r="BE59" i="1"/>
  <c r="BC59" i="1"/>
  <c r="BG58" i="1"/>
  <c r="BE58" i="1"/>
  <c r="BC58" i="1"/>
  <c r="BG57" i="1"/>
  <c r="BE57" i="1"/>
  <c r="BC57" i="1"/>
  <c r="BG56" i="1"/>
  <c r="BE56" i="1"/>
  <c r="BC56" i="1"/>
  <c r="BG55" i="1"/>
  <c r="BE55" i="1"/>
  <c r="BC55" i="1"/>
  <c r="BG54" i="1"/>
  <c r="BE54" i="1"/>
  <c r="BC54" i="1"/>
  <c r="BG52" i="1"/>
  <c r="BE52" i="1"/>
  <c r="BC52" i="1"/>
  <c r="BG51" i="1"/>
  <c r="BE51" i="1"/>
  <c r="BC51" i="1"/>
  <c r="BG50" i="1"/>
  <c r="BE50" i="1"/>
  <c r="BC50" i="1"/>
  <c r="BG48" i="1"/>
  <c r="BE48" i="1"/>
  <c r="BC48" i="1"/>
  <c r="BG46" i="1"/>
  <c r="BE46" i="1"/>
  <c r="BC46" i="1"/>
  <c r="BG45" i="1"/>
  <c r="BE45" i="1"/>
  <c r="BC45" i="1"/>
  <c r="BG44" i="1"/>
  <c r="BE44" i="1"/>
  <c r="BC44" i="1"/>
  <c r="BG43" i="1"/>
  <c r="BE43" i="1"/>
  <c r="BC43" i="1"/>
  <c r="BG42" i="1"/>
  <c r="BE42" i="1"/>
  <c r="BC42" i="1"/>
  <c r="BG41" i="1"/>
  <c r="BE41" i="1"/>
  <c r="BC41" i="1"/>
  <c r="BG40" i="1"/>
  <c r="BE40" i="1"/>
  <c r="BC40" i="1"/>
  <c r="BG39" i="1"/>
  <c r="BE39" i="1"/>
  <c r="BC39" i="1"/>
  <c r="BG38" i="1"/>
  <c r="BE38" i="1"/>
  <c r="BC38" i="1"/>
  <c r="BG36" i="1"/>
  <c r="BE36" i="1"/>
  <c r="BC36" i="1"/>
  <c r="BG35" i="1"/>
  <c r="BE35" i="1"/>
  <c r="BC35" i="1"/>
  <c r="BG34" i="1"/>
  <c r="BE34" i="1"/>
  <c r="BC34" i="1"/>
  <c r="BG33" i="1"/>
  <c r="BE33" i="1"/>
  <c r="BC33" i="1"/>
  <c r="BG32" i="1"/>
  <c r="BE32" i="1"/>
  <c r="BC32" i="1"/>
  <c r="BG31" i="1"/>
  <c r="BE31" i="1"/>
  <c r="BC31" i="1"/>
  <c r="BG30" i="1"/>
  <c r="BE30" i="1"/>
  <c r="BC30" i="1"/>
  <c r="BG29" i="1"/>
  <c r="BE29" i="1"/>
  <c r="BC29" i="1"/>
  <c r="BG28" i="1"/>
  <c r="BE28" i="1"/>
  <c r="BC28" i="1"/>
  <c r="BG26" i="1"/>
  <c r="BE26" i="1"/>
  <c r="BC26" i="1"/>
  <c r="BG25" i="1"/>
  <c r="BE25" i="1"/>
  <c r="BC25" i="1"/>
  <c r="BG24" i="1"/>
  <c r="BE24" i="1"/>
  <c r="BC24" i="1"/>
  <c r="BG23" i="1"/>
  <c r="BE23" i="1"/>
  <c r="BC23" i="1"/>
  <c r="BG22" i="1"/>
  <c r="BE22" i="1"/>
  <c r="BC22" i="1"/>
  <c r="BG21" i="1"/>
  <c r="BE21" i="1"/>
  <c r="BC21" i="1"/>
  <c r="BG20" i="1"/>
  <c r="BE20" i="1"/>
  <c r="BC20" i="1"/>
  <c r="BG19" i="1"/>
  <c r="BE19" i="1"/>
  <c r="BC19" i="1"/>
  <c r="BG17" i="1"/>
  <c r="BE17" i="1"/>
  <c r="BC17" i="1"/>
  <c r="BG16" i="1"/>
  <c r="BE16" i="1"/>
  <c r="BC16" i="1"/>
  <c r="BG15" i="1"/>
  <c r="BE15" i="1"/>
  <c r="BC15" i="1"/>
  <c r="BG14" i="1"/>
  <c r="BE14" i="1"/>
  <c r="BC14" i="1"/>
  <c r="CB441" i="1"/>
  <c r="BY441" i="1"/>
  <c r="BV441" i="1"/>
  <c r="CB440" i="1"/>
  <c r="BY440" i="1"/>
  <c r="BV440" i="1"/>
  <c r="CB439" i="1"/>
  <c r="BY439" i="1"/>
  <c r="BV439" i="1"/>
  <c r="CB438" i="1"/>
  <c r="BY438" i="1"/>
  <c r="BV438" i="1"/>
  <c r="CB437" i="1"/>
  <c r="BY437" i="1"/>
  <c r="BV437" i="1"/>
  <c r="CB436" i="1"/>
  <c r="BY436" i="1"/>
  <c r="BV436" i="1"/>
  <c r="CB434" i="1"/>
  <c r="BY434" i="1"/>
  <c r="BV434" i="1"/>
  <c r="CB433" i="1"/>
  <c r="BV433" i="1"/>
  <c r="CB432" i="1"/>
  <c r="BY432" i="1"/>
  <c r="BV432" i="1"/>
  <c r="CB431" i="1"/>
  <c r="BY431" i="1"/>
  <c r="BV431" i="1"/>
  <c r="CB430" i="1"/>
  <c r="BY430" i="1"/>
  <c r="BV430" i="1"/>
  <c r="CB429" i="1"/>
  <c r="BY429" i="1"/>
  <c r="BV429" i="1"/>
  <c r="CB428" i="1"/>
  <c r="BY428" i="1"/>
  <c r="BV428" i="1"/>
  <c r="CB427" i="1"/>
  <c r="BY427" i="1"/>
  <c r="BV427" i="1"/>
  <c r="CB418" i="1"/>
  <c r="BY418" i="1"/>
  <c r="BV418" i="1"/>
  <c r="CB417" i="1"/>
  <c r="BY417" i="1"/>
  <c r="BV417" i="1"/>
  <c r="CB416" i="1"/>
  <c r="BY416" i="1"/>
  <c r="BV416" i="1"/>
  <c r="CB415" i="1"/>
  <c r="BY415" i="1"/>
  <c r="BV415" i="1"/>
  <c r="CB414" i="1"/>
  <c r="BY414" i="1"/>
  <c r="BV414" i="1"/>
  <c r="CB413" i="1"/>
  <c r="BY413" i="1"/>
  <c r="BV413" i="1"/>
  <c r="CB412" i="1"/>
  <c r="BY412" i="1"/>
  <c r="BV412" i="1"/>
  <c r="CB411" i="1"/>
  <c r="BY411" i="1"/>
  <c r="BV411" i="1"/>
  <c r="CB409" i="1"/>
  <c r="BY409" i="1"/>
  <c r="BV409" i="1"/>
  <c r="CB408" i="1"/>
  <c r="BY408" i="1"/>
  <c r="BV408" i="1"/>
  <c r="CB405" i="1"/>
  <c r="BY405" i="1"/>
  <c r="BV405" i="1"/>
  <c r="CB403" i="1"/>
  <c r="BY403" i="1"/>
  <c r="BV403" i="1"/>
  <c r="CB401" i="1"/>
  <c r="BY401" i="1"/>
  <c r="BV401" i="1"/>
  <c r="CB400" i="1"/>
  <c r="BY400" i="1"/>
  <c r="BV400" i="1"/>
  <c r="CB397" i="1"/>
  <c r="BY397" i="1"/>
  <c r="BV397" i="1"/>
  <c r="CB396" i="1"/>
  <c r="BY396" i="1"/>
  <c r="BV396" i="1"/>
  <c r="CB394" i="1"/>
  <c r="BY394" i="1"/>
  <c r="BV394" i="1"/>
  <c r="CB392" i="1"/>
  <c r="BY392" i="1"/>
  <c r="BV392" i="1"/>
  <c r="CB390" i="1"/>
  <c r="BY390" i="1"/>
  <c r="BV390" i="1"/>
  <c r="CB389" i="1"/>
  <c r="BY389" i="1"/>
  <c r="BV389" i="1"/>
  <c r="CB382" i="1"/>
  <c r="BY382" i="1"/>
  <c r="BV382" i="1"/>
  <c r="CB381" i="1"/>
  <c r="BY381" i="1"/>
  <c r="BV381" i="1"/>
  <c r="CB380" i="1"/>
  <c r="BY380" i="1"/>
  <c r="BV380" i="1"/>
  <c r="CB379" i="1"/>
  <c r="BY379" i="1"/>
  <c r="BV379" i="1"/>
  <c r="CB377" i="1"/>
  <c r="BY377" i="1"/>
  <c r="BV377" i="1"/>
  <c r="CB376" i="1"/>
  <c r="BY376" i="1"/>
  <c r="BV376" i="1"/>
  <c r="CB374" i="1"/>
  <c r="BY374" i="1"/>
  <c r="BV374" i="1"/>
  <c r="CB373" i="1"/>
  <c r="BY373" i="1"/>
  <c r="BV373" i="1"/>
  <c r="CB372" i="1"/>
  <c r="BY372" i="1"/>
  <c r="BV372" i="1"/>
  <c r="CB371" i="1"/>
  <c r="BY371" i="1"/>
  <c r="BV371" i="1"/>
  <c r="CB370" i="1"/>
  <c r="BY370" i="1"/>
  <c r="BV370" i="1"/>
  <c r="CB368" i="1"/>
  <c r="BY368" i="1"/>
  <c r="BV368" i="1"/>
  <c r="CB366" i="1"/>
  <c r="BY366" i="1"/>
  <c r="BV366" i="1"/>
  <c r="CB365" i="1"/>
  <c r="BY365" i="1"/>
  <c r="BV365" i="1"/>
  <c r="CB364" i="1"/>
  <c r="BY364" i="1"/>
  <c r="BV364" i="1"/>
  <c r="CB363" i="1"/>
  <c r="BY363" i="1"/>
  <c r="BV363" i="1"/>
  <c r="CB362" i="1"/>
  <c r="BY362" i="1"/>
  <c r="BV362" i="1"/>
  <c r="CB361" i="1"/>
  <c r="BY361" i="1"/>
  <c r="BV361" i="1"/>
  <c r="CB358" i="1"/>
  <c r="BY358" i="1"/>
  <c r="BV358" i="1"/>
  <c r="CB357" i="1"/>
  <c r="BY357" i="1"/>
  <c r="BV357" i="1"/>
  <c r="CB356" i="1"/>
  <c r="BY356" i="1"/>
  <c r="BV356" i="1"/>
  <c r="CB355" i="1"/>
  <c r="BY355" i="1"/>
  <c r="BV355" i="1"/>
  <c r="CB354" i="1"/>
  <c r="BY354" i="1"/>
  <c r="BV354" i="1"/>
  <c r="CB353" i="1"/>
  <c r="BY353" i="1"/>
  <c r="BV353" i="1"/>
  <c r="CB352" i="1"/>
  <c r="BY352" i="1"/>
  <c r="BV352" i="1"/>
  <c r="CB351" i="1"/>
  <c r="BY351" i="1"/>
  <c r="BV351" i="1"/>
  <c r="CB350" i="1"/>
  <c r="BY350" i="1"/>
  <c r="BV350" i="1"/>
  <c r="CB349" i="1"/>
  <c r="BY349" i="1"/>
  <c r="BV349" i="1"/>
  <c r="CB347" i="1"/>
  <c r="BY347" i="1"/>
  <c r="BV347" i="1"/>
  <c r="CB346" i="1"/>
  <c r="BY346" i="1"/>
  <c r="BV346" i="1"/>
  <c r="CB345" i="1"/>
  <c r="BY345" i="1"/>
  <c r="BV345" i="1"/>
  <c r="CB344" i="1"/>
  <c r="BY344" i="1"/>
  <c r="BV344" i="1"/>
  <c r="CB343" i="1"/>
  <c r="BY343" i="1"/>
  <c r="BV343" i="1"/>
  <c r="CB342" i="1"/>
  <c r="BY342" i="1"/>
  <c r="BV342" i="1"/>
  <c r="CB341" i="1"/>
  <c r="BY341" i="1"/>
  <c r="BV341" i="1"/>
  <c r="CB340" i="1"/>
  <c r="BY340" i="1"/>
  <c r="BV340" i="1"/>
  <c r="CB339" i="1"/>
  <c r="BY339" i="1"/>
  <c r="BV339" i="1"/>
  <c r="CB338" i="1"/>
  <c r="BY338" i="1"/>
  <c r="BV338" i="1"/>
  <c r="CB337" i="1"/>
  <c r="BY337" i="1"/>
  <c r="BV337" i="1"/>
  <c r="CB336" i="1"/>
  <c r="BY336" i="1"/>
  <c r="BV336" i="1"/>
  <c r="CB335" i="1"/>
  <c r="BY335" i="1"/>
  <c r="BV335" i="1"/>
  <c r="CB334" i="1"/>
  <c r="BY334" i="1"/>
  <c r="BV334" i="1"/>
  <c r="CB333" i="1"/>
  <c r="BY333" i="1"/>
  <c r="BV333" i="1"/>
  <c r="CB332" i="1"/>
  <c r="BY332" i="1"/>
  <c r="BV332" i="1"/>
  <c r="CB331" i="1"/>
  <c r="BY331" i="1"/>
  <c r="BV331" i="1"/>
  <c r="CB330" i="1"/>
  <c r="BY330" i="1"/>
  <c r="BV330" i="1"/>
  <c r="CB329" i="1"/>
  <c r="BY329" i="1"/>
  <c r="BV329" i="1"/>
  <c r="CB328" i="1"/>
  <c r="BY328" i="1"/>
  <c r="BV328" i="1"/>
  <c r="CB327" i="1"/>
  <c r="BY327" i="1"/>
  <c r="BV327" i="1"/>
  <c r="CB326" i="1"/>
  <c r="BY326" i="1"/>
  <c r="BV326" i="1"/>
  <c r="CB325" i="1"/>
  <c r="BY325" i="1"/>
  <c r="BV325" i="1"/>
  <c r="CB324" i="1"/>
  <c r="BY324" i="1"/>
  <c r="BV324" i="1"/>
  <c r="CB323" i="1"/>
  <c r="BY323" i="1"/>
  <c r="BV323" i="1"/>
  <c r="CB322" i="1"/>
  <c r="BY322" i="1"/>
  <c r="BV322" i="1"/>
  <c r="CB321" i="1"/>
  <c r="BY321" i="1"/>
  <c r="BV321" i="1"/>
  <c r="CB320" i="1"/>
  <c r="BY320" i="1"/>
  <c r="BV320" i="1"/>
  <c r="CB319" i="1"/>
  <c r="BY319" i="1"/>
  <c r="BV319" i="1"/>
  <c r="CB318" i="1"/>
  <c r="BY318" i="1"/>
  <c r="BV318" i="1"/>
  <c r="CB317" i="1"/>
  <c r="BY317" i="1"/>
  <c r="BV317" i="1"/>
  <c r="CB316" i="1"/>
  <c r="BY316" i="1"/>
  <c r="BV316" i="1"/>
  <c r="CB315" i="1"/>
  <c r="BY315" i="1"/>
  <c r="BV315" i="1"/>
  <c r="CB314" i="1"/>
  <c r="BY314" i="1"/>
  <c r="BV314" i="1"/>
  <c r="CB313" i="1"/>
  <c r="BY313" i="1"/>
  <c r="BV313" i="1"/>
  <c r="CB311" i="1"/>
  <c r="BY311" i="1"/>
  <c r="BV311" i="1"/>
  <c r="CB310" i="1"/>
  <c r="BY310" i="1"/>
  <c r="BV310" i="1"/>
  <c r="CB309" i="1"/>
  <c r="BY309" i="1"/>
  <c r="BV309" i="1"/>
  <c r="CB306" i="1"/>
  <c r="BY306" i="1"/>
  <c r="BV306" i="1"/>
  <c r="CB305" i="1"/>
  <c r="BY305" i="1"/>
  <c r="BV305" i="1"/>
  <c r="CB303" i="1"/>
  <c r="BY303" i="1"/>
  <c r="BV303" i="1"/>
  <c r="CB302" i="1"/>
  <c r="BY302" i="1"/>
  <c r="BV302" i="1"/>
  <c r="CB301" i="1"/>
  <c r="BY301" i="1"/>
  <c r="BV301" i="1"/>
  <c r="CB300" i="1"/>
  <c r="BY300" i="1"/>
  <c r="BV300" i="1"/>
  <c r="CB299" i="1"/>
  <c r="BY299" i="1"/>
  <c r="BV299" i="1"/>
  <c r="CB297" i="1"/>
  <c r="BY297" i="1"/>
  <c r="BV297" i="1"/>
  <c r="CB296" i="1"/>
  <c r="BY296" i="1"/>
  <c r="BV296" i="1"/>
  <c r="CB295" i="1"/>
  <c r="BY295" i="1"/>
  <c r="BV295" i="1"/>
  <c r="CB294" i="1"/>
  <c r="BY294" i="1"/>
  <c r="BV294" i="1"/>
  <c r="CB293" i="1"/>
  <c r="BY293" i="1"/>
  <c r="BV293" i="1"/>
  <c r="CB292" i="1"/>
  <c r="BY292" i="1"/>
  <c r="BV292" i="1"/>
  <c r="CB291" i="1"/>
  <c r="BY291" i="1"/>
  <c r="BV291" i="1"/>
  <c r="CB290" i="1"/>
  <c r="BY290" i="1"/>
  <c r="BV290" i="1"/>
  <c r="CB289" i="1"/>
  <c r="BY289" i="1"/>
  <c r="BV289" i="1"/>
  <c r="CB288" i="1"/>
  <c r="BY288" i="1"/>
  <c r="BV288" i="1"/>
  <c r="CB287" i="1"/>
  <c r="BY287" i="1"/>
  <c r="BV287" i="1"/>
  <c r="CB286" i="1"/>
  <c r="BY286" i="1"/>
  <c r="BV286" i="1"/>
  <c r="CB285" i="1"/>
  <c r="BY285" i="1"/>
  <c r="BV285" i="1"/>
  <c r="CB282" i="1"/>
  <c r="BY282" i="1"/>
  <c r="BV282" i="1"/>
  <c r="CB281" i="1"/>
  <c r="BY281" i="1"/>
  <c r="BV281" i="1"/>
  <c r="CB280" i="1"/>
  <c r="BY280" i="1"/>
  <c r="BV280" i="1"/>
  <c r="CB279" i="1"/>
  <c r="BY279" i="1"/>
  <c r="BV279" i="1"/>
  <c r="CB278" i="1"/>
  <c r="BY278" i="1"/>
  <c r="BV278" i="1"/>
  <c r="CB277" i="1"/>
  <c r="BY277" i="1"/>
  <c r="BV277" i="1"/>
  <c r="CB276" i="1"/>
  <c r="BY276" i="1"/>
  <c r="BV276" i="1"/>
  <c r="CB275" i="1"/>
  <c r="BY275" i="1"/>
  <c r="BV275" i="1"/>
  <c r="CB274" i="1"/>
  <c r="BY274" i="1"/>
  <c r="BV274" i="1"/>
  <c r="CB273" i="1"/>
  <c r="BY273" i="1"/>
  <c r="BV273" i="1"/>
  <c r="CB272" i="1"/>
  <c r="BY272" i="1"/>
  <c r="BV272" i="1"/>
  <c r="CB271" i="1"/>
  <c r="BY271" i="1"/>
  <c r="BV271" i="1"/>
  <c r="CB270" i="1"/>
  <c r="BY270" i="1"/>
  <c r="BV270" i="1"/>
  <c r="CB269" i="1"/>
  <c r="BY269" i="1"/>
  <c r="BV269" i="1"/>
  <c r="CB267" i="1"/>
  <c r="BY267" i="1"/>
  <c r="BV267" i="1"/>
  <c r="CB266" i="1"/>
  <c r="BY266" i="1"/>
  <c r="BV266" i="1"/>
  <c r="CB265" i="1"/>
  <c r="BY265" i="1"/>
  <c r="BV265" i="1"/>
  <c r="CB264" i="1"/>
  <c r="BY264" i="1"/>
  <c r="BV264" i="1"/>
  <c r="CB263" i="1"/>
  <c r="BY263" i="1"/>
  <c r="BV263" i="1"/>
  <c r="CB262" i="1"/>
  <c r="BY262" i="1"/>
  <c r="BV262" i="1"/>
  <c r="CB261" i="1"/>
  <c r="BY261" i="1"/>
  <c r="BV261" i="1"/>
  <c r="CB260" i="1"/>
  <c r="BY260" i="1"/>
  <c r="BV260" i="1"/>
  <c r="CB259" i="1"/>
  <c r="BY259" i="1"/>
  <c r="BV259" i="1"/>
  <c r="CB258" i="1"/>
  <c r="BY258" i="1"/>
  <c r="BV258" i="1"/>
  <c r="CB257" i="1"/>
  <c r="BY257" i="1"/>
  <c r="BV257" i="1"/>
  <c r="CB256" i="1"/>
  <c r="BY256" i="1"/>
  <c r="BV256" i="1"/>
  <c r="CB255" i="1"/>
  <c r="BY255" i="1"/>
  <c r="BV255" i="1"/>
  <c r="CB254" i="1"/>
  <c r="BY254" i="1"/>
  <c r="BV254" i="1"/>
  <c r="CB253" i="1"/>
  <c r="BY253" i="1"/>
  <c r="BV253" i="1"/>
  <c r="CB252" i="1"/>
  <c r="BY252" i="1"/>
  <c r="BV252" i="1"/>
  <c r="CB250" i="1"/>
  <c r="BY250" i="1"/>
  <c r="BV250" i="1"/>
  <c r="CB249" i="1"/>
  <c r="BY249" i="1"/>
  <c r="BV249" i="1"/>
  <c r="CB248" i="1"/>
  <c r="BY248" i="1"/>
  <c r="BV248" i="1"/>
  <c r="CB247" i="1"/>
  <c r="BY247" i="1"/>
  <c r="BV247" i="1"/>
  <c r="CB246" i="1"/>
  <c r="BY246" i="1"/>
  <c r="BV246" i="1"/>
  <c r="CB245" i="1"/>
  <c r="BY245" i="1"/>
  <c r="BV245" i="1"/>
  <c r="CB244" i="1"/>
  <c r="BY244" i="1"/>
  <c r="BV244" i="1"/>
  <c r="CB243" i="1"/>
  <c r="BY243" i="1"/>
  <c r="BV243" i="1"/>
  <c r="CB242" i="1"/>
  <c r="BY242" i="1"/>
  <c r="BV242" i="1"/>
  <c r="CB241" i="1"/>
  <c r="BY241" i="1"/>
  <c r="BV241" i="1"/>
  <c r="CB240" i="1"/>
  <c r="BY240" i="1"/>
  <c r="BV240" i="1"/>
  <c r="CB239" i="1"/>
  <c r="BY239" i="1"/>
  <c r="BV239" i="1"/>
  <c r="CB238" i="1"/>
  <c r="BY238" i="1"/>
  <c r="BV238" i="1"/>
  <c r="CB237" i="1"/>
  <c r="BY237" i="1"/>
  <c r="BV237" i="1"/>
  <c r="CB236" i="1"/>
  <c r="BY236" i="1"/>
  <c r="BV236" i="1"/>
  <c r="CB235" i="1"/>
  <c r="BY235" i="1"/>
  <c r="BV235" i="1"/>
  <c r="CB234" i="1"/>
  <c r="BY234" i="1"/>
  <c r="BV234" i="1"/>
  <c r="CB233" i="1"/>
  <c r="BY233" i="1"/>
  <c r="BV233" i="1"/>
  <c r="CB232" i="1"/>
  <c r="BY232" i="1"/>
  <c r="BV232" i="1"/>
  <c r="CB231" i="1"/>
  <c r="BY231" i="1"/>
  <c r="BV231" i="1"/>
  <c r="CB230" i="1"/>
  <c r="BY230" i="1"/>
  <c r="BV230" i="1"/>
  <c r="CB229" i="1"/>
  <c r="BY229" i="1"/>
  <c r="BV229" i="1"/>
  <c r="CB228" i="1"/>
  <c r="BY228" i="1"/>
  <c r="BV228" i="1"/>
  <c r="CB226" i="1"/>
  <c r="BY226" i="1"/>
  <c r="BV226" i="1"/>
  <c r="CB225" i="1"/>
  <c r="BY225" i="1"/>
  <c r="BV225" i="1"/>
  <c r="CB223" i="1"/>
  <c r="BY223" i="1"/>
  <c r="BV223" i="1"/>
  <c r="CB222" i="1"/>
  <c r="BY222" i="1"/>
  <c r="BV222" i="1"/>
  <c r="CB221" i="1"/>
  <c r="BY221" i="1"/>
  <c r="BV221" i="1"/>
  <c r="CB220" i="1"/>
  <c r="BY220" i="1"/>
  <c r="BV220" i="1"/>
  <c r="CB219" i="1"/>
  <c r="BY219" i="1"/>
  <c r="BV219" i="1"/>
  <c r="CB218" i="1"/>
  <c r="BY218" i="1"/>
  <c r="BV218" i="1"/>
  <c r="CB215" i="1"/>
  <c r="BY215" i="1"/>
  <c r="BV215" i="1"/>
  <c r="CB214" i="1"/>
  <c r="BY214" i="1"/>
  <c r="BV214" i="1"/>
  <c r="CB213" i="1"/>
  <c r="BY213" i="1"/>
  <c r="BV213" i="1"/>
  <c r="CB209" i="1"/>
  <c r="BY209" i="1"/>
  <c r="BV209" i="1"/>
  <c r="CB208" i="1"/>
  <c r="BY208" i="1"/>
  <c r="BV208" i="1"/>
  <c r="CB207" i="1"/>
  <c r="BY207" i="1"/>
  <c r="BV207" i="1"/>
  <c r="CB206" i="1"/>
  <c r="BY206" i="1"/>
  <c r="BV206" i="1"/>
  <c r="CB204" i="1"/>
  <c r="BY204" i="1"/>
  <c r="BV204" i="1"/>
  <c r="CB203" i="1"/>
  <c r="BY203" i="1"/>
  <c r="BV203" i="1"/>
  <c r="CB202" i="1"/>
  <c r="BY202" i="1"/>
  <c r="BV202" i="1"/>
  <c r="CB201" i="1"/>
  <c r="BY201" i="1"/>
  <c r="BV201" i="1"/>
  <c r="CB200" i="1"/>
  <c r="BY200" i="1"/>
  <c r="BV200" i="1"/>
  <c r="CB199" i="1"/>
  <c r="BY199" i="1"/>
  <c r="BV199" i="1"/>
  <c r="CB198" i="1"/>
  <c r="BY198" i="1"/>
  <c r="BV198" i="1"/>
  <c r="CB197" i="1"/>
  <c r="BY197" i="1"/>
  <c r="BV197" i="1"/>
  <c r="CB196" i="1"/>
  <c r="BY196" i="1"/>
  <c r="BV196" i="1"/>
  <c r="CB195" i="1"/>
  <c r="BY195" i="1"/>
  <c r="BV195" i="1"/>
  <c r="CB194" i="1"/>
  <c r="BY194" i="1"/>
  <c r="BV194" i="1"/>
  <c r="CB193" i="1"/>
  <c r="BY193" i="1"/>
  <c r="BV193" i="1"/>
  <c r="CB192" i="1"/>
  <c r="BY192" i="1"/>
  <c r="BV192" i="1"/>
  <c r="CB191" i="1"/>
  <c r="BY191" i="1"/>
  <c r="BV191" i="1"/>
  <c r="CB190" i="1"/>
  <c r="BY190" i="1"/>
  <c r="BV190" i="1"/>
  <c r="CB189" i="1"/>
  <c r="BY189" i="1"/>
  <c r="BV189" i="1"/>
  <c r="CB188" i="1"/>
  <c r="BY188" i="1"/>
  <c r="BV188" i="1"/>
  <c r="CB187" i="1"/>
  <c r="BY187" i="1"/>
  <c r="BV187" i="1"/>
  <c r="CB186" i="1"/>
  <c r="BY186" i="1"/>
  <c r="BV186" i="1"/>
  <c r="CB185" i="1"/>
  <c r="BY185" i="1"/>
  <c r="BV185" i="1"/>
  <c r="CB184" i="1"/>
  <c r="BY184" i="1"/>
  <c r="BV184" i="1"/>
  <c r="CB183" i="1"/>
  <c r="BY183" i="1"/>
  <c r="BV183" i="1"/>
  <c r="CB181" i="1"/>
  <c r="BY181" i="1"/>
  <c r="BV181" i="1"/>
  <c r="CB178" i="1"/>
  <c r="BY178" i="1"/>
  <c r="BV178" i="1"/>
  <c r="CB176" i="1"/>
  <c r="BY176" i="1"/>
  <c r="BV176" i="1"/>
  <c r="CB174" i="1"/>
  <c r="BY174" i="1"/>
  <c r="BV174" i="1"/>
  <c r="CB173" i="1"/>
  <c r="BY173" i="1"/>
  <c r="BV173" i="1"/>
  <c r="CB171" i="1"/>
  <c r="BY171" i="1"/>
  <c r="BV171" i="1"/>
  <c r="CB170" i="1"/>
  <c r="BY170" i="1"/>
  <c r="BV170" i="1"/>
  <c r="CB169" i="1"/>
  <c r="BY169" i="1"/>
  <c r="BV169" i="1"/>
  <c r="CB166" i="1"/>
  <c r="BY166" i="1"/>
  <c r="BV166" i="1"/>
  <c r="CB165" i="1"/>
  <c r="BY165" i="1"/>
  <c r="BV165" i="1"/>
  <c r="CB163" i="1"/>
  <c r="BY163" i="1"/>
  <c r="BV163" i="1"/>
  <c r="CB162" i="1"/>
  <c r="BY162" i="1"/>
  <c r="BV162" i="1"/>
  <c r="CB158" i="1"/>
  <c r="BY158" i="1"/>
  <c r="BV158" i="1"/>
  <c r="CB157" i="1"/>
  <c r="BY157" i="1"/>
  <c r="BV157" i="1"/>
  <c r="CB156" i="1"/>
  <c r="BY156" i="1"/>
  <c r="BV156" i="1"/>
  <c r="CB155" i="1"/>
  <c r="BY155" i="1"/>
  <c r="BV155" i="1"/>
  <c r="CB154" i="1"/>
  <c r="BY154" i="1"/>
  <c r="BV154" i="1"/>
  <c r="CB153" i="1"/>
  <c r="BY153" i="1"/>
  <c r="BV153" i="1"/>
  <c r="CB152" i="1"/>
  <c r="BY152" i="1"/>
  <c r="BV152" i="1"/>
  <c r="CB151" i="1"/>
  <c r="BY151" i="1"/>
  <c r="BV151" i="1"/>
  <c r="CB150" i="1"/>
  <c r="BY150" i="1"/>
  <c r="BV150" i="1"/>
  <c r="CB149" i="1"/>
  <c r="BY149" i="1"/>
  <c r="BV149" i="1"/>
  <c r="CB148" i="1"/>
  <c r="BY148" i="1"/>
  <c r="BV148" i="1"/>
  <c r="CB147" i="1"/>
  <c r="BY147" i="1"/>
  <c r="BV147" i="1"/>
  <c r="CB146" i="1"/>
  <c r="BY146" i="1"/>
  <c r="BV146" i="1"/>
  <c r="CB144" i="1"/>
  <c r="BY144" i="1"/>
  <c r="BV144" i="1"/>
  <c r="CB142" i="1"/>
  <c r="BY142" i="1"/>
  <c r="BV142" i="1"/>
  <c r="CB141" i="1"/>
  <c r="BY141" i="1"/>
  <c r="BV141" i="1"/>
  <c r="CB140" i="1"/>
  <c r="BY140" i="1"/>
  <c r="BV140" i="1"/>
  <c r="CB139" i="1"/>
  <c r="BY139" i="1"/>
  <c r="BV139" i="1"/>
  <c r="CB137" i="1"/>
  <c r="BY137" i="1"/>
  <c r="BV137" i="1"/>
  <c r="CB136" i="1"/>
  <c r="BY136" i="1"/>
  <c r="BV136" i="1"/>
  <c r="CB134" i="1"/>
  <c r="BY134" i="1"/>
  <c r="BV134" i="1"/>
  <c r="CB131" i="1"/>
  <c r="BY131" i="1"/>
  <c r="BV131" i="1"/>
  <c r="CB129" i="1"/>
  <c r="BY129" i="1"/>
  <c r="BV129" i="1"/>
  <c r="CB128" i="1"/>
  <c r="BY128" i="1"/>
  <c r="BV128" i="1"/>
  <c r="CB126" i="1"/>
  <c r="BY126" i="1"/>
  <c r="BV126" i="1"/>
  <c r="CB125" i="1"/>
  <c r="BY125" i="1"/>
  <c r="BV125" i="1"/>
  <c r="CB124" i="1"/>
  <c r="BY124" i="1"/>
  <c r="BV124" i="1"/>
  <c r="CB123" i="1"/>
  <c r="BY123" i="1"/>
  <c r="BV123" i="1"/>
  <c r="CB122" i="1"/>
  <c r="BY122" i="1"/>
  <c r="BV122" i="1"/>
  <c r="CB121" i="1"/>
  <c r="BY121" i="1"/>
  <c r="BV121" i="1"/>
  <c r="CB119" i="1"/>
  <c r="BY119" i="1"/>
  <c r="BV119" i="1"/>
  <c r="CB117" i="1"/>
  <c r="BY117" i="1"/>
  <c r="BV117" i="1"/>
  <c r="CB116" i="1"/>
  <c r="BY116" i="1"/>
  <c r="BV116" i="1"/>
  <c r="CB115" i="1"/>
  <c r="BY115" i="1"/>
  <c r="BV115" i="1"/>
  <c r="CB114" i="1"/>
  <c r="BY114" i="1"/>
  <c r="BV114" i="1"/>
  <c r="CB113" i="1"/>
  <c r="BY113" i="1"/>
  <c r="BV113" i="1"/>
  <c r="CB112" i="1"/>
  <c r="BY112" i="1"/>
  <c r="BV112" i="1"/>
  <c r="CB111" i="1"/>
  <c r="BY111" i="1"/>
  <c r="BV111" i="1"/>
  <c r="CB110" i="1"/>
  <c r="BY110" i="1"/>
  <c r="BV110" i="1"/>
  <c r="CB109" i="1"/>
  <c r="BY109" i="1"/>
  <c r="BV109" i="1"/>
  <c r="CB108" i="1"/>
  <c r="BY108" i="1"/>
  <c r="BV108" i="1"/>
  <c r="CB107" i="1"/>
  <c r="BY107" i="1"/>
  <c r="BV107" i="1"/>
  <c r="CB105" i="1"/>
  <c r="BY105" i="1"/>
  <c r="BV105" i="1"/>
  <c r="CB104" i="1"/>
  <c r="BY104" i="1"/>
  <c r="BV104" i="1"/>
  <c r="CB103" i="1"/>
  <c r="BY103" i="1"/>
  <c r="BV103" i="1"/>
  <c r="CB102" i="1"/>
  <c r="BY102" i="1"/>
  <c r="BV102" i="1"/>
  <c r="CB101" i="1"/>
  <c r="BY101" i="1"/>
  <c r="BV101" i="1"/>
  <c r="CB100" i="1"/>
  <c r="CC100" i="1" s="1"/>
  <c r="BY100" i="1"/>
  <c r="BZ100" i="1" s="1"/>
  <c r="BV100" i="1"/>
  <c r="CB98" i="1"/>
  <c r="BY98" i="1"/>
  <c r="BV98" i="1"/>
  <c r="CB97" i="1"/>
  <c r="BY97" i="1"/>
  <c r="BV97" i="1"/>
  <c r="CB96" i="1"/>
  <c r="BY96" i="1"/>
  <c r="BV96" i="1"/>
  <c r="CB95" i="1"/>
  <c r="BY95" i="1"/>
  <c r="BV95" i="1"/>
  <c r="CB94" i="1"/>
  <c r="BY94" i="1"/>
  <c r="BV94" i="1"/>
  <c r="CB93" i="1"/>
  <c r="BY93" i="1"/>
  <c r="BV93" i="1"/>
  <c r="CB92" i="1"/>
  <c r="BY92" i="1"/>
  <c r="BV92" i="1"/>
  <c r="CB91" i="1"/>
  <c r="BY91" i="1"/>
  <c r="BV91" i="1"/>
  <c r="CB88" i="1"/>
  <c r="CC88" i="1" s="1"/>
  <c r="BY88" i="1"/>
  <c r="BZ88" i="1" s="1"/>
  <c r="CB86" i="1"/>
  <c r="BY86" i="1"/>
  <c r="BV86" i="1"/>
  <c r="CB85" i="1"/>
  <c r="BY85" i="1"/>
  <c r="BV85" i="1"/>
  <c r="CB84" i="1"/>
  <c r="BY84" i="1"/>
  <c r="BV84" i="1"/>
  <c r="CB83" i="1"/>
  <c r="BY83" i="1"/>
  <c r="BV83" i="1"/>
  <c r="CB82" i="1"/>
  <c r="BY82" i="1"/>
  <c r="BV82" i="1"/>
  <c r="CB79" i="1"/>
  <c r="BY79" i="1"/>
  <c r="BV79" i="1"/>
  <c r="CB78" i="1"/>
  <c r="BY78" i="1"/>
  <c r="BV78" i="1"/>
  <c r="CB77" i="1"/>
  <c r="BY77" i="1"/>
  <c r="BV77" i="1"/>
  <c r="CB75" i="1"/>
  <c r="BY75" i="1"/>
  <c r="BV75" i="1"/>
  <c r="CB74" i="1"/>
  <c r="BY74" i="1"/>
  <c r="BV74" i="1"/>
  <c r="CB73" i="1"/>
  <c r="BY73" i="1"/>
  <c r="BV73" i="1"/>
  <c r="CB72" i="1"/>
  <c r="BY72" i="1"/>
  <c r="BV72" i="1"/>
  <c r="CB71" i="1"/>
  <c r="BY71" i="1"/>
  <c r="BV71" i="1"/>
  <c r="CB70" i="1"/>
  <c r="BY70" i="1"/>
  <c r="BV70" i="1"/>
  <c r="CB69" i="1"/>
  <c r="BY69" i="1"/>
  <c r="BV69" i="1"/>
  <c r="CB67" i="1"/>
  <c r="BY67" i="1"/>
  <c r="BV67" i="1"/>
  <c r="CB66" i="1"/>
  <c r="BY66" i="1"/>
  <c r="BV66" i="1"/>
  <c r="CB65" i="1"/>
  <c r="BY65" i="1"/>
  <c r="BV65" i="1"/>
  <c r="CB64" i="1"/>
  <c r="BY64" i="1"/>
  <c r="BV64" i="1"/>
  <c r="CB63" i="1"/>
  <c r="BY63" i="1"/>
  <c r="BV63" i="1"/>
  <c r="CB62" i="1"/>
  <c r="BY62" i="1"/>
  <c r="BV62" i="1"/>
  <c r="CB61" i="1"/>
  <c r="BY61" i="1"/>
  <c r="BV61" i="1"/>
  <c r="CB60" i="1"/>
  <c r="BY60" i="1"/>
  <c r="BV60" i="1"/>
  <c r="CB59" i="1"/>
  <c r="BY59" i="1"/>
  <c r="BV59" i="1"/>
  <c r="CB58" i="1"/>
  <c r="BY58" i="1"/>
  <c r="BV58" i="1"/>
  <c r="CB57" i="1"/>
  <c r="BY57" i="1"/>
  <c r="BV57" i="1"/>
  <c r="CB56" i="1"/>
  <c r="BY56" i="1"/>
  <c r="BV56" i="1"/>
  <c r="CB55" i="1"/>
  <c r="BY55" i="1"/>
  <c r="BV55" i="1"/>
  <c r="CB54" i="1"/>
  <c r="BY54" i="1"/>
  <c r="BV54" i="1"/>
  <c r="CB52" i="1"/>
  <c r="BY52" i="1"/>
  <c r="BV52" i="1"/>
  <c r="CB51" i="1"/>
  <c r="BY51" i="1"/>
  <c r="BV51" i="1"/>
  <c r="CB50" i="1"/>
  <c r="BY50" i="1"/>
  <c r="BV50" i="1"/>
  <c r="CB48" i="1"/>
  <c r="BY48" i="1"/>
  <c r="BV48" i="1"/>
  <c r="CB46" i="1"/>
  <c r="BY46" i="1"/>
  <c r="BV46" i="1"/>
  <c r="CB45" i="1"/>
  <c r="BY45" i="1"/>
  <c r="BV45" i="1"/>
  <c r="CB44" i="1"/>
  <c r="BY44" i="1"/>
  <c r="BV44" i="1"/>
  <c r="CB43" i="1"/>
  <c r="BY43" i="1"/>
  <c r="BV43" i="1"/>
  <c r="CB42" i="1"/>
  <c r="BY42" i="1"/>
  <c r="BV42" i="1"/>
  <c r="CB41" i="1"/>
  <c r="BY41" i="1"/>
  <c r="BV41" i="1"/>
  <c r="CB40" i="1"/>
  <c r="BY40" i="1"/>
  <c r="BV40" i="1"/>
  <c r="CB39" i="1"/>
  <c r="BY39" i="1"/>
  <c r="BV39" i="1"/>
  <c r="CB38" i="1"/>
  <c r="BY38" i="1"/>
  <c r="BV38" i="1"/>
  <c r="CB36" i="1"/>
  <c r="BY36" i="1"/>
  <c r="BV36" i="1"/>
  <c r="CB35" i="1"/>
  <c r="BY35" i="1"/>
  <c r="BV35" i="1"/>
  <c r="CB34" i="1"/>
  <c r="BY34" i="1"/>
  <c r="BV34" i="1"/>
  <c r="CB33" i="1"/>
  <c r="BY33" i="1"/>
  <c r="BV33" i="1"/>
  <c r="CB32" i="1"/>
  <c r="BY32" i="1"/>
  <c r="BV32" i="1"/>
  <c r="CB31" i="1"/>
  <c r="BY31" i="1"/>
  <c r="BV31" i="1"/>
  <c r="CB30" i="1"/>
  <c r="BY30" i="1"/>
  <c r="BV30" i="1"/>
  <c r="CB29" i="1"/>
  <c r="BY29" i="1"/>
  <c r="BV29" i="1"/>
  <c r="CB28" i="1"/>
  <c r="BY28" i="1"/>
  <c r="BV28" i="1"/>
  <c r="CB26" i="1"/>
  <c r="BY26" i="1"/>
  <c r="BV26" i="1"/>
  <c r="CB25" i="1"/>
  <c r="BY25" i="1"/>
  <c r="BV25" i="1"/>
  <c r="CB24" i="1"/>
  <c r="BY24" i="1"/>
  <c r="BV24" i="1"/>
  <c r="CB23" i="1"/>
  <c r="BY23" i="1"/>
  <c r="BV23" i="1"/>
  <c r="CB22" i="1"/>
  <c r="BY22" i="1"/>
  <c r="BV22" i="1"/>
  <c r="CB21" i="1"/>
  <c r="BY21" i="1"/>
  <c r="BV21" i="1"/>
  <c r="CB20" i="1"/>
  <c r="BY20" i="1"/>
  <c r="BV20" i="1"/>
  <c r="CB19" i="1"/>
  <c r="BY19" i="1"/>
  <c r="BV19" i="1"/>
  <c r="CB17" i="1"/>
  <c r="BY17" i="1"/>
  <c r="BV17" i="1"/>
  <c r="CB16" i="1"/>
  <c r="BY16" i="1"/>
  <c r="BV16" i="1"/>
  <c r="CB15" i="1"/>
  <c r="BY15" i="1"/>
  <c r="BV15" i="1"/>
  <c r="CB14" i="1"/>
  <c r="BY14" i="1"/>
  <c r="BV14" i="1"/>
  <c r="AH441" i="1"/>
  <c r="BD441" i="1" s="1" a="1"/>
  <c r="BD441" i="1" s="1"/>
  <c r="BM441" i="1" s="1" a="1"/>
  <c r="BM441" i="1" s="1"/>
  <c r="CE441" i="1"/>
  <c r="CE440" i="1"/>
  <c r="CE439" i="1"/>
  <c r="CE438" i="1"/>
  <c r="CE437" i="1"/>
  <c r="CE436" i="1"/>
  <c r="CE434" i="1"/>
  <c r="CE433" i="1"/>
  <c r="CE114" i="1"/>
  <c r="CE101" i="1"/>
  <c r="CE97" i="1"/>
  <c r="CE86" i="1"/>
  <c r="CE83" i="1"/>
  <c r="CE61" i="1"/>
  <c r="S57" i="1"/>
  <c r="CE326" i="1"/>
  <c r="CE233" i="1"/>
  <c r="CE232" i="1"/>
  <c r="CE197" i="1"/>
  <c r="CE196" i="1"/>
  <c r="CE187" i="1"/>
  <c r="BI437" i="1"/>
  <c r="BI326" i="1"/>
  <c r="BI233" i="1"/>
  <c r="BI232" i="1"/>
  <c r="BI197" i="1"/>
  <c r="BI196" i="1"/>
  <c r="BI187" i="1"/>
  <c r="BP437" i="1" a="1"/>
  <c r="BP437" i="1" s="1"/>
  <c r="CF437" i="1" s="1"/>
  <c r="BO437" i="1" a="1"/>
  <c r="BO437" i="1" s="1"/>
  <c r="BN437" i="1" a="1"/>
  <c r="BN437" i="1" s="1"/>
  <c r="AK437" i="1"/>
  <c r="AK326" i="1"/>
  <c r="AK233" i="1"/>
  <c r="AK232" i="1"/>
  <c r="AK197" i="1"/>
  <c r="AK196" i="1"/>
  <c r="AK187" i="1"/>
  <c r="AJ437" i="1"/>
  <c r="AJ326" i="1"/>
  <c r="AJ233" i="1"/>
  <c r="AJ232" i="1"/>
  <c r="AJ197" i="1"/>
  <c r="AJ196" i="1"/>
  <c r="AJ187" i="1"/>
  <c r="AI437" i="1"/>
  <c r="AI326" i="1"/>
  <c r="AI233" i="1"/>
  <c r="AI232" i="1"/>
  <c r="AI197" i="1"/>
  <c r="AI196" i="1"/>
  <c r="AI187" i="1"/>
  <c r="AG437" i="1"/>
  <c r="AG326" i="1"/>
  <c r="AG233" i="1"/>
  <c r="AG232" i="1"/>
  <c r="AG197" i="1"/>
  <c r="AG196" i="1"/>
  <c r="AG187" i="1"/>
  <c r="AF437" i="1"/>
  <c r="AH437" i="1" s="1"/>
  <c r="BD437" i="1" s="1" a="1"/>
  <c r="BD437" i="1" s="1"/>
  <c r="BM437" i="1" s="1" a="1"/>
  <c r="BM437" i="1" s="1"/>
  <c r="AF326" i="1"/>
  <c r="AH326" i="1" s="1"/>
  <c r="BD326" i="1" s="1" a="1"/>
  <c r="BD326" i="1" s="1"/>
  <c r="BM326" i="1" s="1" a="1"/>
  <c r="BM326" i="1" s="1"/>
  <c r="AF233" i="1"/>
  <c r="AH233" i="1" s="1"/>
  <c r="BD233" i="1" s="1" a="1"/>
  <c r="BD233" i="1" s="1"/>
  <c r="BM233" i="1" s="1" a="1"/>
  <c r="BM233" i="1" s="1"/>
  <c r="AF232" i="1"/>
  <c r="AH232" i="1" s="1"/>
  <c r="BD232" i="1" s="1" a="1"/>
  <c r="BD232" i="1" s="1"/>
  <c r="BM232" i="1" s="1" a="1"/>
  <c r="BM232" i="1" s="1"/>
  <c r="AF197" i="1"/>
  <c r="AH197" i="1" s="1"/>
  <c r="AF196" i="1"/>
  <c r="AH196" i="1" s="1"/>
  <c r="AF187" i="1"/>
  <c r="AH187" i="1" s="1"/>
  <c r="S437" i="1"/>
  <c r="S326" i="1"/>
  <c r="S233" i="1"/>
  <c r="S232" i="1"/>
  <c r="S197" i="1"/>
  <c r="S196" i="1"/>
  <c r="S187" i="1"/>
  <c r="S440" i="1"/>
  <c r="S439" i="1"/>
  <c r="AK440" i="1"/>
  <c r="AK439" i="1"/>
  <c r="AJ440" i="1"/>
  <c r="AJ439" i="1"/>
  <c r="AI440" i="1"/>
  <c r="AI439" i="1"/>
  <c r="AG439" i="1"/>
  <c r="AG440" i="1"/>
  <c r="BP440" i="1" a="1"/>
  <c r="BP440" i="1" s="1"/>
  <c r="CF440" i="1" s="1"/>
  <c r="BO440" i="1" a="1"/>
  <c r="BO440" i="1" s="1"/>
  <c r="BN440" i="1" a="1"/>
  <c r="BN440" i="1" s="1"/>
  <c r="BP439" i="1" a="1"/>
  <c r="BP439" i="1" s="1"/>
  <c r="CF439" i="1" s="1"/>
  <c r="BO439" i="1" a="1"/>
  <c r="BO439" i="1" s="1"/>
  <c r="BN439" i="1" a="1"/>
  <c r="BN439" i="1" s="1"/>
  <c r="BI440" i="1"/>
  <c r="BI439" i="1"/>
  <c r="AK438" i="1"/>
  <c r="AJ438" i="1"/>
  <c r="AI438" i="1"/>
  <c r="AG438" i="1"/>
  <c r="AF438" i="1"/>
  <c r="AH438" i="1" s="1"/>
  <c r="BM438" i="1" s="1" a="1"/>
  <c r="BM438" i="1" s="1"/>
  <c r="S438" i="1"/>
  <c r="BP438" i="1" a="1"/>
  <c r="BP438" i="1" s="1"/>
  <c r="CF438" i="1" s="1"/>
  <c r="BO438" i="1" a="1"/>
  <c r="BO438" i="1" s="1"/>
  <c r="BN438" i="1" a="1"/>
  <c r="BN438" i="1" s="1"/>
  <c r="BI438" i="1"/>
  <c r="BP436" i="1" a="1"/>
  <c r="BP436" i="1" s="1"/>
  <c r="CF436" i="1" s="1"/>
  <c r="BO436" i="1" a="1"/>
  <c r="BO436" i="1" s="1"/>
  <c r="BN436" i="1" a="1"/>
  <c r="BN436" i="1" s="1"/>
  <c r="BI436" i="1"/>
  <c r="AK436" i="1"/>
  <c r="AJ436" i="1"/>
  <c r="AI436" i="1"/>
  <c r="AG436" i="1"/>
  <c r="AF436" i="1"/>
  <c r="AH436" i="1" s="1"/>
  <c r="BD436" i="1" s="1" a="1"/>
  <c r="BD436" i="1" s="1"/>
  <c r="BM436" i="1" s="1" a="1"/>
  <c r="BM436" i="1" s="1"/>
  <c r="BN433" i="1" a="1"/>
  <c r="BN433" i="1" s="1"/>
  <c r="BP433" i="1" a="1"/>
  <c r="BP433" i="1" s="1"/>
  <c r="CF433" i="1" s="1"/>
  <c r="BO433" i="1" a="1"/>
  <c r="BO433" i="1" s="1"/>
  <c r="BI433" i="1"/>
  <c r="AK433" i="1"/>
  <c r="AK405" i="1"/>
  <c r="AJ433" i="1"/>
  <c r="AI433" i="1"/>
  <c r="AG433" i="1"/>
  <c r="AG405" i="1"/>
  <c r="AF433" i="1"/>
  <c r="AH433" i="1" s="1"/>
  <c r="BD433" i="1" s="1" a="1"/>
  <c r="BD433" i="1" s="1"/>
  <c r="BM433" i="1" s="1" a="1"/>
  <c r="BM433" i="1" s="1"/>
  <c r="AF405" i="1"/>
  <c r="AH405" i="1" s="1"/>
  <c r="AG23" i="12"/>
  <c r="AM36" i="12"/>
  <c r="AM32" i="12"/>
  <c r="S352" i="1"/>
  <c r="BT435" i="1"/>
  <c r="BI441" i="1"/>
  <c r="BP441" i="1" a="1"/>
  <c r="BP441" i="1" s="1"/>
  <c r="CF441" i="1" s="1"/>
  <c r="BO441" i="1" a="1"/>
  <c r="BO441" i="1" s="1"/>
  <c r="BO392" i="1" a="1"/>
  <c r="BO392" i="1" s="1"/>
  <c r="BN441" i="1" a="1"/>
  <c r="BN441" i="1" s="1"/>
  <c r="BI435" i="1"/>
  <c r="CE435" i="1"/>
  <c r="BI434" i="1"/>
  <c r="AJ435" i="1"/>
  <c r="AJ434" i="1"/>
  <c r="AI435" i="1"/>
  <c r="AI434" i="1"/>
  <c r="S441" i="1"/>
  <c r="S393" i="1"/>
  <c r="S389" i="1"/>
  <c r="S390" i="1"/>
  <c r="S391" i="1"/>
  <c r="S392" i="1"/>
  <c r="S378" i="1"/>
  <c r="S379" i="1"/>
  <c r="S380" i="1"/>
  <c r="S377" i="1"/>
  <c r="AJ25" i="17"/>
  <c r="AJ24" i="17"/>
  <c r="AM14" i="21"/>
  <c r="AH19" i="40"/>
  <c r="R19" i="40"/>
  <c r="AH17" i="40"/>
  <c r="R17" i="40"/>
  <c r="AH18" i="40"/>
  <c r="R18" i="40"/>
  <c r="AH16" i="40"/>
  <c r="R16" i="40"/>
  <c r="AH14" i="40"/>
  <c r="R14" i="40"/>
  <c r="AH15" i="40"/>
  <c r="R15" i="40"/>
  <c r="BP434" i="1" a="1"/>
  <c r="BP434" i="1" s="1"/>
  <c r="CF434" i="1" s="1"/>
  <c r="BO434" i="1" a="1"/>
  <c r="BO434" i="1" s="1"/>
  <c r="BO435" i="1" a="1"/>
  <c r="BO435" i="1" s="1"/>
  <c r="CC435" i="1" s="1"/>
  <c r="BN434" i="1" a="1"/>
  <c r="BN434" i="1" s="1"/>
  <c r="AG435" i="1"/>
  <c r="AH435" i="1" s="1"/>
  <c r="AG434" i="1"/>
  <c r="AF435" i="1"/>
  <c r="AF434" i="1"/>
  <c r="AH434" i="1" s="1"/>
  <c r="R434" i="1" s="1"/>
  <c r="AZ434" i="1" s="1"/>
  <c r="BK434" i="1" s="1"/>
  <c r="BR434" i="1" s="1"/>
  <c r="S435" i="1"/>
  <c r="S434" i="1"/>
  <c r="BZ435" i="1"/>
  <c r="CF435" i="1"/>
  <c r="AH13" i="24"/>
  <c r="AH13" i="40"/>
  <c r="AF440" i="1"/>
  <c r="AH440" i="1" s="1"/>
  <c r="BD440" i="1" s="1" a="1"/>
  <c r="BD440" i="1" s="1"/>
  <c r="BM440" i="1" s="1" a="1"/>
  <c r="BM440" i="1" s="1"/>
  <c r="AH14" i="36"/>
  <c r="AF439" i="1"/>
  <c r="AH439" i="1" s="1"/>
  <c r="BD439" i="1" s="1" a="1"/>
  <c r="BD439" i="1" s="1"/>
  <c r="BM439" i="1" s="1" a="1"/>
  <c r="BM439" i="1" s="1"/>
  <c r="AH22" i="25"/>
  <c r="BX435" i="1"/>
  <c r="CA435" i="1" s="1"/>
  <c r="AB22" i="4"/>
  <c r="Y22" i="4"/>
  <c r="V22" i="4"/>
  <c r="BM435" i="1" a="1"/>
  <c r="BM435" i="1" s="1"/>
  <c r="BW435" i="1" s="1"/>
  <c r="AF343" i="1"/>
  <c r="AH343" i="1" s="1"/>
  <c r="R343" i="1" s="1"/>
  <c r="AZ343" i="1" s="1"/>
  <c r="BK343" i="1" s="1"/>
  <c r="BR343" i="1" s="1"/>
  <c r="AF225" i="1"/>
  <c r="AH225" i="1" s="1"/>
  <c r="AF223" i="1"/>
  <c r="AH223" i="1" s="1"/>
  <c r="AF221" i="1"/>
  <c r="AH221" i="1" s="1"/>
  <c r="AF220" i="1"/>
  <c r="AH220" i="1" s="1"/>
  <c r="BD220" i="1" s="1" a="1"/>
  <c r="BD220" i="1" s="1"/>
  <c r="BM220" i="1" s="1" a="1"/>
  <c r="BM220" i="1" s="1"/>
  <c r="AF57" i="1"/>
  <c r="AH57" i="1" s="1"/>
  <c r="AF15" i="21"/>
  <c r="S293" i="1"/>
  <c r="S292" i="1"/>
  <c r="AJ18" i="17"/>
  <c r="AJ14" i="17"/>
  <c r="AJ15" i="17"/>
  <c r="AJ224" i="2"/>
  <c r="AH21" i="38"/>
  <c r="AJ23" i="17"/>
  <c r="AJ22" i="17"/>
  <c r="AJ444" i="2"/>
  <c r="AJ21" i="17"/>
  <c r="AJ420" i="1"/>
  <c r="AJ20" i="17"/>
  <c r="AJ442" i="2"/>
  <c r="AJ17" i="17"/>
  <c r="AJ213" i="1"/>
  <c r="AJ21" i="7"/>
  <c r="AJ24" i="7"/>
  <c r="AJ20" i="7"/>
  <c r="AG447" i="1"/>
  <c r="CE432" i="1"/>
  <c r="BP432" i="1" a="1"/>
  <c r="BP432" i="1" s="1"/>
  <c r="CF432" i="1" s="1"/>
  <c r="BO432" i="1" a="1"/>
  <c r="BO432" i="1" s="1"/>
  <c r="BN432" i="1" a="1"/>
  <c r="BN432" i="1" s="1"/>
  <c r="BI432" i="1"/>
  <c r="AT432" i="1"/>
  <c r="AK432" i="1"/>
  <c r="AJ432" i="1"/>
  <c r="AI432" i="1"/>
  <c r="AG432" i="1"/>
  <c r="AF432" i="1"/>
  <c r="AH432" i="1" s="1"/>
  <c r="S432" i="1"/>
  <c r="CE431" i="1"/>
  <c r="BP431" i="1" a="1"/>
  <c r="BP431" i="1" s="1"/>
  <c r="CF431" i="1" s="1"/>
  <c r="BO431" i="1" a="1"/>
  <c r="BO431" i="1" s="1"/>
  <c r="BN431" i="1" a="1"/>
  <c r="BN431" i="1" s="1"/>
  <c r="BI431" i="1"/>
  <c r="AT431" i="1"/>
  <c r="AK431" i="1"/>
  <c r="AJ431" i="1"/>
  <c r="AI431" i="1"/>
  <c r="AG431" i="1"/>
  <c r="AF431" i="1"/>
  <c r="AH431" i="1" s="1"/>
  <c r="S431" i="1"/>
  <c r="CE430" i="1"/>
  <c r="BP430" i="1" a="1"/>
  <c r="BP430" i="1" s="1"/>
  <c r="CF430" i="1" s="1"/>
  <c r="BO430" i="1" a="1"/>
  <c r="BO430" i="1" s="1"/>
  <c r="BN430" i="1" a="1"/>
  <c r="BN430" i="1" s="1"/>
  <c r="BI430" i="1"/>
  <c r="AT430" i="1"/>
  <c r="AK430" i="1"/>
  <c r="AJ430" i="1"/>
  <c r="AI430" i="1"/>
  <c r="AG430" i="1"/>
  <c r="AF430" i="1"/>
  <c r="AH430" i="1" s="1"/>
  <c r="S430" i="1"/>
  <c r="CE429" i="1"/>
  <c r="BP429" i="1" a="1"/>
  <c r="BP429" i="1" s="1"/>
  <c r="CF429" i="1" s="1"/>
  <c r="BO429" i="1" a="1"/>
  <c r="BO429" i="1" s="1"/>
  <c r="BN429" i="1" a="1"/>
  <c r="BN429" i="1" s="1"/>
  <c r="BI429" i="1"/>
  <c r="AT429" i="1"/>
  <c r="AK429" i="1"/>
  <c r="AJ429" i="1"/>
  <c r="AI429" i="1"/>
  <c r="AG429" i="1"/>
  <c r="AF429" i="1"/>
  <c r="AH429" i="1" s="1"/>
  <c r="BD429" i="1" s="1" a="1"/>
  <c r="BD429" i="1" s="1"/>
  <c r="BM429" i="1" s="1" a="1"/>
  <c r="BM429" i="1" s="1"/>
  <c r="S429" i="1"/>
  <c r="CE428" i="1"/>
  <c r="BP428" i="1" a="1"/>
  <c r="BP428" i="1" s="1"/>
  <c r="CF428" i="1" s="1"/>
  <c r="BO428" i="1" a="1"/>
  <c r="BO428" i="1" s="1"/>
  <c r="BN428" i="1" a="1"/>
  <c r="BN428" i="1" s="1"/>
  <c r="BI428" i="1"/>
  <c r="AT428" i="1"/>
  <c r="AK428" i="1"/>
  <c r="AJ428" i="1"/>
  <c r="AI428" i="1"/>
  <c r="AG428" i="1"/>
  <c r="AF428" i="1"/>
  <c r="AH428" i="1" s="1"/>
  <c r="S428" i="1"/>
  <c r="CE427" i="1"/>
  <c r="BP427" i="1" a="1"/>
  <c r="BP427" i="1" s="1"/>
  <c r="CF427" i="1" s="1"/>
  <c r="BO427" i="1" a="1"/>
  <c r="BO427" i="1" s="1"/>
  <c r="BN427" i="1" a="1"/>
  <c r="BN427" i="1" s="1"/>
  <c r="BI427" i="1"/>
  <c r="AT427" i="1"/>
  <c r="AK427" i="1"/>
  <c r="AJ427" i="1"/>
  <c r="AI427" i="1"/>
  <c r="AG427" i="1"/>
  <c r="AF427" i="1"/>
  <c r="AH427" i="1" s="1"/>
  <c r="R427" i="1" s="1"/>
  <c r="AZ427" i="1" s="1"/>
  <c r="BK427" i="1" s="1"/>
  <c r="BR427" i="1" s="1"/>
  <c r="S427" i="1"/>
  <c r="AT426" i="1"/>
  <c r="AK426" i="1"/>
  <c r="AI426" i="1"/>
  <c r="AG426" i="1"/>
  <c r="AH426" i="1" s="1"/>
  <c r="CM426" i="1" s="1"/>
  <c r="AF426" i="1"/>
  <c r="S426" i="1"/>
  <c r="AT425" i="1"/>
  <c r="AK425" i="1"/>
  <c r="AI425" i="1"/>
  <c r="AG425" i="1"/>
  <c r="AH425" i="1" s="1"/>
  <c r="AF425" i="1"/>
  <c r="S425" i="1"/>
  <c r="CE424" i="1"/>
  <c r="BP424" i="1" a="1"/>
  <c r="BP424" i="1" s="1"/>
  <c r="CF424" i="1" s="1"/>
  <c r="BO424" i="1" a="1"/>
  <c r="BO424" i="1" s="1"/>
  <c r="BN424" i="1" a="1"/>
  <c r="BN424" i="1" s="1"/>
  <c r="BI424" i="1"/>
  <c r="AT424" i="1"/>
  <c r="AK424" i="1"/>
  <c r="AJ424" i="1"/>
  <c r="AI424" i="1"/>
  <c r="AG424" i="1"/>
  <c r="AF424" i="1"/>
  <c r="AH424" i="1" s="1"/>
  <c r="S424" i="1"/>
  <c r="CE423" i="1"/>
  <c r="BP423" i="1" a="1"/>
  <c r="BP423" i="1" s="1"/>
  <c r="CF423" i="1" s="1"/>
  <c r="BO423" i="1" a="1"/>
  <c r="BO423" i="1" s="1"/>
  <c r="CC423" i="1" s="1"/>
  <c r="BN423" i="1" a="1"/>
  <c r="BN423" i="1" s="1"/>
  <c r="BZ423" i="1" s="1"/>
  <c r="BI423" i="1"/>
  <c r="AT423" i="1"/>
  <c r="AK423" i="1"/>
  <c r="AJ423" i="1"/>
  <c r="AI423" i="1"/>
  <c r="AG423" i="1"/>
  <c r="AH423" i="1" s="1"/>
  <c r="BD423" i="1" s="1" a="1"/>
  <c r="BD423" i="1" s="1"/>
  <c r="AF423" i="1"/>
  <c r="S423" i="1"/>
  <c r="CE422" i="1"/>
  <c r="BP422" i="1" a="1"/>
  <c r="BP422" i="1" s="1"/>
  <c r="CF422" i="1" s="1"/>
  <c r="BO422" i="1" a="1"/>
  <c r="BO422" i="1" s="1"/>
  <c r="CC422" i="1" s="1"/>
  <c r="BN422" i="1" a="1"/>
  <c r="BN422" i="1" s="1"/>
  <c r="BZ422" i="1" s="1"/>
  <c r="BI422" i="1"/>
  <c r="AT422" i="1"/>
  <c r="AK422" i="1"/>
  <c r="AJ422" i="1"/>
  <c r="AI422" i="1"/>
  <c r="AG422" i="1"/>
  <c r="AH422" i="1" s="1"/>
  <c r="CM422" i="1" s="1"/>
  <c r="AF422" i="1"/>
  <c r="S422" i="1"/>
  <c r="AT421" i="1"/>
  <c r="AK421" i="1"/>
  <c r="AI421" i="1"/>
  <c r="AG421" i="1"/>
  <c r="AH421" i="1" s="1"/>
  <c r="CM421" i="1" s="1"/>
  <c r="AF421" i="1"/>
  <c r="S421" i="1"/>
  <c r="AT420" i="1"/>
  <c r="AK420" i="1"/>
  <c r="AI420" i="1"/>
  <c r="AF420" i="1"/>
  <c r="S420" i="1"/>
  <c r="AT419" i="1"/>
  <c r="AK419" i="1"/>
  <c r="AI419" i="1"/>
  <c r="AF419" i="1"/>
  <c r="S419" i="1"/>
  <c r="CE418" i="1"/>
  <c r="BP418" i="1" a="1"/>
  <c r="BP418" i="1" s="1"/>
  <c r="CF418" i="1" s="1"/>
  <c r="BO418" i="1" a="1"/>
  <c r="BO418" i="1" s="1"/>
  <c r="BN418" i="1" a="1"/>
  <c r="BN418" i="1" s="1"/>
  <c r="BI418" i="1"/>
  <c r="AT418" i="1"/>
  <c r="AK418" i="1"/>
  <c r="AJ418" i="1"/>
  <c r="AI418" i="1"/>
  <c r="AG418" i="1"/>
  <c r="AF418" i="1"/>
  <c r="AH418" i="1" s="1"/>
  <c r="R418" i="1" s="1"/>
  <c r="AZ418" i="1" s="1"/>
  <c r="BK418" i="1" s="1"/>
  <c r="BR418" i="1" s="1"/>
  <c r="S418" i="1"/>
  <c r="CE417" i="1"/>
  <c r="BP417" i="1" a="1"/>
  <c r="BP417" i="1" s="1"/>
  <c r="CF417" i="1" s="1"/>
  <c r="BO417" i="1" a="1"/>
  <c r="BO417" i="1" s="1"/>
  <c r="BN417" i="1" a="1"/>
  <c r="BN417" i="1" s="1"/>
  <c r="BI417" i="1"/>
  <c r="AT417" i="1"/>
  <c r="AK417" i="1"/>
  <c r="AJ417" i="1"/>
  <c r="AI417" i="1"/>
  <c r="AG417" i="1"/>
  <c r="AF417" i="1"/>
  <c r="AH417" i="1" s="1"/>
  <c r="BD417" i="1" s="1" a="1"/>
  <c r="BD417" i="1" s="1"/>
  <c r="BM417" i="1" s="1" a="1"/>
  <c r="BM417" i="1" s="1"/>
  <c r="S417" i="1"/>
  <c r="CE416" i="1"/>
  <c r="BP416" i="1" a="1"/>
  <c r="BP416" i="1" s="1"/>
  <c r="CF416" i="1" s="1"/>
  <c r="BO416" i="1" a="1"/>
  <c r="BO416" i="1" s="1"/>
  <c r="BN416" i="1" a="1"/>
  <c r="BN416" i="1" s="1"/>
  <c r="BI416" i="1"/>
  <c r="AT416" i="1"/>
  <c r="AK416" i="1"/>
  <c r="AJ416" i="1"/>
  <c r="AI416" i="1"/>
  <c r="AG416" i="1"/>
  <c r="AF416" i="1"/>
  <c r="AH416" i="1" s="1"/>
  <c r="S416" i="1"/>
  <c r="CE415" i="1"/>
  <c r="BP415" i="1" a="1"/>
  <c r="BP415" i="1" s="1"/>
  <c r="CF415" i="1" s="1"/>
  <c r="BO415" i="1" a="1"/>
  <c r="BO415" i="1" s="1"/>
  <c r="BN415" i="1" a="1"/>
  <c r="BN415" i="1" s="1"/>
  <c r="BI415" i="1"/>
  <c r="AT415" i="1"/>
  <c r="AK415" i="1"/>
  <c r="AJ415" i="1"/>
  <c r="AI415" i="1"/>
  <c r="AG415" i="1"/>
  <c r="AF415" i="1"/>
  <c r="AH415" i="1" s="1"/>
  <c r="S415" i="1"/>
  <c r="CE414" i="1"/>
  <c r="BP414" i="1" a="1"/>
  <c r="BP414" i="1" s="1"/>
  <c r="CF414" i="1" s="1"/>
  <c r="BO414" i="1" a="1"/>
  <c r="BO414" i="1" s="1"/>
  <c r="BN414" i="1" a="1"/>
  <c r="BN414" i="1" s="1"/>
  <c r="BI414" i="1"/>
  <c r="AT414" i="1"/>
  <c r="AK414" i="1"/>
  <c r="AJ414" i="1"/>
  <c r="AI414" i="1"/>
  <c r="AG414" i="1"/>
  <c r="AF414" i="1"/>
  <c r="AH414" i="1" s="1"/>
  <c r="R414" i="1" s="1"/>
  <c r="AZ414" i="1" s="1"/>
  <c r="BK414" i="1" s="1"/>
  <c r="BR414" i="1" s="1"/>
  <c r="BX414" i="1" s="1"/>
  <c r="S414" i="1"/>
  <c r="CE413" i="1"/>
  <c r="BP413" i="1" a="1"/>
  <c r="BP413" i="1" s="1"/>
  <c r="CF413" i="1" s="1"/>
  <c r="BO413" i="1" a="1"/>
  <c r="BO413" i="1" s="1"/>
  <c r="BN413" i="1" a="1"/>
  <c r="BN413" i="1" s="1"/>
  <c r="BI413" i="1"/>
  <c r="AT413" i="1"/>
  <c r="AK413" i="1"/>
  <c r="AJ413" i="1"/>
  <c r="AI413" i="1"/>
  <c r="AG413" i="1"/>
  <c r="AF413" i="1"/>
  <c r="AH413" i="1" s="1"/>
  <c r="R413" i="1" s="1"/>
  <c r="AZ413" i="1" s="1"/>
  <c r="BK413" i="1" s="1"/>
  <c r="BR413" i="1" s="1"/>
  <c r="S413" i="1"/>
  <c r="CE412" i="1"/>
  <c r="BP412" i="1" a="1"/>
  <c r="BP412" i="1" s="1"/>
  <c r="CF412" i="1" s="1"/>
  <c r="BO412" i="1" a="1"/>
  <c r="BO412" i="1" s="1"/>
  <c r="BN412" i="1" a="1"/>
  <c r="BN412" i="1" s="1"/>
  <c r="BI412" i="1"/>
  <c r="AT412" i="1"/>
  <c r="AK412" i="1"/>
  <c r="AJ412" i="1"/>
  <c r="AI412" i="1"/>
  <c r="AG412" i="1"/>
  <c r="AF412" i="1"/>
  <c r="AH412" i="1" s="1"/>
  <c r="R412" i="1" s="1"/>
  <c r="AZ412" i="1" s="1"/>
  <c r="BK412" i="1" s="1"/>
  <c r="BR412" i="1" s="1"/>
  <c r="BX412" i="1" s="1"/>
  <c r="S412" i="1"/>
  <c r="CE411" i="1"/>
  <c r="BP411" i="1" a="1"/>
  <c r="BP411" i="1" s="1"/>
  <c r="CF411" i="1" s="1"/>
  <c r="BO411" i="1" a="1"/>
  <c r="BO411" i="1" s="1"/>
  <c r="BN411" i="1" a="1"/>
  <c r="BN411" i="1" s="1"/>
  <c r="BI411" i="1"/>
  <c r="AT411" i="1"/>
  <c r="AK411" i="1"/>
  <c r="AJ411" i="1"/>
  <c r="AI411" i="1"/>
  <c r="AG411" i="1"/>
  <c r="AF411" i="1"/>
  <c r="AH411" i="1" s="1"/>
  <c r="BD411" i="1" s="1" a="1"/>
  <c r="BD411" i="1" s="1"/>
  <c r="BM411" i="1" s="1" a="1"/>
  <c r="BM411" i="1" s="1"/>
  <c r="S411" i="1"/>
  <c r="AT410" i="1"/>
  <c r="AK410" i="1"/>
  <c r="AJ410" i="1"/>
  <c r="AI410" i="1"/>
  <c r="AG410" i="1"/>
  <c r="AH410" i="1" s="1"/>
  <c r="AF410" i="1"/>
  <c r="S410" i="1"/>
  <c r="CE409" i="1"/>
  <c r="BP409" i="1" a="1"/>
  <c r="BP409" i="1" s="1"/>
  <c r="CF409" i="1" s="1"/>
  <c r="BO409" i="1" a="1"/>
  <c r="BO409" i="1" s="1"/>
  <c r="BN409" i="1" a="1"/>
  <c r="BN409" i="1" s="1"/>
  <c r="BI409" i="1"/>
  <c r="AT409" i="1"/>
  <c r="AK409" i="1"/>
  <c r="AJ409" i="1"/>
  <c r="AI409" i="1"/>
  <c r="AG409" i="1"/>
  <c r="AF409" i="1"/>
  <c r="AH409" i="1" s="1"/>
  <c r="BD409" i="1" s="1" a="1"/>
  <c r="BD409" i="1" s="1"/>
  <c r="BM409" i="1" s="1" a="1"/>
  <c r="BM409" i="1" s="1"/>
  <c r="S409" i="1"/>
  <c r="CE408" i="1"/>
  <c r="BP408" i="1" a="1"/>
  <c r="BP408" i="1" s="1"/>
  <c r="CF408" i="1" s="1"/>
  <c r="BO408" i="1" a="1"/>
  <c r="BO408" i="1" s="1"/>
  <c r="BN408" i="1" a="1"/>
  <c r="BN408" i="1" s="1"/>
  <c r="BI408" i="1"/>
  <c r="AT408" i="1"/>
  <c r="AK408" i="1"/>
  <c r="AJ408" i="1"/>
  <c r="AI408" i="1"/>
  <c r="AG408" i="1"/>
  <c r="AF408" i="1"/>
  <c r="AH408" i="1" s="1"/>
  <c r="BD408" i="1" s="1" a="1"/>
  <c r="BD408" i="1" s="1"/>
  <c r="BM408" i="1" s="1" a="1"/>
  <c r="BM408" i="1" s="1"/>
  <c r="S408" i="1"/>
  <c r="AT407" i="1"/>
  <c r="AK407" i="1"/>
  <c r="AJ407" i="1"/>
  <c r="AI407" i="1"/>
  <c r="AG407" i="1"/>
  <c r="AH407" i="1" s="1"/>
  <c r="CM407" i="1" s="1"/>
  <c r="AF407" i="1"/>
  <c r="S407" i="1"/>
  <c r="AT406" i="1"/>
  <c r="AK406" i="1"/>
  <c r="AJ406" i="1"/>
  <c r="AI406" i="1"/>
  <c r="AG406" i="1"/>
  <c r="AH406" i="1" s="1"/>
  <c r="CM406" i="1" s="1"/>
  <c r="AF406" i="1"/>
  <c r="S406" i="1"/>
  <c r="CE405" i="1"/>
  <c r="BP405" i="1" a="1"/>
  <c r="BP405" i="1" s="1"/>
  <c r="CF405" i="1" s="1"/>
  <c r="BO405" i="1" a="1"/>
  <c r="BO405" i="1" s="1"/>
  <c r="BN405" i="1" a="1"/>
  <c r="BN405" i="1" s="1"/>
  <c r="BI405" i="1"/>
  <c r="AT405" i="1"/>
  <c r="AJ405" i="1"/>
  <c r="AI405" i="1"/>
  <c r="S405" i="1"/>
  <c r="CE404" i="1"/>
  <c r="CB404" i="1"/>
  <c r="BY404" i="1"/>
  <c r="BP404" i="1" a="1"/>
  <c r="BP404" i="1" s="1"/>
  <c r="CF404" i="1" s="1"/>
  <c r="BO404" i="1" a="1"/>
  <c r="BO404" i="1" s="1"/>
  <c r="BN404" i="1" a="1"/>
  <c r="BN404" i="1" s="1"/>
  <c r="BI404" i="1"/>
  <c r="AT404" i="1"/>
  <c r="AK404" i="1"/>
  <c r="AJ404" i="1"/>
  <c r="AI404" i="1"/>
  <c r="AG404" i="1"/>
  <c r="S404" i="1"/>
  <c r="CE403" i="1"/>
  <c r="BP403" i="1" a="1"/>
  <c r="BP403" i="1" s="1"/>
  <c r="CF403" i="1" s="1"/>
  <c r="BO403" i="1" a="1"/>
  <c r="BO403" i="1" s="1"/>
  <c r="BN403" i="1" a="1"/>
  <c r="BN403" i="1" s="1"/>
  <c r="BI403" i="1"/>
  <c r="AT403" i="1"/>
  <c r="AK403" i="1"/>
  <c r="AJ403" i="1"/>
  <c r="AI403" i="1"/>
  <c r="AG403" i="1"/>
  <c r="AF403" i="1"/>
  <c r="AH403" i="1" s="1"/>
  <c r="BD403" i="1" s="1" a="1"/>
  <c r="BD403" i="1" s="1"/>
  <c r="BM403" i="1" s="1" a="1"/>
  <c r="BM403" i="1" s="1"/>
  <c r="S403" i="1"/>
  <c r="AT402" i="1"/>
  <c r="AK402" i="1"/>
  <c r="AJ402" i="1"/>
  <c r="AI402" i="1"/>
  <c r="AG402" i="1"/>
  <c r="AH402" i="1" s="1"/>
  <c r="AF402" i="1"/>
  <c r="S402" i="1"/>
  <c r="CE401" i="1"/>
  <c r="BP401" i="1" a="1"/>
  <c r="BP401" i="1" s="1"/>
  <c r="CF401" i="1" s="1"/>
  <c r="BO401" i="1" a="1"/>
  <c r="BO401" i="1" s="1"/>
  <c r="BN401" i="1" a="1"/>
  <c r="BN401" i="1" s="1"/>
  <c r="BI401" i="1"/>
  <c r="AT401" i="1"/>
  <c r="AK401" i="1"/>
  <c r="AJ401" i="1"/>
  <c r="AI401" i="1"/>
  <c r="AG401" i="1"/>
  <c r="AF401" i="1"/>
  <c r="AH401" i="1" s="1"/>
  <c r="S401" i="1"/>
  <c r="CE400" i="1"/>
  <c r="BP400" i="1" a="1"/>
  <c r="BP400" i="1" s="1"/>
  <c r="CF400" i="1" s="1"/>
  <c r="BO400" i="1" a="1"/>
  <c r="BO400" i="1" s="1"/>
  <c r="BN400" i="1" a="1"/>
  <c r="BN400" i="1" s="1"/>
  <c r="BI400" i="1"/>
  <c r="AT400" i="1"/>
  <c r="AK400" i="1"/>
  <c r="AJ400" i="1"/>
  <c r="AI400" i="1"/>
  <c r="AG400" i="1"/>
  <c r="AF400" i="1"/>
  <c r="AH400" i="1" s="1"/>
  <c r="S400" i="1"/>
  <c r="AT399" i="1"/>
  <c r="AK399" i="1"/>
  <c r="AJ399" i="1"/>
  <c r="AI399" i="1"/>
  <c r="AG399" i="1"/>
  <c r="AH399" i="1" s="1"/>
  <c r="AF399" i="1"/>
  <c r="S399" i="1"/>
  <c r="CK398" i="1"/>
  <c r="CJ398" i="1"/>
  <c r="CI398" i="1"/>
  <c r="CH398" i="1"/>
  <c r="AT398" i="1"/>
  <c r="AK398" i="1"/>
  <c r="AJ398" i="1"/>
  <c r="AI398" i="1"/>
  <c r="AF398" i="1"/>
  <c r="S398" i="1"/>
  <c r="CE397" i="1"/>
  <c r="BP397" i="1" a="1"/>
  <c r="BP397" i="1" s="1"/>
  <c r="CF397" i="1" s="1"/>
  <c r="BO397" i="1" a="1"/>
  <c r="BO397" i="1" s="1"/>
  <c r="BN397" i="1" a="1"/>
  <c r="BN397" i="1" s="1"/>
  <c r="BI397" i="1"/>
  <c r="AT397" i="1"/>
  <c r="AK397" i="1"/>
  <c r="AJ397" i="1"/>
  <c r="AI397" i="1"/>
  <c r="AG397" i="1"/>
  <c r="AF397" i="1"/>
  <c r="AH397" i="1" s="1"/>
  <c r="S397" i="1"/>
  <c r="CE396" i="1"/>
  <c r="BP396" i="1" a="1"/>
  <c r="BP396" i="1" s="1"/>
  <c r="CF396" i="1" s="1"/>
  <c r="BO396" i="1" a="1"/>
  <c r="BO396" i="1" s="1"/>
  <c r="BN396" i="1" a="1"/>
  <c r="BN396" i="1" s="1"/>
  <c r="BI396" i="1"/>
  <c r="AT396" i="1"/>
  <c r="AK396" i="1"/>
  <c r="AJ396" i="1"/>
  <c r="AI396" i="1"/>
  <c r="AG396" i="1"/>
  <c r="S396" i="1"/>
  <c r="AT395" i="1"/>
  <c r="AK395" i="1"/>
  <c r="AJ395" i="1"/>
  <c r="AI395" i="1"/>
  <c r="AF395" i="1"/>
  <c r="S395" i="1"/>
  <c r="CE394" i="1"/>
  <c r="BP394" i="1" a="1"/>
  <c r="BP394" i="1" s="1"/>
  <c r="CF394" i="1" s="1"/>
  <c r="BO394" i="1" a="1"/>
  <c r="BO394" i="1" s="1"/>
  <c r="BN394" i="1" a="1"/>
  <c r="BN394" i="1" s="1"/>
  <c r="BI394" i="1"/>
  <c r="AT394" i="1"/>
  <c r="AK394" i="1"/>
  <c r="AJ394" i="1"/>
  <c r="AI394" i="1"/>
  <c r="AG394" i="1"/>
  <c r="AF394" i="1"/>
  <c r="AH394" i="1" s="1"/>
  <c r="R394" i="1" s="1"/>
  <c r="AZ394" i="1" s="1"/>
  <c r="BK394" i="1" s="1"/>
  <c r="BR394" i="1" s="1"/>
  <c r="S394" i="1"/>
  <c r="CE393" i="1"/>
  <c r="BP393" i="1" a="1"/>
  <c r="BP393" i="1" s="1"/>
  <c r="CF393" i="1" s="1"/>
  <c r="BO393" i="1" a="1"/>
  <c r="BO393" i="1" s="1"/>
  <c r="CC393" i="1" s="1"/>
  <c r="BN393" i="1" a="1"/>
  <c r="BN393" i="1" s="1"/>
  <c r="BZ393" i="1" s="1"/>
  <c r="BI393" i="1"/>
  <c r="AT393" i="1"/>
  <c r="AK393" i="1"/>
  <c r="AJ393" i="1"/>
  <c r="AI393" i="1"/>
  <c r="AG393" i="1"/>
  <c r="AH393" i="1" s="1"/>
  <c r="AF393" i="1"/>
  <c r="CE392" i="1"/>
  <c r="BP392" i="1" a="1"/>
  <c r="BP392" i="1" s="1"/>
  <c r="CF392" i="1" s="1"/>
  <c r="BN392" i="1" a="1"/>
  <c r="BN392" i="1" s="1"/>
  <c r="BI392" i="1"/>
  <c r="AT392" i="1"/>
  <c r="AK392" i="1"/>
  <c r="AJ392" i="1"/>
  <c r="AI392" i="1"/>
  <c r="AG392" i="1"/>
  <c r="AF392" i="1"/>
  <c r="AH392" i="1" s="1"/>
  <c r="AT391" i="1"/>
  <c r="AK391" i="1"/>
  <c r="AJ391" i="1"/>
  <c r="AI391" i="1"/>
  <c r="AG391" i="1"/>
  <c r="AH391" i="1" s="1"/>
  <c r="AF391" i="1"/>
  <c r="CE390" i="1"/>
  <c r="BP390" i="1" a="1"/>
  <c r="BP390" i="1" s="1"/>
  <c r="CF390" i="1" s="1"/>
  <c r="BO390" i="1" a="1"/>
  <c r="BO390" i="1" s="1"/>
  <c r="BN390" i="1" a="1"/>
  <c r="BN390" i="1" s="1"/>
  <c r="BI390" i="1"/>
  <c r="AT390" i="1"/>
  <c r="AK390" i="1"/>
  <c r="AJ390" i="1"/>
  <c r="AI390" i="1"/>
  <c r="AG390" i="1"/>
  <c r="AF390" i="1"/>
  <c r="AH390" i="1" s="1"/>
  <c r="CE389" i="1"/>
  <c r="BP389" i="1" a="1"/>
  <c r="BP389" i="1" s="1"/>
  <c r="CF389" i="1" s="1"/>
  <c r="BO389" i="1" a="1"/>
  <c r="BO389" i="1" s="1"/>
  <c r="BN389" i="1" a="1"/>
  <c r="BN389" i="1" s="1"/>
  <c r="BI389" i="1"/>
  <c r="AT389" i="1"/>
  <c r="AK389" i="1"/>
  <c r="AJ389" i="1"/>
  <c r="AI389" i="1"/>
  <c r="AG389" i="1"/>
  <c r="AF389" i="1"/>
  <c r="AH389" i="1" s="1"/>
  <c r="AT388" i="1"/>
  <c r="AK388" i="1"/>
  <c r="AJ388" i="1"/>
  <c r="AI388" i="1"/>
  <c r="AG388" i="1"/>
  <c r="AH388" i="1" s="1"/>
  <c r="CM388" i="1" s="1"/>
  <c r="AF388" i="1"/>
  <c r="S388" i="1"/>
  <c r="AT387" i="1"/>
  <c r="AK387" i="1"/>
  <c r="AJ387" i="1"/>
  <c r="AI387" i="1"/>
  <c r="AG387" i="1"/>
  <c r="AH387" i="1" s="1"/>
  <c r="AF387" i="1"/>
  <c r="S387" i="1"/>
  <c r="AT386" i="1"/>
  <c r="AK386" i="1"/>
  <c r="AJ386" i="1"/>
  <c r="AI386" i="1"/>
  <c r="AG386" i="1"/>
  <c r="AH386" i="1" s="1"/>
  <c r="BD386" i="1" s="1" a="1"/>
  <c r="BD386" i="1" s="1"/>
  <c r="BM386" i="1" s="1" a="1"/>
  <c r="BM386" i="1" s="1"/>
  <c r="BW386" i="1" s="1"/>
  <c r="AF386" i="1"/>
  <c r="S386" i="1"/>
  <c r="AT385" i="1"/>
  <c r="AK385" i="1"/>
  <c r="AJ385" i="1"/>
  <c r="AI385" i="1"/>
  <c r="AG385" i="1"/>
  <c r="AH385" i="1" s="1"/>
  <c r="AF385" i="1"/>
  <c r="S385" i="1"/>
  <c r="AT384" i="1"/>
  <c r="AK384" i="1"/>
  <c r="AJ384" i="1"/>
  <c r="AI384" i="1"/>
  <c r="AG384" i="1"/>
  <c r="AH384" i="1" s="1"/>
  <c r="AF384" i="1"/>
  <c r="S384" i="1"/>
  <c r="AT383" i="1"/>
  <c r="AK383" i="1"/>
  <c r="AJ383" i="1"/>
  <c r="AI383" i="1"/>
  <c r="AG383" i="1"/>
  <c r="AH383" i="1" s="1"/>
  <c r="AF383" i="1"/>
  <c r="S383" i="1"/>
  <c r="CE382" i="1"/>
  <c r="BP382" i="1" a="1"/>
  <c r="BP382" i="1" s="1"/>
  <c r="CF382" i="1" s="1"/>
  <c r="BO382" i="1" a="1"/>
  <c r="BO382" i="1" s="1"/>
  <c r="BN382" i="1" a="1"/>
  <c r="BN382" i="1" s="1"/>
  <c r="BI382" i="1"/>
  <c r="AT382" i="1"/>
  <c r="AK382" i="1"/>
  <c r="AJ382" i="1"/>
  <c r="AI382" i="1"/>
  <c r="AG382" i="1"/>
  <c r="AF382" i="1"/>
  <c r="AH382" i="1" s="1"/>
  <c r="R382" i="1" s="1"/>
  <c r="AZ382" i="1" s="1"/>
  <c r="BK382" i="1" s="1"/>
  <c r="BR382" i="1" s="1"/>
  <c r="BX382" i="1" s="1"/>
  <c r="S382" i="1"/>
  <c r="CE381" i="1"/>
  <c r="BP381" i="1" a="1"/>
  <c r="BP381" i="1" s="1"/>
  <c r="CF381" i="1" s="1"/>
  <c r="BO381" i="1" a="1"/>
  <c r="BO381" i="1" s="1"/>
  <c r="BN381" i="1" a="1"/>
  <c r="BN381" i="1" s="1"/>
  <c r="BI381" i="1"/>
  <c r="AT381" i="1"/>
  <c r="AK381" i="1"/>
  <c r="AJ381" i="1"/>
  <c r="AI381" i="1"/>
  <c r="AG381" i="1"/>
  <c r="AF381" i="1"/>
  <c r="AH381" i="1" s="1"/>
  <c r="R381" i="1" s="1"/>
  <c r="AZ381" i="1" s="1"/>
  <c r="BK381" i="1" s="1"/>
  <c r="BR381" i="1" s="1"/>
  <c r="BX381" i="1" s="1"/>
  <c r="S381" i="1"/>
  <c r="CE380" i="1"/>
  <c r="BP380" i="1" a="1"/>
  <c r="BP380" i="1" s="1"/>
  <c r="CF380" i="1" s="1"/>
  <c r="BO380" i="1" a="1"/>
  <c r="BO380" i="1" s="1"/>
  <c r="BN380" i="1" a="1"/>
  <c r="BN380" i="1" s="1"/>
  <c r="BI380" i="1"/>
  <c r="AT380" i="1"/>
  <c r="AK380" i="1"/>
  <c r="AJ380" i="1"/>
  <c r="AI380" i="1"/>
  <c r="AG380" i="1"/>
  <c r="AF380" i="1"/>
  <c r="AH380" i="1" s="1"/>
  <c r="CE379" i="1"/>
  <c r="BP379" i="1" a="1"/>
  <c r="BP379" i="1" s="1"/>
  <c r="CF379" i="1" s="1"/>
  <c r="BO379" i="1" a="1"/>
  <c r="BO379" i="1" s="1"/>
  <c r="BN379" i="1" a="1"/>
  <c r="BN379" i="1" s="1"/>
  <c r="BI379" i="1"/>
  <c r="AT379" i="1"/>
  <c r="AK379" i="1"/>
  <c r="AJ379" i="1"/>
  <c r="AI379" i="1"/>
  <c r="AG379" i="1"/>
  <c r="AF379" i="1"/>
  <c r="AH379" i="1" s="1"/>
  <c r="R379" i="1" s="1"/>
  <c r="AZ379" i="1" s="1"/>
  <c r="BK379" i="1" s="1"/>
  <c r="BR379" i="1" s="1"/>
  <c r="AT378" i="1"/>
  <c r="AK378" i="1"/>
  <c r="AJ378" i="1"/>
  <c r="AI378" i="1"/>
  <c r="AG378" i="1"/>
  <c r="AH378" i="1" s="1"/>
  <c r="AF378" i="1"/>
  <c r="CE377" i="1"/>
  <c r="BP377" i="1" a="1"/>
  <c r="BP377" i="1" s="1"/>
  <c r="CF377" i="1" s="1"/>
  <c r="BO377" i="1" a="1"/>
  <c r="BO377" i="1" s="1"/>
  <c r="BN377" i="1" a="1"/>
  <c r="BN377" i="1" s="1"/>
  <c r="BI377" i="1"/>
  <c r="AT377" i="1"/>
  <c r="AK377" i="1"/>
  <c r="AJ377" i="1"/>
  <c r="AI377" i="1"/>
  <c r="AG377" i="1"/>
  <c r="AF377" i="1"/>
  <c r="AH377" i="1" s="1"/>
  <c r="CE376" i="1"/>
  <c r="BP376" i="1" a="1"/>
  <c r="BP376" i="1" s="1"/>
  <c r="CF376" i="1" s="1"/>
  <c r="BO376" i="1" a="1"/>
  <c r="BO376" i="1" s="1"/>
  <c r="BN376" i="1" a="1"/>
  <c r="BN376" i="1" s="1"/>
  <c r="BI376" i="1"/>
  <c r="AT376" i="1"/>
  <c r="AK376" i="1"/>
  <c r="AJ376" i="1"/>
  <c r="AI376" i="1"/>
  <c r="AG376" i="1"/>
  <c r="AF376" i="1"/>
  <c r="AH376" i="1" s="1"/>
  <c r="BD376" i="1" s="1" a="1"/>
  <c r="BD376" i="1" s="1"/>
  <c r="BM376" i="1" s="1" a="1"/>
  <c r="BM376" i="1" s="1"/>
  <c r="S376" i="1"/>
  <c r="AT375" i="1"/>
  <c r="AK375" i="1"/>
  <c r="AJ375" i="1"/>
  <c r="AI375" i="1"/>
  <c r="AG375" i="1"/>
  <c r="AH375" i="1" s="1"/>
  <c r="CM375" i="1" s="1"/>
  <c r="AF375" i="1"/>
  <c r="S375" i="1"/>
  <c r="CE374" i="1"/>
  <c r="BP374" i="1" a="1"/>
  <c r="BP374" i="1" s="1"/>
  <c r="CF374" i="1" s="1"/>
  <c r="BO374" i="1" a="1"/>
  <c r="BO374" i="1" s="1"/>
  <c r="BN374" i="1" a="1"/>
  <c r="BN374" i="1" s="1"/>
  <c r="BI374" i="1"/>
  <c r="AT374" i="1"/>
  <c r="AK374" i="1"/>
  <c r="AJ374" i="1"/>
  <c r="AI374" i="1"/>
  <c r="AG374" i="1"/>
  <c r="AF374" i="1"/>
  <c r="AH374" i="1" s="1"/>
  <c r="S374" i="1"/>
  <c r="CE373" i="1"/>
  <c r="BP373" i="1" a="1"/>
  <c r="BP373" i="1" s="1"/>
  <c r="CF373" i="1" s="1"/>
  <c r="BO373" i="1" a="1"/>
  <c r="BO373" i="1" s="1"/>
  <c r="BN373" i="1" a="1"/>
  <c r="BN373" i="1" s="1"/>
  <c r="BI373" i="1"/>
  <c r="AT373" i="1"/>
  <c r="AK373" i="1"/>
  <c r="AJ373" i="1"/>
  <c r="AI373" i="1"/>
  <c r="AG373" i="1"/>
  <c r="AF373" i="1"/>
  <c r="AH373" i="1" s="1"/>
  <c r="BD373" i="1" s="1" a="1"/>
  <c r="BD373" i="1" s="1"/>
  <c r="BM373" i="1" s="1" a="1"/>
  <c r="BM373" i="1" s="1"/>
  <c r="S373" i="1"/>
  <c r="CE372" i="1"/>
  <c r="BP372" i="1" a="1"/>
  <c r="BP372" i="1" s="1"/>
  <c r="CF372" i="1" s="1"/>
  <c r="BO372" i="1" a="1"/>
  <c r="BO372" i="1" s="1"/>
  <c r="BN372" i="1" a="1"/>
  <c r="BN372" i="1" s="1"/>
  <c r="BI372" i="1"/>
  <c r="AT372" i="1"/>
  <c r="AK372" i="1"/>
  <c r="AJ372" i="1"/>
  <c r="AI372" i="1"/>
  <c r="AG372" i="1"/>
  <c r="AF372" i="1"/>
  <c r="AH372" i="1" s="1"/>
  <c r="BD372" i="1" s="1" a="1"/>
  <c r="BD372" i="1" s="1"/>
  <c r="BM372" i="1" s="1" a="1"/>
  <c r="BM372" i="1" s="1"/>
  <c r="S372" i="1"/>
  <c r="CE371" i="1"/>
  <c r="BP371" i="1" a="1"/>
  <c r="BP371" i="1" s="1"/>
  <c r="CF371" i="1" s="1"/>
  <c r="BO371" i="1" a="1"/>
  <c r="BO371" i="1" s="1"/>
  <c r="BN371" i="1" a="1"/>
  <c r="BN371" i="1" s="1"/>
  <c r="BI371" i="1"/>
  <c r="AT371" i="1"/>
  <c r="AK371" i="1"/>
  <c r="AJ371" i="1"/>
  <c r="AI371" i="1"/>
  <c r="AG371" i="1"/>
  <c r="AF371" i="1"/>
  <c r="AH371" i="1" s="1"/>
  <c r="S371" i="1"/>
  <c r="CE370" i="1"/>
  <c r="BP370" i="1" a="1"/>
  <c r="BP370" i="1" s="1"/>
  <c r="CF370" i="1" s="1"/>
  <c r="BO370" i="1" a="1"/>
  <c r="BO370" i="1" s="1"/>
  <c r="BN370" i="1" a="1"/>
  <c r="BN370" i="1" s="1"/>
  <c r="BI370" i="1"/>
  <c r="AT370" i="1"/>
  <c r="AK370" i="1"/>
  <c r="AJ370" i="1"/>
  <c r="AI370" i="1"/>
  <c r="AG370" i="1"/>
  <c r="AF370" i="1"/>
  <c r="AH370" i="1" s="1"/>
  <c r="S370" i="1"/>
  <c r="AT369" i="1"/>
  <c r="AK369" i="1"/>
  <c r="AJ369" i="1"/>
  <c r="AI369" i="1"/>
  <c r="AG369" i="1"/>
  <c r="AH369" i="1" s="1"/>
  <c r="AF369" i="1"/>
  <c r="S369" i="1"/>
  <c r="CE368" i="1"/>
  <c r="BP368" i="1" a="1"/>
  <c r="BP368" i="1" s="1"/>
  <c r="CF368" i="1" s="1"/>
  <c r="BO368" i="1" a="1"/>
  <c r="BO368" i="1" s="1"/>
  <c r="BN368" i="1" a="1"/>
  <c r="BN368" i="1" s="1"/>
  <c r="BI368" i="1"/>
  <c r="AT368" i="1"/>
  <c r="AK368" i="1"/>
  <c r="AJ368" i="1"/>
  <c r="AI368" i="1"/>
  <c r="AG368" i="1"/>
  <c r="AF368" i="1"/>
  <c r="AH368" i="1" s="1"/>
  <c r="S368" i="1"/>
  <c r="AT367" i="1"/>
  <c r="AK367" i="1"/>
  <c r="AJ367" i="1"/>
  <c r="AI367" i="1"/>
  <c r="AG367" i="1"/>
  <c r="AH367" i="1" s="1"/>
  <c r="CM367" i="1" s="1"/>
  <c r="AF367" i="1"/>
  <c r="S367" i="1"/>
  <c r="CE366" i="1"/>
  <c r="BP366" i="1" a="1"/>
  <c r="BP366" i="1" s="1"/>
  <c r="CF366" i="1" s="1"/>
  <c r="BO366" i="1" a="1"/>
  <c r="BO366" i="1" s="1"/>
  <c r="BN366" i="1" a="1"/>
  <c r="BN366" i="1" s="1"/>
  <c r="BI366" i="1"/>
  <c r="AT366" i="1"/>
  <c r="AK366" i="1"/>
  <c r="AJ366" i="1"/>
  <c r="AI366" i="1"/>
  <c r="AG366" i="1"/>
  <c r="AF366" i="1"/>
  <c r="AH366" i="1" s="1"/>
  <c r="S366" i="1"/>
  <c r="CE365" i="1"/>
  <c r="BP365" i="1" a="1"/>
  <c r="BP365" i="1" s="1"/>
  <c r="CF365" i="1" s="1"/>
  <c r="BO365" i="1" a="1"/>
  <c r="BO365" i="1" s="1"/>
  <c r="BN365" i="1" a="1"/>
  <c r="BN365" i="1" s="1"/>
  <c r="BI365" i="1"/>
  <c r="AT365" i="1"/>
  <c r="AK365" i="1"/>
  <c r="AJ365" i="1"/>
  <c r="AI365" i="1"/>
  <c r="AG365" i="1"/>
  <c r="AF365" i="1"/>
  <c r="AH365" i="1" s="1"/>
  <c r="S365" i="1"/>
  <c r="CE364" i="1"/>
  <c r="BP364" i="1" a="1"/>
  <c r="BP364" i="1" s="1"/>
  <c r="CF364" i="1" s="1"/>
  <c r="BO364" i="1" a="1"/>
  <c r="BO364" i="1" s="1"/>
  <c r="BN364" i="1" a="1"/>
  <c r="BN364" i="1" s="1"/>
  <c r="BI364" i="1"/>
  <c r="AT364" i="1"/>
  <c r="AK364" i="1"/>
  <c r="AJ364" i="1"/>
  <c r="AI364" i="1"/>
  <c r="AG364" i="1"/>
  <c r="AF364" i="1"/>
  <c r="AH364" i="1" s="1"/>
  <c r="BD364" i="1" s="1" a="1"/>
  <c r="BD364" i="1" s="1"/>
  <c r="BM364" i="1" s="1" a="1"/>
  <c r="BM364" i="1" s="1"/>
  <c r="S364" i="1"/>
  <c r="CE363" i="1"/>
  <c r="BP363" i="1" a="1"/>
  <c r="BP363" i="1" s="1"/>
  <c r="CF363" i="1" s="1"/>
  <c r="BO363" i="1" a="1"/>
  <c r="BO363" i="1" s="1"/>
  <c r="BN363" i="1" a="1"/>
  <c r="BN363" i="1" s="1"/>
  <c r="BI363" i="1"/>
  <c r="AT363" i="1"/>
  <c r="AK363" i="1"/>
  <c r="AJ363" i="1"/>
  <c r="AI363" i="1"/>
  <c r="AG363" i="1"/>
  <c r="AF363" i="1"/>
  <c r="AH363" i="1" s="1"/>
  <c r="R363" i="1" s="1"/>
  <c r="AZ363" i="1" s="1"/>
  <c r="BK363" i="1" s="1"/>
  <c r="BR363" i="1" s="1"/>
  <c r="BX363" i="1" s="1"/>
  <c r="S363" i="1"/>
  <c r="CE362" i="1"/>
  <c r="BP362" i="1" a="1"/>
  <c r="BP362" i="1" s="1"/>
  <c r="CF362" i="1" s="1"/>
  <c r="BO362" i="1" a="1"/>
  <c r="BO362" i="1" s="1"/>
  <c r="BN362" i="1" a="1"/>
  <c r="BN362" i="1" s="1"/>
  <c r="BI362" i="1"/>
  <c r="AT362" i="1"/>
  <c r="AK362" i="1"/>
  <c r="AJ362" i="1"/>
  <c r="AI362" i="1"/>
  <c r="AG362" i="1"/>
  <c r="AF362" i="1"/>
  <c r="AH362" i="1" s="1"/>
  <c r="S362" i="1"/>
  <c r="CE361" i="1"/>
  <c r="BP361" i="1" a="1"/>
  <c r="BP361" i="1" s="1"/>
  <c r="CF361" i="1" s="1"/>
  <c r="BO361" i="1" a="1"/>
  <c r="BO361" i="1" s="1"/>
  <c r="BN361" i="1" a="1"/>
  <c r="BN361" i="1" s="1"/>
  <c r="BI361" i="1"/>
  <c r="AT361" i="1"/>
  <c r="AK361" i="1"/>
  <c r="AJ361" i="1"/>
  <c r="AI361" i="1"/>
  <c r="AG361" i="1"/>
  <c r="AF361" i="1"/>
  <c r="AH361" i="1" s="1"/>
  <c r="R361" i="1" s="1"/>
  <c r="AZ361" i="1" s="1"/>
  <c r="BK361" i="1" s="1"/>
  <c r="BR361" i="1" s="1"/>
  <c r="S361" i="1"/>
  <c r="CE360" i="1"/>
  <c r="BP360" i="1" a="1"/>
  <c r="BP360" i="1" s="1"/>
  <c r="CF360" i="1" s="1"/>
  <c r="BO360" i="1" a="1"/>
  <c r="BO360" i="1" s="1"/>
  <c r="BN360" i="1" a="1"/>
  <c r="BN360" i="1" s="1"/>
  <c r="BI360" i="1"/>
  <c r="AT360" i="1"/>
  <c r="AK360" i="1"/>
  <c r="AJ360" i="1"/>
  <c r="AI360" i="1"/>
  <c r="AG360" i="1"/>
  <c r="AF360" i="1"/>
  <c r="AH360" i="1" s="1"/>
  <c r="S360" i="1"/>
  <c r="AT359" i="1"/>
  <c r="AK359" i="1"/>
  <c r="AJ359" i="1"/>
  <c r="AI359" i="1"/>
  <c r="AG359" i="1"/>
  <c r="AH359" i="1" s="1"/>
  <c r="CM359" i="1" s="1"/>
  <c r="AF359" i="1"/>
  <c r="S359" i="1"/>
  <c r="CE358" i="1"/>
  <c r="BP358" i="1" a="1"/>
  <c r="BP358" i="1" s="1"/>
  <c r="CF358" i="1" s="1"/>
  <c r="BO358" i="1" a="1"/>
  <c r="BO358" i="1" s="1"/>
  <c r="BN358" i="1" a="1"/>
  <c r="BN358" i="1" s="1"/>
  <c r="BI358" i="1"/>
  <c r="AT358" i="1"/>
  <c r="AK358" i="1"/>
  <c r="AJ358" i="1"/>
  <c r="AI358" i="1"/>
  <c r="AG358" i="1"/>
  <c r="AF358" i="1"/>
  <c r="AH358" i="1" s="1"/>
  <c r="R358" i="1" s="1"/>
  <c r="AZ358" i="1" s="1"/>
  <c r="BK358" i="1" s="1"/>
  <c r="BR358" i="1" s="1"/>
  <c r="S358" i="1"/>
  <c r="CE357" i="1"/>
  <c r="BP357" i="1" a="1"/>
  <c r="BP357" i="1" s="1"/>
  <c r="CF357" i="1" s="1"/>
  <c r="BO357" i="1" a="1"/>
  <c r="BO357" i="1" s="1"/>
  <c r="BN357" i="1" a="1"/>
  <c r="BN357" i="1" s="1"/>
  <c r="BI357" i="1"/>
  <c r="AT357" i="1"/>
  <c r="AK357" i="1"/>
  <c r="AJ357" i="1"/>
  <c r="AI357" i="1"/>
  <c r="AG357" i="1"/>
  <c r="AF357" i="1"/>
  <c r="AH357" i="1" s="1"/>
  <c r="BD357" i="1" s="1" a="1"/>
  <c r="BD357" i="1" s="1"/>
  <c r="BM357" i="1" s="1" a="1"/>
  <c r="BM357" i="1" s="1"/>
  <c r="S357" i="1"/>
  <c r="CE356" i="1"/>
  <c r="BP356" i="1" a="1"/>
  <c r="BP356" i="1" s="1"/>
  <c r="CF356" i="1" s="1"/>
  <c r="BO356" i="1" a="1"/>
  <c r="BO356" i="1" s="1"/>
  <c r="BN356" i="1" a="1"/>
  <c r="BN356" i="1" s="1"/>
  <c r="BI356" i="1"/>
  <c r="AT356" i="1"/>
  <c r="AK356" i="1"/>
  <c r="AJ356" i="1"/>
  <c r="AI356" i="1"/>
  <c r="AG356" i="1"/>
  <c r="AF356" i="1"/>
  <c r="AH356" i="1" s="1"/>
  <c r="BD356" i="1" s="1" a="1"/>
  <c r="BD356" i="1" s="1"/>
  <c r="BM356" i="1" s="1" a="1"/>
  <c r="BM356" i="1" s="1"/>
  <c r="S356" i="1"/>
  <c r="CE355" i="1"/>
  <c r="BP355" i="1" a="1"/>
  <c r="BP355" i="1" s="1"/>
  <c r="CF355" i="1" s="1"/>
  <c r="BO355" i="1" a="1"/>
  <c r="BO355" i="1" s="1"/>
  <c r="BN355" i="1" a="1"/>
  <c r="BN355" i="1" s="1"/>
  <c r="BI355" i="1"/>
  <c r="AT355" i="1"/>
  <c r="AK355" i="1"/>
  <c r="AJ355" i="1"/>
  <c r="AI355" i="1"/>
  <c r="AG355" i="1"/>
  <c r="AF355" i="1"/>
  <c r="AH355" i="1" s="1"/>
  <c r="R355" i="1" s="1"/>
  <c r="AZ355" i="1" s="1"/>
  <c r="BK355" i="1" s="1"/>
  <c r="BR355" i="1" s="1"/>
  <c r="S355" i="1"/>
  <c r="CE354" i="1"/>
  <c r="BP354" i="1" a="1"/>
  <c r="BP354" i="1" s="1"/>
  <c r="CF354" i="1" s="1"/>
  <c r="BO354" i="1" a="1"/>
  <c r="BO354" i="1" s="1"/>
  <c r="BN354" i="1" a="1"/>
  <c r="BN354" i="1" s="1"/>
  <c r="BI354" i="1"/>
  <c r="AT354" i="1"/>
  <c r="AK354" i="1"/>
  <c r="AJ354" i="1"/>
  <c r="AI354" i="1"/>
  <c r="AG354" i="1"/>
  <c r="AF354" i="1"/>
  <c r="AH354" i="1" s="1"/>
  <c r="BD354" i="1" s="1" a="1"/>
  <c r="BD354" i="1" s="1"/>
  <c r="BM354" i="1" s="1" a="1"/>
  <c r="BM354" i="1" s="1"/>
  <c r="BW354" i="1" s="1"/>
  <c r="S354" i="1"/>
  <c r="CE353" i="1"/>
  <c r="BP353" i="1" a="1"/>
  <c r="BP353" i="1" s="1"/>
  <c r="CF353" i="1" s="1"/>
  <c r="BO353" i="1" a="1"/>
  <c r="BO353" i="1" s="1"/>
  <c r="BN353" i="1" a="1"/>
  <c r="BN353" i="1" s="1"/>
  <c r="BI353" i="1"/>
  <c r="AT353" i="1"/>
  <c r="AK353" i="1"/>
  <c r="AJ353" i="1"/>
  <c r="AI353" i="1"/>
  <c r="AG353" i="1"/>
  <c r="AF353" i="1"/>
  <c r="AH353" i="1" s="1"/>
  <c r="BD353" i="1" s="1" a="1"/>
  <c r="BD353" i="1" s="1"/>
  <c r="BM353" i="1" s="1" a="1"/>
  <c r="BM353" i="1" s="1"/>
  <c r="S353" i="1"/>
  <c r="CE352" i="1"/>
  <c r="BP352" i="1" a="1"/>
  <c r="BP352" i="1" s="1"/>
  <c r="CF352" i="1" s="1"/>
  <c r="BO352" i="1" a="1"/>
  <c r="BO352" i="1" s="1"/>
  <c r="BN352" i="1" a="1"/>
  <c r="BN352" i="1" s="1"/>
  <c r="BI352" i="1"/>
  <c r="AT352" i="1"/>
  <c r="AK352" i="1"/>
  <c r="AJ352" i="1"/>
  <c r="AI352" i="1"/>
  <c r="AG352" i="1"/>
  <c r="AF352" i="1"/>
  <c r="AH352" i="1" s="1"/>
  <c r="CE351" i="1"/>
  <c r="BP351" i="1" a="1"/>
  <c r="BP351" i="1" s="1"/>
  <c r="CF351" i="1" s="1"/>
  <c r="BO351" i="1" a="1"/>
  <c r="BO351" i="1" s="1"/>
  <c r="BN351" i="1" a="1"/>
  <c r="BN351" i="1" s="1"/>
  <c r="BI351" i="1"/>
  <c r="AT351" i="1"/>
  <c r="AK351" i="1"/>
  <c r="AJ351" i="1"/>
  <c r="AI351" i="1"/>
  <c r="AG351" i="1"/>
  <c r="AF351" i="1"/>
  <c r="AH351" i="1" s="1"/>
  <c r="S351" i="1"/>
  <c r="CE350" i="1"/>
  <c r="BP350" i="1" a="1"/>
  <c r="BP350" i="1" s="1"/>
  <c r="CF350" i="1" s="1"/>
  <c r="BO350" i="1" a="1"/>
  <c r="BO350" i="1" s="1"/>
  <c r="BN350" i="1" a="1"/>
  <c r="BN350" i="1" s="1"/>
  <c r="BI350" i="1"/>
  <c r="AT350" i="1"/>
  <c r="AK350" i="1"/>
  <c r="AJ350" i="1"/>
  <c r="AI350" i="1"/>
  <c r="AG350" i="1"/>
  <c r="AF350" i="1"/>
  <c r="AH350" i="1" s="1"/>
  <c r="S350" i="1"/>
  <c r="CE349" i="1"/>
  <c r="BP349" i="1" a="1"/>
  <c r="BP349" i="1" s="1"/>
  <c r="CF349" i="1" s="1"/>
  <c r="BO349" i="1" a="1"/>
  <c r="BO349" i="1" s="1"/>
  <c r="BN349" i="1" a="1"/>
  <c r="BN349" i="1" s="1"/>
  <c r="BI349" i="1"/>
  <c r="AT349" i="1"/>
  <c r="AK349" i="1"/>
  <c r="AJ349" i="1"/>
  <c r="AI349" i="1"/>
  <c r="AG349" i="1"/>
  <c r="AF349" i="1"/>
  <c r="AH349" i="1" s="1"/>
  <c r="S349" i="1"/>
  <c r="AT348" i="1"/>
  <c r="AK348" i="1"/>
  <c r="AJ348" i="1"/>
  <c r="AI348" i="1"/>
  <c r="AG348" i="1"/>
  <c r="AH348" i="1" s="1"/>
  <c r="CM348" i="1" s="1"/>
  <c r="AF348" i="1"/>
  <c r="S348" i="1"/>
  <c r="CE347" i="1"/>
  <c r="BP347" i="1" a="1"/>
  <c r="BP347" i="1" s="1"/>
  <c r="CF347" i="1" s="1"/>
  <c r="BO347" i="1" a="1"/>
  <c r="BO347" i="1" s="1"/>
  <c r="BN347" i="1" a="1"/>
  <c r="BN347" i="1" s="1"/>
  <c r="BI347" i="1"/>
  <c r="AT347" i="1"/>
  <c r="AK347" i="1"/>
  <c r="AJ347" i="1"/>
  <c r="AI347" i="1"/>
  <c r="AG347" i="1"/>
  <c r="AF347" i="1"/>
  <c r="AH347" i="1" s="1"/>
  <c r="R347" i="1" s="1"/>
  <c r="AZ347" i="1" s="1"/>
  <c r="BK347" i="1" s="1"/>
  <c r="BR347" i="1" s="1"/>
  <c r="S347" i="1"/>
  <c r="CE346" i="1"/>
  <c r="BP346" i="1" a="1"/>
  <c r="BP346" i="1" s="1"/>
  <c r="CF346" i="1" s="1"/>
  <c r="BO346" i="1" a="1"/>
  <c r="BO346" i="1" s="1"/>
  <c r="BN346" i="1" a="1"/>
  <c r="BN346" i="1" s="1"/>
  <c r="BI346" i="1"/>
  <c r="AT346" i="1"/>
  <c r="AK346" i="1"/>
  <c r="AJ346" i="1"/>
  <c r="AI346" i="1"/>
  <c r="AG346" i="1"/>
  <c r="AF346" i="1"/>
  <c r="AH346" i="1" s="1"/>
  <c r="R346" i="1" s="1"/>
  <c r="AZ346" i="1" s="1"/>
  <c r="BK346" i="1" s="1"/>
  <c r="BR346" i="1" s="1"/>
  <c r="S346" i="1"/>
  <c r="CE345" i="1"/>
  <c r="BP345" i="1" a="1"/>
  <c r="BP345" i="1" s="1"/>
  <c r="CF345" i="1" s="1"/>
  <c r="BO345" i="1" a="1"/>
  <c r="BO345" i="1" s="1"/>
  <c r="BN345" i="1" a="1"/>
  <c r="BN345" i="1" s="1"/>
  <c r="BI345" i="1"/>
  <c r="AT345" i="1"/>
  <c r="AK345" i="1"/>
  <c r="AJ345" i="1"/>
  <c r="AI345" i="1"/>
  <c r="AG345" i="1"/>
  <c r="AF345" i="1"/>
  <c r="AH345" i="1" s="1"/>
  <c r="S345" i="1"/>
  <c r="CE344" i="1"/>
  <c r="BP344" i="1" a="1"/>
  <c r="BP344" i="1" s="1"/>
  <c r="CF344" i="1" s="1"/>
  <c r="BO344" i="1" a="1"/>
  <c r="BO344" i="1" s="1"/>
  <c r="BN344" i="1" a="1"/>
  <c r="BN344" i="1" s="1"/>
  <c r="BI344" i="1"/>
  <c r="AT344" i="1"/>
  <c r="AK344" i="1"/>
  <c r="AJ344" i="1"/>
  <c r="AI344" i="1"/>
  <c r="AG344" i="1"/>
  <c r="AF344" i="1"/>
  <c r="AH344" i="1" s="1"/>
  <c r="BD344" i="1" s="1" a="1"/>
  <c r="BD344" i="1" s="1"/>
  <c r="BM344" i="1" s="1" a="1"/>
  <c r="BM344" i="1" s="1"/>
  <c r="S344" i="1"/>
  <c r="CE343" i="1"/>
  <c r="BP343" i="1" a="1"/>
  <c r="BP343" i="1" s="1"/>
  <c r="CF343" i="1" s="1"/>
  <c r="BO343" i="1" a="1"/>
  <c r="BO343" i="1" s="1"/>
  <c r="BN343" i="1" a="1"/>
  <c r="BN343" i="1" s="1"/>
  <c r="BI343" i="1"/>
  <c r="AT343" i="1"/>
  <c r="AK343" i="1"/>
  <c r="AJ343" i="1"/>
  <c r="AI343" i="1"/>
  <c r="AG343" i="1"/>
  <c r="S343" i="1"/>
  <c r="CE342" i="1"/>
  <c r="BP342" i="1" a="1"/>
  <c r="BP342" i="1" s="1"/>
  <c r="CF342" i="1" s="1"/>
  <c r="BO342" i="1" a="1"/>
  <c r="BO342" i="1" s="1"/>
  <c r="BN342" i="1" a="1"/>
  <c r="BN342" i="1" s="1"/>
  <c r="BI342" i="1"/>
  <c r="AT342" i="1"/>
  <c r="AK342" i="1"/>
  <c r="AJ342" i="1"/>
  <c r="AI342" i="1"/>
  <c r="AG342" i="1"/>
  <c r="AF342" i="1"/>
  <c r="AH342" i="1" s="1"/>
  <c r="BD342" i="1" s="1" a="1"/>
  <c r="BD342" i="1" s="1"/>
  <c r="BM342" i="1" s="1" a="1"/>
  <c r="BM342" i="1" s="1"/>
  <c r="S342" i="1"/>
  <c r="CE341" i="1"/>
  <c r="BP341" i="1" a="1"/>
  <c r="BP341" i="1" s="1"/>
  <c r="CF341" i="1" s="1"/>
  <c r="BO341" i="1" a="1"/>
  <c r="BO341" i="1" s="1"/>
  <c r="BN341" i="1" a="1"/>
  <c r="BN341" i="1" s="1"/>
  <c r="BI341" i="1"/>
  <c r="AT341" i="1"/>
  <c r="AK341" i="1"/>
  <c r="AJ341" i="1"/>
  <c r="AI341" i="1"/>
  <c r="AG341" i="1"/>
  <c r="AF341" i="1"/>
  <c r="AH341" i="1" s="1"/>
  <c r="BD341" i="1" s="1" a="1"/>
  <c r="BD341" i="1" s="1"/>
  <c r="BM341" i="1" s="1" a="1"/>
  <c r="BM341" i="1" s="1"/>
  <c r="S341" i="1"/>
  <c r="CE340" i="1"/>
  <c r="BP340" i="1" a="1"/>
  <c r="BP340" i="1" s="1"/>
  <c r="CF340" i="1" s="1"/>
  <c r="BO340" i="1" a="1"/>
  <c r="BO340" i="1" s="1"/>
  <c r="BN340" i="1" a="1"/>
  <c r="BN340" i="1" s="1"/>
  <c r="BI340" i="1"/>
  <c r="AT340" i="1"/>
  <c r="AK340" i="1"/>
  <c r="AJ340" i="1"/>
  <c r="AI340" i="1"/>
  <c r="AG340" i="1"/>
  <c r="AF340" i="1"/>
  <c r="AH340" i="1" s="1"/>
  <c r="BD340" i="1" s="1" a="1"/>
  <c r="BD340" i="1" s="1"/>
  <c r="BM340" i="1" s="1" a="1"/>
  <c r="BM340" i="1" s="1"/>
  <c r="S340" i="1"/>
  <c r="CE339" i="1"/>
  <c r="BP339" i="1" a="1"/>
  <c r="BP339" i="1" s="1"/>
  <c r="CF339" i="1" s="1"/>
  <c r="BO339" i="1" a="1"/>
  <c r="BO339" i="1" s="1"/>
  <c r="BN339" i="1" a="1"/>
  <c r="BN339" i="1" s="1"/>
  <c r="BI339" i="1"/>
  <c r="AT339" i="1"/>
  <c r="AK339" i="1"/>
  <c r="AJ339" i="1"/>
  <c r="AI339" i="1"/>
  <c r="AG339" i="1"/>
  <c r="AF339" i="1"/>
  <c r="AH339" i="1" s="1"/>
  <c r="BD339" i="1" s="1" a="1"/>
  <c r="BD339" i="1" s="1"/>
  <c r="BM339" i="1" s="1" a="1"/>
  <c r="BM339" i="1" s="1"/>
  <c r="S339" i="1"/>
  <c r="CE338" i="1"/>
  <c r="BP338" i="1" a="1"/>
  <c r="BP338" i="1" s="1"/>
  <c r="CF338" i="1" s="1"/>
  <c r="BO338" i="1" a="1"/>
  <c r="BO338" i="1" s="1"/>
  <c r="BN338" i="1" a="1"/>
  <c r="BN338" i="1" s="1"/>
  <c r="BI338" i="1"/>
  <c r="AT338" i="1"/>
  <c r="AK338" i="1"/>
  <c r="AJ338" i="1"/>
  <c r="AI338" i="1"/>
  <c r="AG338" i="1"/>
  <c r="AF338" i="1"/>
  <c r="AH338" i="1" s="1"/>
  <c r="R338" i="1" s="1"/>
  <c r="AZ338" i="1" s="1"/>
  <c r="BK338" i="1" s="1"/>
  <c r="BR338" i="1" s="1"/>
  <c r="S338" i="1"/>
  <c r="CE337" i="1"/>
  <c r="BP337" i="1" a="1"/>
  <c r="BP337" i="1" s="1"/>
  <c r="CF337" i="1" s="1"/>
  <c r="BO337" i="1" a="1"/>
  <c r="BO337" i="1" s="1"/>
  <c r="BN337" i="1" a="1"/>
  <c r="BN337" i="1" s="1"/>
  <c r="BI337" i="1"/>
  <c r="AT337" i="1"/>
  <c r="AK337" i="1"/>
  <c r="AJ337" i="1"/>
  <c r="AI337" i="1"/>
  <c r="AG337" i="1"/>
  <c r="AF337" i="1"/>
  <c r="AH337" i="1" s="1"/>
  <c r="S337" i="1"/>
  <c r="CE336" i="1"/>
  <c r="BP336" i="1" a="1"/>
  <c r="BP336" i="1" s="1"/>
  <c r="CF336" i="1" s="1"/>
  <c r="BO336" i="1" a="1"/>
  <c r="BO336" i="1" s="1"/>
  <c r="BN336" i="1" a="1"/>
  <c r="BN336" i="1" s="1"/>
  <c r="BI336" i="1"/>
  <c r="AT336" i="1"/>
  <c r="AK336" i="1"/>
  <c r="AJ336" i="1"/>
  <c r="AI336" i="1"/>
  <c r="AG336" i="1"/>
  <c r="S336" i="1"/>
  <c r="CE335" i="1"/>
  <c r="BP335" i="1" a="1"/>
  <c r="BP335" i="1" s="1"/>
  <c r="CF335" i="1" s="1"/>
  <c r="BO335" i="1" a="1"/>
  <c r="BO335" i="1" s="1"/>
  <c r="BN335" i="1" a="1"/>
  <c r="BN335" i="1" s="1"/>
  <c r="BI335" i="1"/>
  <c r="AT335" i="1"/>
  <c r="AK335" i="1"/>
  <c r="AJ335" i="1"/>
  <c r="AI335" i="1"/>
  <c r="AG335" i="1"/>
  <c r="S335" i="1"/>
  <c r="CE334" i="1"/>
  <c r="BP334" i="1" a="1"/>
  <c r="BP334" i="1" s="1"/>
  <c r="CF334" i="1" s="1"/>
  <c r="BO334" i="1" a="1"/>
  <c r="BO334" i="1" s="1"/>
  <c r="BN334" i="1" a="1"/>
  <c r="BN334" i="1" s="1"/>
  <c r="BI334" i="1"/>
  <c r="AT334" i="1"/>
  <c r="AK334" i="1"/>
  <c r="AJ334" i="1"/>
  <c r="AI334" i="1"/>
  <c r="AG334" i="1"/>
  <c r="S334" i="1"/>
  <c r="CE333" i="1"/>
  <c r="BP333" i="1" a="1"/>
  <c r="BP333" i="1" s="1"/>
  <c r="CF333" i="1" s="1"/>
  <c r="BO333" i="1" a="1"/>
  <c r="BO333" i="1" s="1"/>
  <c r="BN333" i="1" a="1"/>
  <c r="BN333" i="1" s="1"/>
  <c r="BI333" i="1"/>
  <c r="AT333" i="1"/>
  <c r="AK333" i="1"/>
  <c r="AJ333" i="1"/>
  <c r="AI333" i="1"/>
  <c r="AG333" i="1"/>
  <c r="S333" i="1"/>
  <c r="CE332" i="1"/>
  <c r="BP332" i="1" a="1"/>
  <c r="BP332" i="1" s="1"/>
  <c r="CF332" i="1" s="1"/>
  <c r="BO332" i="1" a="1"/>
  <c r="BO332" i="1" s="1"/>
  <c r="BN332" i="1" a="1"/>
  <c r="BN332" i="1" s="1"/>
  <c r="BI332" i="1"/>
  <c r="AT332" i="1"/>
  <c r="AK332" i="1"/>
  <c r="AJ332" i="1"/>
  <c r="AI332" i="1"/>
  <c r="AG332" i="1"/>
  <c r="S332" i="1"/>
  <c r="CE331" i="1"/>
  <c r="BP331" i="1" a="1"/>
  <c r="BP331" i="1" s="1"/>
  <c r="CF331" i="1" s="1"/>
  <c r="BO331" i="1" a="1"/>
  <c r="BO331" i="1" s="1"/>
  <c r="BN331" i="1" a="1"/>
  <c r="BN331" i="1" s="1"/>
  <c r="BI331" i="1"/>
  <c r="AT331" i="1"/>
  <c r="AK331" i="1"/>
  <c r="AJ331" i="1"/>
  <c r="AI331" i="1"/>
  <c r="AG331" i="1"/>
  <c r="S331" i="1"/>
  <c r="CE330" i="1"/>
  <c r="BP330" i="1" a="1"/>
  <c r="BP330" i="1" s="1"/>
  <c r="CF330" i="1" s="1"/>
  <c r="BO330" i="1" a="1"/>
  <c r="BO330" i="1" s="1"/>
  <c r="BN330" i="1" a="1"/>
  <c r="BN330" i="1" s="1"/>
  <c r="BI330" i="1"/>
  <c r="AT330" i="1"/>
  <c r="AK330" i="1"/>
  <c r="AJ330" i="1"/>
  <c r="AI330" i="1"/>
  <c r="AG330" i="1"/>
  <c r="AC330" i="1"/>
  <c r="AA330" i="1"/>
  <c r="S330" i="1"/>
  <c r="CE329" i="1"/>
  <c r="BP329" i="1" a="1"/>
  <c r="BP329" i="1" s="1"/>
  <c r="CF329" i="1" s="1"/>
  <c r="BO329" i="1" a="1"/>
  <c r="BO329" i="1" s="1"/>
  <c r="BN329" i="1" a="1"/>
  <c r="BN329" i="1" s="1"/>
  <c r="BI329" i="1"/>
  <c r="AT329" i="1"/>
  <c r="AK329" i="1"/>
  <c r="AJ329" i="1"/>
  <c r="AI329" i="1"/>
  <c r="AG329" i="1"/>
  <c r="S329" i="1"/>
  <c r="CE328" i="1"/>
  <c r="BP328" i="1" a="1"/>
  <c r="BP328" i="1" s="1"/>
  <c r="CF328" i="1" s="1"/>
  <c r="BO328" i="1" a="1"/>
  <c r="BO328" i="1" s="1"/>
  <c r="BN328" i="1" a="1"/>
  <c r="BN328" i="1" s="1"/>
  <c r="BI328" i="1"/>
  <c r="AT328" i="1"/>
  <c r="AK328" i="1"/>
  <c r="AJ328" i="1"/>
  <c r="AI328" i="1"/>
  <c r="AG328" i="1"/>
  <c r="AF328" i="1"/>
  <c r="AH328" i="1" s="1"/>
  <c r="BD328" i="1" s="1" a="1"/>
  <c r="BD328" i="1" s="1"/>
  <c r="BM328" i="1" s="1" a="1"/>
  <c r="BM328" i="1" s="1"/>
  <c r="S328" i="1"/>
  <c r="CE327" i="1"/>
  <c r="BP327" i="1" a="1"/>
  <c r="BP327" i="1" s="1"/>
  <c r="CF327" i="1" s="1"/>
  <c r="BO327" i="1" a="1"/>
  <c r="BO327" i="1" s="1"/>
  <c r="BN327" i="1" a="1"/>
  <c r="BN327" i="1" s="1"/>
  <c r="BI327" i="1"/>
  <c r="AT327" i="1"/>
  <c r="AK327" i="1"/>
  <c r="AJ327" i="1"/>
  <c r="AI327" i="1"/>
  <c r="AG327" i="1"/>
  <c r="S327" i="1"/>
  <c r="BP326" i="1" a="1"/>
  <c r="BP326" i="1" s="1"/>
  <c r="CF326" i="1" s="1"/>
  <c r="BO326" i="1" a="1"/>
  <c r="BO326" i="1" s="1"/>
  <c r="BN326" i="1" a="1"/>
  <c r="BN326" i="1" s="1"/>
  <c r="AT326" i="1"/>
  <c r="CE325" i="1"/>
  <c r="BP325" i="1" a="1"/>
  <c r="BP325" i="1" s="1"/>
  <c r="CF325" i="1" s="1"/>
  <c r="BO325" i="1" a="1"/>
  <c r="BO325" i="1" s="1"/>
  <c r="BN325" i="1" a="1"/>
  <c r="BN325" i="1" s="1"/>
  <c r="BI325" i="1"/>
  <c r="AT325" i="1"/>
  <c r="AK325" i="1"/>
  <c r="AJ325" i="1"/>
  <c r="AI325" i="1"/>
  <c r="AG325" i="1"/>
  <c r="AF325" i="1"/>
  <c r="AH325" i="1" s="1"/>
  <c r="S325" i="1"/>
  <c r="CE324" i="1"/>
  <c r="BP324" i="1" a="1"/>
  <c r="BP324" i="1" s="1"/>
  <c r="CF324" i="1" s="1"/>
  <c r="BO324" i="1" a="1"/>
  <c r="BO324" i="1" s="1"/>
  <c r="BN324" i="1" a="1"/>
  <c r="BN324" i="1" s="1"/>
  <c r="BI324" i="1"/>
  <c r="AT324" i="1"/>
  <c r="AK324" i="1"/>
  <c r="AI324" i="1"/>
  <c r="AG324" i="1"/>
  <c r="S324" i="1"/>
  <c r="CE323" i="1"/>
  <c r="BP323" i="1" a="1"/>
  <c r="BP323" i="1" s="1"/>
  <c r="CF323" i="1" s="1"/>
  <c r="BO323" i="1" a="1"/>
  <c r="BO323" i="1" s="1"/>
  <c r="BN323" i="1" a="1"/>
  <c r="BN323" i="1" s="1"/>
  <c r="BI323" i="1"/>
  <c r="AT323" i="1"/>
  <c r="AK323" i="1"/>
  <c r="AJ323" i="1"/>
  <c r="AI323" i="1"/>
  <c r="AG323" i="1"/>
  <c r="AF323" i="1"/>
  <c r="AH323" i="1" s="1"/>
  <c r="S323" i="1"/>
  <c r="CE322" i="1"/>
  <c r="BP322" i="1" a="1"/>
  <c r="BP322" i="1" s="1"/>
  <c r="CF322" i="1" s="1"/>
  <c r="BO322" i="1" a="1"/>
  <c r="BO322" i="1" s="1"/>
  <c r="BN322" i="1" a="1"/>
  <c r="BN322" i="1" s="1"/>
  <c r="BI322" i="1"/>
  <c r="AT322" i="1"/>
  <c r="AK322" i="1"/>
  <c r="AJ322" i="1"/>
  <c r="AI322" i="1"/>
  <c r="AG322" i="1"/>
  <c r="AF322" i="1"/>
  <c r="AH322" i="1" s="1"/>
  <c r="S322" i="1"/>
  <c r="CE321" i="1"/>
  <c r="BP321" i="1" a="1"/>
  <c r="BP321" i="1" s="1"/>
  <c r="CF321" i="1" s="1"/>
  <c r="BO321" i="1" a="1"/>
  <c r="BO321" i="1" s="1"/>
  <c r="BN321" i="1" a="1"/>
  <c r="BN321" i="1" s="1"/>
  <c r="BI321" i="1"/>
  <c r="AT321" i="1"/>
  <c r="AK321" i="1"/>
  <c r="AJ321" i="1"/>
  <c r="AI321" i="1"/>
  <c r="AG321" i="1"/>
  <c r="AF321" i="1"/>
  <c r="AH321" i="1" s="1"/>
  <c r="R321" i="1" s="1"/>
  <c r="AZ321" i="1" s="1"/>
  <c r="BK321" i="1" s="1"/>
  <c r="BR321" i="1" s="1"/>
  <c r="S321" i="1"/>
  <c r="CE320" i="1"/>
  <c r="BP320" i="1" a="1"/>
  <c r="BP320" i="1" s="1"/>
  <c r="CF320" i="1" s="1"/>
  <c r="BO320" i="1" a="1"/>
  <c r="BO320" i="1" s="1"/>
  <c r="BN320" i="1" a="1"/>
  <c r="BN320" i="1" s="1"/>
  <c r="BI320" i="1"/>
  <c r="AT320" i="1"/>
  <c r="AK320" i="1"/>
  <c r="AJ320" i="1"/>
  <c r="AI320" i="1"/>
  <c r="AG320" i="1"/>
  <c r="AF320" i="1"/>
  <c r="AH320" i="1" s="1"/>
  <c r="S320" i="1"/>
  <c r="CE319" i="1"/>
  <c r="BP319" i="1" a="1"/>
  <c r="BP319" i="1" s="1"/>
  <c r="CF319" i="1" s="1"/>
  <c r="BO319" i="1" a="1"/>
  <c r="BO319" i="1" s="1"/>
  <c r="BN319" i="1" a="1"/>
  <c r="BN319" i="1" s="1"/>
  <c r="BI319" i="1"/>
  <c r="AT319" i="1"/>
  <c r="AK319" i="1"/>
  <c r="AJ319" i="1"/>
  <c r="AI319" i="1"/>
  <c r="AG319" i="1"/>
  <c r="AF319" i="1"/>
  <c r="AH319" i="1" s="1"/>
  <c r="R319" i="1" s="1"/>
  <c r="AZ319" i="1" s="1"/>
  <c r="BK319" i="1" s="1"/>
  <c r="BR319" i="1" s="1"/>
  <c r="S319" i="1"/>
  <c r="CE318" i="1"/>
  <c r="BP318" i="1" a="1"/>
  <c r="BP318" i="1" s="1"/>
  <c r="CF318" i="1" s="1"/>
  <c r="BO318" i="1" a="1"/>
  <c r="BO318" i="1" s="1"/>
  <c r="BN318" i="1" a="1"/>
  <c r="BN318" i="1" s="1"/>
  <c r="BI318" i="1"/>
  <c r="AT318" i="1"/>
  <c r="AK318" i="1"/>
  <c r="AJ318" i="1"/>
  <c r="AI318" i="1"/>
  <c r="AG318" i="1"/>
  <c r="AF318" i="1"/>
  <c r="AH318" i="1" s="1"/>
  <c r="S318" i="1"/>
  <c r="CE317" i="1"/>
  <c r="BP317" i="1" a="1"/>
  <c r="BP317" i="1" s="1"/>
  <c r="CF317" i="1" s="1"/>
  <c r="BO317" i="1" a="1"/>
  <c r="BO317" i="1" s="1"/>
  <c r="BN317" i="1" a="1"/>
  <c r="BN317" i="1" s="1"/>
  <c r="BI317" i="1"/>
  <c r="AT317" i="1"/>
  <c r="AK317" i="1"/>
  <c r="AJ317" i="1"/>
  <c r="AI317" i="1"/>
  <c r="AG317" i="1"/>
  <c r="AF317" i="1"/>
  <c r="AH317" i="1" s="1"/>
  <c r="S317" i="1"/>
  <c r="CE316" i="1"/>
  <c r="BP316" i="1" a="1"/>
  <c r="BP316" i="1" s="1"/>
  <c r="CF316" i="1" s="1"/>
  <c r="BO316" i="1" a="1"/>
  <c r="BO316" i="1" s="1"/>
  <c r="BN316" i="1" a="1"/>
  <c r="BN316" i="1" s="1"/>
  <c r="BI316" i="1"/>
  <c r="AT316" i="1"/>
  <c r="AK316" i="1"/>
  <c r="AJ316" i="1"/>
  <c r="AI316" i="1"/>
  <c r="AG316" i="1"/>
  <c r="AF316" i="1"/>
  <c r="AH316" i="1" s="1"/>
  <c r="BD316" i="1" s="1" a="1"/>
  <c r="BD316" i="1" s="1"/>
  <c r="BM316" i="1" s="1" a="1"/>
  <c r="BM316" i="1" s="1"/>
  <c r="S316" i="1"/>
  <c r="CE315" i="1"/>
  <c r="BP315" i="1" a="1"/>
  <c r="BP315" i="1" s="1"/>
  <c r="CF315" i="1" s="1"/>
  <c r="BO315" i="1" a="1"/>
  <c r="BO315" i="1" s="1"/>
  <c r="BN315" i="1" a="1"/>
  <c r="BN315" i="1" s="1"/>
  <c r="BI315" i="1"/>
  <c r="AT315" i="1"/>
  <c r="AK315" i="1"/>
  <c r="AJ315" i="1"/>
  <c r="AI315" i="1"/>
  <c r="AG315" i="1"/>
  <c r="S315" i="1"/>
  <c r="CE314" i="1"/>
  <c r="BP314" i="1" a="1"/>
  <c r="BP314" i="1" s="1"/>
  <c r="CF314" i="1" s="1"/>
  <c r="BO314" i="1" a="1"/>
  <c r="BO314" i="1" s="1"/>
  <c r="BN314" i="1" a="1"/>
  <c r="BN314" i="1" s="1"/>
  <c r="BI314" i="1"/>
  <c r="AT314" i="1"/>
  <c r="AK314" i="1"/>
  <c r="AJ314" i="1"/>
  <c r="AI314" i="1"/>
  <c r="AG314" i="1"/>
  <c r="AF314" i="1"/>
  <c r="AH314" i="1" s="1"/>
  <c r="S314" i="1"/>
  <c r="CE313" i="1"/>
  <c r="BP313" i="1" a="1"/>
  <c r="BP313" i="1" s="1"/>
  <c r="CF313" i="1" s="1"/>
  <c r="BO313" i="1" a="1"/>
  <c r="BO313" i="1" s="1"/>
  <c r="BN313" i="1" a="1"/>
  <c r="BN313" i="1" s="1"/>
  <c r="BI313" i="1"/>
  <c r="AT313" i="1"/>
  <c r="AK313" i="1"/>
  <c r="AJ313" i="1"/>
  <c r="AI313" i="1"/>
  <c r="AG313" i="1"/>
  <c r="AF313" i="1"/>
  <c r="AH313" i="1" s="1"/>
  <c r="R313" i="1" s="1"/>
  <c r="AZ313" i="1" s="1"/>
  <c r="BK313" i="1" s="1"/>
  <c r="BR313" i="1" s="1"/>
  <c r="BX313" i="1" s="1"/>
  <c r="S313" i="1"/>
  <c r="AT312" i="1"/>
  <c r="AK312" i="1"/>
  <c r="AJ312" i="1"/>
  <c r="AI312" i="1"/>
  <c r="AG312" i="1"/>
  <c r="AH312" i="1" s="1"/>
  <c r="CM312" i="1" s="1"/>
  <c r="AF312" i="1"/>
  <c r="S312" i="1"/>
  <c r="CE311" i="1"/>
  <c r="BP311" i="1" a="1"/>
  <c r="BP311" i="1" s="1"/>
  <c r="CF311" i="1" s="1"/>
  <c r="BO311" i="1" a="1"/>
  <c r="BO311" i="1" s="1"/>
  <c r="BN311" i="1" a="1"/>
  <c r="BN311" i="1" s="1"/>
  <c r="BI311" i="1"/>
  <c r="AT311" i="1"/>
  <c r="AK311" i="1"/>
  <c r="AJ311" i="1"/>
  <c r="AI311" i="1"/>
  <c r="AG311" i="1"/>
  <c r="AF311" i="1"/>
  <c r="AH311" i="1" s="1"/>
  <c r="S311" i="1"/>
  <c r="CE310" i="1"/>
  <c r="BP310" i="1" a="1"/>
  <c r="BP310" i="1" s="1"/>
  <c r="CF310" i="1" s="1"/>
  <c r="BO310" i="1" a="1"/>
  <c r="BO310" i="1" s="1"/>
  <c r="BN310" i="1" a="1"/>
  <c r="BN310" i="1" s="1"/>
  <c r="BI310" i="1"/>
  <c r="AT310" i="1"/>
  <c r="AK310" i="1"/>
  <c r="AJ310" i="1"/>
  <c r="AI310" i="1"/>
  <c r="AG310" i="1"/>
  <c r="AF310" i="1"/>
  <c r="AH310" i="1" s="1"/>
  <c r="R310" i="1" s="1"/>
  <c r="AZ310" i="1" s="1"/>
  <c r="BK310" i="1" s="1"/>
  <c r="BR310" i="1" s="1"/>
  <c r="S310" i="1"/>
  <c r="CE309" i="1"/>
  <c r="BP309" i="1" a="1"/>
  <c r="BP309" i="1" s="1"/>
  <c r="CF309" i="1" s="1"/>
  <c r="BO309" i="1" a="1"/>
  <c r="BO309" i="1" s="1"/>
  <c r="BN309" i="1" a="1"/>
  <c r="BN309" i="1" s="1"/>
  <c r="BI309" i="1"/>
  <c r="AT309" i="1"/>
  <c r="AK309" i="1"/>
  <c r="AJ309" i="1"/>
  <c r="AI309" i="1"/>
  <c r="AG309" i="1"/>
  <c r="AF309" i="1"/>
  <c r="AH309" i="1" s="1"/>
  <c r="R309" i="1" s="1"/>
  <c r="AZ309" i="1" s="1"/>
  <c r="BK309" i="1" s="1"/>
  <c r="BR309" i="1" s="1"/>
  <c r="S309" i="1"/>
  <c r="AT308" i="1"/>
  <c r="AK308" i="1"/>
  <c r="AJ308" i="1"/>
  <c r="AI308" i="1"/>
  <c r="AG308" i="1"/>
  <c r="AH308" i="1" s="1"/>
  <c r="CM308" i="1" s="1"/>
  <c r="AF308" i="1"/>
  <c r="S308" i="1"/>
  <c r="CE307" i="1"/>
  <c r="BP307" i="1" a="1"/>
  <c r="BP307" i="1" s="1"/>
  <c r="CF307" i="1" s="1"/>
  <c r="BO307" i="1" a="1"/>
  <c r="BO307" i="1" s="1"/>
  <c r="CC307" i="1" s="1"/>
  <c r="BN307" i="1" a="1"/>
  <c r="BN307" i="1" s="1"/>
  <c r="BZ307" i="1" s="1"/>
  <c r="BI307" i="1"/>
  <c r="AT307" i="1"/>
  <c r="AK307" i="1"/>
  <c r="AJ307" i="1"/>
  <c r="AI307" i="1"/>
  <c r="AG307" i="1"/>
  <c r="AH307" i="1" s="1"/>
  <c r="AF307" i="1"/>
  <c r="S307" i="1"/>
  <c r="CE306" i="1"/>
  <c r="BP306" i="1" a="1"/>
  <c r="BP306" i="1" s="1"/>
  <c r="CF306" i="1" s="1"/>
  <c r="BO306" i="1" a="1"/>
  <c r="BO306" i="1" s="1"/>
  <c r="BN306" i="1" a="1"/>
  <c r="BN306" i="1" s="1"/>
  <c r="BI306" i="1"/>
  <c r="AT306" i="1"/>
  <c r="AK306" i="1"/>
  <c r="AJ306" i="1"/>
  <c r="AI306" i="1"/>
  <c r="AG306" i="1"/>
  <c r="AF306" i="1"/>
  <c r="AH306" i="1" s="1"/>
  <c r="S306" i="1"/>
  <c r="CE305" i="1"/>
  <c r="BP305" i="1" a="1"/>
  <c r="BP305" i="1" s="1"/>
  <c r="CF305" i="1" s="1"/>
  <c r="BO305" i="1" a="1"/>
  <c r="BO305" i="1" s="1"/>
  <c r="BN305" i="1" a="1"/>
  <c r="BN305" i="1" s="1"/>
  <c r="BI305" i="1"/>
  <c r="AT305" i="1"/>
  <c r="AK305" i="1"/>
  <c r="AJ305" i="1"/>
  <c r="AI305" i="1"/>
  <c r="AG305" i="1"/>
  <c r="AF305" i="1"/>
  <c r="AH305" i="1" s="1"/>
  <c r="S305" i="1"/>
  <c r="AT304" i="1"/>
  <c r="AK304" i="1"/>
  <c r="AJ304" i="1"/>
  <c r="AI304" i="1"/>
  <c r="AG304" i="1"/>
  <c r="AH304" i="1" s="1"/>
  <c r="AF304" i="1"/>
  <c r="S304" i="1"/>
  <c r="CE303" i="1"/>
  <c r="BP303" i="1" a="1"/>
  <c r="BP303" i="1" s="1"/>
  <c r="CF303" i="1" s="1"/>
  <c r="BO303" i="1" a="1"/>
  <c r="BO303" i="1" s="1"/>
  <c r="BN303" i="1" a="1"/>
  <c r="BN303" i="1" s="1"/>
  <c r="BI303" i="1"/>
  <c r="AT303" i="1"/>
  <c r="AK303" i="1"/>
  <c r="AJ303" i="1"/>
  <c r="AI303" i="1"/>
  <c r="AG303" i="1"/>
  <c r="AH303" i="1"/>
  <c r="S303" i="1"/>
  <c r="CE302" i="1"/>
  <c r="BP302" i="1" a="1"/>
  <c r="BP302" i="1" s="1"/>
  <c r="CF302" i="1" s="1"/>
  <c r="BO302" i="1" a="1"/>
  <c r="BO302" i="1" s="1"/>
  <c r="BN302" i="1" a="1"/>
  <c r="BN302" i="1" s="1"/>
  <c r="BI302" i="1"/>
  <c r="AT302" i="1"/>
  <c r="AK302" i="1"/>
  <c r="AJ302" i="1"/>
  <c r="AI302" i="1"/>
  <c r="AG302" i="1"/>
  <c r="AF302" i="1"/>
  <c r="AH302" i="1" s="1"/>
  <c r="S302" i="1"/>
  <c r="CE301" i="1"/>
  <c r="BP301" i="1" a="1"/>
  <c r="BP301" i="1" s="1"/>
  <c r="CF301" i="1" s="1"/>
  <c r="BO301" i="1" a="1"/>
  <c r="BO301" i="1" s="1"/>
  <c r="BN301" i="1" a="1"/>
  <c r="BN301" i="1" s="1"/>
  <c r="BI301" i="1"/>
  <c r="AT301" i="1"/>
  <c r="AK301" i="1"/>
  <c r="AJ301" i="1"/>
  <c r="AI301" i="1"/>
  <c r="AG301" i="1"/>
  <c r="AF301" i="1"/>
  <c r="AH301" i="1" s="1"/>
  <c r="BD301" i="1" s="1" a="1"/>
  <c r="BD301" i="1" s="1"/>
  <c r="BM301" i="1" s="1" a="1"/>
  <c r="BM301" i="1" s="1"/>
  <c r="S301" i="1"/>
  <c r="CE300" i="1"/>
  <c r="BP300" i="1" a="1"/>
  <c r="BP300" i="1" s="1"/>
  <c r="CF300" i="1" s="1"/>
  <c r="BO300" i="1" a="1"/>
  <c r="BO300" i="1" s="1"/>
  <c r="BN300" i="1" a="1"/>
  <c r="BN300" i="1" s="1"/>
  <c r="BI300" i="1"/>
  <c r="AT300" i="1"/>
  <c r="AK300" i="1"/>
  <c r="AJ300" i="1"/>
  <c r="AI300" i="1"/>
  <c r="AG300" i="1"/>
  <c r="AF300" i="1"/>
  <c r="AH300" i="1" s="1"/>
  <c r="R300" i="1" s="1"/>
  <c r="AZ300" i="1" s="1"/>
  <c r="BK300" i="1" s="1"/>
  <c r="BR300" i="1" s="1"/>
  <c r="BX300" i="1" s="1"/>
  <c r="S300" i="1"/>
  <c r="CE299" i="1"/>
  <c r="BP299" i="1" a="1"/>
  <c r="BP299" i="1" s="1"/>
  <c r="CF299" i="1" s="1"/>
  <c r="BO299" i="1" a="1"/>
  <c r="BO299" i="1" s="1"/>
  <c r="BN299" i="1" a="1"/>
  <c r="BN299" i="1" s="1"/>
  <c r="BI299" i="1"/>
  <c r="AT299" i="1"/>
  <c r="AK299" i="1"/>
  <c r="AJ299" i="1"/>
  <c r="AI299" i="1"/>
  <c r="AG299" i="1"/>
  <c r="AF299" i="1"/>
  <c r="AH299" i="1" s="1"/>
  <c r="S299" i="1"/>
  <c r="AT298" i="1"/>
  <c r="AK298" i="1"/>
  <c r="AJ298" i="1"/>
  <c r="AI298" i="1"/>
  <c r="AG298" i="1"/>
  <c r="AH298" i="1" s="1"/>
  <c r="CM298" i="1" s="1"/>
  <c r="AF298" i="1"/>
  <c r="S298" i="1"/>
  <c r="CE297" i="1"/>
  <c r="BP297" i="1" a="1"/>
  <c r="BP297" i="1" s="1"/>
  <c r="CF297" i="1" s="1"/>
  <c r="BO297" i="1" a="1"/>
  <c r="BO297" i="1" s="1"/>
  <c r="BN297" i="1" a="1"/>
  <c r="BN297" i="1" s="1"/>
  <c r="BI297" i="1"/>
  <c r="AT297" i="1"/>
  <c r="AK297" i="1"/>
  <c r="AJ297" i="1"/>
  <c r="AI297" i="1"/>
  <c r="AG297" i="1"/>
  <c r="AF297" i="1"/>
  <c r="AH297" i="1" s="1"/>
  <c r="BD297" i="1" s="1" a="1"/>
  <c r="BD297" i="1" s="1"/>
  <c r="BM297" i="1" s="1" a="1"/>
  <c r="BM297" i="1" s="1"/>
  <c r="S297" i="1"/>
  <c r="CE296" i="1"/>
  <c r="BP296" i="1" a="1"/>
  <c r="BP296" i="1" s="1"/>
  <c r="CF296" i="1" s="1"/>
  <c r="BO296" i="1" a="1"/>
  <c r="BO296" i="1" s="1"/>
  <c r="BN296" i="1" a="1"/>
  <c r="BN296" i="1" s="1"/>
  <c r="BI296" i="1"/>
  <c r="AT296" i="1"/>
  <c r="AK296" i="1"/>
  <c r="AJ296" i="1"/>
  <c r="AI296" i="1"/>
  <c r="AG296" i="1"/>
  <c r="AF296" i="1"/>
  <c r="AH296" i="1" s="1"/>
  <c r="S296" i="1"/>
  <c r="CE295" i="1"/>
  <c r="BP295" i="1" a="1"/>
  <c r="BP295" i="1" s="1"/>
  <c r="CF295" i="1" s="1"/>
  <c r="BO295" i="1" a="1"/>
  <c r="BO295" i="1" s="1"/>
  <c r="BN295" i="1" a="1"/>
  <c r="BN295" i="1" s="1"/>
  <c r="BI295" i="1"/>
  <c r="AT295" i="1"/>
  <c r="AK295" i="1"/>
  <c r="AJ295" i="1"/>
  <c r="AI295" i="1"/>
  <c r="AG295" i="1"/>
  <c r="AF295" i="1"/>
  <c r="AH295" i="1" s="1"/>
  <c r="BD295" i="1" s="1" a="1"/>
  <c r="BD295" i="1" s="1"/>
  <c r="BM295" i="1" s="1" a="1"/>
  <c r="BM295" i="1" s="1"/>
  <c r="S295" i="1"/>
  <c r="CE294" i="1"/>
  <c r="BP294" i="1" a="1"/>
  <c r="BP294" i="1" s="1"/>
  <c r="CF294" i="1" s="1"/>
  <c r="BO294" i="1" a="1"/>
  <c r="BO294" i="1" s="1"/>
  <c r="BN294" i="1" a="1"/>
  <c r="BN294" i="1" s="1"/>
  <c r="BI294" i="1"/>
  <c r="AT294" i="1"/>
  <c r="AK294" i="1"/>
  <c r="AJ294" i="1"/>
  <c r="AI294" i="1"/>
  <c r="AG294" i="1"/>
  <c r="AF294" i="1"/>
  <c r="AH294" i="1" s="1"/>
  <c r="BD294" i="1" s="1" a="1"/>
  <c r="BD294" i="1" s="1"/>
  <c r="BM294" i="1" s="1" a="1"/>
  <c r="BM294" i="1" s="1"/>
  <c r="S294" i="1"/>
  <c r="CE293" i="1"/>
  <c r="BP293" i="1" a="1"/>
  <c r="BP293" i="1" s="1"/>
  <c r="CF293" i="1" s="1"/>
  <c r="BO293" i="1" a="1"/>
  <c r="BO293" i="1" s="1"/>
  <c r="BN293" i="1" a="1"/>
  <c r="BN293" i="1" s="1"/>
  <c r="BI293" i="1"/>
  <c r="AT293" i="1"/>
  <c r="AK293" i="1"/>
  <c r="AJ293" i="1"/>
  <c r="AI293" i="1"/>
  <c r="AG293" i="1"/>
  <c r="AF293" i="1"/>
  <c r="AH293" i="1" s="1"/>
  <c r="CE292" i="1"/>
  <c r="BP292" i="1" a="1"/>
  <c r="BP292" i="1" s="1"/>
  <c r="CF292" i="1" s="1"/>
  <c r="BO292" i="1" a="1"/>
  <c r="BO292" i="1" s="1"/>
  <c r="BN292" i="1" a="1"/>
  <c r="BN292" i="1" s="1"/>
  <c r="BI292" i="1"/>
  <c r="AT292" i="1"/>
  <c r="AK292" i="1"/>
  <c r="AJ292" i="1"/>
  <c r="AI292" i="1"/>
  <c r="AG292" i="1"/>
  <c r="AF292" i="1"/>
  <c r="AH292" i="1" s="1"/>
  <c r="CE291" i="1"/>
  <c r="BP291" i="1" a="1"/>
  <c r="BP291" i="1" s="1"/>
  <c r="CF291" i="1" s="1"/>
  <c r="BO291" i="1" a="1"/>
  <c r="BO291" i="1" s="1"/>
  <c r="BN291" i="1" a="1"/>
  <c r="BN291" i="1" s="1"/>
  <c r="BI291" i="1"/>
  <c r="AT291" i="1"/>
  <c r="AK291" i="1"/>
  <c r="AJ291" i="1"/>
  <c r="AI291" i="1"/>
  <c r="AG291" i="1"/>
  <c r="AF291" i="1"/>
  <c r="AH291" i="1" s="1"/>
  <c r="R291" i="1" s="1"/>
  <c r="AZ291" i="1" s="1"/>
  <c r="BK291" i="1" s="1"/>
  <c r="BR291" i="1" s="1"/>
  <c r="S291" i="1"/>
  <c r="CE290" i="1"/>
  <c r="BP290" i="1" a="1"/>
  <c r="BP290" i="1" s="1"/>
  <c r="CF290" i="1" s="1"/>
  <c r="BO290" i="1" a="1"/>
  <c r="BO290" i="1" s="1"/>
  <c r="BN290" i="1" a="1"/>
  <c r="BN290" i="1" s="1"/>
  <c r="BI290" i="1"/>
  <c r="AT290" i="1"/>
  <c r="AK290" i="1"/>
  <c r="AJ290" i="1"/>
  <c r="AI290" i="1"/>
  <c r="AG290" i="1"/>
  <c r="AF290" i="1"/>
  <c r="AH290" i="1" s="1"/>
  <c r="R290" i="1" s="1"/>
  <c r="AZ290" i="1" s="1"/>
  <c r="BK290" i="1" s="1"/>
  <c r="BR290" i="1" s="1"/>
  <c r="S290" i="1"/>
  <c r="CE289" i="1"/>
  <c r="BP289" i="1" a="1"/>
  <c r="BP289" i="1" s="1"/>
  <c r="CF289" i="1" s="1"/>
  <c r="BO289" i="1" a="1"/>
  <c r="BO289" i="1" s="1"/>
  <c r="BN289" i="1" a="1"/>
  <c r="BN289" i="1" s="1"/>
  <c r="BI289" i="1"/>
  <c r="AT289" i="1"/>
  <c r="AK289" i="1"/>
  <c r="AJ289" i="1"/>
  <c r="AI289" i="1"/>
  <c r="AG289" i="1"/>
  <c r="AF289" i="1"/>
  <c r="AH289" i="1" s="1"/>
  <c r="BD289" i="1" s="1" a="1"/>
  <c r="BD289" i="1" s="1"/>
  <c r="BM289" i="1" s="1" a="1"/>
  <c r="BM289" i="1" s="1"/>
  <c r="S289" i="1"/>
  <c r="CE288" i="1"/>
  <c r="BP288" i="1" a="1"/>
  <c r="BP288" i="1" s="1"/>
  <c r="CF288" i="1" s="1"/>
  <c r="BO288" i="1" a="1"/>
  <c r="BO288" i="1" s="1"/>
  <c r="BN288" i="1" a="1"/>
  <c r="BN288" i="1" s="1"/>
  <c r="BI288" i="1"/>
  <c r="AT288" i="1"/>
  <c r="AK288" i="1"/>
  <c r="AJ288" i="1"/>
  <c r="AI288" i="1"/>
  <c r="AG288" i="1"/>
  <c r="AF288" i="1"/>
  <c r="AH288" i="1" s="1"/>
  <c r="BD288" i="1" s="1" a="1"/>
  <c r="BD288" i="1" s="1"/>
  <c r="BM288" i="1" s="1" a="1"/>
  <c r="BM288" i="1" s="1"/>
  <c r="S288" i="1"/>
  <c r="CE287" i="1"/>
  <c r="BP287" i="1" a="1"/>
  <c r="BP287" i="1" s="1"/>
  <c r="CF287" i="1" s="1"/>
  <c r="BO287" i="1" a="1"/>
  <c r="BO287" i="1" s="1"/>
  <c r="BN287" i="1" a="1"/>
  <c r="BN287" i="1" s="1"/>
  <c r="BI287" i="1"/>
  <c r="AT287" i="1"/>
  <c r="AK287" i="1"/>
  <c r="AJ287" i="1"/>
  <c r="AI287" i="1"/>
  <c r="AG287" i="1"/>
  <c r="AF287" i="1"/>
  <c r="AH287" i="1" s="1"/>
  <c r="R287" i="1" s="1"/>
  <c r="AZ287" i="1" s="1"/>
  <c r="BK287" i="1" s="1"/>
  <c r="BR287" i="1" s="1"/>
  <c r="S287" i="1"/>
  <c r="CE286" i="1"/>
  <c r="BP286" i="1" a="1"/>
  <c r="BP286" i="1" s="1"/>
  <c r="CF286" i="1" s="1"/>
  <c r="BO286" i="1" a="1"/>
  <c r="BO286" i="1" s="1"/>
  <c r="BN286" i="1" a="1"/>
  <c r="BN286" i="1" s="1"/>
  <c r="BI286" i="1"/>
  <c r="AT286" i="1"/>
  <c r="AK286" i="1"/>
  <c r="AJ286" i="1"/>
  <c r="AI286" i="1"/>
  <c r="AG286" i="1"/>
  <c r="AF286" i="1"/>
  <c r="AH286" i="1" s="1"/>
  <c r="S286" i="1"/>
  <c r="CE285" i="1"/>
  <c r="BP285" i="1" a="1"/>
  <c r="BP285" i="1" s="1"/>
  <c r="CF285" i="1" s="1"/>
  <c r="BO285" i="1" a="1"/>
  <c r="BO285" i="1" s="1"/>
  <c r="BN285" i="1" a="1"/>
  <c r="BN285" i="1" s="1"/>
  <c r="BI285" i="1"/>
  <c r="AT285" i="1"/>
  <c r="AK285" i="1"/>
  <c r="AJ285" i="1"/>
  <c r="AI285" i="1"/>
  <c r="AG285" i="1"/>
  <c r="AF285" i="1"/>
  <c r="AH285" i="1" s="1"/>
  <c r="BD285" i="1" s="1" a="1"/>
  <c r="BD285" i="1" s="1"/>
  <c r="BM285" i="1" s="1" a="1"/>
  <c r="BM285" i="1" s="1"/>
  <c r="S285" i="1"/>
  <c r="AT284" i="1"/>
  <c r="AK284" i="1"/>
  <c r="AJ284" i="1"/>
  <c r="AI284" i="1"/>
  <c r="AG284" i="1"/>
  <c r="AH284" i="1" s="1"/>
  <c r="CM284" i="1" s="1"/>
  <c r="AF284" i="1"/>
  <c r="S284" i="1"/>
  <c r="AT283" i="1"/>
  <c r="AK283" i="1"/>
  <c r="AJ283" i="1"/>
  <c r="AI283" i="1"/>
  <c r="AG283" i="1"/>
  <c r="AH283" i="1" s="1"/>
  <c r="AF283" i="1"/>
  <c r="S283" i="1"/>
  <c r="CE282" i="1"/>
  <c r="BP282" i="1" a="1"/>
  <c r="BP282" i="1" s="1"/>
  <c r="CF282" i="1" s="1"/>
  <c r="BO282" i="1" a="1"/>
  <c r="BO282" i="1" s="1"/>
  <c r="BN282" i="1" a="1"/>
  <c r="BN282" i="1" s="1"/>
  <c r="BI282" i="1"/>
  <c r="AT282" i="1"/>
  <c r="AK282" i="1"/>
  <c r="AJ282" i="1"/>
  <c r="AI282" i="1"/>
  <c r="AG282" i="1"/>
  <c r="AF282" i="1"/>
  <c r="AH282" i="1" s="1"/>
  <c r="R282" i="1" s="1"/>
  <c r="AZ282" i="1" s="1"/>
  <c r="BK282" i="1" s="1"/>
  <c r="BR282" i="1" s="1"/>
  <c r="S282" i="1"/>
  <c r="CE281" i="1"/>
  <c r="BP281" i="1" a="1"/>
  <c r="BP281" i="1" s="1"/>
  <c r="CF281" i="1" s="1"/>
  <c r="BO281" i="1" a="1"/>
  <c r="BO281" i="1" s="1"/>
  <c r="BN281" i="1" a="1"/>
  <c r="BN281" i="1" s="1"/>
  <c r="BI281" i="1"/>
  <c r="AT281" i="1"/>
  <c r="AK281" i="1"/>
  <c r="AJ281" i="1"/>
  <c r="AI281" i="1"/>
  <c r="AG281" i="1"/>
  <c r="AF281" i="1"/>
  <c r="AH281" i="1" s="1"/>
  <c r="S281" i="1"/>
  <c r="CE280" i="1"/>
  <c r="BP280" i="1" a="1"/>
  <c r="BP280" i="1" s="1"/>
  <c r="CF280" i="1" s="1"/>
  <c r="BO280" i="1" a="1"/>
  <c r="BO280" i="1" s="1"/>
  <c r="BN280" i="1" a="1"/>
  <c r="BN280" i="1" s="1"/>
  <c r="BI280" i="1"/>
  <c r="AT280" i="1"/>
  <c r="AK280" i="1"/>
  <c r="AJ280" i="1"/>
  <c r="AI280" i="1"/>
  <c r="AG280" i="1"/>
  <c r="AF280" i="1"/>
  <c r="AH280" i="1" s="1"/>
  <c r="BD280" i="1" s="1" a="1"/>
  <c r="BD280" i="1" s="1"/>
  <c r="BM280" i="1" s="1" a="1"/>
  <c r="BM280" i="1" s="1"/>
  <c r="S280" i="1"/>
  <c r="CE279" i="1"/>
  <c r="BP279" i="1" a="1"/>
  <c r="BP279" i="1" s="1"/>
  <c r="CF279" i="1" s="1"/>
  <c r="BO279" i="1" a="1"/>
  <c r="BO279" i="1" s="1"/>
  <c r="BN279" i="1" a="1"/>
  <c r="BN279" i="1" s="1"/>
  <c r="BI279" i="1"/>
  <c r="AT279" i="1"/>
  <c r="AK279" i="1"/>
  <c r="AJ279" i="1"/>
  <c r="AI279" i="1"/>
  <c r="AG279" i="1"/>
  <c r="AF279" i="1"/>
  <c r="AH279" i="1" s="1"/>
  <c r="S279" i="1"/>
  <c r="CE278" i="1"/>
  <c r="BP278" i="1" a="1"/>
  <c r="BP278" i="1" s="1"/>
  <c r="CF278" i="1" s="1"/>
  <c r="BO278" i="1" a="1"/>
  <c r="BO278" i="1" s="1"/>
  <c r="BN278" i="1" a="1"/>
  <c r="BN278" i="1" s="1"/>
  <c r="BI278" i="1"/>
  <c r="AT278" i="1"/>
  <c r="AK278" i="1"/>
  <c r="AJ278" i="1"/>
  <c r="AI278" i="1"/>
  <c r="AG278" i="1"/>
  <c r="AF278" i="1"/>
  <c r="AH278" i="1" s="1"/>
  <c r="S278" i="1"/>
  <c r="CE277" i="1"/>
  <c r="BP277" i="1" a="1"/>
  <c r="BP277" i="1" s="1"/>
  <c r="CF277" i="1" s="1"/>
  <c r="BO277" i="1" a="1"/>
  <c r="BO277" i="1" s="1"/>
  <c r="BN277" i="1" a="1"/>
  <c r="BN277" i="1" s="1"/>
  <c r="BI277" i="1"/>
  <c r="AT277" i="1"/>
  <c r="AK277" i="1"/>
  <c r="AJ277" i="1"/>
  <c r="AI277" i="1"/>
  <c r="AG277" i="1"/>
  <c r="AF277" i="1"/>
  <c r="AH277" i="1" s="1"/>
  <c r="R277" i="1" s="1"/>
  <c r="AZ277" i="1" s="1"/>
  <c r="BK277" i="1" s="1"/>
  <c r="BR277" i="1" s="1"/>
  <c r="BX277" i="1" s="1"/>
  <c r="CA277" i="1" s="1"/>
  <c r="S277" i="1"/>
  <c r="CE276" i="1"/>
  <c r="BP276" i="1" a="1"/>
  <c r="BP276" i="1" s="1"/>
  <c r="CF276" i="1" s="1"/>
  <c r="BO276" i="1" a="1"/>
  <c r="BO276" i="1" s="1"/>
  <c r="BN276" i="1" a="1"/>
  <c r="BN276" i="1" s="1"/>
  <c r="BI276" i="1"/>
  <c r="AT276" i="1"/>
  <c r="AK276" i="1"/>
  <c r="AJ276" i="1"/>
  <c r="AI276" i="1"/>
  <c r="AG276" i="1"/>
  <c r="AF276" i="1"/>
  <c r="AH276" i="1" s="1"/>
  <c r="S276" i="1"/>
  <c r="CE275" i="1"/>
  <c r="BP275" i="1" a="1"/>
  <c r="BP275" i="1" s="1"/>
  <c r="CF275" i="1" s="1"/>
  <c r="BO275" i="1" a="1"/>
  <c r="BO275" i="1" s="1"/>
  <c r="BN275" i="1" a="1"/>
  <c r="BN275" i="1" s="1"/>
  <c r="BI275" i="1"/>
  <c r="AT275" i="1"/>
  <c r="AK275" i="1"/>
  <c r="AJ275" i="1"/>
  <c r="AI275" i="1"/>
  <c r="AG275" i="1"/>
  <c r="AF275" i="1"/>
  <c r="AH275" i="1" s="1"/>
  <c r="R275" i="1" s="1"/>
  <c r="AZ275" i="1" s="1"/>
  <c r="BK275" i="1" s="1"/>
  <c r="BR275" i="1" s="1"/>
  <c r="BX275" i="1" s="1"/>
  <c r="S275" i="1"/>
  <c r="CE274" i="1"/>
  <c r="BP274" i="1" a="1"/>
  <c r="BP274" i="1" s="1"/>
  <c r="CF274" i="1" s="1"/>
  <c r="BO274" i="1" a="1"/>
  <c r="BO274" i="1" s="1"/>
  <c r="BN274" i="1" a="1"/>
  <c r="BN274" i="1" s="1"/>
  <c r="BI274" i="1"/>
  <c r="AT274" i="1"/>
  <c r="AK274" i="1"/>
  <c r="AJ274" i="1"/>
  <c r="AI274" i="1"/>
  <c r="AG274" i="1"/>
  <c r="AF274" i="1"/>
  <c r="AH274" i="1" s="1"/>
  <c r="S274" i="1"/>
  <c r="CE273" i="1"/>
  <c r="BP273" i="1" a="1"/>
  <c r="BP273" i="1" s="1"/>
  <c r="CF273" i="1" s="1"/>
  <c r="BO273" i="1" a="1"/>
  <c r="BO273" i="1" s="1"/>
  <c r="BN273" i="1" a="1"/>
  <c r="BN273" i="1" s="1"/>
  <c r="BI273" i="1"/>
  <c r="AT273" i="1"/>
  <c r="AK273" i="1"/>
  <c r="AJ273" i="1"/>
  <c r="AI273" i="1"/>
  <c r="AG273" i="1"/>
  <c r="AF273" i="1"/>
  <c r="AH273" i="1" s="1"/>
  <c r="BD273" i="1" s="1" a="1"/>
  <c r="BD273" i="1" s="1"/>
  <c r="BM273" i="1" s="1" a="1"/>
  <c r="BM273" i="1" s="1"/>
  <c r="S273" i="1"/>
  <c r="CE272" i="1"/>
  <c r="BP272" i="1" a="1"/>
  <c r="BP272" i="1" s="1"/>
  <c r="CF272" i="1" s="1"/>
  <c r="BO272" i="1" a="1"/>
  <c r="BO272" i="1" s="1"/>
  <c r="BN272" i="1" a="1"/>
  <c r="BN272" i="1" s="1"/>
  <c r="BI272" i="1"/>
  <c r="AT272" i="1"/>
  <c r="AK272" i="1"/>
  <c r="AJ272" i="1"/>
  <c r="AI272" i="1"/>
  <c r="AG272" i="1"/>
  <c r="AF272" i="1"/>
  <c r="AH272" i="1" s="1"/>
  <c r="S272" i="1"/>
  <c r="CE271" i="1"/>
  <c r="BP271" i="1" a="1"/>
  <c r="BP271" i="1" s="1"/>
  <c r="CF271" i="1" s="1"/>
  <c r="BO271" i="1" a="1"/>
  <c r="BO271" i="1" s="1"/>
  <c r="BN271" i="1" a="1"/>
  <c r="BN271" i="1" s="1"/>
  <c r="BI271" i="1"/>
  <c r="AT271" i="1"/>
  <c r="AK271" i="1"/>
  <c r="AJ271" i="1"/>
  <c r="AI271" i="1"/>
  <c r="AG271" i="1"/>
  <c r="S271" i="1"/>
  <c r="CE270" i="1"/>
  <c r="BP270" i="1" a="1"/>
  <c r="BP270" i="1" s="1"/>
  <c r="CF270" i="1" s="1"/>
  <c r="BO270" i="1" a="1"/>
  <c r="BO270" i="1" s="1"/>
  <c r="BN270" i="1" a="1"/>
  <c r="BN270" i="1" s="1"/>
  <c r="BI270" i="1"/>
  <c r="AT270" i="1"/>
  <c r="AK270" i="1"/>
  <c r="AJ270" i="1"/>
  <c r="AI270" i="1"/>
  <c r="AG270" i="1"/>
  <c r="S270" i="1"/>
  <c r="CE269" i="1"/>
  <c r="BP269" i="1" a="1"/>
  <c r="BP269" i="1" s="1"/>
  <c r="CF269" i="1" s="1"/>
  <c r="BO269" i="1" a="1"/>
  <c r="BO269" i="1" s="1"/>
  <c r="BN269" i="1" a="1"/>
  <c r="BN269" i="1" s="1"/>
  <c r="BI269" i="1"/>
  <c r="AT269" i="1"/>
  <c r="AK269" i="1"/>
  <c r="AJ269" i="1"/>
  <c r="AI269" i="1"/>
  <c r="AG269" i="1"/>
  <c r="AF269" i="1"/>
  <c r="AH269" i="1" s="1"/>
  <c r="S269" i="1"/>
  <c r="AT268" i="1"/>
  <c r="AK268" i="1"/>
  <c r="AJ268" i="1"/>
  <c r="AI268" i="1"/>
  <c r="AG268" i="1"/>
  <c r="AH268" i="1" s="1"/>
  <c r="AF268" i="1"/>
  <c r="S268" i="1"/>
  <c r="CE267" i="1"/>
  <c r="BP267" i="1" a="1"/>
  <c r="BP267" i="1" s="1"/>
  <c r="CF267" i="1" s="1"/>
  <c r="BO267" i="1" a="1"/>
  <c r="BO267" i="1" s="1"/>
  <c r="BN267" i="1" a="1"/>
  <c r="BN267" i="1" s="1"/>
  <c r="BI267" i="1"/>
  <c r="AT267" i="1"/>
  <c r="AK267" i="1"/>
  <c r="AJ267" i="1"/>
  <c r="AI267" i="1"/>
  <c r="AG267" i="1"/>
  <c r="AF267" i="1"/>
  <c r="AH267" i="1" s="1"/>
  <c r="BD267" i="1" s="1" a="1"/>
  <c r="BD267" i="1" s="1"/>
  <c r="BM267" i="1" s="1" a="1"/>
  <c r="BM267" i="1" s="1"/>
  <c r="S267" i="1"/>
  <c r="CE266" i="1"/>
  <c r="BP266" i="1" a="1"/>
  <c r="BP266" i="1" s="1"/>
  <c r="CF266" i="1" s="1"/>
  <c r="BO266" i="1" a="1"/>
  <c r="BO266" i="1" s="1"/>
  <c r="BN266" i="1" a="1"/>
  <c r="BN266" i="1" s="1"/>
  <c r="BI266" i="1"/>
  <c r="AT266" i="1"/>
  <c r="AK266" i="1"/>
  <c r="AJ266" i="1"/>
  <c r="AI266" i="1"/>
  <c r="AG266" i="1"/>
  <c r="AF266" i="1"/>
  <c r="AH266" i="1" s="1"/>
  <c r="S266" i="1"/>
  <c r="CE265" i="1"/>
  <c r="BP265" i="1" a="1"/>
  <c r="BP265" i="1" s="1"/>
  <c r="CF265" i="1" s="1"/>
  <c r="BO265" i="1" a="1"/>
  <c r="BO265" i="1" s="1"/>
  <c r="BN265" i="1" a="1"/>
  <c r="BN265" i="1" s="1"/>
  <c r="BI265" i="1"/>
  <c r="AT265" i="1"/>
  <c r="AK265" i="1"/>
  <c r="AJ265" i="1"/>
  <c r="AI265" i="1"/>
  <c r="AG265" i="1"/>
  <c r="S265" i="1"/>
  <c r="CE264" i="1"/>
  <c r="BP264" i="1" a="1"/>
  <c r="BP264" i="1" s="1"/>
  <c r="CF264" i="1" s="1"/>
  <c r="BO264" i="1" a="1"/>
  <c r="BO264" i="1" s="1"/>
  <c r="BN264" i="1" a="1"/>
  <c r="BN264" i="1" s="1"/>
  <c r="BI264" i="1"/>
  <c r="AT264" i="1"/>
  <c r="AK264" i="1"/>
  <c r="AJ264" i="1"/>
  <c r="AI264" i="1"/>
  <c r="AG264" i="1"/>
  <c r="S264" i="1"/>
  <c r="CE263" i="1"/>
  <c r="BP263" i="1" a="1"/>
  <c r="BP263" i="1" s="1"/>
  <c r="CF263" i="1" s="1"/>
  <c r="BO263" i="1" a="1"/>
  <c r="BO263" i="1" s="1"/>
  <c r="BN263" i="1" a="1"/>
  <c r="BN263" i="1" s="1"/>
  <c r="BI263" i="1"/>
  <c r="AT263" i="1"/>
  <c r="AK263" i="1"/>
  <c r="AJ263" i="1"/>
  <c r="AI263" i="1"/>
  <c r="AG263" i="1"/>
  <c r="S263" i="1"/>
  <c r="CE262" i="1"/>
  <c r="BP262" i="1" a="1"/>
  <c r="BP262" i="1" s="1"/>
  <c r="CF262" i="1" s="1"/>
  <c r="BO262" i="1" a="1"/>
  <c r="BO262" i="1" s="1"/>
  <c r="BN262" i="1" a="1"/>
  <c r="BN262" i="1" s="1"/>
  <c r="BI262" i="1"/>
  <c r="AT262" i="1"/>
  <c r="AK262" i="1"/>
  <c r="AJ262" i="1"/>
  <c r="AI262" i="1"/>
  <c r="AG262" i="1"/>
  <c r="S262" i="1"/>
  <c r="CE261" i="1"/>
  <c r="BP261" i="1" a="1"/>
  <c r="BP261" i="1" s="1"/>
  <c r="CF261" i="1" s="1"/>
  <c r="BO261" i="1" a="1"/>
  <c r="BO261" i="1" s="1"/>
  <c r="BN261" i="1" a="1"/>
  <c r="BN261" i="1" s="1"/>
  <c r="BI261" i="1"/>
  <c r="AT261" i="1"/>
  <c r="AK261" i="1"/>
  <c r="AJ261" i="1"/>
  <c r="AI261" i="1"/>
  <c r="AG261" i="1"/>
  <c r="AC261" i="1"/>
  <c r="S261" i="1"/>
  <c r="CE260" i="1"/>
  <c r="BP260" i="1" a="1"/>
  <c r="BP260" i="1" s="1"/>
  <c r="CF260" i="1" s="1"/>
  <c r="BO260" i="1" a="1"/>
  <c r="BO260" i="1" s="1"/>
  <c r="BN260" i="1" a="1"/>
  <c r="BN260" i="1" s="1"/>
  <c r="BI260" i="1"/>
  <c r="AT260" i="1"/>
  <c r="AK260" i="1"/>
  <c r="AJ260" i="1"/>
  <c r="AI260" i="1"/>
  <c r="AG260" i="1"/>
  <c r="AF260" i="1"/>
  <c r="AH260" i="1" s="1"/>
  <c r="S260" i="1"/>
  <c r="CE259" i="1"/>
  <c r="BP259" i="1" a="1"/>
  <c r="BP259" i="1" s="1"/>
  <c r="CF259" i="1" s="1"/>
  <c r="BO259" i="1" a="1"/>
  <c r="BO259" i="1" s="1"/>
  <c r="BN259" i="1" a="1"/>
  <c r="BN259" i="1" s="1"/>
  <c r="BI259" i="1"/>
  <c r="AT259" i="1"/>
  <c r="AK259" i="1"/>
  <c r="AJ259" i="1"/>
  <c r="AI259" i="1"/>
  <c r="AG259" i="1"/>
  <c r="AF259" i="1"/>
  <c r="AH259" i="1" s="1"/>
  <c r="S259" i="1"/>
  <c r="CE258" i="1"/>
  <c r="BP258" i="1" a="1"/>
  <c r="BP258" i="1" s="1"/>
  <c r="CF258" i="1" s="1"/>
  <c r="BO258" i="1" a="1"/>
  <c r="BO258" i="1" s="1"/>
  <c r="BN258" i="1" a="1"/>
  <c r="BN258" i="1" s="1"/>
  <c r="BI258" i="1"/>
  <c r="AT258" i="1"/>
  <c r="AK258" i="1"/>
  <c r="AJ258" i="1"/>
  <c r="AI258" i="1"/>
  <c r="AG258" i="1"/>
  <c r="S258" i="1"/>
  <c r="CE257" i="1"/>
  <c r="BP257" i="1" a="1"/>
  <c r="BP257" i="1" s="1"/>
  <c r="CF257" i="1" s="1"/>
  <c r="BO257" i="1" a="1"/>
  <c r="BO257" i="1" s="1"/>
  <c r="BN257" i="1" a="1"/>
  <c r="BN257" i="1" s="1"/>
  <c r="BI257" i="1"/>
  <c r="AT257" i="1"/>
  <c r="AK257" i="1"/>
  <c r="AJ257" i="1"/>
  <c r="AI257" i="1"/>
  <c r="AG257" i="1"/>
  <c r="S257" i="1"/>
  <c r="CE256" i="1"/>
  <c r="BP256" i="1" a="1"/>
  <c r="BP256" i="1" s="1"/>
  <c r="CF256" i="1" s="1"/>
  <c r="BO256" i="1" a="1"/>
  <c r="BO256" i="1" s="1"/>
  <c r="BN256" i="1" a="1"/>
  <c r="BN256" i="1" s="1"/>
  <c r="BI256" i="1"/>
  <c r="AT256" i="1"/>
  <c r="AK256" i="1"/>
  <c r="AJ256" i="1"/>
  <c r="AI256" i="1"/>
  <c r="AG256" i="1"/>
  <c r="S256" i="1"/>
  <c r="CE255" i="1"/>
  <c r="BP255" i="1" a="1"/>
  <c r="BP255" i="1" s="1"/>
  <c r="CF255" i="1" s="1"/>
  <c r="BO255" i="1" a="1"/>
  <c r="BO255" i="1" s="1"/>
  <c r="BN255" i="1" a="1"/>
  <c r="BN255" i="1" s="1"/>
  <c r="BI255" i="1"/>
  <c r="AT255" i="1"/>
  <c r="AK255" i="1"/>
  <c r="AJ255" i="1"/>
  <c r="AI255" i="1"/>
  <c r="AG255" i="1"/>
  <c r="S255" i="1"/>
  <c r="CE254" i="1"/>
  <c r="BP254" i="1" a="1"/>
  <c r="BP254" i="1" s="1"/>
  <c r="CF254" i="1" s="1"/>
  <c r="BO254" i="1" a="1"/>
  <c r="BO254" i="1" s="1"/>
  <c r="BN254" i="1" a="1"/>
  <c r="BN254" i="1" s="1"/>
  <c r="BI254" i="1"/>
  <c r="AT254" i="1"/>
  <c r="AK254" i="1"/>
  <c r="AJ254" i="1"/>
  <c r="AI254" i="1"/>
  <c r="AG254" i="1"/>
  <c r="S254" i="1"/>
  <c r="CE253" i="1"/>
  <c r="BP253" i="1" a="1"/>
  <c r="BP253" i="1" s="1"/>
  <c r="CF253" i="1" s="1"/>
  <c r="BO253" i="1" a="1"/>
  <c r="BO253" i="1" s="1"/>
  <c r="BN253" i="1" a="1"/>
  <c r="BN253" i="1" s="1"/>
  <c r="BI253" i="1"/>
  <c r="AT253" i="1"/>
  <c r="AK253" i="1"/>
  <c r="AJ253" i="1"/>
  <c r="AI253" i="1"/>
  <c r="AG253" i="1"/>
  <c r="S253" i="1"/>
  <c r="CE252" i="1"/>
  <c r="BP252" i="1" a="1"/>
  <c r="BP252" i="1" s="1"/>
  <c r="CF252" i="1" s="1"/>
  <c r="BO252" i="1" a="1"/>
  <c r="BO252" i="1" s="1"/>
  <c r="BN252" i="1" a="1"/>
  <c r="BN252" i="1" s="1"/>
  <c r="BI252" i="1"/>
  <c r="AT252" i="1"/>
  <c r="AK252" i="1"/>
  <c r="AJ252" i="1"/>
  <c r="AI252" i="1"/>
  <c r="AG252" i="1"/>
  <c r="S252" i="1"/>
  <c r="AT251" i="1"/>
  <c r="AK251" i="1"/>
  <c r="AJ251" i="1"/>
  <c r="AI251" i="1"/>
  <c r="AF251" i="1"/>
  <c r="AC251" i="1"/>
  <c r="S251" i="1"/>
  <c r="CE250" i="1"/>
  <c r="BP250" i="1" a="1"/>
  <c r="BP250" i="1" s="1"/>
  <c r="CF250" i="1" s="1"/>
  <c r="BO250" i="1" a="1"/>
  <c r="BO250" i="1" s="1"/>
  <c r="BN250" i="1" a="1"/>
  <c r="BN250" i="1" s="1"/>
  <c r="BI250" i="1"/>
  <c r="AT250" i="1"/>
  <c r="AK250" i="1"/>
  <c r="AJ250" i="1"/>
  <c r="AI250" i="1"/>
  <c r="AG250" i="1"/>
  <c r="AF250" i="1"/>
  <c r="AH250" i="1" s="1"/>
  <c r="S250" i="1"/>
  <c r="CE249" i="1"/>
  <c r="BP249" i="1" a="1"/>
  <c r="BP249" i="1" s="1"/>
  <c r="CF249" i="1" s="1"/>
  <c r="BO249" i="1" a="1"/>
  <c r="BO249" i="1" s="1"/>
  <c r="BN249" i="1" a="1"/>
  <c r="BN249" i="1" s="1"/>
  <c r="BI249" i="1"/>
  <c r="AT249" i="1"/>
  <c r="AK249" i="1"/>
  <c r="AJ249" i="1"/>
  <c r="AI249" i="1"/>
  <c r="AG249" i="1"/>
  <c r="S249" i="1"/>
  <c r="CE248" i="1"/>
  <c r="BP248" i="1" a="1"/>
  <c r="BP248" i="1" s="1"/>
  <c r="CF248" i="1" s="1"/>
  <c r="BO248" i="1" a="1"/>
  <c r="BO248" i="1" s="1"/>
  <c r="BN248" i="1" a="1"/>
  <c r="BN248" i="1" s="1"/>
  <c r="BI248" i="1"/>
  <c r="AT248" i="1"/>
  <c r="AK248" i="1"/>
  <c r="AJ248" i="1"/>
  <c r="AI248" i="1"/>
  <c r="AG248" i="1"/>
  <c r="S248" i="1"/>
  <c r="CE247" i="1"/>
  <c r="BP247" i="1" a="1"/>
  <c r="BP247" i="1" s="1"/>
  <c r="CF247" i="1" s="1"/>
  <c r="BO247" i="1" a="1"/>
  <c r="BO247" i="1" s="1"/>
  <c r="BN247" i="1" a="1"/>
  <c r="BN247" i="1" s="1"/>
  <c r="BI247" i="1"/>
  <c r="AT247" i="1"/>
  <c r="AK247" i="1"/>
  <c r="AJ247" i="1"/>
  <c r="AI247" i="1"/>
  <c r="AG247" i="1"/>
  <c r="S247" i="1"/>
  <c r="CE246" i="1"/>
  <c r="BP246" i="1" a="1"/>
  <c r="BP246" i="1" s="1"/>
  <c r="CF246" i="1" s="1"/>
  <c r="BO246" i="1" a="1"/>
  <c r="BO246" i="1" s="1"/>
  <c r="BN246" i="1" a="1"/>
  <c r="BN246" i="1" s="1"/>
  <c r="BI246" i="1"/>
  <c r="AT246" i="1"/>
  <c r="AK246" i="1"/>
  <c r="AJ246" i="1"/>
  <c r="AI246" i="1"/>
  <c r="AG246" i="1"/>
  <c r="S246" i="1"/>
  <c r="CE245" i="1"/>
  <c r="BP245" i="1" a="1"/>
  <c r="BP245" i="1" s="1"/>
  <c r="CF245" i="1" s="1"/>
  <c r="BO245" i="1" a="1"/>
  <c r="BO245" i="1" s="1"/>
  <c r="BN245" i="1" a="1"/>
  <c r="BN245" i="1" s="1"/>
  <c r="BI245" i="1"/>
  <c r="AT245" i="1"/>
  <c r="AK245" i="1"/>
  <c r="AJ245" i="1"/>
  <c r="AI245" i="1"/>
  <c r="AG245" i="1"/>
  <c r="S245" i="1"/>
  <c r="CE244" i="1"/>
  <c r="BP244" i="1" a="1"/>
  <c r="BP244" i="1" s="1"/>
  <c r="CF244" i="1" s="1"/>
  <c r="BO244" i="1" a="1"/>
  <c r="BO244" i="1" s="1"/>
  <c r="BN244" i="1" a="1"/>
  <c r="BN244" i="1" s="1"/>
  <c r="BI244" i="1"/>
  <c r="AT244" i="1"/>
  <c r="AK244" i="1"/>
  <c r="AJ244" i="1"/>
  <c r="AI244" i="1"/>
  <c r="AG244" i="1"/>
  <c r="AF244" i="1"/>
  <c r="AH244" i="1" s="1"/>
  <c r="R244" i="1" s="1"/>
  <c r="AZ244" i="1" s="1"/>
  <c r="BK244" i="1" s="1"/>
  <c r="BR244" i="1" s="1"/>
  <c r="BX244" i="1" s="1"/>
  <c r="S244" i="1"/>
  <c r="CE243" i="1"/>
  <c r="BP243" i="1" a="1"/>
  <c r="BP243" i="1" s="1"/>
  <c r="CF243" i="1" s="1"/>
  <c r="BO243" i="1" a="1"/>
  <c r="BO243" i="1" s="1"/>
  <c r="BN243" i="1" a="1"/>
  <c r="BN243" i="1" s="1"/>
  <c r="BI243" i="1"/>
  <c r="AT243" i="1"/>
  <c r="AK243" i="1"/>
  <c r="AJ243" i="1"/>
  <c r="AI243" i="1"/>
  <c r="AG243" i="1"/>
  <c r="S243" i="1"/>
  <c r="CE242" i="1"/>
  <c r="BP242" i="1" a="1"/>
  <c r="BP242" i="1" s="1"/>
  <c r="CF242" i="1" s="1"/>
  <c r="BO242" i="1" a="1"/>
  <c r="BO242" i="1" s="1"/>
  <c r="BN242" i="1" a="1"/>
  <c r="BN242" i="1" s="1"/>
  <c r="BI242" i="1"/>
  <c r="AT242" i="1"/>
  <c r="AK242" i="1"/>
  <c r="AJ242" i="1"/>
  <c r="AI242" i="1"/>
  <c r="AG242" i="1"/>
  <c r="AF242" i="1"/>
  <c r="AH242" i="1" s="1"/>
  <c r="BD242" i="1" s="1" a="1"/>
  <c r="BD242" i="1" s="1"/>
  <c r="BM242" i="1" s="1" a="1"/>
  <c r="BM242" i="1" s="1"/>
  <c r="S242" i="1"/>
  <c r="CE241" i="1"/>
  <c r="BP241" i="1" a="1"/>
  <c r="BP241" i="1" s="1"/>
  <c r="CF241" i="1" s="1"/>
  <c r="BO241" i="1" a="1"/>
  <c r="BO241" i="1" s="1"/>
  <c r="BN241" i="1" a="1"/>
  <c r="BN241" i="1" s="1"/>
  <c r="BI241" i="1"/>
  <c r="AT241" i="1"/>
  <c r="AK241" i="1"/>
  <c r="AJ241" i="1"/>
  <c r="AI241" i="1"/>
  <c r="AG241" i="1"/>
  <c r="AF241" i="1"/>
  <c r="AH241" i="1" s="1"/>
  <c r="BD241" i="1" s="1" a="1"/>
  <c r="BD241" i="1" s="1"/>
  <c r="BM241" i="1" s="1" a="1"/>
  <c r="BM241" i="1" s="1"/>
  <c r="S241" i="1"/>
  <c r="CE240" i="1"/>
  <c r="BP240" i="1" a="1"/>
  <c r="BP240" i="1" s="1"/>
  <c r="CF240" i="1" s="1"/>
  <c r="BO240" i="1" a="1"/>
  <c r="BO240" i="1" s="1"/>
  <c r="BN240" i="1" a="1"/>
  <c r="BN240" i="1" s="1"/>
  <c r="BI240" i="1"/>
  <c r="AT240" i="1"/>
  <c r="AK240" i="1"/>
  <c r="AJ240" i="1"/>
  <c r="AI240" i="1"/>
  <c r="AG240" i="1"/>
  <c r="AF240" i="1"/>
  <c r="AH240" i="1" s="1"/>
  <c r="BD240" i="1" s="1" a="1"/>
  <c r="BD240" i="1" s="1"/>
  <c r="BM240" i="1" s="1" a="1"/>
  <c r="BM240" i="1" s="1"/>
  <c r="S240" i="1"/>
  <c r="CE239" i="1"/>
  <c r="BP239" i="1" a="1"/>
  <c r="BP239" i="1" s="1"/>
  <c r="CF239" i="1" s="1"/>
  <c r="BO239" i="1" a="1"/>
  <c r="BO239" i="1" s="1"/>
  <c r="BN239" i="1" a="1"/>
  <c r="BN239" i="1" s="1"/>
  <c r="BI239" i="1"/>
  <c r="AT239" i="1"/>
  <c r="AK239" i="1"/>
  <c r="AJ239" i="1"/>
  <c r="AI239" i="1"/>
  <c r="AG239" i="1"/>
  <c r="AF239" i="1"/>
  <c r="AH239" i="1" s="1"/>
  <c r="R239" i="1" s="1"/>
  <c r="AZ239" i="1" s="1"/>
  <c r="BK239" i="1" s="1"/>
  <c r="BR239" i="1" s="1"/>
  <c r="S239" i="1"/>
  <c r="CE238" i="1"/>
  <c r="BP238" i="1" a="1"/>
  <c r="BP238" i="1" s="1"/>
  <c r="CF238" i="1" s="1"/>
  <c r="BO238" i="1" a="1"/>
  <c r="BO238" i="1" s="1"/>
  <c r="BN238" i="1" a="1"/>
  <c r="BN238" i="1" s="1"/>
  <c r="BI238" i="1"/>
  <c r="AT238" i="1"/>
  <c r="AK238" i="1"/>
  <c r="AJ238" i="1"/>
  <c r="AI238" i="1"/>
  <c r="AG238" i="1"/>
  <c r="AF238" i="1"/>
  <c r="AH238" i="1" s="1"/>
  <c r="BD238" i="1" s="1" a="1"/>
  <c r="BD238" i="1" s="1"/>
  <c r="BM238" i="1" s="1" a="1"/>
  <c r="BM238" i="1" s="1"/>
  <c r="S238" i="1"/>
  <c r="CE237" i="1"/>
  <c r="BP237" i="1" a="1"/>
  <c r="BP237" i="1" s="1"/>
  <c r="CF237" i="1" s="1"/>
  <c r="BO237" i="1" a="1"/>
  <c r="BO237" i="1" s="1"/>
  <c r="BN237" i="1" a="1"/>
  <c r="BN237" i="1" s="1"/>
  <c r="BI237" i="1"/>
  <c r="AT237" i="1"/>
  <c r="AK237" i="1"/>
  <c r="AJ237" i="1"/>
  <c r="AI237" i="1"/>
  <c r="AG237" i="1"/>
  <c r="AF237" i="1"/>
  <c r="AH237" i="1" s="1"/>
  <c r="R237" i="1" s="1"/>
  <c r="AZ237" i="1" s="1"/>
  <c r="BK237" i="1" s="1"/>
  <c r="BR237" i="1" s="1"/>
  <c r="S237" i="1"/>
  <c r="CE236" i="1"/>
  <c r="BP236" i="1" a="1"/>
  <c r="BP236" i="1" s="1"/>
  <c r="CF236" i="1" s="1"/>
  <c r="BO236" i="1" a="1"/>
  <c r="BO236" i="1" s="1"/>
  <c r="BN236" i="1" a="1"/>
  <c r="BN236" i="1" s="1"/>
  <c r="BI236" i="1"/>
  <c r="AT236" i="1"/>
  <c r="AK236" i="1"/>
  <c r="AJ236" i="1"/>
  <c r="AI236" i="1"/>
  <c r="AG236" i="1"/>
  <c r="AF236" i="1"/>
  <c r="AH236" i="1" s="1"/>
  <c r="BD236" i="1" s="1" a="1"/>
  <c r="BD236" i="1" s="1"/>
  <c r="BM236" i="1" s="1" a="1"/>
  <c r="BM236" i="1" s="1"/>
  <c r="S236" i="1"/>
  <c r="CE235" i="1"/>
  <c r="BP235" i="1" a="1"/>
  <c r="BP235" i="1" s="1"/>
  <c r="CF235" i="1" s="1"/>
  <c r="BO235" i="1" a="1"/>
  <c r="BO235" i="1" s="1"/>
  <c r="BN235" i="1" a="1"/>
  <c r="BN235" i="1" s="1"/>
  <c r="BI235" i="1"/>
  <c r="AT235" i="1"/>
  <c r="AK235" i="1"/>
  <c r="AJ235" i="1"/>
  <c r="AI235" i="1"/>
  <c r="AG235" i="1"/>
  <c r="AF235" i="1"/>
  <c r="AH235" i="1" s="1"/>
  <c r="S235" i="1"/>
  <c r="CE234" i="1"/>
  <c r="BP234" i="1" a="1"/>
  <c r="BP234" i="1" s="1"/>
  <c r="CF234" i="1" s="1"/>
  <c r="BO234" i="1" a="1"/>
  <c r="BO234" i="1" s="1"/>
  <c r="BN234" i="1" a="1"/>
  <c r="BN234" i="1" s="1"/>
  <c r="BI234" i="1"/>
  <c r="AT234" i="1"/>
  <c r="AK234" i="1"/>
  <c r="AJ234" i="1"/>
  <c r="AI234" i="1"/>
  <c r="AG234" i="1"/>
  <c r="AF234" i="1"/>
  <c r="AH234" i="1" s="1"/>
  <c r="S234" i="1"/>
  <c r="BP233" i="1" a="1"/>
  <c r="BP233" i="1" s="1"/>
  <c r="CF233" i="1" s="1"/>
  <c r="BO233" i="1" a="1"/>
  <c r="BO233" i="1" s="1"/>
  <c r="BN233" i="1" a="1"/>
  <c r="BN233" i="1" s="1"/>
  <c r="AT233" i="1"/>
  <c r="BP232" i="1" a="1"/>
  <c r="BP232" i="1" s="1"/>
  <c r="CF232" i="1" s="1"/>
  <c r="BO232" i="1" a="1"/>
  <c r="BO232" i="1" s="1"/>
  <c r="BN232" i="1" a="1"/>
  <c r="BN232" i="1" s="1"/>
  <c r="AT232" i="1"/>
  <c r="CE231" i="1"/>
  <c r="BP231" i="1" a="1"/>
  <c r="BP231" i="1" s="1"/>
  <c r="CF231" i="1" s="1"/>
  <c r="BO231" i="1" a="1"/>
  <c r="BO231" i="1" s="1"/>
  <c r="BN231" i="1" a="1"/>
  <c r="BN231" i="1" s="1"/>
  <c r="BI231" i="1"/>
  <c r="AT231" i="1"/>
  <c r="AK231" i="1"/>
  <c r="AJ231" i="1"/>
  <c r="AI231" i="1"/>
  <c r="AG231" i="1"/>
  <c r="S231" i="1"/>
  <c r="CE230" i="1"/>
  <c r="BP230" i="1" a="1"/>
  <c r="BP230" i="1" s="1"/>
  <c r="CF230" i="1" s="1"/>
  <c r="BO230" i="1" a="1"/>
  <c r="BO230" i="1" s="1"/>
  <c r="BN230" i="1" a="1"/>
  <c r="BN230" i="1" s="1"/>
  <c r="BI230" i="1"/>
  <c r="AT230" i="1"/>
  <c r="AK230" i="1"/>
  <c r="AJ230" i="1"/>
  <c r="AI230" i="1"/>
  <c r="AG230" i="1"/>
  <c r="AF230" i="1"/>
  <c r="AH230" i="1" s="1"/>
  <c r="S230" i="1"/>
  <c r="CE229" i="1"/>
  <c r="BP229" i="1" a="1"/>
  <c r="BP229" i="1" s="1"/>
  <c r="CF229" i="1" s="1"/>
  <c r="BO229" i="1" a="1"/>
  <c r="BO229" i="1" s="1"/>
  <c r="BN229" i="1" a="1"/>
  <c r="BN229" i="1" s="1"/>
  <c r="BI229" i="1"/>
  <c r="AT229" i="1"/>
  <c r="AK229" i="1"/>
  <c r="AJ229" i="1"/>
  <c r="AI229" i="1"/>
  <c r="AG229" i="1"/>
  <c r="AF229" i="1"/>
  <c r="AH229" i="1" s="1"/>
  <c r="S229" i="1"/>
  <c r="CE228" i="1"/>
  <c r="BP228" i="1" a="1"/>
  <c r="BP228" i="1" s="1"/>
  <c r="CF228" i="1" s="1"/>
  <c r="BO228" i="1" a="1"/>
  <c r="BO228" i="1" s="1"/>
  <c r="BN228" i="1" a="1"/>
  <c r="BN228" i="1" s="1"/>
  <c r="BI228" i="1"/>
  <c r="AT228" i="1"/>
  <c r="AK228" i="1"/>
  <c r="AJ228" i="1"/>
  <c r="AI228" i="1"/>
  <c r="AG228" i="1"/>
  <c r="AF228" i="1"/>
  <c r="AH228" i="1" s="1"/>
  <c r="S228" i="1"/>
  <c r="AT227" i="1"/>
  <c r="AK227" i="1"/>
  <c r="AJ227" i="1"/>
  <c r="AI227" i="1"/>
  <c r="AG227" i="1"/>
  <c r="AH227" i="1" s="1"/>
  <c r="AF227" i="1"/>
  <c r="S227" i="1"/>
  <c r="CE226" i="1"/>
  <c r="BP226" i="1" a="1"/>
  <c r="BP226" i="1" s="1"/>
  <c r="CF226" i="1" s="1"/>
  <c r="BO226" i="1" a="1"/>
  <c r="BO226" i="1" s="1"/>
  <c r="BN226" i="1" a="1"/>
  <c r="BN226" i="1" s="1"/>
  <c r="BI226" i="1"/>
  <c r="AT226" i="1"/>
  <c r="AK226" i="1"/>
  <c r="AJ226" i="1"/>
  <c r="AI226" i="1"/>
  <c r="AG226" i="1"/>
  <c r="AF226" i="1"/>
  <c r="AH226" i="1" s="1"/>
  <c r="S226" i="1"/>
  <c r="CE225" i="1"/>
  <c r="BP225" i="1" a="1"/>
  <c r="BP225" i="1" s="1"/>
  <c r="CF225" i="1" s="1"/>
  <c r="BO225" i="1" a="1"/>
  <c r="BO225" i="1" s="1"/>
  <c r="BN225" i="1" a="1"/>
  <c r="BN225" i="1" s="1"/>
  <c r="BI225" i="1"/>
  <c r="AT225" i="1"/>
  <c r="AK225" i="1"/>
  <c r="AJ225" i="1"/>
  <c r="AI225" i="1"/>
  <c r="AG225" i="1"/>
  <c r="S225" i="1"/>
  <c r="AT224" i="1"/>
  <c r="AK224" i="1"/>
  <c r="AJ224" i="1"/>
  <c r="AI224" i="1"/>
  <c r="AG224" i="1"/>
  <c r="AH224" i="1" s="1"/>
  <c r="AF224" i="1"/>
  <c r="S224" i="1"/>
  <c r="CE223" i="1"/>
  <c r="BP223" i="1" a="1"/>
  <c r="BP223" i="1" s="1"/>
  <c r="CF223" i="1" s="1"/>
  <c r="BO223" i="1" a="1"/>
  <c r="BO223" i="1" s="1"/>
  <c r="BN223" i="1" a="1"/>
  <c r="BN223" i="1" s="1"/>
  <c r="BI223" i="1"/>
  <c r="AT223" i="1"/>
  <c r="AK223" i="1"/>
  <c r="AJ223" i="1"/>
  <c r="AI223" i="1"/>
  <c r="AG223" i="1"/>
  <c r="S223" i="1"/>
  <c r="CE222" i="1"/>
  <c r="BP222" i="1" a="1"/>
  <c r="BP222" i="1" s="1"/>
  <c r="CF222" i="1" s="1"/>
  <c r="BO222" i="1" a="1"/>
  <c r="BO222" i="1" s="1"/>
  <c r="BN222" i="1" a="1"/>
  <c r="BN222" i="1" s="1"/>
  <c r="BI222" i="1"/>
  <c r="AT222" i="1"/>
  <c r="AK222" i="1"/>
  <c r="AJ222" i="1"/>
  <c r="AI222" i="1"/>
  <c r="AG222" i="1"/>
  <c r="AF222" i="1"/>
  <c r="AH222" i="1" s="1"/>
  <c r="S222" i="1"/>
  <c r="CE221" i="1"/>
  <c r="BP221" i="1" a="1"/>
  <c r="BP221" i="1" s="1"/>
  <c r="CF221" i="1" s="1"/>
  <c r="BO221" i="1" a="1"/>
  <c r="BO221" i="1" s="1"/>
  <c r="BN221" i="1" a="1"/>
  <c r="BN221" i="1" s="1"/>
  <c r="BI221" i="1"/>
  <c r="AT221" i="1"/>
  <c r="AK221" i="1"/>
  <c r="AJ221" i="1"/>
  <c r="AI221" i="1"/>
  <c r="AG221" i="1"/>
  <c r="S221" i="1"/>
  <c r="CE220" i="1"/>
  <c r="BP220" i="1" a="1"/>
  <c r="BP220" i="1" s="1"/>
  <c r="CF220" i="1" s="1"/>
  <c r="BO220" i="1" a="1"/>
  <c r="BO220" i="1" s="1"/>
  <c r="BN220" i="1" a="1"/>
  <c r="BN220" i="1" s="1"/>
  <c r="BI220" i="1"/>
  <c r="AT220" i="1"/>
  <c r="AK220" i="1"/>
  <c r="AJ220" i="1"/>
  <c r="AI220" i="1"/>
  <c r="AG220" i="1"/>
  <c r="S220" i="1"/>
  <c r="CE219" i="1"/>
  <c r="BP219" i="1" a="1"/>
  <c r="BP219" i="1" s="1"/>
  <c r="CF219" i="1" s="1"/>
  <c r="BO219" i="1" a="1"/>
  <c r="BO219" i="1" s="1"/>
  <c r="BN219" i="1" a="1"/>
  <c r="BN219" i="1" s="1"/>
  <c r="BI219" i="1"/>
  <c r="AT219" i="1"/>
  <c r="AK219" i="1"/>
  <c r="AJ219" i="1"/>
  <c r="AI219" i="1"/>
  <c r="AG219" i="1"/>
  <c r="AF219" i="1"/>
  <c r="AH219" i="1" s="1"/>
  <c r="S219" i="1"/>
  <c r="CE218" i="1"/>
  <c r="BP218" i="1" a="1"/>
  <c r="BP218" i="1" s="1"/>
  <c r="CF218" i="1" s="1"/>
  <c r="BO218" i="1" a="1"/>
  <c r="BO218" i="1" s="1"/>
  <c r="BN218" i="1" a="1"/>
  <c r="BN218" i="1" s="1"/>
  <c r="BI218" i="1"/>
  <c r="AT218" i="1"/>
  <c r="AK218" i="1"/>
  <c r="AJ218" i="1"/>
  <c r="AI218" i="1"/>
  <c r="AG218" i="1"/>
  <c r="AF218" i="1"/>
  <c r="AH218" i="1" s="1"/>
  <c r="S218" i="1"/>
  <c r="CE217" i="1"/>
  <c r="BP217" i="1" a="1"/>
  <c r="BP217" i="1" s="1"/>
  <c r="CF217" i="1" s="1"/>
  <c r="BO217" i="1" a="1"/>
  <c r="BO217" i="1" s="1"/>
  <c r="CC217" i="1" s="1"/>
  <c r="BN217" i="1" a="1"/>
  <c r="BN217" i="1" s="1"/>
  <c r="BZ217" i="1" s="1"/>
  <c r="BI217" i="1"/>
  <c r="AT217" i="1"/>
  <c r="AK217" i="1"/>
  <c r="AJ217" i="1"/>
  <c r="AI217" i="1"/>
  <c r="AG217" i="1"/>
  <c r="AF217" i="1"/>
  <c r="AH217" i="1" s="1"/>
  <c r="S217" i="1"/>
  <c r="CE216" i="1"/>
  <c r="BP216" i="1" a="1"/>
  <c r="BP216" i="1" s="1"/>
  <c r="CF216" i="1" s="1"/>
  <c r="BO216" i="1" a="1"/>
  <c r="BO216" i="1" s="1"/>
  <c r="CC216" i="1" s="1"/>
  <c r="BN216" i="1" a="1"/>
  <c r="BN216" i="1" s="1"/>
  <c r="BZ216" i="1" s="1"/>
  <c r="BI216" i="1"/>
  <c r="AT216" i="1"/>
  <c r="AK216" i="1"/>
  <c r="AJ216" i="1"/>
  <c r="AI216" i="1"/>
  <c r="AG216" i="1"/>
  <c r="AF216" i="1"/>
  <c r="AH216" i="1" s="1"/>
  <c r="S216" i="1"/>
  <c r="CE215" i="1"/>
  <c r="BP215" i="1" a="1"/>
  <c r="BP215" i="1" s="1"/>
  <c r="CF215" i="1" s="1"/>
  <c r="BO215" i="1" a="1"/>
  <c r="BO215" i="1" s="1"/>
  <c r="BN215" i="1" a="1"/>
  <c r="BN215" i="1" s="1"/>
  <c r="BI215" i="1"/>
  <c r="AT215" i="1"/>
  <c r="AK215" i="1"/>
  <c r="AJ215" i="1"/>
  <c r="AI215" i="1"/>
  <c r="AG215" i="1"/>
  <c r="AF215" i="1"/>
  <c r="AH215" i="1" s="1"/>
  <c r="S215" i="1"/>
  <c r="CE214" i="1"/>
  <c r="BP214" i="1" a="1"/>
  <c r="BP214" i="1" s="1"/>
  <c r="CF214" i="1" s="1"/>
  <c r="BO214" i="1" a="1"/>
  <c r="BO214" i="1" s="1"/>
  <c r="BN214" i="1" a="1"/>
  <c r="BN214" i="1" s="1"/>
  <c r="BI214" i="1"/>
  <c r="AT214" i="1"/>
  <c r="AK214" i="1"/>
  <c r="AJ214" i="1"/>
  <c r="AI214" i="1"/>
  <c r="AG214" i="1"/>
  <c r="AF214" i="1"/>
  <c r="AH214" i="1" s="1"/>
  <c r="R214" i="1" s="1"/>
  <c r="AZ214" i="1" s="1"/>
  <c r="S214" i="1"/>
  <c r="CE213" i="1"/>
  <c r="BP213" i="1" a="1"/>
  <c r="BP213" i="1" s="1"/>
  <c r="CF213" i="1" s="1"/>
  <c r="BO213" i="1" a="1"/>
  <c r="BO213" i="1" s="1"/>
  <c r="BN213" i="1" a="1"/>
  <c r="BN213" i="1" s="1"/>
  <c r="BI213" i="1"/>
  <c r="AT213" i="1"/>
  <c r="AK213" i="1"/>
  <c r="AI213" i="1"/>
  <c r="AG213" i="1"/>
  <c r="AF213" i="1"/>
  <c r="AH213" i="1" s="1"/>
  <c r="S213" i="1"/>
  <c r="CE212" i="1"/>
  <c r="BP212" i="1" a="1"/>
  <c r="BP212" i="1" s="1"/>
  <c r="CF212" i="1" s="1"/>
  <c r="BO212" i="1" a="1"/>
  <c r="BO212" i="1" s="1"/>
  <c r="CC212" i="1" s="1"/>
  <c r="BN212" i="1" a="1"/>
  <c r="BN212" i="1" s="1"/>
  <c r="BZ212" i="1" s="1"/>
  <c r="BI212" i="1"/>
  <c r="AT212" i="1"/>
  <c r="AK212" i="1"/>
  <c r="AJ212" i="1"/>
  <c r="AI212" i="1"/>
  <c r="AG212" i="1"/>
  <c r="AH212" i="1" s="1"/>
  <c r="CM212" i="1" s="1"/>
  <c r="S212" i="1"/>
  <c r="CE211" i="1"/>
  <c r="BP211" i="1" a="1"/>
  <c r="BP211" i="1" s="1"/>
  <c r="CF211" i="1" s="1"/>
  <c r="BO211" i="1" a="1"/>
  <c r="BO211" i="1" s="1"/>
  <c r="CC211" i="1" s="1"/>
  <c r="BN211" i="1" a="1"/>
  <c r="BN211" i="1" s="1"/>
  <c r="BZ211" i="1" s="1"/>
  <c r="BI211" i="1"/>
  <c r="AT211" i="1"/>
  <c r="AK211" i="1"/>
  <c r="AI211" i="1"/>
  <c r="AG211" i="1"/>
  <c r="AH211" i="1" s="1"/>
  <c r="AF211" i="1"/>
  <c r="S211" i="1"/>
  <c r="AT210" i="1"/>
  <c r="AK210" i="1"/>
  <c r="AJ210" i="1"/>
  <c r="AI210" i="1"/>
  <c r="AG210" i="1"/>
  <c r="AH210" i="1" s="1"/>
  <c r="AF210" i="1"/>
  <c r="S210" i="1"/>
  <c r="CE209" i="1"/>
  <c r="BP209" i="1" a="1"/>
  <c r="BP209" i="1" s="1"/>
  <c r="CF209" i="1" s="1"/>
  <c r="BO209" i="1" a="1"/>
  <c r="BO209" i="1" s="1"/>
  <c r="BN209" i="1" a="1"/>
  <c r="BN209" i="1" s="1"/>
  <c r="BI209" i="1"/>
  <c r="AT209" i="1"/>
  <c r="AK209" i="1"/>
  <c r="AJ209" i="1"/>
  <c r="AI209" i="1"/>
  <c r="AG209" i="1"/>
  <c r="AF209" i="1"/>
  <c r="AH209" i="1" s="1"/>
  <c r="S209" i="1"/>
  <c r="CE208" i="1"/>
  <c r="BP208" i="1" a="1"/>
  <c r="BP208" i="1" s="1"/>
  <c r="CF208" i="1" s="1"/>
  <c r="BO208" i="1" a="1"/>
  <c r="BO208" i="1" s="1"/>
  <c r="BN208" i="1" a="1"/>
  <c r="BN208" i="1" s="1"/>
  <c r="BI208" i="1"/>
  <c r="AT208" i="1"/>
  <c r="AK208" i="1"/>
  <c r="AJ208" i="1"/>
  <c r="AI208" i="1"/>
  <c r="AG208" i="1"/>
  <c r="AF208" i="1"/>
  <c r="AH208" i="1" s="1"/>
  <c r="S208" i="1"/>
  <c r="CE207" i="1"/>
  <c r="BP207" i="1" a="1"/>
  <c r="BP207" i="1" s="1"/>
  <c r="CF207" i="1" s="1"/>
  <c r="BO207" i="1" a="1"/>
  <c r="BO207" i="1" s="1"/>
  <c r="BN207" i="1" a="1"/>
  <c r="BN207" i="1" s="1"/>
  <c r="BI207" i="1"/>
  <c r="AT207" i="1"/>
  <c r="AK207" i="1"/>
  <c r="AJ207" i="1"/>
  <c r="AI207" i="1"/>
  <c r="AG207" i="1"/>
  <c r="AF207" i="1"/>
  <c r="AH207" i="1" s="1"/>
  <c r="S207" i="1"/>
  <c r="CE206" i="1"/>
  <c r="BP206" i="1" a="1"/>
  <c r="BP206" i="1" s="1"/>
  <c r="CF206" i="1" s="1"/>
  <c r="BO206" i="1" a="1"/>
  <c r="BO206" i="1" s="1"/>
  <c r="BN206" i="1" a="1"/>
  <c r="BN206" i="1" s="1"/>
  <c r="BI206" i="1"/>
  <c r="AT206" i="1"/>
  <c r="AK206" i="1"/>
  <c r="AJ206" i="1"/>
  <c r="AI206" i="1"/>
  <c r="AG206" i="1"/>
  <c r="AF206" i="1"/>
  <c r="AH206" i="1" s="1"/>
  <c r="S206" i="1"/>
  <c r="CE205" i="1"/>
  <c r="BP205" i="1" a="1"/>
  <c r="BP205" i="1" s="1"/>
  <c r="CF205" i="1" s="1"/>
  <c r="BO205" i="1" a="1"/>
  <c r="BO205" i="1" s="1"/>
  <c r="CC205" i="1" s="1"/>
  <c r="BN205" i="1" a="1"/>
  <c r="BN205" i="1" s="1"/>
  <c r="BZ205" i="1" s="1"/>
  <c r="BI205" i="1"/>
  <c r="AT205" i="1"/>
  <c r="AK205" i="1"/>
  <c r="AJ205" i="1"/>
  <c r="AI205" i="1"/>
  <c r="AG205" i="1"/>
  <c r="AF205" i="1"/>
  <c r="AH205" i="1" s="1"/>
  <c r="S205" i="1"/>
  <c r="CE204" i="1"/>
  <c r="BP204" i="1" a="1"/>
  <c r="BP204" i="1" s="1"/>
  <c r="CF204" i="1" s="1"/>
  <c r="BO204" i="1" a="1"/>
  <c r="BO204" i="1" s="1"/>
  <c r="BN204" i="1" a="1"/>
  <c r="BN204" i="1" s="1"/>
  <c r="BI204" i="1"/>
  <c r="AT204" i="1"/>
  <c r="AK204" i="1"/>
  <c r="AJ204" i="1"/>
  <c r="AI204" i="1"/>
  <c r="AG204" i="1"/>
  <c r="AF204" i="1"/>
  <c r="AH204" i="1" s="1"/>
  <c r="S204" i="1"/>
  <c r="CE203" i="1"/>
  <c r="BP203" i="1" a="1"/>
  <c r="BP203" i="1" s="1"/>
  <c r="CF203" i="1" s="1"/>
  <c r="BO203" i="1" a="1"/>
  <c r="BO203" i="1" s="1"/>
  <c r="BN203" i="1" a="1"/>
  <c r="BN203" i="1" s="1"/>
  <c r="BI203" i="1"/>
  <c r="AT203" i="1"/>
  <c r="AK203" i="1"/>
  <c r="AJ203" i="1"/>
  <c r="AI203" i="1"/>
  <c r="AG203" i="1"/>
  <c r="S203" i="1"/>
  <c r="CE202" i="1"/>
  <c r="BP202" i="1" a="1"/>
  <c r="BP202" i="1" s="1"/>
  <c r="CF202" i="1" s="1"/>
  <c r="BO202" i="1" a="1"/>
  <c r="BO202" i="1" s="1"/>
  <c r="BN202" i="1" a="1"/>
  <c r="BN202" i="1" s="1"/>
  <c r="BI202" i="1"/>
  <c r="AT202" i="1"/>
  <c r="AK202" i="1"/>
  <c r="AJ202" i="1"/>
  <c r="AI202" i="1"/>
  <c r="AG202" i="1"/>
  <c r="S202" i="1"/>
  <c r="CE201" i="1"/>
  <c r="BP201" i="1" a="1"/>
  <c r="BP201" i="1" s="1"/>
  <c r="CF201" i="1" s="1"/>
  <c r="BO201" i="1" a="1"/>
  <c r="BO201" i="1" s="1"/>
  <c r="BN201" i="1" a="1"/>
  <c r="BN201" i="1" s="1"/>
  <c r="BI201" i="1"/>
  <c r="AT201" i="1"/>
  <c r="AK201" i="1"/>
  <c r="AJ201" i="1"/>
  <c r="AI201" i="1"/>
  <c r="AG201" i="1"/>
  <c r="AF201" i="1"/>
  <c r="AH201" i="1" s="1"/>
  <c r="BD201" i="1" s="1" a="1"/>
  <c r="BD201" i="1" s="1"/>
  <c r="BM201" i="1" s="1" a="1"/>
  <c r="BM201" i="1" s="1"/>
  <c r="S201" i="1"/>
  <c r="CE200" i="1"/>
  <c r="BP200" i="1" a="1"/>
  <c r="BP200" i="1" s="1"/>
  <c r="CF200" i="1" s="1"/>
  <c r="BO200" i="1" a="1"/>
  <c r="BO200" i="1" s="1"/>
  <c r="BN200" i="1" a="1"/>
  <c r="BN200" i="1" s="1"/>
  <c r="BI200" i="1"/>
  <c r="AT200" i="1"/>
  <c r="AK200" i="1"/>
  <c r="AJ200" i="1"/>
  <c r="AI200" i="1"/>
  <c r="AG200" i="1"/>
  <c r="AF200" i="1"/>
  <c r="AH200" i="1" s="1"/>
  <c r="S200" i="1"/>
  <c r="CE199" i="1"/>
  <c r="BP199" i="1" a="1"/>
  <c r="BP199" i="1" s="1"/>
  <c r="CF199" i="1" s="1"/>
  <c r="BO199" i="1" a="1"/>
  <c r="BO199" i="1" s="1"/>
  <c r="BN199" i="1" a="1"/>
  <c r="BN199" i="1" s="1"/>
  <c r="BI199" i="1"/>
  <c r="AT199" i="1"/>
  <c r="AK199" i="1"/>
  <c r="AJ199" i="1"/>
  <c r="AI199" i="1"/>
  <c r="AG199" i="1"/>
  <c r="AF199" i="1"/>
  <c r="AH199" i="1" s="1"/>
  <c r="S199" i="1"/>
  <c r="CE198" i="1"/>
  <c r="BP198" i="1" a="1"/>
  <c r="BP198" i="1" s="1"/>
  <c r="CF198" i="1" s="1"/>
  <c r="BO198" i="1" a="1"/>
  <c r="BO198" i="1" s="1"/>
  <c r="BN198" i="1" a="1"/>
  <c r="BN198" i="1" s="1"/>
  <c r="BI198" i="1"/>
  <c r="AT198" i="1"/>
  <c r="AK198" i="1"/>
  <c r="AJ198" i="1"/>
  <c r="AI198" i="1"/>
  <c r="AG198" i="1"/>
  <c r="AF198" i="1"/>
  <c r="AH198" i="1" s="1"/>
  <c r="BD198" i="1" s="1" a="1"/>
  <c r="BD198" i="1" s="1"/>
  <c r="BM198" i="1" s="1" a="1"/>
  <c r="BM198" i="1" s="1"/>
  <c r="S198" i="1"/>
  <c r="BP197" i="1" a="1"/>
  <c r="BP197" i="1" s="1"/>
  <c r="CF197" i="1" s="1"/>
  <c r="BO197" i="1" a="1"/>
  <c r="BO197" i="1" s="1"/>
  <c r="BN197" i="1" a="1"/>
  <c r="BN197" i="1" s="1"/>
  <c r="AT197" i="1"/>
  <c r="BP196" i="1" a="1"/>
  <c r="BP196" i="1" s="1"/>
  <c r="CF196" i="1" s="1"/>
  <c r="BO196" i="1" a="1"/>
  <c r="BO196" i="1" s="1"/>
  <c r="BN196" i="1" a="1"/>
  <c r="BN196" i="1" s="1"/>
  <c r="AT196" i="1"/>
  <c r="CE195" i="1"/>
  <c r="BP195" i="1" a="1"/>
  <c r="BP195" i="1" s="1"/>
  <c r="CF195" i="1" s="1"/>
  <c r="BO195" i="1" a="1"/>
  <c r="BO195" i="1" s="1"/>
  <c r="BN195" i="1" a="1"/>
  <c r="BN195" i="1" s="1"/>
  <c r="BI195" i="1"/>
  <c r="AT195" i="1"/>
  <c r="AK195" i="1"/>
  <c r="AJ195" i="1"/>
  <c r="AI195" i="1"/>
  <c r="AG195" i="1"/>
  <c r="S195" i="1"/>
  <c r="CE194" i="1"/>
  <c r="BP194" i="1" a="1"/>
  <c r="BP194" i="1" s="1"/>
  <c r="CF194" i="1" s="1"/>
  <c r="BO194" i="1" a="1"/>
  <c r="BO194" i="1" s="1"/>
  <c r="BN194" i="1" a="1"/>
  <c r="BN194" i="1" s="1"/>
  <c r="BI194" i="1"/>
  <c r="AT194" i="1"/>
  <c r="AK194" i="1"/>
  <c r="AJ194" i="1"/>
  <c r="AI194" i="1"/>
  <c r="AG194" i="1"/>
  <c r="AF194" i="1"/>
  <c r="AH194" i="1" s="1"/>
  <c r="S194" i="1"/>
  <c r="CE193" i="1"/>
  <c r="BP193" i="1" a="1"/>
  <c r="BP193" i="1" s="1"/>
  <c r="CF193" i="1" s="1"/>
  <c r="BO193" i="1" a="1"/>
  <c r="BO193" i="1" s="1"/>
  <c r="BN193" i="1" a="1"/>
  <c r="BN193" i="1" s="1"/>
  <c r="BI193" i="1"/>
  <c r="AT193" i="1"/>
  <c r="AK193" i="1"/>
  <c r="AJ193" i="1"/>
  <c r="AI193" i="1"/>
  <c r="AG193" i="1"/>
  <c r="AF193" i="1"/>
  <c r="AH193" i="1" s="1"/>
  <c r="S193" i="1"/>
  <c r="CE192" i="1"/>
  <c r="BP192" i="1" a="1"/>
  <c r="BP192" i="1" s="1"/>
  <c r="CF192" i="1" s="1"/>
  <c r="BO192" i="1" a="1"/>
  <c r="BO192" i="1" s="1"/>
  <c r="BN192" i="1" a="1"/>
  <c r="BN192" i="1" s="1"/>
  <c r="BI192" i="1"/>
  <c r="AT192" i="1"/>
  <c r="AK192" i="1"/>
  <c r="AJ192" i="1"/>
  <c r="AI192" i="1"/>
  <c r="AG192" i="1"/>
  <c r="AF192" i="1"/>
  <c r="AH192" i="1" s="1"/>
  <c r="S192" i="1"/>
  <c r="CE191" i="1"/>
  <c r="BP191" i="1" a="1"/>
  <c r="BP191" i="1" s="1"/>
  <c r="CF191" i="1" s="1"/>
  <c r="BO191" i="1" a="1"/>
  <c r="BO191" i="1" s="1"/>
  <c r="BN191" i="1" a="1"/>
  <c r="BN191" i="1" s="1"/>
  <c r="BI191" i="1"/>
  <c r="AT191" i="1"/>
  <c r="AK191" i="1"/>
  <c r="AJ191" i="1"/>
  <c r="AI191" i="1"/>
  <c r="AG191" i="1"/>
  <c r="AF191" i="1"/>
  <c r="AH191" i="1" s="1"/>
  <c r="R191" i="1" s="1"/>
  <c r="AZ191" i="1" s="1"/>
  <c r="BK191" i="1" s="1"/>
  <c r="BR191" i="1" s="1"/>
  <c r="S191" i="1"/>
  <c r="CE190" i="1"/>
  <c r="BP190" i="1" a="1"/>
  <c r="BP190" i="1" s="1"/>
  <c r="CF190" i="1" s="1"/>
  <c r="BO190" i="1" a="1"/>
  <c r="BO190" i="1" s="1"/>
  <c r="BN190" i="1" a="1"/>
  <c r="BN190" i="1" s="1"/>
  <c r="BI190" i="1"/>
  <c r="AT190" i="1"/>
  <c r="AK190" i="1"/>
  <c r="AJ190" i="1"/>
  <c r="AI190" i="1"/>
  <c r="AG190" i="1"/>
  <c r="AF190" i="1"/>
  <c r="AH190" i="1" s="1"/>
  <c r="BD190" i="1" s="1" a="1"/>
  <c r="BD190" i="1" s="1"/>
  <c r="BM190" i="1" s="1" a="1"/>
  <c r="BM190" i="1" s="1"/>
  <c r="S190" i="1"/>
  <c r="CE189" i="1"/>
  <c r="BP189" i="1" a="1"/>
  <c r="BP189" i="1" s="1"/>
  <c r="CF189" i="1" s="1"/>
  <c r="BO189" i="1" a="1"/>
  <c r="BO189" i="1" s="1"/>
  <c r="BN189" i="1" a="1"/>
  <c r="BN189" i="1" s="1"/>
  <c r="BI189" i="1"/>
  <c r="AT189" i="1"/>
  <c r="AK189" i="1"/>
  <c r="AJ189" i="1"/>
  <c r="AI189" i="1"/>
  <c r="AG189" i="1"/>
  <c r="S189" i="1"/>
  <c r="CE188" i="1"/>
  <c r="BP188" i="1" a="1"/>
  <c r="BP188" i="1" s="1"/>
  <c r="CF188" i="1" s="1"/>
  <c r="BO188" i="1" a="1"/>
  <c r="BO188" i="1" s="1"/>
  <c r="BN188" i="1" a="1"/>
  <c r="BN188" i="1" s="1"/>
  <c r="BI188" i="1"/>
  <c r="AT188" i="1"/>
  <c r="AK188" i="1"/>
  <c r="AJ188" i="1"/>
  <c r="AI188" i="1"/>
  <c r="AG188" i="1"/>
  <c r="AF188" i="1"/>
  <c r="AH188" i="1" s="1"/>
  <c r="S188" i="1"/>
  <c r="BP187" i="1" a="1"/>
  <c r="BP187" i="1" s="1"/>
  <c r="CF187" i="1" s="1"/>
  <c r="BO187" i="1" a="1"/>
  <c r="BO187" i="1" s="1"/>
  <c r="BN187" i="1" a="1"/>
  <c r="BN187" i="1" s="1"/>
  <c r="AT187" i="1"/>
  <c r="CE186" i="1"/>
  <c r="BP186" i="1" a="1"/>
  <c r="BP186" i="1" s="1"/>
  <c r="CF186" i="1" s="1"/>
  <c r="BO186" i="1" a="1"/>
  <c r="BO186" i="1" s="1"/>
  <c r="BN186" i="1" a="1"/>
  <c r="BN186" i="1" s="1"/>
  <c r="BI186" i="1"/>
  <c r="AT186" i="1"/>
  <c r="AK186" i="1"/>
  <c r="AJ186" i="1"/>
  <c r="AI186" i="1"/>
  <c r="AG186" i="1"/>
  <c r="AF186" i="1"/>
  <c r="AH186" i="1" s="1"/>
  <c r="S186" i="1"/>
  <c r="CE185" i="1"/>
  <c r="BP185" i="1" a="1"/>
  <c r="BP185" i="1" s="1"/>
  <c r="CF185" i="1" s="1"/>
  <c r="BO185" i="1" a="1"/>
  <c r="BO185" i="1" s="1"/>
  <c r="BN185" i="1" a="1"/>
  <c r="BN185" i="1" s="1"/>
  <c r="BI185" i="1"/>
  <c r="AT185" i="1"/>
  <c r="AK185" i="1"/>
  <c r="AJ185" i="1"/>
  <c r="AI185" i="1"/>
  <c r="AG185" i="1"/>
  <c r="AF185" i="1"/>
  <c r="AH185" i="1" s="1"/>
  <c r="R185" i="1" s="1"/>
  <c r="AZ185" i="1" s="1"/>
  <c r="BK185" i="1" s="1"/>
  <c r="BR185" i="1" s="1"/>
  <c r="BX185" i="1" s="1"/>
  <c r="S185" i="1"/>
  <c r="CE184" i="1"/>
  <c r="BP184" i="1" a="1"/>
  <c r="BP184" i="1" s="1"/>
  <c r="CF184" i="1" s="1"/>
  <c r="BO184" i="1" a="1"/>
  <c r="BO184" i="1" s="1"/>
  <c r="BN184" i="1" a="1"/>
  <c r="BN184" i="1" s="1"/>
  <c r="BI184" i="1"/>
  <c r="AT184" i="1"/>
  <c r="AK184" i="1"/>
  <c r="AJ184" i="1"/>
  <c r="AI184" i="1"/>
  <c r="AG184" i="1"/>
  <c r="AF184" i="1"/>
  <c r="AH184" i="1" s="1"/>
  <c r="R184" i="1" s="1"/>
  <c r="AZ184" i="1" s="1"/>
  <c r="BK184" i="1" s="1"/>
  <c r="BR184" i="1" s="1"/>
  <c r="BX184" i="1" s="1"/>
  <c r="CA184" i="1" s="1"/>
  <c r="S184" i="1"/>
  <c r="CE183" i="1"/>
  <c r="BP183" i="1" a="1"/>
  <c r="BP183" i="1" s="1"/>
  <c r="CF183" i="1" s="1"/>
  <c r="BO183" i="1" a="1"/>
  <c r="BO183" i="1" s="1"/>
  <c r="BN183" i="1" a="1"/>
  <c r="BN183" i="1" s="1"/>
  <c r="BI183" i="1"/>
  <c r="AT183" i="1"/>
  <c r="AK183" i="1"/>
  <c r="AJ183" i="1"/>
  <c r="AI183" i="1"/>
  <c r="AG183" i="1"/>
  <c r="AF183" i="1"/>
  <c r="AH183" i="1" s="1"/>
  <c r="BD183" i="1" s="1" a="1"/>
  <c r="BD183" i="1" s="1"/>
  <c r="BM183" i="1" s="1" a="1"/>
  <c r="BM183" i="1" s="1"/>
  <c r="S183" i="1"/>
  <c r="AT182" i="1"/>
  <c r="AK182" i="1"/>
  <c r="AJ182" i="1"/>
  <c r="AI182" i="1"/>
  <c r="AG182" i="1"/>
  <c r="AH182" i="1" s="1"/>
  <c r="CM182" i="1" s="1"/>
  <c r="AF182" i="1"/>
  <c r="S182" i="1"/>
  <c r="CE181" i="1"/>
  <c r="BP181" i="1" a="1"/>
  <c r="BP181" i="1" s="1"/>
  <c r="CF181" i="1" s="1"/>
  <c r="BO181" i="1" a="1"/>
  <c r="BO181" i="1" s="1"/>
  <c r="BN181" i="1" a="1"/>
  <c r="BN181" i="1" s="1"/>
  <c r="BI181" i="1"/>
  <c r="AT181" i="1"/>
  <c r="AK181" i="1"/>
  <c r="AJ181" i="1"/>
  <c r="AI181" i="1"/>
  <c r="AG181" i="1"/>
  <c r="AF181" i="1"/>
  <c r="AH181" i="1" s="1"/>
  <c r="R181" i="1" s="1"/>
  <c r="AZ181" i="1" s="1"/>
  <c r="BK181" i="1" s="1"/>
  <c r="BR181" i="1" s="1"/>
  <c r="S181" i="1"/>
  <c r="AT180" i="1"/>
  <c r="AK180" i="1"/>
  <c r="AJ180" i="1"/>
  <c r="AI180" i="1"/>
  <c r="AG180" i="1"/>
  <c r="AH180" i="1" s="1"/>
  <c r="AF180" i="1"/>
  <c r="S180" i="1"/>
  <c r="AT179" i="1"/>
  <c r="AK179" i="1"/>
  <c r="AJ179" i="1"/>
  <c r="AI179" i="1"/>
  <c r="AG179" i="1"/>
  <c r="AH179" i="1" s="1"/>
  <c r="BD179" i="1" s="1" a="1"/>
  <c r="BD179" i="1" s="1"/>
  <c r="AF179" i="1"/>
  <c r="S179" i="1"/>
  <c r="CE178" i="1"/>
  <c r="BP178" i="1" a="1"/>
  <c r="BP178" i="1" s="1"/>
  <c r="CF178" i="1" s="1"/>
  <c r="BO178" i="1" a="1"/>
  <c r="BO178" i="1" s="1"/>
  <c r="BN178" i="1" a="1"/>
  <c r="BN178" i="1" s="1"/>
  <c r="BI178" i="1"/>
  <c r="AT178" i="1"/>
  <c r="AK178" i="1"/>
  <c r="AJ178" i="1"/>
  <c r="AI178" i="1"/>
  <c r="AG178" i="1"/>
  <c r="AF178" i="1"/>
  <c r="AH178" i="1" s="1"/>
  <c r="R178" i="1" s="1"/>
  <c r="AZ178" i="1" s="1"/>
  <c r="BK178" i="1" s="1"/>
  <c r="BR178" i="1" s="1"/>
  <c r="BX178" i="1" s="1"/>
  <c r="S178" i="1"/>
  <c r="AT177" i="1"/>
  <c r="AK177" i="1"/>
  <c r="AJ177" i="1"/>
  <c r="AI177" i="1"/>
  <c r="AG177" i="1"/>
  <c r="AH177" i="1" s="1"/>
  <c r="AF177" i="1"/>
  <c r="S177" i="1"/>
  <c r="CE176" i="1"/>
  <c r="BP176" i="1" a="1"/>
  <c r="BP176" i="1" s="1"/>
  <c r="CF176" i="1" s="1"/>
  <c r="BO176" i="1" a="1"/>
  <c r="BO176" i="1" s="1"/>
  <c r="BN176" i="1" a="1"/>
  <c r="BN176" i="1" s="1"/>
  <c r="BI176" i="1"/>
  <c r="AT176" i="1"/>
  <c r="AK176" i="1"/>
  <c r="AJ176" i="1"/>
  <c r="AI176" i="1"/>
  <c r="AG176" i="1"/>
  <c r="AF176" i="1"/>
  <c r="AH176" i="1" s="1"/>
  <c r="BD176" i="1" s="1" a="1"/>
  <c r="BD176" i="1" s="1"/>
  <c r="BM176" i="1" s="1" a="1"/>
  <c r="BM176" i="1" s="1"/>
  <c r="S176" i="1"/>
  <c r="AT175" i="1"/>
  <c r="AK175" i="1"/>
  <c r="AJ175" i="1"/>
  <c r="AI175" i="1"/>
  <c r="AG175" i="1"/>
  <c r="AH175" i="1" s="1"/>
  <c r="CM175" i="1" s="1"/>
  <c r="AF175" i="1"/>
  <c r="S175" i="1"/>
  <c r="CE174" i="1"/>
  <c r="BP174" i="1" a="1"/>
  <c r="BP174" i="1" s="1"/>
  <c r="CF174" i="1" s="1"/>
  <c r="BO174" i="1" a="1"/>
  <c r="BO174" i="1" s="1"/>
  <c r="BN174" i="1" a="1"/>
  <c r="BN174" i="1" s="1"/>
  <c r="BI174" i="1"/>
  <c r="AT174" i="1"/>
  <c r="AK174" i="1"/>
  <c r="AJ174" i="1"/>
  <c r="AI174" i="1"/>
  <c r="AG174" i="1"/>
  <c r="AF174" i="1"/>
  <c r="AH174" i="1" s="1"/>
  <c r="BD174" i="1" s="1" a="1"/>
  <c r="BD174" i="1" s="1"/>
  <c r="BM174" i="1" s="1" a="1"/>
  <c r="BM174" i="1" s="1"/>
  <c r="S174" i="1"/>
  <c r="CE173" i="1"/>
  <c r="BP173" i="1" a="1"/>
  <c r="BP173" i="1" s="1"/>
  <c r="CF173" i="1" s="1"/>
  <c r="BO173" i="1" a="1"/>
  <c r="BO173" i="1" s="1"/>
  <c r="BN173" i="1" a="1"/>
  <c r="BN173" i="1" s="1"/>
  <c r="BI173" i="1"/>
  <c r="AT173" i="1"/>
  <c r="AK173" i="1"/>
  <c r="AJ173" i="1"/>
  <c r="AI173" i="1"/>
  <c r="AG173" i="1"/>
  <c r="AF173" i="1"/>
  <c r="AH173" i="1" s="1"/>
  <c r="R173" i="1" s="1"/>
  <c r="AZ173" i="1" s="1"/>
  <c r="BK173" i="1" s="1"/>
  <c r="BR173" i="1" s="1"/>
  <c r="BX173" i="1" s="1"/>
  <c r="S173" i="1"/>
  <c r="AT172" i="1"/>
  <c r="AK172" i="1"/>
  <c r="AJ172" i="1"/>
  <c r="AI172" i="1"/>
  <c r="AG172" i="1"/>
  <c r="AH172" i="1" s="1"/>
  <c r="BD172" i="1" s="1" a="1"/>
  <c r="BD172" i="1" s="1"/>
  <c r="AF172" i="1"/>
  <c r="S172" i="1"/>
  <c r="CE171" i="1"/>
  <c r="BP171" i="1" a="1"/>
  <c r="BP171" i="1" s="1"/>
  <c r="CF171" i="1" s="1"/>
  <c r="BO171" i="1" a="1"/>
  <c r="BO171" i="1" s="1"/>
  <c r="BN171" i="1" a="1"/>
  <c r="BN171" i="1" s="1"/>
  <c r="BI171" i="1"/>
  <c r="AT171" i="1"/>
  <c r="AK171" i="1"/>
  <c r="AJ171" i="1"/>
  <c r="AI171" i="1"/>
  <c r="AG171" i="1"/>
  <c r="AF171" i="1"/>
  <c r="AH171" i="1" s="1"/>
  <c r="R171" i="1" s="1"/>
  <c r="AZ171" i="1" s="1"/>
  <c r="BK171" i="1" s="1"/>
  <c r="BR171" i="1" s="1"/>
  <c r="S171" i="1"/>
  <c r="CE170" i="1"/>
  <c r="BP170" i="1" a="1"/>
  <c r="BP170" i="1" s="1"/>
  <c r="CF170" i="1" s="1"/>
  <c r="BO170" i="1" a="1"/>
  <c r="BO170" i="1" s="1"/>
  <c r="BN170" i="1" a="1"/>
  <c r="BN170" i="1" s="1"/>
  <c r="BI170" i="1"/>
  <c r="AT170" i="1"/>
  <c r="AK170" i="1"/>
  <c r="AJ170" i="1"/>
  <c r="AI170" i="1"/>
  <c r="AG170" i="1"/>
  <c r="AF170" i="1"/>
  <c r="AH170" i="1" s="1"/>
  <c r="S170" i="1"/>
  <c r="CE169" i="1"/>
  <c r="BP169" i="1" a="1"/>
  <c r="BP169" i="1" s="1"/>
  <c r="CF169" i="1" s="1"/>
  <c r="BO169" i="1" a="1"/>
  <c r="BO169" i="1" s="1"/>
  <c r="BN169" i="1" a="1"/>
  <c r="BN169" i="1" s="1"/>
  <c r="BI169" i="1"/>
  <c r="AT169" i="1"/>
  <c r="AK169" i="1"/>
  <c r="AJ169" i="1"/>
  <c r="AI169" i="1"/>
  <c r="AG169" i="1"/>
  <c r="AF169" i="1"/>
  <c r="AH169" i="1" s="1"/>
  <c r="R169" i="1" s="1"/>
  <c r="AZ169" i="1" s="1"/>
  <c r="BK169" i="1" s="1"/>
  <c r="BR169" i="1" s="1"/>
  <c r="S169" i="1"/>
  <c r="AT168" i="1"/>
  <c r="AK168" i="1"/>
  <c r="AJ168" i="1"/>
  <c r="AI168" i="1"/>
  <c r="AG168" i="1"/>
  <c r="AH168" i="1" s="1"/>
  <c r="CM168" i="1" s="1"/>
  <c r="AF168" i="1"/>
  <c r="S168" i="1"/>
  <c r="AT167" i="1"/>
  <c r="AK167" i="1"/>
  <c r="AJ167" i="1"/>
  <c r="AI167" i="1"/>
  <c r="AG167" i="1"/>
  <c r="AH167" i="1" s="1"/>
  <c r="CM167" i="1" s="1"/>
  <c r="AF167" i="1"/>
  <c r="S167" i="1"/>
  <c r="CE166" i="1"/>
  <c r="BP166" i="1" a="1"/>
  <c r="BP166" i="1" s="1"/>
  <c r="CF166" i="1" s="1"/>
  <c r="BO166" i="1" a="1"/>
  <c r="BO166" i="1" s="1"/>
  <c r="BN166" i="1" a="1"/>
  <c r="BN166" i="1" s="1"/>
  <c r="BI166" i="1"/>
  <c r="AT166" i="1"/>
  <c r="AK166" i="1"/>
  <c r="AJ166" i="1"/>
  <c r="AI166" i="1"/>
  <c r="AG166" i="1"/>
  <c r="AF166" i="1"/>
  <c r="AH166" i="1" s="1"/>
  <c r="S166" i="1"/>
  <c r="CE165" i="1"/>
  <c r="BP165" i="1" a="1"/>
  <c r="BP165" i="1" s="1"/>
  <c r="CF165" i="1" s="1"/>
  <c r="BO165" i="1" a="1"/>
  <c r="BO165" i="1" s="1"/>
  <c r="BN165" i="1" a="1"/>
  <c r="BN165" i="1" s="1"/>
  <c r="BI165" i="1"/>
  <c r="AT165" i="1"/>
  <c r="AK165" i="1"/>
  <c r="AJ165" i="1"/>
  <c r="AI165" i="1"/>
  <c r="AG165" i="1"/>
  <c r="S165" i="1"/>
  <c r="AT164" i="1"/>
  <c r="AK164" i="1"/>
  <c r="AJ164" i="1"/>
  <c r="AI164" i="1"/>
  <c r="AG164" i="1"/>
  <c r="AH164" i="1" s="1"/>
  <c r="AF164" i="1"/>
  <c r="S164" i="1"/>
  <c r="CE163" i="1"/>
  <c r="BP163" i="1" a="1"/>
  <c r="BP163" i="1" s="1"/>
  <c r="CF163" i="1" s="1"/>
  <c r="BO163" i="1" a="1"/>
  <c r="BO163" i="1" s="1"/>
  <c r="BN163" i="1" a="1"/>
  <c r="BN163" i="1" s="1"/>
  <c r="BI163" i="1"/>
  <c r="AT163" i="1"/>
  <c r="AK163" i="1"/>
  <c r="AJ163" i="1"/>
  <c r="AI163" i="1"/>
  <c r="AG163" i="1"/>
  <c r="AF163" i="1"/>
  <c r="AH163" i="1" s="1"/>
  <c r="S163" i="1"/>
  <c r="CE162" i="1"/>
  <c r="BP162" i="1" a="1"/>
  <c r="BP162" i="1" s="1"/>
  <c r="CF162" i="1" s="1"/>
  <c r="BO162" i="1" a="1"/>
  <c r="BO162" i="1" s="1"/>
  <c r="BN162" i="1" a="1"/>
  <c r="BN162" i="1" s="1"/>
  <c r="BI162" i="1"/>
  <c r="AT162" i="1"/>
  <c r="AK162" i="1"/>
  <c r="AJ162" i="1"/>
  <c r="AI162" i="1"/>
  <c r="AG162" i="1"/>
  <c r="AH162" i="1" s="1"/>
  <c r="AF162" i="1"/>
  <c r="S162" i="1"/>
  <c r="AT161" i="1"/>
  <c r="AK161" i="1"/>
  <c r="AJ161" i="1"/>
  <c r="AI161" i="1"/>
  <c r="AG161" i="1"/>
  <c r="AH161" i="1" s="1"/>
  <c r="CM161" i="1" s="1"/>
  <c r="AF161" i="1"/>
  <c r="S161" i="1"/>
  <c r="AT160" i="1"/>
  <c r="AK160" i="1"/>
  <c r="AJ160" i="1"/>
  <c r="AI160" i="1"/>
  <c r="AG160" i="1"/>
  <c r="AH160" i="1" s="1"/>
  <c r="AF160" i="1"/>
  <c r="S160" i="1"/>
  <c r="AT159" i="1"/>
  <c r="AK159" i="1"/>
  <c r="AJ159" i="1"/>
  <c r="AI159" i="1"/>
  <c r="AG159" i="1"/>
  <c r="AH159" i="1" s="1"/>
  <c r="CM159" i="1" s="1"/>
  <c r="AF159" i="1"/>
  <c r="S159" i="1"/>
  <c r="CE158" i="1"/>
  <c r="BP158" i="1" a="1"/>
  <c r="BP158" i="1" s="1"/>
  <c r="CF158" i="1" s="1"/>
  <c r="BO158" i="1" a="1"/>
  <c r="BO158" i="1" s="1"/>
  <c r="BN158" i="1" a="1"/>
  <c r="BN158" i="1" s="1"/>
  <c r="BI158" i="1"/>
  <c r="AT158" i="1"/>
  <c r="AK158" i="1"/>
  <c r="AJ158" i="1"/>
  <c r="AI158" i="1"/>
  <c r="AG158" i="1"/>
  <c r="AF158" i="1"/>
  <c r="AH158" i="1" s="1"/>
  <c r="BD158" i="1" s="1" a="1"/>
  <c r="BD158" i="1" s="1"/>
  <c r="BM158" i="1" s="1" a="1"/>
  <c r="BM158" i="1" s="1"/>
  <c r="S158" i="1"/>
  <c r="CE157" i="1"/>
  <c r="BP157" i="1" a="1"/>
  <c r="BP157" i="1" s="1"/>
  <c r="CF157" i="1" s="1"/>
  <c r="BO157" i="1" a="1"/>
  <c r="BO157" i="1" s="1"/>
  <c r="BN157" i="1" a="1"/>
  <c r="BN157" i="1" s="1"/>
  <c r="BI157" i="1"/>
  <c r="AT157" i="1"/>
  <c r="AK157" i="1"/>
  <c r="AJ157" i="1"/>
  <c r="AI157" i="1"/>
  <c r="AG157" i="1"/>
  <c r="AF157" i="1"/>
  <c r="AH157" i="1" s="1"/>
  <c r="S157" i="1"/>
  <c r="CE156" i="1"/>
  <c r="BP156" i="1" a="1"/>
  <c r="BP156" i="1" s="1"/>
  <c r="CF156" i="1" s="1"/>
  <c r="BO156" i="1" a="1"/>
  <c r="BO156" i="1" s="1"/>
  <c r="BN156" i="1" a="1"/>
  <c r="BN156" i="1" s="1"/>
  <c r="BI156" i="1"/>
  <c r="AT156" i="1"/>
  <c r="AK156" i="1"/>
  <c r="AJ156" i="1"/>
  <c r="AI156" i="1"/>
  <c r="AG156" i="1"/>
  <c r="AF156" i="1"/>
  <c r="AH156" i="1" s="1"/>
  <c r="S156" i="1"/>
  <c r="CE155" i="1"/>
  <c r="BP155" i="1" a="1"/>
  <c r="BP155" i="1" s="1"/>
  <c r="CF155" i="1" s="1"/>
  <c r="BO155" i="1" a="1"/>
  <c r="BO155" i="1" s="1"/>
  <c r="BN155" i="1" a="1"/>
  <c r="BN155" i="1" s="1"/>
  <c r="BI155" i="1"/>
  <c r="AT155" i="1"/>
  <c r="AK155" i="1"/>
  <c r="AJ155" i="1"/>
  <c r="AI155" i="1"/>
  <c r="AG155" i="1"/>
  <c r="AF155" i="1"/>
  <c r="AH155" i="1" s="1"/>
  <c r="S155" i="1"/>
  <c r="CE154" i="1"/>
  <c r="BP154" i="1" a="1"/>
  <c r="BP154" i="1" s="1"/>
  <c r="CF154" i="1" s="1"/>
  <c r="BO154" i="1" a="1"/>
  <c r="BO154" i="1" s="1"/>
  <c r="BN154" i="1" a="1"/>
  <c r="BN154" i="1" s="1"/>
  <c r="BI154" i="1"/>
  <c r="AT154" i="1"/>
  <c r="AK154" i="1"/>
  <c r="AJ154" i="1"/>
  <c r="AI154" i="1"/>
  <c r="AG154" i="1"/>
  <c r="AF154" i="1"/>
  <c r="AH154" i="1" s="1"/>
  <c r="R154" i="1" s="1"/>
  <c r="AZ154" i="1" s="1"/>
  <c r="BK154" i="1" s="1"/>
  <c r="BR154" i="1" s="1"/>
  <c r="S154" i="1"/>
  <c r="CE153" i="1"/>
  <c r="BP153" i="1" a="1"/>
  <c r="BP153" i="1" s="1"/>
  <c r="CF153" i="1" s="1"/>
  <c r="BO153" i="1" a="1"/>
  <c r="BO153" i="1" s="1"/>
  <c r="BN153" i="1" a="1"/>
  <c r="BN153" i="1" s="1"/>
  <c r="BI153" i="1"/>
  <c r="AT153" i="1"/>
  <c r="AK153" i="1"/>
  <c r="AJ153" i="1"/>
  <c r="AI153" i="1"/>
  <c r="AG153" i="1"/>
  <c r="AF153" i="1"/>
  <c r="AH153" i="1" s="1"/>
  <c r="R153" i="1" s="1"/>
  <c r="AZ153" i="1" s="1"/>
  <c r="BK153" i="1" s="1"/>
  <c r="BR153" i="1" s="1"/>
  <c r="S153" i="1"/>
  <c r="CE152" i="1"/>
  <c r="BP152" i="1" a="1"/>
  <c r="BP152" i="1" s="1"/>
  <c r="CF152" i="1" s="1"/>
  <c r="BO152" i="1" a="1"/>
  <c r="BO152" i="1" s="1"/>
  <c r="BN152" i="1" a="1"/>
  <c r="BN152" i="1" s="1"/>
  <c r="BI152" i="1"/>
  <c r="AT152" i="1"/>
  <c r="AK152" i="1"/>
  <c r="AJ152" i="1"/>
  <c r="AI152" i="1"/>
  <c r="AG152" i="1"/>
  <c r="AF152" i="1"/>
  <c r="AH152" i="1" s="1"/>
  <c r="S152" i="1"/>
  <c r="CE151" i="1"/>
  <c r="BP151" i="1" a="1"/>
  <c r="BP151" i="1" s="1"/>
  <c r="CF151" i="1" s="1"/>
  <c r="BO151" i="1" a="1"/>
  <c r="BO151" i="1" s="1"/>
  <c r="BN151" i="1" a="1"/>
  <c r="BN151" i="1" s="1"/>
  <c r="BI151" i="1"/>
  <c r="AT151" i="1"/>
  <c r="AK151" i="1"/>
  <c r="AJ151" i="1"/>
  <c r="AI151" i="1"/>
  <c r="AG151" i="1"/>
  <c r="AF151" i="1"/>
  <c r="AH151" i="1" s="1"/>
  <c r="BD151" i="1" s="1" a="1"/>
  <c r="BD151" i="1" s="1"/>
  <c r="BM151" i="1" s="1" a="1"/>
  <c r="BM151" i="1" s="1"/>
  <c r="S151" i="1"/>
  <c r="CE150" i="1"/>
  <c r="BP150" i="1" a="1"/>
  <c r="BP150" i="1" s="1"/>
  <c r="CF150" i="1" s="1"/>
  <c r="BO150" i="1" a="1"/>
  <c r="BO150" i="1" s="1"/>
  <c r="BN150" i="1" a="1"/>
  <c r="BN150" i="1" s="1"/>
  <c r="BI150" i="1"/>
  <c r="AT150" i="1"/>
  <c r="AK150" i="1"/>
  <c r="AJ150" i="1"/>
  <c r="AI150" i="1"/>
  <c r="AG150" i="1"/>
  <c r="AF150" i="1"/>
  <c r="AH150" i="1" s="1"/>
  <c r="S150" i="1"/>
  <c r="CE149" i="1"/>
  <c r="BP149" i="1" a="1"/>
  <c r="BP149" i="1" s="1"/>
  <c r="CF149" i="1" s="1"/>
  <c r="BO149" i="1" a="1"/>
  <c r="BO149" i="1" s="1"/>
  <c r="BN149" i="1" a="1"/>
  <c r="BN149" i="1" s="1"/>
  <c r="BI149" i="1"/>
  <c r="AT149" i="1"/>
  <c r="AK149" i="1"/>
  <c r="AJ149" i="1"/>
  <c r="AI149" i="1"/>
  <c r="AG149" i="1"/>
  <c r="AF149" i="1"/>
  <c r="AH149" i="1" s="1"/>
  <c r="S149" i="1"/>
  <c r="CE148" i="1"/>
  <c r="BP148" i="1" a="1"/>
  <c r="BP148" i="1" s="1"/>
  <c r="CF148" i="1" s="1"/>
  <c r="BO148" i="1" a="1"/>
  <c r="BO148" i="1" s="1"/>
  <c r="BN148" i="1" a="1"/>
  <c r="BN148" i="1" s="1"/>
  <c r="BI148" i="1"/>
  <c r="AT148" i="1"/>
  <c r="AK148" i="1"/>
  <c r="AJ148" i="1"/>
  <c r="AI148" i="1"/>
  <c r="AG148" i="1"/>
  <c r="AF148" i="1"/>
  <c r="AH148" i="1" s="1"/>
  <c r="S148" i="1"/>
  <c r="CE147" i="1"/>
  <c r="BP147" i="1" a="1"/>
  <c r="BP147" i="1" s="1"/>
  <c r="CF147" i="1" s="1"/>
  <c r="BO147" i="1" a="1"/>
  <c r="BO147" i="1" s="1"/>
  <c r="BN147" i="1" a="1"/>
  <c r="BN147" i="1" s="1"/>
  <c r="BI147" i="1"/>
  <c r="AT147" i="1"/>
  <c r="AK147" i="1"/>
  <c r="AJ147" i="1"/>
  <c r="AI147" i="1"/>
  <c r="AG147" i="1"/>
  <c r="AF147" i="1"/>
  <c r="AH147" i="1" s="1"/>
  <c r="BD147" i="1" s="1" a="1"/>
  <c r="BD147" i="1" s="1"/>
  <c r="BM147" i="1" s="1" a="1"/>
  <c r="BM147" i="1" s="1"/>
  <c r="S147" i="1"/>
  <c r="CE146" i="1"/>
  <c r="BP146" i="1" a="1"/>
  <c r="BP146" i="1" s="1"/>
  <c r="CF146" i="1" s="1"/>
  <c r="BO146" i="1" a="1"/>
  <c r="BO146" i="1" s="1"/>
  <c r="BN146" i="1" a="1"/>
  <c r="BN146" i="1" s="1"/>
  <c r="BI146" i="1"/>
  <c r="AT146" i="1"/>
  <c r="AK146" i="1"/>
  <c r="AJ146" i="1"/>
  <c r="AI146" i="1"/>
  <c r="AG146" i="1"/>
  <c r="AF146" i="1"/>
  <c r="AH146" i="1" s="1"/>
  <c r="S146" i="1"/>
  <c r="AT145" i="1"/>
  <c r="AK145" i="1"/>
  <c r="AJ145" i="1"/>
  <c r="AI145" i="1"/>
  <c r="AG145" i="1"/>
  <c r="AH145" i="1" s="1"/>
  <c r="AF145" i="1"/>
  <c r="S145" i="1"/>
  <c r="CE144" i="1"/>
  <c r="BP144" i="1" a="1"/>
  <c r="BP144" i="1" s="1"/>
  <c r="CF144" i="1" s="1"/>
  <c r="BO144" i="1" a="1"/>
  <c r="BO144" i="1" s="1"/>
  <c r="BN144" i="1" a="1"/>
  <c r="BN144" i="1" s="1"/>
  <c r="BI144" i="1"/>
  <c r="AT144" i="1"/>
  <c r="AK144" i="1"/>
  <c r="AJ144" i="1"/>
  <c r="AI144" i="1"/>
  <c r="AG144" i="1"/>
  <c r="AF144" i="1"/>
  <c r="AH144" i="1" s="1"/>
  <c r="R144" i="1" s="1"/>
  <c r="AZ144" i="1" s="1"/>
  <c r="BK144" i="1" s="1"/>
  <c r="BR144" i="1" s="1"/>
  <c r="BX144" i="1" s="1"/>
  <c r="S144" i="1"/>
  <c r="AT143" i="1"/>
  <c r="AK143" i="1"/>
  <c r="AJ143" i="1"/>
  <c r="AI143" i="1"/>
  <c r="AG143" i="1"/>
  <c r="AH143" i="1" s="1"/>
  <c r="AF143" i="1"/>
  <c r="S143" i="1"/>
  <c r="CE142" i="1"/>
  <c r="BP142" i="1" a="1"/>
  <c r="BP142" i="1" s="1"/>
  <c r="CF142" i="1" s="1"/>
  <c r="BO142" i="1" a="1"/>
  <c r="BO142" i="1" s="1"/>
  <c r="BN142" i="1" a="1"/>
  <c r="BN142" i="1" s="1"/>
  <c r="BI142" i="1"/>
  <c r="AT142" i="1"/>
  <c r="AK142" i="1"/>
  <c r="AJ142" i="1"/>
  <c r="AI142" i="1"/>
  <c r="AG142" i="1"/>
  <c r="AF142" i="1"/>
  <c r="AH142" i="1" s="1"/>
  <c r="R142" i="1" s="1"/>
  <c r="AZ142" i="1" s="1"/>
  <c r="BK142" i="1" s="1"/>
  <c r="BR142" i="1" s="1"/>
  <c r="BX142" i="1" s="1"/>
  <c r="S142" i="1"/>
  <c r="CE141" i="1"/>
  <c r="BP141" i="1" a="1"/>
  <c r="BP141" i="1" s="1"/>
  <c r="CF141" i="1" s="1"/>
  <c r="BO141" i="1" a="1"/>
  <c r="BO141" i="1" s="1"/>
  <c r="BN141" i="1" a="1"/>
  <c r="BN141" i="1" s="1"/>
  <c r="BI141" i="1"/>
  <c r="AT141" i="1"/>
  <c r="AK141" i="1"/>
  <c r="AJ141" i="1"/>
  <c r="AI141" i="1"/>
  <c r="AG141" i="1"/>
  <c r="AF141" i="1"/>
  <c r="AH141" i="1" s="1"/>
  <c r="BD141" i="1" s="1" a="1"/>
  <c r="BD141" i="1" s="1"/>
  <c r="BM141" i="1" s="1" a="1"/>
  <c r="BM141" i="1" s="1"/>
  <c r="S141" i="1"/>
  <c r="CE140" i="1"/>
  <c r="BP140" i="1" a="1"/>
  <c r="BP140" i="1" s="1"/>
  <c r="CF140" i="1" s="1"/>
  <c r="BO140" i="1" a="1"/>
  <c r="BO140" i="1" s="1"/>
  <c r="BN140" i="1" a="1"/>
  <c r="BN140" i="1" s="1"/>
  <c r="BI140" i="1"/>
  <c r="AT140" i="1"/>
  <c r="AK140" i="1"/>
  <c r="AJ140" i="1"/>
  <c r="AI140" i="1"/>
  <c r="AG140" i="1"/>
  <c r="AF140" i="1"/>
  <c r="AH140" i="1" s="1"/>
  <c r="S140" i="1"/>
  <c r="CE139" i="1"/>
  <c r="BP139" i="1" a="1"/>
  <c r="BP139" i="1" s="1"/>
  <c r="CF139" i="1" s="1"/>
  <c r="BO139" i="1" a="1"/>
  <c r="BO139" i="1" s="1"/>
  <c r="BN139" i="1" a="1"/>
  <c r="BN139" i="1" s="1"/>
  <c r="BI139" i="1"/>
  <c r="AT139" i="1"/>
  <c r="AK139" i="1"/>
  <c r="AJ139" i="1"/>
  <c r="AI139" i="1"/>
  <c r="AG139" i="1"/>
  <c r="AF139" i="1"/>
  <c r="AH139" i="1" s="1"/>
  <c r="S139" i="1"/>
  <c r="CK138" i="1"/>
  <c r="CJ138" i="1"/>
  <c r="CI138" i="1"/>
  <c r="CH138" i="1"/>
  <c r="AT138" i="1"/>
  <c r="AK138" i="1"/>
  <c r="AJ138" i="1"/>
  <c r="AI138" i="1"/>
  <c r="AF138" i="1"/>
  <c r="S138" i="1"/>
  <c r="CE137" i="1"/>
  <c r="BP137" i="1" a="1"/>
  <c r="BP137" i="1" s="1"/>
  <c r="CF137" i="1" s="1"/>
  <c r="BO137" i="1" a="1"/>
  <c r="BO137" i="1" s="1"/>
  <c r="BN137" i="1" a="1"/>
  <c r="BN137" i="1" s="1"/>
  <c r="BI137" i="1"/>
  <c r="AT137" i="1"/>
  <c r="AK137" i="1"/>
  <c r="AJ137" i="1"/>
  <c r="AI137" i="1"/>
  <c r="AG137" i="1"/>
  <c r="AF137" i="1"/>
  <c r="AH137" i="1" s="1"/>
  <c r="R137" i="1" s="1"/>
  <c r="AZ137" i="1" s="1"/>
  <c r="BK137" i="1" s="1"/>
  <c r="BR137" i="1" s="1"/>
  <c r="BX137" i="1" s="1"/>
  <c r="S137" i="1"/>
  <c r="CE136" i="1"/>
  <c r="BP136" i="1" a="1"/>
  <c r="BP136" i="1" s="1"/>
  <c r="CF136" i="1" s="1"/>
  <c r="BO136" i="1" a="1"/>
  <c r="BO136" i="1" s="1"/>
  <c r="BN136" i="1" a="1"/>
  <c r="BN136" i="1" s="1"/>
  <c r="BI136" i="1"/>
  <c r="AT136" i="1"/>
  <c r="AK136" i="1"/>
  <c r="AJ136" i="1"/>
  <c r="AI136" i="1"/>
  <c r="AG136" i="1"/>
  <c r="AF136" i="1"/>
  <c r="AH136" i="1" s="1"/>
  <c r="BD136" i="1" s="1" a="1"/>
  <c r="BD136" i="1" s="1"/>
  <c r="BM136" i="1" s="1" a="1"/>
  <c r="BM136" i="1" s="1"/>
  <c r="S136" i="1"/>
  <c r="AT135" i="1"/>
  <c r="AK135" i="1"/>
  <c r="AJ135" i="1"/>
  <c r="AI135" i="1"/>
  <c r="AG135" i="1"/>
  <c r="AH135" i="1" s="1"/>
  <c r="AF135" i="1"/>
  <c r="S135" i="1"/>
  <c r="CE134" i="1"/>
  <c r="BP134" i="1" a="1"/>
  <c r="BP134" i="1" s="1"/>
  <c r="CF134" i="1" s="1"/>
  <c r="BO134" i="1" a="1"/>
  <c r="BO134" i="1" s="1"/>
  <c r="BN134" i="1" a="1"/>
  <c r="BN134" i="1" s="1"/>
  <c r="BI134" i="1"/>
  <c r="AT134" i="1"/>
  <c r="AK134" i="1"/>
  <c r="AJ134" i="1"/>
  <c r="AI134" i="1"/>
  <c r="AG134" i="1"/>
  <c r="AF134" i="1"/>
  <c r="AH134" i="1" s="1"/>
  <c r="R134" i="1" s="1"/>
  <c r="AZ134" i="1" s="1"/>
  <c r="BK134" i="1" s="1"/>
  <c r="BR134" i="1" s="1"/>
  <c r="BX134" i="1" s="1"/>
  <c r="CA134" i="1" s="1"/>
  <c r="S134" i="1"/>
  <c r="AT133" i="1"/>
  <c r="AK133" i="1"/>
  <c r="AJ133" i="1"/>
  <c r="AI133" i="1"/>
  <c r="AG133" i="1"/>
  <c r="AH133" i="1" s="1"/>
  <c r="AF133" i="1"/>
  <c r="S133" i="1"/>
  <c r="AT132" i="1"/>
  <c r="AK132" i="1"/>
  <c r="AJ132" i="1"/>
  <c r="AI132" i="1"/>
  <c r="AG132" i="1"/>
  <c r="AH132" i="1" s="1"/>
  <c r="AF132" i="1"/>
  <c r="S132" i="1"/>
  <c r="CE131" i="1"/>
  <c r="BP131" i="1" a="1"/>
  <c r="BP131" i="1" s="1"/>
  <c r="CF131" i="1" s="1"/>
  <c r="BO131" i="1" a="1"/>
  <c r="BO131" i="1" s="1"/>
  <c r="BN131" i="1" a="1"/>
  <c r="BN131" i="1" s="1"/>
  <c r="BI131" i="1"/>
  <c r="AT131" i="1"/>
  <c r="AK131" i="1"/>
  <c r="AJ131" i="1"/>
  <c r="AI131" i="1"/>
  <c r="AG131" i="1"/>
  <c r="AF131" i="1"/>
  <c r="AH131" i="1" s="1"/>
  <c r="S131" i="1"/>
  <c r="AT130" i="1"/>
  <c r="AK130" i="1"/>
  <c r="AJ130" i="1"/>
  <c r="AI130" i="1"/>
  <c r="AG130" i="1"/>
  <c r="AH130" i="1" s="1"/>
  <c r="AF130" i="1"/>
  <c r="S130" i="1"/>
  <c r="CE129" i="1"/>
  <c r="BP129" i="1" a="1"/>
  <c r="BP129" i="1" s="1"/>
  <c r="CF129" i="1" s="1"/>
  <c r="BO129" i="1" a="1"/>
  <c r="BO129" i="1" s="1"/>
  <c r="BN129" i="1" a="1"/>
  <c r="BN129" i="1" s="1"/>
  <c r="BI129" i="1"/>
  <c r="AT129" i="1"/>
  <c r="AK129" i="1"/>
  <c r="AJ129" i="1"/>
  <c r="AI129" i="1"/>
  <c r="AG129" i="1"/>
  <c r="AF129" i="1"/>
  <c r="AH129" i="1" s="1"/>
  <c r="R129" i="1" s="1"/>
  <c r="AZ129" i="1" s="1"/>
  <c r="BK129" i="1" s="1"/>
  <c r="BR129" i="1" s="1"/>
  <c r="S129" i="1"/>
  <c r="CE128" i="1"/>
  <c r="BP128" i="1" a="1"/>
  <c r="BP128" i="1" s="1"/>
  <c r="CF128" i="1" s="1"/>
  <c r="BO128" i="1" a="1"/>
  <c r="BO128" i="1" s="1"/>
  <c r="BN128" i="1" a="1"/>
  <c r="BN128" i="1" s="1"/>
  <c r="BI128" i="1"/>
  <c r="AT128" i="1"/>
  <c r="AK128" i="1"/>
  <c r="AJ128" i="1"/>
  <c r="AI128" i="1"/>
  <c r="AG128" i="1"/>
  <c r="AF128" i="1"/>
  <c r="AH128" i="1" s="1"/>
  <c r="R128" i="1" s="1"/>
  <c r="AZ128" i="1" s="1"/>
  <c r="BK128" i="1" s="1"/>
  <c r="BR128" i="1" s="1"/>
  <c r="S128" i="1"/>
  <c r="AT127" i="1"/>
  <c r="AK127" i="1"/>
  <c r="AJ127" i="1"/>
  <c r="AI127" i="1"/>
  <c r="AG127" i="1"/>
  <c r="AH127" i="1" s="1"/>
  <c r="AF127" i="1"/>
  <c r="S127" i="1"/>
  <c r="CE126" i="1"/>
  <c r="BP126" i="1" a="1"/>
  <c r="BP126" i="1" s="1"/>
  <c r="CF126" i="1" s="1"/>
  <c r="BO126" i="1" a="1"/>
  <c r="BO126" i="1" s="1"/>
  <c r="BN126" i="1" a="1"/>
  <c r="BN126" i="1" s="1"/>
  <c r="BI126" i="1"/>
  <c r="AT126" i="1"/>
  <c r="AK126" i="1"/>
  <c r="AJ126" i="1"/>
  <c r="AI126" i="1"/>
  <c r="AG126" i="1"/>
  <c r="AF126" i="1"/>
  <c r="AH126" i="1" s="1"/>
  <c r="S126" i="1"/>
  <c r="CE125" i="1"/>
  <c r="BP125" i="1" a="1"/>
  <c r="BP125" i="1" s="1"/>
  <c r="CF125" i="1" s="1"/>
  <c r="BO125" i="1" a="1"/>
  <c r="BO125" i="1" s="1"/>
  <c r="BN125" i="1" a="1"/>
  <c r="BN125" i="1" s="1"/>
  <c r="BI125" i="1"/>
  <c r="AT125" i="1"/>
  <c r="AK125" i="1"/>
  <c r="AJ125" i="1"/>
  <c r="AI125" i="1"/>
  <c r="AG125" i="1"/>
  <c r="AF125" i="1"/>
  <c r="AH125" i="1" s="1"/>
  <c r="S125" i="1"/>
  <c r="CE124" i="1"/>
  <c r="BP124" i="1" a="1"/>
  <c r="BP124" i="1" s="1"/>
  <c r="CF124" i="1" s="1"/>
  <c r="BO124" i="1" a="1"/>
  <c r="BO124" i="1" s="1"/>
  <c r="BN124" i="1" a="1"/>
  <c r="BN124" i="1" s="1"/>
  <c r="BI124" i="1"/>
  <c r="AT124" i="1"/>
  <c r="AK124" i="1"/>
  <c r="AJ124" i="1"/>
  <c r="AI124" i="1"/>
  <c r="AG124" i="1"/>
  <c r="AF124" i="1"/>
  <c r="AH124" i="1" s="1"/>
  <c r="S124" i="1"/>
  <c r="CE123" i="1"/>
  <c r="BP123" i="1" a="1"/>
  <c r="BP123" i="1" s="1"/>
  <c r="CF123" i="1" s="1"/>
  <c r="BO123" i="1" a="1"/>
  <c r="BO123" i="1" s="1"/>
  <c r="BN123" i="1" a="1"/>
  <c r="BN123" i="1" s="1"/>
  <c r="BI123" i="1"/>
  <c r="AT123" i="1"/>
  <c r="AK123" i="1"/>
  <c r="AJ123" i="1"/>
  <c r="AI123" i="1"/>
  <c r="AG123" i="1"/>
  <c r="AF123" i="1"/>
  <c r="AH123" i="1" s="1"/>
  <c r="S123" i="1"/>
  <c r="CE122" i="1"/>
  <c r="BP122" i="1" a="1"/>
  <c r="BP122" i="1" s="1"/>
  <c r="CF122" i="1" s="1"/>
  <c r="BO122" i="1" a="1"/>
  <c r="BO122" i="1" s="1"/>
  <c r="BN122" i="1" a="1"/>
  <c r="BN122" i="1" s="1"/>
  <c r="BI122" i="1"/>
  <c r="AT122" i="1"/>
  <c r="AK122" i="1"/>
  <c r="AJ122" i="1"/>
  <c r="AI122" i="1"/>
  <c r="AG122" i="1"/>
  <c r="AF122" i="1"/>
  <c r="AH122" i="1" s="1"/>
  <c r="S122" i="1"/>
  <c r="CE121" i="1"/>
  <c r="BP121" i="1" a="1"/>
  <c r="BP121" i="1" s="1"/>
  <c r="CF121" i="1" s="1"/>
  <c r="BO121" i="1" a="1"/>
  <c r="BO121" i="1" s="1"/>
  <c r="BN121" i="1" a="1"/>
  <c r="BN121" i="1" s="1"/>
  <c r="BI121" i="1"/>
  <c r="AT121" i="1"/>
  <c r="AK121" i="1"/>
  <c r="AJ121" i="1"/>
  <c r="AI121" i="1"/>
  <c r="AG121" i="1"/>
  <c r="AF121" i="1"/>
  <c r="AH121" i="1" s="1"/>
  <c r="BD121" i="1" s="1" a="1"/>
  <c r="BD121" i="1" s="1"/>
  <c r="BM121" i="1" s="1" a="1"/>
  <c r="BM121" i="1" s="1"/>
  <c r="S121" i="1"/>
  <c r="AT120" i="1"/>
  <c r="AK120" i="1"/>
  <c r="AJ120" i="1"/>
  <c r="AI120" i="1"/>
  <c r="AG120" i="1"/>
  <c r="AH120" i="1" s="1"/>
  <c r="AF120" i="1"/>
  <c r="S120" i="1"/>
  <c r="CE119" i="1"/>
  <c r="BP119" i="1" a="1"/>
  <c r="BP119" i="1" s="1"/>
  <c r="CF119" i="1" s="1"/>
  <c r="BO119" i="1" a="1"/>
  <c r="BO119" i="1" s="1"/>
  <c r="BN119" i="1" a="1"/>
  <c r="BN119" i="1" s="1"/>
  <c r="BI119" i="1"/>
  <c r="AT119" i="1"/>
  <c r="AK119" i="1"/>
  <c r="AJ119" i="1"/>
  <c r="AI119" i="1"/>
  <c r="AG119" i="1"/>
  <c r="AF119" i="1"/>
  <c r="AH119" i="1" s="1"/>
  <c r="BD119" i="1" s="1" a="1"/>
  <c r="BD119" i="1" s="1"/>
  <c r="BM119" i="1" s="1" a="1"/>
  <c r="BM119" i="1" s="1"/>
  <c r="S119" i="1"/>
  <c r="AT118" i="1"/>
  <c r="AK118" i="1"/>
  <c r="AJ118" i="1"/>
  <c r="AI118" i="1"/>
  <c r="AG118" i="1"/>
  <c r="AH118" i="1" s="1"/>
  <c r="AF118" i="1"/>
  <c r="S118" i="1"/>
  <c r="CE117" i="1"/>
  <c r="BP117" i="1" a="1"/>
  <c r="BP117" i="1" s="1"/>
  <c r="CF117" i="1" s="1"/>
  <c r="BO117" i="1" a="1"/>
  <c r="BO117" i="1" s="1"/>
  <c r="BN117" i="1" a="1"/>
  <c r="BN117" i="1" s="1"/>
  <c r="BI117" i="1"/>
  <c r="AT117" i="1"/>
  <c r="AK117" i="1"/>
  <c r="AJ117" i="1"/>
  <c r="AI117" i="1"/>
  <c r="AG117" i="1"/>
  <c r="S117" i="1"/>
  <c r="CE116" i="1"/>
  <c r="BP116" i="1" a="1"/>
  <c r="BP116" i="1" s="1"/>
  <c r="CF116" i="1" s="1"/>
  <c r="BO116" i="1" a="1"/>
  <c r="BO116" i="1" s="1"/>
  <c r="BN116" i="1" a="1"/>
  <c r="BN116" i="1" s="1"/>
  <c r="BI116" i="1"/>
  <c r="AT116" i="1"/>
  <c r="AK116" i="1"/>
  <c r="AJ116" i="1"/>
  <c r="AI116" i="1"/>
  <c r="AG116" i="1"/>
  <c r="AF116" i="1"/>
  <c r="AH116" i="1" s="1"/>
  <c r="S116" i="1"/>
  <c r="CE115" i="1"/>
  <c r="BP115" i="1" a="1"/>
  <c r="BP115" i="1" s="1"/>
  <c r="CF115" i="1" s="1"/>
  <c r="BO115" i="1" a="1"/>
  <c r="BO115" i="1" s="1"/>
  <c r="BN115" i="1" a="1"/>
  <c r="BN115" i="1" s="1"/>
  <c r="BI115" i="1"/>
  <c r="AT115" i="1"/>
  <c r="AK115" i="1"/>
  <c r="AJ115" i="1"/>
  <c r="AI115" i="1"/>
  <c r="AG115" i="1"/>
  <c r="AF115" i="1"/>
  <c r="AH115" i="1" s="1"/>
  <c r="S115" i="1"/>
  <c r="BP114" i="1" a="1"/>
  <c r="BP114" i="1" s="1"/>
  <c r="CF114" i="1" s="1"/>
  <c r="BO114" i="1" a="1"/>
  <c r="BO114" i="1" s="1"/>
  <c r="BN114" i="1" a="1"/>
  <c r="BN114" i="1" s="1"/>
  <c r="BI114" i="1"/>
  <c r="AT114" i="1"/>
  <c r="AK114" i="1"/>
  <c r="AJ114" i="1"/>
  <c r="AI114" i="1"/>
  <c r="AG114" i="1"/>
  <c r="AF114" i="1"/>
  <c r="AH114" i="1" s="1"/>
  <c r="BD114" i="1" s="1" a="1"/>
  <c r="BD114" i="1" s="1"/>
  <c r="BM114" i="1" s="1" a="1"/>
  <c r="BM114" i="1" s="1"/>
  <c r="S114" i="1"/>
  <c r="CE113" i="1"/>
  <c r="BP113" i="1" a="1"/>
  <c r="BP113" i="1" s="1"/>
  <c r="CF113" i="1" s="1"/>
  <c r="BO113" i="1" a="1"/>
  <c r="BO113" i="1" s="1"/>
  <c r="BN113" i="1" a="1"/>
  <c r="BN113" i="1" s="1"/>
  <c r="BI113" i="1"/>
  <c r="AT113" i="1"/>
  <c r="AK113" i="1"/>
  <c r="AJ113" i="1"/>
  <c r="AI113" i="1"/>
  <c r="AG113" i="1"/>
  <c r="AF113" i="1"/>
  <c r="AH113" i="1" s="1"/>
  <c r="S113" i="1"/>
  <c r="CE112" i="1"/>
  <c r="BP112" i="1" a="1"/>
  <c r="BP112" i="1" s="1"/>
  <c r="CF112" i="1" s="1"/>
  <c r="BO112" i="1" a="1"/>
  <c r="BO112" i="1" s="1"/>
  <c r="BN112" i="1" a="1"/>
  <c r="BN112" i="1" s="1"/>
  <c r="BI112" i="1"/>
  <c r="AT112" i="1"/>
  <c r="AK112" i="1"/>
  <c r="AJ112" i="1"/>
  <c r="AI112" i="1"/>
  <c r="AG112" i="1"/>
  <c r="AF112" i="1"/>
  <c r="AH112" i="1" s="1"/>
  <c r="S112" i="1"/>
  <c r="CE111" i="1"/>
  <c r="BP111" i="1" a="1"/>
  <c r="BP111" i="1" s="1"/>
  <c r="CF111" i="1" s="1"/>
  <c r="BO111" i="1" a="1"/>
  <c r="BO111" i="1" s="1"/>
  <c r="BN111" i="1" a="1"/>
  <c r="BN111" i="1" s="1"/>
  <c r="BI111" i="1"/>
  <c r="AT111" i="1"/>
  <c r="AK111" i="1"/>
  <c r="AJ111" i="1"/>
  <c r="AI111" i="1"/>
  <c r="AG111" i="1"/>
  <c r="AF111" i="1"/>
  <c r="AH111" i="1" s="1"/>
  <c r="S111" i="1"/>
  <c r="CE110" i="1"/>
  <c r="BP110" i="1" a="1"/>
  <c r="BP110" i="1" s="1"/>
  <c r="CF110" i="1" s="1"/>
  <c r="BO110" i="1" a="1"/>
  <c r="BO110" i="1" s="1"/>
  <c r="BN110" i="1" a="1"/>
  <c r="BN110" i="1" s="1"/>
  <c r="BI110" i="1"/>
  <c r="AT110" i="1"/>
  <c r="AK110" i="1"/>
  <c r="AJ110" i="1"/>
  <c r="AI110" i="1"/>
  <c r="AG110" i="1"/>
  <c r="AF110" i="1"/>
  <c r="AH110" i="1" s="1"/>
  <c r="S110" i="1"/>
  <c r="CE109" i="1"/>
  <c r="BP109" i="1" a="1"/>
  <c r="BP109" i="1" s="1"/>
  <c r="CF109" i="1" s="1"/>
  <c r="BO109" i="1" a="1"/>
  <c r="BO109" i="1" s="1"/>
  <c r="BN109" i="1" a="1"/>
  <c r="BN109" i="1" s="1"/>
  <c r="BI109" i="1"/>
  <c r="AT109" i="1"/>
  <c r="AK109" i="1"/>
  <c r="AJ109" i="1"/>
  <c r="AI109" i="1"/>
  <c r="AG109" i="1"/>
  <c r="AF109" i="1"/>
  <c r="AH109" i="1" s="1"/>
  <c r="S109" i="1"/>
  <c r="CE108" i="1"/>
  <c r="BP108" i="1" a="1"/>
  <c r="BP108" i="1" s="1"/>
  <c r="CF108" i="1" s="1"/>
  <c r="BO108" i="1" a="1"/>
  <c r="BO108" i="1" s="1"/>
  <c r="BN108" i="1" a="1"/>
  <c r="BN108" i="1" s="1"/>
  <c r="BI108" i="1"/>
  <c r="AT108" i="1"/>
  <c r="AK108" i="1"/>
  <c r="AJ108" i="1"/>
  <c r="AI108" i="1"/>
  <c r="AG108" i="1"/>
  <c r="S108" i="1"/>
  <c r="CE107" i="1"/>
  <c r="BP107" i="1" a="1"/>
  <c r="BP107" i="1" s="1"/>
  <c r="CF107" i="1" s="1"/>
  <c r="BO107" i="1" a="1"/>
  <c r="BO107" i="1" s="1"/>
  <c r="BN107" i="1" a="1"/>
  <c r="BN107" i="1" s="1"/>
  <c r="BI107" i="1"/>
  <c r="AT107" i="1"/>
  <c r="AK107" i="1"/>
  <c r="AJ107" i="1"/>
  <c r="AI107" i="1"/>
  <c r="AG107" i="1"/>
  <c r="AF107" i="1"/>
  <c r="AH107" i="1" s="1"/>
  <c r="S107" i="1"/>
  <c r="CK106" i="1"/>
  <c r="CJ106" i="1"/>
  <c r="CI106" i="1"/>
  <c r="CH106" i="1"/>
  <c r="AT106" i="1"/>
  <c r="AK106" i="1"/>
  <c r="AJ106" i="1"/>
  <c r="AI106" i="1"/>
  <c r="AF106" i="1"/>
  <c r="S106" i="1"/>
  <c r="CE105" i="1"/>
  <c r="BP105" i="1" a="1"/>
  <c r="BP105" i="1" s="1"/>
  <c r="CF105" i="1" s="1"/>
  <c r="BO105" i="1" a="1"/>
  <c r="BO105" i="1" s="1"/>
  <c r="BN105" i="1" a="1"/>
  <c r="BN105" i="1" s="1"/>
  <c r="BI105" i="1"/>
  <c r="AT105" i="1"/>
  <c r="AK105" i="1"/>
  <c r="AJ105" i="1"/>
  <c r="AI105" i="1"/>
  <c r="AG105" i="1"/>
  <c r="AF105" i="1"/>
  <c r="AH105" i="1" s="1"/>
  <c r="R105" i="1" s="1"/>
  <c r="AZ105" i="1" s="1"/>
  <c r="BK105" i="1" s="1"/>
  <c r="BR105" i="1" s="1"/>
  <c r="BX105" i="1" s="1"/>
  <c r="CA105" i="1" s="1"/>
  <c r="S105" i="1"/>
  <c r="CE104" i="1"/>
  <c r="BP104" i="1" a="1"/>
  <c r="BP104" i="1" s="1"/>
  <c r="CF104" i="1" s="1"/>
  <c r="BO104" i="1" a="1"/>
  <c r="BO104" i="1" s="1"/>
  <c r="BN104" i="1" a="1"/>
  <c r="BN104" i="1" s="1"/>
  <c r="BI104" i="1"/>
  <c r="AT104" i="1"/>
  <c r="AK104" i="1"/>
  <c r="AJ104" i="1"/>
  <c r="AI104" i="1"/>
  <c r="AG104" i="1"/>
  <c r="AF104" i="1"/>
  <c r="AH104" i="1" s="1"/>
  <c r="S104" i="1"/>
  <c r="CE103" i="1"/>
  <c r="BP103" i="1" a="1"/>
  <c r="BP103" i="1" s="1"/>
  <c r="CF103" i="1" s="1"/>
  <c r="BO103" i="1" a="1"/>
  <c r="BO103" i="1" s="1"/>
  <c r="BN103" i="1" a="1"/>
  <c r="BN103" i="1" s="1"/>
  <c r="BI103" i="1"/>
  <c r="AT103" i="1"/>
  <c r="AK103" i="1"/>
  <c r="AJ103" i="1"/>
  <c r="AI103" i="1"/>
  <c r="AG103" i="1"/>
  <c r="AF103" i="1"/>
  <c r="AH103" i="1" s="1"/>
  <c r="BD103" i="1" s="1" a="1"/>
  <c r="BD103" i="1" s="1"/>
  <c r="BM103" i="1" s="1" a="1"/>
  <c r="BM103" i="1" s="1"/>
  <c r="S103" i="1"/>
  <c r="CE102" i="1"/>
  <c r="BP102" i="1" a="1"/>
  <c r="BP102" i="1" s="1"/>
  <c r="CF102" i="1" s="1"/>
  <c r="BO102" i="1" a="1"/>
  <c r="BO102" i="1" s="1"/>
  <c r="BN102" i="1" a="1"/>
  <c r="BN102" i="1" s="1"/>
  <c r="BI102" i="1"/>
  <c r="AT102" i="1"/>
  <c r="AK102" i="1"/>
  <c r="AJ102" i="1"/>
  <c r="AI102" i="1"/>
  <c r="AG102" i="1"/>
  <c r="AF102" i="1"/>
  <c r="AH102" i="1" s="1"/>
  <c r="S102" i="1"/>
  <c r="BP101" i="1" a="1"/>
  <c r="BP101" i="1" s="1"/>
  <c r="CF101" i="1" s="1"/>
  <c r="BO101" i="1" a="1"/>
  <c r="BO101" i="1" s="1"/>
  <c r="BN101" i="1" a="1"/>
  <c r="BN101" i="1" s="1"/>
  <c r="BI101" i="1"/>
  <c r="AT101" i="1"/>
  <c r="AK101" i="1"/>
  <c r="AJ101" i="1"/>
  <c r="AI101" i="1"/>
  <c r="AG101" i="1"/>
  <c r="AF101" i="1"/>
  <c r="AH101" i="1" s="1"/>
  <c r="BD101" i="1" s="1" a="1"/>
  <c r="BD101" i="1" s="1"/>
  <c r="BM101" i="1" s="1" a="1"/>
  <c r="BM101" i="1" s="1"/>
  <c r="S101" i="1"/>
  <c r="CK100" i="1"/>
  <c r="CJ100" i="1"/>
  <c r="CI100" i="1"/>
  <c r="CH100" i="1"/>
  <c r="AT100" i="1"/>
  <c r="AK100" i="1"/>
  <c r="AJ100" i="1"/>
  <c r="AI100" i="1"/>
  <c r="AG100" i="1"/>
  <c r="AF100" i="1"/>
  <c r="AH100" i="1" s="1"/>
  <c r="S100" i="1"/>
  <c r="CK99" i="1"/>
  <c r="CJ99" i="1"/>
  <c r="CI99" i="1"/>
  <c r="CH99" i="1"/>
  <c r="AT99" i="1"/>
  <c r="AK99" i="1"/>
  <c r="AJ99" i="1"/>
  <c r="AI99" i="1"/>
  <c r="AF99" i="1"/>
  <c r="S99" i="1"/>
  <c r="CE98" i="1"/>
  <c r="BP98" i="1" a="1"/>
  <c r="BP98" i="1" s="1"/>
  <c r="CF98" i="1" s="1"/>
  <c r="BO98" i="1" a="1"/>
  <c r="BO98" i="1" s="1"/>
  <c r="BN98" i="1" a="1"/>
  <c r="BN98" i="1" s="1"/>
  <c r="BI98" i="1"/>
  <c r="AT98" i="1"/>
  <c r="AK98" i="1"/>
  <c r="AJ98" i="1"/>
  <c r="AI98" i="1"/>
  <c r="AG98" i="1"/>
  <c r="AF98" i="1"/>
  <c r="AH98" i="1" s="1"/>
  <c r="S98" i="1"/>
  <c r="BP97" i="1" a="1"/>
  <c r="BP97" i="1" s="1"/>
  <c r="CF97" i="1" s="1"/>
  <c r="BO97" i="1" a="1"/>
  <c r="BO97" i="1" s="1"/>
  <c r="BN97" i="1" a="1"/>
  <c r="BN97" i="1" s="1"/>
  <c r="BI97" i="1"/>
  <c r="AT97" i="1"/>
  <c r="AK97" i="1"/>
  <c r="AJ97" i="1"/>
  <c r="AI97" i="1"/>
  <c r="AG97" i="1"/>
  <c r="AF97" i="1"/>
  <c r="AH97" i="1" s="1"/>
  <c r="S97" i="1"/>
  <c r="CE96" i="1"/>
  <c r="BP96" i="1" a="1"/>
  <c r="BP96" i="1" s="1"/>
  <c r="CF96" i="1" s="1"/>
  <c r="BO96" i="1" a="1"/>
  <c r="BO96" i="1" s="1"/>
  <c r="BN96" i="1" a="1"/>
  <c r="BN96" i="1" s="1"/>
  <c r="BI96" i="1"/>
  <c r="AT96" i="1"/>
  <c r="AK96" i="1"/>
  <c r="AJ96" i="1"/>
  <c r="AI96" i="1"/>
  <c r="AG96" i="1"/>
  <c r="AF96" i="1"/>
  <c r="AH96" i="1" s="1"/>
  <c r="BD96" i="1" s="1" a="1"/>
  <c r="BD96" i="1" s="1"/>
  <c r="BM96" i="1" s="1" a="1"/>
  <c r="BM96" i="1" s="1"/>
  <c r="S96" i="1"/>
  <c r="CE95" i="1"/>
  <c r="BP95" i="1" a="1"/>
  <c r="BP95" i="1" s="1"/>
  <c r="CF95" i="1" s="1"/>
  <c r="BO95" i="1" a="1"/>
  <c r="BO95" i="1" s="1"/>
  <c r="BN95" i="1" a="1"/>
  <c r="BN95" i="1" s="1"/>
  <c r="BI95" i="1"/>
  <c r="AT95" i="1"/>
  <c r="AK95" i="1"/>
  <c r="AJ95" i="1"/>
  <c r="AI95" i="1"/>
  <c r="AG95" i="1"/>
  <c r="AF95" i="1"/>
  <c r="AH95" i="1" s="1"/>
  <c r="R95" i="1" s="1"/>
  <c r="AZ95" i="1" s="1"/>
  <c r="BK95" i="1" s="1"/>
  <c r="BR95" i="1" s="1"/>
  <c r="BX95" i="1" s="1"/>
  <c r="CA95" i="1" s="1"/>
  <c r="S95" i="1"/>
  <c r="CE94" i="1"/>
  <c r="BP94" i="1" a="1"/>
  <c r="BP94" i="1" s="1"/>
  <c r="CF94" i="1" s="1"/>
  <c r="BO94" i="1" a="1"/>
  <c r="BO94" i="1" s="1"/>
  <c r="BN94" i="1" a="1"/>
  <c r="BN94" i="1" s="1"/>
  <c r="BI94" i="1"/>
  <c r="AT94" i="1"/>
  <c r="AK94" i="1"/>
  <c r="AJ94" i="1"/>
  <c r="AI94" i="1"/>
  <c r="AG94" i="1"/>
  <c r="AF94" i="1"/>
  <c r="AH94" i="1" s="1"/>
  <c r="S94" i="1"/>
  <c r="CE93" i="1"/>
  <c r="BP93" i="1" a="1"/>
  <c r="BP93" i="1" s="1"/>
  <c r="CF93" i="1" s="1"/>
  <c r="BO93" i="1" a="1"/>
  <c r="BO93" i="1" s="1"/>
  <c r="BN93" i="1" a="1"/>
  <c r="BN93" i="1" s="1"/>
  <c r="BI93" i="1"/>
  <c r="AT93" i="1"/>
  <c r="AK93" i="1"/>
  <c r="AJ93" i="1"/>
  <c r="AI93" i="1"/>
  <c r="AG93" i="1"/>
  <c r="AF93" i="1"/>
  <c r="AH93" i="1" s="1"/>
  <c r="BD93" i="1" s="1" a="1"/>
  <c r="BD93" i="1" s="1"/>
  <c r="BM93" i="1" s="1" a="1"/>
  <c r="BM93" i="1" s="1"/>
  <c r="S93" i="1"/>
  <c r="CE92" i="1"/>
  <c r="BP92" i="1" a="1"/>
  <c r="BP92" i="1" s="1"/>
  <c r="CF92" i="1" s="1"/>
  <c r="BO92" i="1" a="1"/>
  <c r="BO92" i="1" s="1"/>
  <c r="BN92" i="1" a="1"/>
  <c r="BN92" i="1" s="1"/>
  <c r="BI92" i="1"/>
  <c r="AT92" i="1"/>
  <c r="AK92" i="1"/>
  <c r="AJ92" i="1"/>
  <c r="AI92" i="1"/>
  <c r="AG92" i="1"/>
  <c r="AF92" i="1"/>
  <c r="AH92" i="1" s="1"/>
  <c r="R92" i="1" s="1"/>
  <c r="AZ92" i="1" s="1"/>
  <c r="BK92" i="1" s="1"/>
  <c r="BR92" i="1" s="1"/>
  <c r="BX92" i="1" s="1"/>
  <c r="CA92" i="1" s="1"/>
  <c r="S92" i="1"/>
  <c r="CE91" i="1"/>
  <c r="BP91" i="1" a="1"/>
  <c r="BP91" i="1" s="1"/>
  <c r="CF91" i="1" s="1"/>
  <c r="BO91" i="1" a="1"/>
  <c r="BO91" i="1" s="1"/>
  <c r="BN91" i="1" a="1"/>
  <c r="BN91" i="1" s="1"/>
  <c r="BI91" i="1"/>
  <c r="AT91" i="1"/>
  <c r="AK91" i="1"/>
  <c r="AJ91" i="1"/>
  <c r="AI91" i="1"/>
  <c r="AG91" i="1"/>
  <c r="AF91" i="1"/>
  <c r="AH91" i="1" s="1"/>
  <c r="R91" i="1" s="1"/>
  <c r="AZ91" i="1" s="1"/>
  <c r="BK91" i="1" s="1"/>
  <c r="BR91" i="1" s="1"/>
  <c r="BX91" i="1" s="1"/>
  <c r="S91" i="1"/>
  <c r="AT90" i="1"/>
  <c r="AK90" i="1"/>
  <c r="AJ90" i="1"/>
  <c r="AI90" i="1"/>
  <c r="AG90" i="1"/>
  <c r="AH90" i="1" s="1"/>
  <c r="AF90" i="1"/>
  <c r="S90" i="1"/>
  <c r="AT89" i="1"/>
  <c r="AK89" i="1"/>
  <c r="AJ89" i="1"/>
  <c r="AI89" i="1"/>
  <c r="AG89" i="1"/>
  <c r="AH89" i="1" s="1"/>
  <c r="CM89" i="1" s="1"/>
  <c r="AF89" i="1"/>
  <c r="S89" i="1"/>
  <c r="CK88" i="1"/>
  <c r="CJ88" i="1"/>
  <c r="CI88" i="1"/>
  <c r="CH88" i="1"/>
  <c r="AT88" i="1"/>
  <c r="AK88" i="1"/>
  <c r="AJ88" i="1"/>
  <c r="AI88" i="1"/>
  <c r="AG88" i="1"/>
  <c r="AF88" i="1"/>
  <c r="AH88" i="1" s="1"/>
  <c r="R88" i="1" s="1"/>
  <c r="AZ88" i="1" s="1"/>
  <c r="BK88" i="1" s="1"/>
  <c r="BR88" i="1" s="1"/>
  <c r="S88" i="1"/>
  <c r="AT87" i="1"/>
  <c r="AK87" i="1"/>
  <c r="AJ87" i="1"/>
  <c r="AI87" i="1"/>
  <c r="AG87" i="1"/>
  <c r="AH87" i="1" s="1"/>
  <c r="BD87" i="1" s="1" a="1"/>
  <c r="BD87" i="1" s="1"/>
  <c r="AF87" i="1"/>
  <c r="S87" i="1"/>
  <c r="BP86" i="1" a="1"/>
  <c r="BP86" i="1" s="1"/>
  <c r="CF86" i="1" s="1"/>
  <c r="BO86" i="1" a="1"/>
  <c r="BO86" i="1" s="1"/>
  <c r="BN86" i="1" a="1"/>
  <c r="BN86" i="1" s="1"/>
  <c r="BI86" i="1"/>
  <c r="AT86" i="1"/>
  <c r="AK86" i="1"/>
  <c r="AJ86" i="1"/>
  <c r="AI86" i="1"/>
  <c r="AG86" i="1"/>
  <c r="AF86" i="1"/>
  <c r="AH86" i="1" s="1"/>
  <c r="BD86" i="1" s="1" a="1"/>
  <c r="BD86" i="1" s="1"/>
  <c r="BM86" i="1" s="1" a="1"/>
  <c r="BM86" i="1" s="1"/>
  <c r="S86" i="1"/>
  <c r="CE85" i="1"/>
  <c r="BP85" i="1" a="1"/>
  <c r="BP85" i="1" s="1"/>
  <c r="CF85" i="1" s="1"/>
  <c r="BO85" i="1" a="1"/>
  <c r="BO85" i="1" s="1"/>
  <c r="BN85" i="1" a="1"/>
  <c r="BN85" i="1" s="1"/>
  <c r="BI85" i="1"/>
  <c r="AT85" i="1"/>
  <c r="AK85" i="1"/>
  <c r="AJ85" i="1"/>
  <c r="AI85" i="1"/>
  <c r="AG85" i="1"/>
  <c r="AF85" i="1"/>
  <c r="AH85" i="1" s="1"/>
  <c r="BD85" i="1" s="1" a="1"/>
  <c r="BD85" i="1" s="1"/>
  <c r="BM85" i="1" s="1" a="1"/>
  <c r="BM85" i="1" s="1"/>
  <c r="S85" i="1"/>
  <c r="CE84" i="1"/>
  <c r="BP84" i="1" a="1"/>
  <c r="BP84" i="1" s="1"/>
  <c r="CF84" i="1" s="1"/>
  <c r="BO84" i="1" a="1"/>
  <c r="BO84" i="1" s="1"/>
  <c r="BN84" i="1" a="1"/>
  <c r="BN84" i="1" s="1"/>
  <c r="BI84" i="1"/>
  <c r="AT84" i="1"/>
  <c r="AK84" i="1"/>
  <c r="AJ84" i="1"/>
  <c r="AI84" i="1"/>
  <c r="AG84" i="1"/>
  <c r="AF84" i="1"/>
  <c r="AH84" i="1" s="1"/>
  <c r="S84" i="1"/>
  <c r="BP83" i="1" a="1"/>
  <c r="BP83" i="1" s="1"/>
  <c r="CF83" i="1" s="1"/>
  <c r="BO83" i="1" a="1"/>
  <c r="BO83" i="1" s="1"/>
  <c r="BN83" i="1" a="1"/>
  <c r="BN83" i="1" s="1"/>
  <c r="BI83" i="1"/>
  <c r="AT83" i="1"/>
  <c r="AK83" i="1"/>
  <c r="AJ83" i="1"/>
  <c r="AI83" i="1"/>
  <c r="AG83" i="1"/>
  <c r="AF83" i="1"/>
  <c r="AH83" i="1" s="1"/>
  <c r="R83" i="1" s="1"/>
  <c r="AZ83" i="1" s="1"/>
  <c r="BK83" i="1" s="1"/>
  <c r="BR83" i="1" s="1"/>
  <c r="BX83" i="1" s="1"/>
  <c r="S83" i="1"/>
  <c r="CE82" i="1"/>
  <c r="BP82" i="1" a="1"/>
  <c r="BP82" i="1" s="1"/>
  <c r="CF82" i="1" s="1"/>
  <c r="BO82" i="1" a="1"/>
  <c r="BO82" i="1" s="1"/>
  <c r="BN82" i="1" a="1"/>
  <c r="BN82" i="1" s="1"/>
  <c r="BI82" i="1"/>
  <c r="AT82" i="1"/>
  <c r="AK82" i="1"/>
  <c r="AJ82" i="1"/>
  <c r="AI82" i="1"/>
  <c r="AG82" i="1"/>
  <c r="AF82" i="1"/>
  <c r="AH82" i="1" s="1"/>
  <c r="BD82" i="1" s="1" a="1"/>
  <c r="BD82" i="1" s="1"/>
  <c r="BM82" i="1" s="1" a="1"/>
  <c r="BM82" i="1" s="1"/>
  <c r="S82" i="1"/>
  <c r="AT81" i="1"/>
  <c r="AK81" i="1"/>
  <c r="AJ81" i="1"/>
  <c r="AI81" i="1"/>
  <c r="AG81" i="1"/>
  <c r="AH81" i="1" s="1"/>
  <c r="CM81" i="1" s="1"/>
  <c r="AF81" i="1"/>
  <c r="S81" i="1"/>
  <c r="AT80" i="1"/>
  <c r="AK80" i="1"/>
  <c r="AJ80" i="1"/>
  <c r="AI80" i="1"/>
  <c r="AG80" i="1"/>
  <c r="AH80" i="1" s="1"/>
  <c r="CM80" i="1" s="1"/>
  <c r="AF80" i="1"/>
  <c r="S80" i="1"/>
  <c r="CE79" i="1"/>
  <c r="BP79" i="1" a="1"/>
  <c r="BP79" i="1" s="1"/>
  <c r="CF79" i="1" s="1"/>
  <c r="BO79" i="1" a="1"/>
  <c r="BO79" i="1" s="1"/>
  <c r="BN79" i="1" a="1"/>
  <c r="BN79" i="1" s="1"/>
  <c r="BI79" i="1"/>
  <c r="AT79" i="1"/>
  <c r="AK79" i="1"/>
  <c r="AJ79" i="1"/>
  <c r="AI79" i="1"/>
  <c r="AG79" i="1"/>
  <c r="AF79" i="1"/>
  <c r="AH79" i="1" s="1"/>
  <c r="S79" i="1"/>
  <c r="CE78" i="1"/>
  <c r="BP78" i="1" a="1"/>
  <c r="BP78" i="1" s="1"/>
  <c r="CF78" i="1" s="1"/>
  <c r="BO78" i="1" a="1"/>
  <c r="BO78" i="1" s="1"/>
  <c r="BN78" i="1" a="1"/>
  <c r="BN78" i="1" s="1"/>
  <c r="BI78" i="1"/>
  <c r="AT78" i="1"/>
  <c r="AK78" i="1"/>
  <c r="AJ78" i="1"/>
  <c r="AI78" i="1"/>
  <c r="AG78" i="1"/>
  <c r="AF78" i="1"/>
  <c r="AH78" i="1" s="1"/>
  <c r="R78" i="1" s="1"/>
  <c r="AZ78" i="1" s="1"/>
  <c r="BK78" i="1" s="1"/>
  <c r="BR78" i="1" s="1"/>
  <c r="BX78" i="1" s="1"/>
  <c r="S78" i="1"/>
  <c r="CE77" i="1"/>
  <c r="BP77" i="1" a="1"/>
  <c r="BP77" i="1" s="1"/>
  <c r="CF77" i="1" s="1"/>
  <c r="BO77" i="1" a="1"/>
  <c r="BO77" i="1" s="1"/>
  <c r="BN77" i="1" a="1"/>
  <c r="BN77" i="1" s="1"/>
  <c r="BI77" i="1"/>
  <c r="AT77" i="1"/>
  <c r="AK77" i="1"/>
  <c r="AJ77" i="1"/>
  <c r="AI77" i="1"/>
  <c r="AG77" i="1"/>
  <c r="AF77" i="1"/>
  <c r="AH77" i="1" s="1"/>
  <c r="BD77" i="1" s="1" a="1"/>
  <c r="BD77" i="1" s="1"/>
  <c r="BM77" i="1" s="1" a="1"/>
  <c r="BM77" i="1" s="1"/>
  <c r="S77" i="1"/>
  <c r="AT76" i="1"/>
  <c r="AK76" i="1"/>
  <c r="AJ76" i="1"/>
  <c r="AI76" i="1"/>
  <c r="AG76" i="1"/>
  <c r="AH76" i="1" s="1"/>
  <c r="CM76" i="1" s="1"/>
  <c r="AF76" i="1"/>
  <c r="S76" i="1"/>
  <c r="CE75" i="1"/>
  <c r="BP75" i="1" a="1"/>
  <c r="BP75" i="1" s="1"/>
  <c r="CF75" i="1" s="1"/>
  <c r="BO75" i="1" a="1"/>
  <c r="BO75" i="1" s="1"/>
  <c r="BN75" i="1" a="1"/>
  <c r="BN75" i="1" s="1"/>
  <c r="BI75" i="1"/>
  <c r="AT75" i="1"/>
  <c r="AK75" i="1"/>
  <c r="AJ75" i="1"/>
  <c r="AI75" i="1"/>
  <c r="AG75" i="1"/>
  <c r="AF75" i="1"/>
  <c r="AH75" i="1" s="1"/>
  <c r="R75" i="1" s="1"/>
  <c r="AZ75" i="1" s="1"/>
  <c r="BK75" i="1" s="1"/>
  <c r="BR75" i="1" s="1"/>
  <c r="BX75" i="1" s="1"/>
  <c r="S75" i="1"/>
  <c r="CE74" i="1"/>
  <c r="BP74" i="1" a="1"/>
  <c r="BP74" i="1" s="1"/>
  <c r="CF74" i="1" s="1"/>
  <c r="BO74" i="1" a="1"/>
  <c r="BO74" i="1" s="1"/>
  <c r="BN74" i="1" a="1"/>
  <c r="BN74" i="1" s="1"/>
  <c r="BI74" i="1"/>
  <c r="AT74" i="1"/>
  <c r="AK74" i="1"/>
  <c r="AJ74" i="1"/>
  <c r="AI74" i="1"/>
  <c r="AG74" i="1"/>
  <c r="AF74" i="1"/>
  <c r="AH74" i="1" s="1"/>
  <c r="BD74" i="1" s="1" a="1"/>
  <c r="BD74" i="1" s="1"/>
  <c r="BM74" i="1" s="1" a="1"/>
  <c r="BM74" i="1" s="1"/>
  <c r="S74" i="1"/>
  <c r="CE73" i="1"/>
  <c r="BP73" i="1" a="1"/>
  <c r="BP73" i="1" s="1"/>
  <c r="CF73" i="1" s="1"/>
  <c r="BO73" i="1" a="1"/>
  <c r="BO73" i="1" s="1"/>
  <c r="BN73" i="1" a="1"/>
  <c r="BN73" i="1" s="1"/>
  <c r="BI73" i="1"/>
  <c r="AT73" i="1"/>
  <c r="AK73" i="1"/>
  <c r="AJ73" i="1"/>
  <c r="AI73" i="1"/>
  <c r="AG73" i="1"/>
  <c r="AF73" i="1"/>
  <c r="AH73" i="1" s="1"/>
  <c r="BD73" i="1" s="1" a="1"/>
  <c r="BD73" i="1" s="1"/>
  <c r="BM73" i="1" s="1" a="1"/>
  <c r="BM73" i="1" s="1"/>
  <c r="S73" i="1"/>
  <c r="CE72" i="1"/>
  <c r="BP72" i="1" a="1"/>
  <c r="BP72" i="1" s="1"/>
  <c r="CF72" i="1" s="1"/>
  <c r="BO72" i="1" a="1"/>
  <c r="BO72" i="1" s="1"/>
  <c r="BN72" i="1" a="1"/>
  <c r="BN72" i="1" s="1"/>
  <c r="BI72" i="1"/>
  <c r="AT72" i="1"/>
  <c r="AK72" i="1"/>
  <c r="AJ72" i="1"/>
  <c r="AI72" i="1"/>
  <c r="AG72" i="1"/>
  <c r="AF72" i="1"/>
  <c r="AH72" i="1" s="1"/>
  <c r="BD72" i="1" s="1" a="1"/>
  <c r="BD72" i="1" s="1"/>
  <c r="BM72" i="1" s="1" a="1"/>
  <c r="BM72" i="1" s="1"/>
  <c r="S72" i="1"/>
  <c r="CE71" i="1"/>
  <c r="BP71" i="1" a="1"/>
  <c r="BP71" i="1" s="1"/>
  <c r="CF71" i="1" s="1"/>
  <c r="BO71" i="1" a="1"/>
  <c r="BO71" i="1" s="1"/>
  <c r="BN71" i="1" a="1"/>
  <c r="BN71" i="1" s="1"/>
  <c r="BI71" i="1"/>
  <c r="AT71" i="1"/>
  <c r="AK71" i="1"/>
  <c r="AJ71" i="1"/>
  <c r="AI71" i="1"/>
  <c r="AG71" i="1"/>
  <c r="AF71" i="1"/>
  <c r="AH71" i="1" s="1"/>
  <c r="S71" i="1"/>
  <c r="CE70" i="1"/>
  <c r="BP70" i="1" a="1"/>
  <c r="BP70" i="1" s="1"/>
  <c r="CF70" i="1" s="1"/>
  <c r="BO70" i="1" a="1"/>
  <c r="BO70" i="1" s="1"/>
  <c r="BN70" i="1" a="1"/>
  <c r="BN70" i="1" s="1"/>
  <c r="BI70" i="1"/>
  <c r="AT70" i="1"/>
  <c r="AK70" i="1"/>
  <c r="AJ70" i="1"/>
  <c r="AI70" i="1"/>
  <c r="AG70" i="1"/>
  <c r="AF70" i="1"/>
  <c r="AH70" i="1" s="1"/>
  <c r="S70" i="1"/>
  <c r="CE69" i="1"/>
  <c r="BP69" i="1" a="1"/>
  <c r="BP69" i="1" s="1"/>
  <c r="CF69" i="1" s="1"/>
  <c r="BO69" i="1" a="1"/>
  <c r="BO69" i="1" s="1"/>
  <c r="BN69" i="1" a="1"/>
  <c r="BN69" i="1" s="1"/>
  <c r="BI69" i="1"/>
  <c r="AT69" i="1"/>
  <c r="AK69" i="1"/>
  <c r="AJ69" i="1"/>
  <c r="AI69" i="1"/>
  <c r="AG69" i="1"/>
  <c r="AF69" i="1"/>
  <c r="AH69" i="1" s="1"/>
  <c r="S69" i="1"/>
  <c r="CE68" i="1"/>
  <c r="BP68" i="1" a="1"/>
  <c r="BP68" i="1" s="1"/>
  <c r="CF68" i="1" s="1"/>
  <c r="BO68" i="1" a="1"/>
  <c r="BO68" i="1" s="1"/>
  <c r="CC68" i="1" s="1"/>
  <c r="BN68" i="1" a="1"/>
  <c r="BN68" i="1" s="1"/>
  <c r="BZ68" i="1" s="1"/>
  <c r="BI68" i="1"/>
  <c r="AT68" i="1"/>
  <c r="AK68" i="1"/>
  <c r="AJ68" i="1"/>
  <c r="AI68" i="1"/>
  <c r="AG68" i="1"/>
  <c r="AF68" i="1"/>
  <c r="AH68" i="1" s="1"/>
  <c r="BD68" i="1" s="1" a="1"/>
  <c r="BD68" i="1" s="1"/>
  <c r="BM68" i="1" s="1" a="1"/>
  <c r="BM68" i="1" s="1"/>
  <c r="BW68" i="1" s="1"/>
  <c r="S68" i="1"/>
  <c r="CE67" i="1"/>
  <c r="BP67" i="1" a="1"/>
  <c r="BP67" i="1" s="1"/>
  <c r="CF67" i="1" s="1"/>
  <c r="BO67" i="1" a="1"/>
  <c r="BO67" i="1" s="1"/>
  <c r="BN67" i="1" a="1"/>
  <c r="BN67" i="1" s="1"/>
  <c r="BI67" i="1"/>
  <c r="AT67" i="1"/>
  <c r="AK67" i="1"/>
  <c r="AJ67" i="1"/>
  <c r="AI67" i="1"/>
  <c r="AG67" i="1"/>
  <c r="AF67" i="1"/>
  <c r="AH67" i="1" s="1"/>
  <c r="R67" i="1" s="1"/>
  <c r="AZ67" i="1" s="1"/>
  <c r="BK67" i="1" s="1"/>
  <c r="BR67" i="1" s="1"/>
  <c r="S67" i="1"/>
  <c r="CE66" i="1"/>
  <c r="BP66" i="1" a="1"/>
  <c r="BP66" i="1" s="1"/>
  <c r="CF66" i="1" s="1"/>
  <c r="BO66" i="1" a="1"/>
  <c r="BO66" i="1" s="1"/>
  <c r="BN66" i="1" a="1"/>
  <c r="BN66" i="1" s="1"/>
  <c r="BI66" i="1"/>
  <c r="AT66" i="1"/>
  <c r="AK66" i="1"/>
  <c r="AJ66" i="1"/>
  <c r="AI66" i="1"/>
  <c r="AG66" i="1"/>
  <c r="AF66" i="1"/>
  <c r="AH66" i="1" s="1"/>
  <c r="BD66" i="1" s="1" a="1"/>
  <c r="BD66" i="1" s="1"/>
  <c r="BM66" i="1" s="1" a="1"/>
  <c r="BM66" i="1" s="1"/>
  <c r="S66" i="1"/>
  <c r="CE65" i="1"/>
  <c r="BP65" i="1" a="1"/>
  <c r="BP65" i="1" s="1"/>
  <c r="CF65" i="1" s="1"/>
  <c r="BO65" i="1" a="1"/>
  <c r="BO65" i="1" s="1"/>
  <c r="BN65" i="1" a="1"/>
  <c r="BN65" i="1" s="1"/>
  <c r="BI65" i="1"/>
  <c r="AT65" i="1"/>
  <c r="AK65" i="1"/>
  <c r="AJ65" i="1"/>
  <c r="AI65" i="1"/>
  <c r="AG65" i="1"/>
  <c r="AF65" i="1"/>
  <c r="AH65" i="1" s="1"/>
  <c r="S65" i="1"/>
  <c r="CE64" i="1"/>
  <c r="BP64" i="1" a="1"/>
  <c r="BP64" i="1" s="1"/>
  <c r="CF64" i="1" s="1"/>
  <c r="BO64" i="1" a="1"/>
  <c r="BO64" i="1" s="1"/>
  <c r="BN64" i="1" a="1"/>
  <c r="BN64" i="1" s="1"/>
  <c r="BI64" i="1"/>
  <c r="AT64" i="1"/>
  <c r="AK64" i="1"/>
  <c r="AJ64" i="1"/>
  <c r="AI64" i="1"/>
  <c r="AG64" i="1"/>
  <c r="AF64" i="1"/>
  <c r="AH64" i="1" s="1"/>
  <c r="BD64" i="1" s="1" a="1"/>
  <c r="BD64" i="1" s="1"/>
  <c r="BM64" i="1" s="1" a="1"/>
  <c r="BM64" i="1" s="1"/>
  <c r="S64" i="1"/>
  <c r="CE63" i="1"/>
  <c r="BP63" i="1" a="1"/>
  <c r="BP63" i="1" s="1"/>
  <c r="CF63" i="1" s="1"/>
  <c r="BO63" i="1" a="1"/>
  <c r="BO63" i="1" s="1"/>
  <c r="BN63" i="1" a="1"/>
  <c r="BN63" i="1" s="1"/>
  <c r="BI63" i="1"/>
  <c r="AT63" i="1"/>
  <c r="AK63" i="1"/>
  <c r="AJ63" i="1"/>
  <c r="AI63" i="1"/>
  <c r="AG63" i="1"/>
  <c r="AF63" i="1"/>
  <c r="AH63" i="1" s="1"/>
  <c r="R63" i="1" s="1"/>
  <c r="AZ63" i="1" s="1"/>
  <c r="BK63" i="1" s="1"/>
  <c r="BR63" i="1" s="1"/>
  <c r="BX63" i="1" s="1"/>
  <c r="S63" i="1"/>
  <c r="CE62" i="1"/>
  <c r="BP62" i="1" a="1"/>
  <c r="BP62" i="1" s="1"/>
  <c r="CF62" i="1" s="1"/>
  <c r="BO62" i="1" a="1"/>
  <c r="BO62" i="1" s="1"/>
  <c r="BN62" i="1" a="1"/>
  <c r="BN62" i="1" s="1"/>
  <c r="BI62" i="1"/>
  <c r="AT62" i="1"/>
  <c r="AK62" i="1"/>
  <c r="AJ62" i="1"/>
  <c r="AI62" i="1"/>
  <c r="AG62" i="1"/>
  <c r="AF62" i="1"/>
  <c r="AH62" i="1" s="1"/>
  <c r="BD62" i="1" s="1" a="1"/>
  <c r="BD62" i="1" s="1"/>
  <c r="BM62" i="1" s="1" a="1"/>
  <c r="BM62" i="1" s="1"/>
  <c r="S62" i="1"/>
  <c r="BP61" i="1" a="1"/>
  <c r="BP61" i="1" s="1"/>
  <c r="CF61" i="1" s="1"/>
  <c r="BO61" i="1" a="1"/>
  <c r="BO61" i="1" s="1"/>
  <c r="BN61" i="1" a="1"/>
  <c r="BN61" i="1" s="1"/>
  <c r="BI61" i="1"/>
  <c r="AT61" i="1"/>
  <c r="AK61" i="1"/>
  <c r="AJ61" i="1"/>
  <c r="AI61" i="1"/>
  <c r="AG61" i="1"/>
  <c r="AF61" i="1"/>
  <c r="AH61" i="1" s="1"/>
  <c r="S61" i="1"/>
  <c r="CE60" i="1"/>
  <c r="BP60" i="1" a="1"/>
  <c r="BP60" i="1" s="1"/>
  <c r="CF60" i="1" s="1"/>
  <c r="BO60" i="1" a="1"/>
  <c r="BO60" i="1" s="1"/>
  <c r="BN60" i="1" a="1"/>
  <c r="BN60" i="1" s="1"/>
  <c r="BI60" i="1"/>
  <c r="AT60" i="1"/>
  <c r="AK60" i="1"/>
  <c r="AJ60" i="1"/>
  <c r="AI60" i="1"/>
  <c r="AG60" i="1"/>
  <c r="AF60" i="1"/>
  <c r="AH60" i="1" s="1"/>
  <c r="S60" i="1"/>
  <c r="CE59" i="1"/>
  <c r="BP59" i="1" a="1"/>
  <c r="BP59" i="1" s="1"/>
  <c r="CF59" i="1" s="1"/>
  <c r="BO59" i="1" a="1"/>
  <c r="BO59" i="1" s="1"/>
  <c r="BN59" i="1" a="1"/>
  <c r="BN59" i="1" s="1"/>
  <c r="BI59" i="1"/>
  <c r="AT59" i="1"/>
  <c r="AK59" i="1"/>
  <c r="AJ59" i="1"/>
  <c r="AI59" i="1"/>
  <c r="AG59" i="1"/>
  <c r="AF59" i="1"/>
  <c r="AH59" i="1" s="1"/>
  <c r="BD59" i="1" s="1" a="1"/>
  <c r="BD59" i="1" s="1"/>
  <c r="BM59" i="1" s="1" a="1"/>
  <c r="BM59" i="1" s="1"/>
  <c r="S59" i="1"/>
  <c r="CE58" i="1"/>
  <c r="BP58" i="1" a="1"/>
  <c r="BP58" i="1" s="1"/>
  <c r="CF58" i="1" s="1"/>
  <c r="BO58" i="1" a="1"/>
  <c r="BO58" i="1" s="1"/>
  <c r="BN58" i="1" a="1"/>
  <c r="BN58" i="1" s="1"/>
  <c r="BI58" i="1"/>
  <c r="AT58" i="1"/>
  <c r="AK58" i="1"/>
  <c r="AJ58" i="1"/>
  <c r="AI58" i="1"/>
  <c r="AG58" i="1"/>
  <c r="AF58" i="1"/>
  <c r="AH58" i="1" s="1"/>
  <c r="S58" i="1"/>
  <c r="CE57" i="1"/>
  <c r="BP57" i="1" a="1"/>
  <c r="BP57" i="1" s="1"/>
  <c r="CF57" i="1" s="1"/>
  <c r="BO57" i="1" a="1"/>
  <c r="BO57" i="1" s="1"/>
  <c r="BN57" i="1" a="1"/>
  <c r="BN57" i="1" s="1"/>
  <c r="BI57" i="1"/>
  <c r="AT57" i="1"/>
  <c r="AK57" i="1"/>
  <c r="AJ57" i="1"/>
  <c r="AI57" i="1"/>
  <c r="AG57" i="1"/>
  <c r="CE56" i="1"/>
  <c r="BP56" i="1" a="1"/>
  <c r="BP56" i="1" s="1"/>
  <c r="CF56" i="1" s="1"/>
  <c r="BO56" i="1" a="1"/>
  <c r="BO56" i="1" s="1"/>
  <c r="BN56" i="1" a="1"/>
  <c r="BN56" i="1" s="1"/>
  <c r="BI56" i="1"/>
  <c r="AT56" i="1"/>
  <c r="AK56" i="1"/>
  <c r="AJ56" i="1"/>
  <c r="AI56" i="1"/>
  <c r="AG56" i="1"/>
  <c r="S56" i="1"/>
  <c r="CE55" i="1"/>
  <c r="BP55" i="1" a="1"/>
  <c r="BP55" i="1" s="1"/>
  <c r="CF55" i="1" s="1"/>
  <c r="BO55" i="1" a="1"/>
  <c r="BO55" i="1" s="1"/>
  <c r="BN55" i="1" a="1"/>
  <c r="BN55" i="1" s="1"/>
  <c r="BI55" i="1"/>
  <c r="AT55" i="1"/>
  <c r="AK55" i="1"/>
  <c r="AJ55" i="1"/>
  <c r="AI55" i="1"/>
  <c r="AG55" i="1"/>
  <c r="S55" i="1"/>
  <c r="CE54" i="1"/>
  <c r="BP54" i="1" a="1"/>
  <c r="BP54" i="1" s="1"/>
  <c r="CF54" i="1" s="1"/>
  <c r="BO54" i="1" a="1"/>
  <c r="BO54" i="1" s="1"/>
  <c r="BN54" i="1" a="1"/>
  <c r="BN54" i="1" s="1"/>
  <c r="BI54" i="1"/>
  <c r="AT54" i="1"/>
  <c r="AK54" i="1"/>
  <c r="AJ54" i="1"/>
  <c r="AI54" i="1"/>
  <c r="AG54" i="1"/>
  <c r="S54" i="1"/>
  <c r="AT53" i="1"/>
  <c r="AK53" i="1"/>
  <c r="AJ53" i="1"/>
  <c r="AI53" i="1"/>
  <c r="AG53" i="1"/>
  <c r="AH53" i="1" s="1"/>
  <c r="CM53" i="1" s="1"/>
  <c r="AF53" i="1"/>
  <c r="S53" i="1"/>
  <c r="CE52" i="1"/>
  <c r="BP52" i="1" a="1"/>
  <c r="BP52" i="1" s="1"/>
  <c r="CF52" i="1" s="1"/>
  <c r="BO52" i="1" a="1"/>
  <c r="BO52" i="1" s="1"/>
  <c r="BN52" i="1" a="1"/>
  <c r="BN52" i="1" s="1"/>
  <c r="BI52" i="1"/>
  <c r="AT52" i="1"/>
  <c r="AK52" i="1"/>
  <c r="AJ52" i="1"/>
  <c r="AI52" i="1"/>
  <c r="AG52" i="1"/>
  <c r="AF52" i="1"/>
  <c r="AH52" i="1" s="1"/>
  <c r="BD52" i="1" s="1" a="1"/>
  <c r="BD52" i="1" s="1"/>
  <c r="BM52" i="1" s="1" a="1"/>
  <c r="BM52" i="1" s="1"/>
  <c r="S52" i="1"/>
  <c r="CE51" i="1"/>
  <c r="BP51" i="1" a="1"/>
  <c r="BP51" i="1" s="1"/>
  <c r="CF51" i="1" s="1"/>
  <c r="BO51" i="1" a="1"/>
  <c r="BO51" i="1" s="1"/>
  <c r="BN51" i="1" a="1"/>
  <c r="BN51" i="1" s="1"/>
  <c r="BI51" i="1"/>
  <c r="AT51" i="1"/>
  <c r="AK51" i="1"/>
  <c r="AJ51" i="1"/>
  <c r="AI51" i="1"/>
  <c r="AG51" i="1"/>
  <c r="AF51" i="1"/>
  <c r="AH51" i="1" s="1"/>
  <c r="BD51" i="1" s="1" a="1"/>
  <c r="BD51" i="1" s="1"/>
  <c r="BM51" i="1" s="1" a="1"/>
  <c r="BM51" i="1" s="1"/>
  <c r="S51" i="1"/>
  <c r="CE50" i="1"/>
  <c r="BP50" i="1" a="1"/>
  <c r="BP50" i="1" s="1"/>
  <c r="CF50" i="1" s="1"/>
  <c r="BO50" i="1" a="1"/>
  <c r="BO50" i="1" s="1"/>
  <c r="BN50" i="1" a="1"/>
  <c r="BN50" i="1" s="1"/>
  <c r="BI50" i="1"/>
  <c r="AT50" i="1"/>
  <c r="AK50" i="1"/>
  <c r="AJ50" i="1"/>
  <c r="AI50" i="1"/>
  <c r="AG50" i="1"/>
  <c r="AF50" i="1"/>
  <c r="AH50" i="1" s="1"/>
  <c r="BD50" i="1" s="1" a="1"/>
  <c r="BD50" i="1" s="1"/>
  <c r="BM50" i="1" s="1" a="1"/>
  <c r="BM50" i="1" s="1"/>
  <c r="S50" i="1"/>
  <c r="AT49" i="1"/>
  <c r="AK49" i="1"/>
  <c r="AJ49" i="1"/>
  <c r="AI49" i="1"/>
  <c r="AG49" i="1"/>
  <c r="AH49" i="1" s="1"/>
  <c r="AF49" i="1"/>
  <c r="S49" i="1"/>
  <c r="CE48" i="1"/>
  <c r="BP48" i="1" a="1"/>
  <c r="BP48" i="1" s="1"/>
  <c r="CF48" i="1" s="1"/>
  <c r="BO48" i="1" a="1"/>
  <c r="BO48" i="1" s="1"/>
  <c r="BN48" i="1" a="1"/>
  <c r="BN48" i="1" s="1"/>
  <c r="BI48" i="1"/>
  <c r="AT48" i="1"/>
  <c r="AK48" i="1"/>
  <c r="AJ48" i="1"/>
  <c r="AI48" i="1"/>
  <c r="AG48" i="1"/>
  <c r="AF48" i="1"/>
  <c r="AH48" i="1" s="1"/>
  <c r="S48" i="1"/>
  <c r="AT47" i="1"/>
  <c r="AK47" i="1"/>
  <c r="AJ47" i="1"/>
  <c r="AI47" i="1"/>
  <c r="AG47" i="1"/>
  <c r="AH47" i="1" s="1"/>
  <c r="AF47" i="1"/>
  <c r="S47" i="1"/>
  <c r="CE46" i="1"/>
  <c r="BP46" i="1" a="1"/>
  <c r="BP46" i="1" s="1"/>
  <c r="CF46" i="1" s="1"/>
  <c r="BO46" i="1" a="1"/>
  <c r="BO46" i="1" s="1"/>
  <c r="BN46" i="1" a="1"/>
  <c r="BN46" i="1" s="1"/>
  <c r="BI46" i="1"/>
  <c r="AT46" i="1"/>
  <c r="AK46" i="1"/>
  <c r="AJ46" i="1"/>
  <c r="AI46" i="1"/>
  <c r="AG46" i="1"/>
  <c r="AF46" i="1"/>
  <c r="AH46" i="1" s="1"/>
  <c r="S46" i="1"/>
  <c r="CE45" i="1"/>
  <c r="BP45" i="1" a="1"/>
  <c r="BP45" i="1" s="1"/>
  <c r="CF45" i="1" s="1"/>
  <c r="BO45" i="1" a="1"/>
  <c r="BO45" i="1" s="1"/>
  <c r="BN45" i="1" a="1"/>
  <c r="BN45" i="1" s="1"/>
  <c r="BI45" i="1"/>
  <c r="AT45" i="1"/>
  <c r="AK45" i="1"/>
  <c r="AJ45" i="1"/>
  <c r="AI45" i="1"/>
  <c r="AG45" i="1"/>
  <c r="AF45" i="1"/>
  <c r="AH45" i="1" s="1"/>
  <c r="BD45" i="1" s="1" a="1"/>
  <c r="BD45" i="1" s="1"/>
  <c r="BM45" i="1" s="1" a="1"/>
  <c r="BM45" i="1" s="1"/>
  <c r="S45" i="1"/>
  <c r="CE44" i="1"/>
  <c r="BP44" i="1" a="1"/>
  <c r="BP44" i="1" s="1"/>
  <c r="CF44" i="1" s="1"/>
  <c r="BO44" i="1" a="1"/>
  <c r="BO44" i="1" s="1"/>
  <c r="BN44" i="1" a="1"/>
  <c r="BN44" i="1" s="1"/>
  <c r="BI44" i="1"/>
  <c r="AT44" i="1"/>
  <c r="AK44" i="1"/>
  <c r="AJ44" i="1"/>
  <c r="AI44" i="1"/>
  <c r="AG44" i="1"/>
  <c r="AF44" i="1"/>
  <c r="AH44" i="1" s="1"/>
  <c r="S44" i="1"/>
  <c r="CE43" i="1"/>
  <c r="BP43" i="1" a="1"/>
  <c r="BP43" i="1" s="1"/>
  <c r="CF43" i="1" s="1"/>
  <c r="BO43" i="1" a="1"/>
  <c r="BO43" i="1" s="1"/>
  <c r="BN43" i="1" a="1"/>
  <c r="BN43" i="1" s="1"/>
  <c r="BI43" i="1"/>
  <c r="AT43" i="1"/>
  <c r="AK43" i="1"/>
  <c r="AJ43" i="1"/>
  <c r="AI43" i="1"/>
  <c r="AG43" i="1"/>
  <c r="AF43" i="1"/>
  <c r="AH43" i="1" s="1"/>
  <c r="R43" i="1" s="1"/>
  <c r="AZ43" i="1" s="1"/>
  <c r="BK43" i="1" s="1"/>
  <c r="BR43" i="1" s="1"/>
  <c r="S43" i="1"/>
  <c r="CE42" i="1"/>
  <c r="BP42" i="1" a="1"/>
  <c r="BP42" i="1" s="1"/>
  <c r="CF42" i="1" s="1"/>
  <c r="BO42" i="1" a="1"/>
  <c r="BO42" i="1" s="1"/>
  <c r="BN42" i="1" a="1"/>
  <c r="BN42" i="1" s="1"/>
  <c r="BI42" i="1"/>
  <c r="AT42" i="1"/>
  <c r="AK42" i="1"/>
  <c r="AJ42" i="1"/>
  <c r="AI42" i="1"/>
  <c r="AG42" i="1"/>
  <c r="AF42" i="1"/>
  <c r="AH42" i="1" s="1"/>
  <c r="BD42" i="1" s="1" a="1"/>
  <c r="BD42" i="1" s="1"/>
  <c r="BM42" i="1" s="1" a="1"/>
  <c r="BM42" i="1" s="1"/>
  <c r="S42" i="1"/>
  <c r="CE41" i="1"/>
  <c r="BP41" i="1" a="1"/>
  <c r="BP41" i="1" s="1"/>
  <c r="CF41" i="1" s="1"/>
  <c r="BO41" i="1" a="1"/>
  <c r="BO41" i="1" s="1"/>
  <c r="BN41" i="1" a="1"/>
  <c r="BN41" i="1" s="1"/>
  <c r="BI41" i="1"/>
  <c r="AT41" i="1"/>
  <c r="AK41" i="1"/>
  <c r="AJ41" i="1"/>
  <c r="AI41" i="1"/>
  <c r="AG41" i="1"/>
  <c r="AF41" i="1"/>
  <c r="AH41" i="1" s="1"/>
  <c r="S41" i="1"/>
  <c r="CE40" i="1"/>
  <c r="BP40" i="1" a="1"/>
  <c r="BP40" i="1" s="1"/>
  <c r="CF40" i="1" s="1"/>
  <c r="BO40" i="1" a="1"/>
  <c r="BO40" i="1" s="1"/>
  <c r="BN40" i="1" a="1"/>
  <c r="BN40" i="1" s="1"/>
  <c r="BI40" i="1"/>
  <c r="AT40" i="1"/>
  <c r="AK40" i="1"/>
  <c r="AJ40" i="1"/>
  <c r="AI40" i="1"/>
  <c r="AG40" i="1"/>
  <c r="AF40" i="1"/>
  <c r="AH40" i="1" s="1"/>
  <c r="R40" i="1" s="1"/>
  <c r="AZ40" i="1" s="1"/>
  <c r="BK40" i="1" s="1"/>
  <c r="BR40" i="1" s="1"/>
  <c r="BX40" i="1" s="1"/>
  <c r="S40" i="1"/>
  <c r="CE39" i="1"/>
  <c r="BP39" i="1" a="1"/>
  <c r="BP39" i="1" s="1"/>
  <c r="CF39" i="1" s="1"/>
  <c r="BO39" i="1" a="1"/>
  <c r="BO39" i="1" s="1"/>
  <c r="BN39" i="1" a="1"/>
  <c r="BN39" i="1" s="1"/>
  <c r="BI39" i="1"/>
  <c r="AT39" i="1"/>
  <c r="AK39" i="1"/>
  <c r="AJ39" i="1"/>
  <c r="AI39" i="1"/>
  <c r="AG39" i="1"/>
  <c r="AF39" i="1"/>
  <c r="AH39" i="1" s="1"/>
  <c r="S39" i="1"/>
  <c r="CE38" i="1"/>
  <c r="BP38" i="1" a="1"/>
  <c r="BP38" i="1" s="1"/>
  <c r="CF38" i="1" s="1"/>
  <c r="BO38" i="1" a="1"/>
  <c r="BO38" i="1" s="1"/>
  <c r="BN38" i="1" a="1"/>
  <c r="BN38" i="1" s="1"/>
  <c r="BI38" i="1"/>
  <c r="AT38" i="1"/>
  <c r="AK38" i="1"/>
  <c r="AJ38" i="1"/>
  <c r="AI38" i="1"/>
  <c r="AG38" i="1"/>
  <c r="AF38" i="1"/>
  <c r="AH38" i="1" s="1"/>
  <c r="S38" i="1"/>
  <c r="CK37" i="1"/>
  <c r="CJ37" i="1"/>
  <c r="CI37" i="1"/>
  <c r="CH37" i="1"/>
  <c r="AT37" i="1"/>
  <c r="AK37" i="1"/>
  <c r="AJ37" i="1"/>
  <c r="AI37" i="1"/>
  <c r="AF37" i="1"/>
  <c r="S37" i="1"/>
  <c r="CE36" i="1"/>
  <c r="BP36" i="1" a="1"/>
  <c r="BP36" i="1" s="1"/>
  <c r="CF36" i="1" s="1"/>
  <c r="BO36" i="1" a="1"/>
  <c r="BO36" i="1" s="1"/>
  <c r="BN36" i="1" a="1"/>
  <c r="BN36" i="1" s="1"/>
  <c r="BI36" i="1"/>
  <c r="AT36" i="1"/>
  <c r="AK36" i="1"/>
  <c r="AJ36" i="1"/>
  <c r="AI36" i="1"/>
  <c r="AG36" i="1"/>
  <c r="AF36" i="1"/>
  <c r="AH36" i="1" s="1"/>
  <c r="BD36" i="1" s="1" a="1"/>
  <c r="BD36" i="1" s="1"/>
  <c r="BM36" i="1" s="1" a="1"/>
  <c r="BM36" i="1" s="1"/>
  <c r="S36" i="1"/>
  <c r="CE35" i="1"/>
  <c r="BP35" i="1" a="1"/>
  <c r="BP35" i="1" s="1"/>
  <c r="CF35" i="1" s="1"/>
  <c r="BO35" i="1" a="1"/>
  <c r="BO35" i="1" s="1"/>
  <c r="BN35" i="1" a="1"/>
  <c r="BN35" i="1" s="1"/>
  <c r="BI35" i="1"/>
  <c r="AT35" i="1"/>
  <c r="AK35" i="1"/>
  <c r="AJ35" i="1"/>
  <c r="AI35" i="1"/>
  <c r="AG35" i="1"/>
  <c r="AF35" i="1"/>
  <c r="AH35" i="1" s="1"/>
  <c r="R35" i="1" s="1"/>
  <c r="AZ35" i="1" s="1"/>
  <c r="BK35" i="1" s="1"/>
  <c r="BR35" i="1" s="1"/>
  <c r="S35" i="1"/>
  <c r="CE34" i="1"/>
  <c r="BP34" i="1" a="1"/>
  <c r="BP34" i="1" s="1"/>
  <c r="CF34" i="1" s="1"/>
  <c r="BO34" i="1" a="1"/>
  <c r="BO34" i="1" s="1"/>
  <c r="BN34" i="1" a="1"/>
  <c r="BN34" i="1" s="1"/>
  <c r="BI34" i="1"/>
  <c r="AT34" i="1"/>
  <c r="AK34" i="1"/>
  <c r="AJ34" i="1"/>
  <c r="AI34" i="1"/>
  <c r="AF34" i="1"/>
  <c r="AH34" i="1" s="1"/>
  <c r="S34" i="1"/>
  <c r="CE33" i="1"/>
  <c r="BP33" i="1" a="1"/>
  <c r="BP33" i="1" s="1"/>
  <c r="CF33" i="1" s="1"/>
  <c r="BO33" i="1" a="1"/>
  <c r="BO33" i="1" s="1"/>
  <c r="BN33" i="1" a="1"/>
  <c r="BN33" i="1" s="1"/>
  <c r="BI33" i="1"/>
  <c r="AT33" i="1"/>
  <c r="AK33" i="1"/>
  <c r="AJ33" i="1"/>
  <c r="AI33" i="1"/>
  <c r="AG33" i="1"/>
  <c r="AF33" i="1"/>
  <c r="AH33" i="1" s="1"/>
  <c r="S33" i="1"/>
  <c r="CE32" i="1"/>
  <c r="BP32" i="1" a="1"/>
  <c r="BP32" i="1" s="1"/>
  <c r="CF32" i="1" s="1"/>
  <c r="BO32" i="1" a="1"/>
  <c r="BO32" i="1" s="1"/>
  <c r="BN32" i="1" a="1"/>
  <c r="BN32" i="1" s="1"/>
  <c r="BI32" i="1"/>
  <c r="AT32" i="1"/>
  <c r="AK32" i="1"/>
  <c r="AJ32" i="1"/>
  <c r="AI32" i="1"/>
  <c r="AG32" i="1"/>
  <c r="AF32" i="1"/>
  <c r="AH32" i="1" s="1"/>
  <c r="S32" i="1"/>
  <c r="CE31" i="1"/>
  <c r="BP31" i="1" a="1"/>
  <c r="BP31" i="1" s="1"/>
  <c r="CF31" i="1" s="1"/>
  <c r="BO31" i="1" a="1"/>
  <c r="BO31" i="1" s="1"/>
  <c r="BN31" i="1" a="1"/>
  <c r="BN31" i="1" s="1"/>
  <c r="BI31" i="1"/>
  <c r="AT31" i="1"/>
  <c r="AK31" i="1"/>
  <c r="AJ31" i="1"/>
  <c r="AI31" i="1"/>
  <c r="AG31" i="1"/>
  <c r="AF31" i="1"/>
  <c r="AH31" i="1" s="1"/>
  <c r="R31" i="1" s="1"/>
  <c r="AZ31" i="1" s="1"/>
  <c r="BK31" i="1" s="1"/>
  <c r="BR31" i="1" s="1"/>
  <c r="S31" i="1"/>
  <c r="CE30" i="1"/>
  <c r="BP30" i="1" a="1"/>
  <c r="BP30" i="1" s="1"/>
  <c r="CF30" i="1" s="1"/>
  <c r="BO30" i="1" a="1"/>
  <c r="BO30" i="1" s="1"/>
  <c r="BN30" i="1" a="1"/>
  <c r="BN30" i="1" s="1"/>
  <c r="BI30" i="1"/>
  <c r="AT30" i="1"/>
  <c r="AK30" i="1"/>
  <c r="AJ30" i="1"/>
  <c r="AI30" i="1"/>
  <c r="AG30" i="1"/>
  <c r="AF30" i="1"/>
  <c r="AH30" i="1" s="1"/>
  <c r="S30" i="1"/>
  <c r="CE29" i="1"/>
  <c r="BP29" i="1" a="1"/>
  <c r="BP29" i="1" s="1"/>
  <c r="CF29" i="1" s="1"/>
  <c r="BO29" i="1" a="1"/>
  <c r="BO29" i="1" s="1"/>
  <c r="BN29" i="1" a="1"/>
  <c r="BN29" i="1" s="1"/>
  <c r="BI29" i="1"/>
  <c r="AT29" i="1"/>
  <c r="AK29" i="1"/>
  <c r="AJ29" i="1"/>
  <c r="AI29" i="1"/>
  <c r="AG29" i="1"/>
  <c r="AF29" i="1"/>
  <c r="AH29" i="1" s="1"/>
  <c r="BD29" i="1" s="1" a="1"/>
  <c r="BD29" i="1" s="1"/>
  <c r="BM29" i="1" s="1" a="1"/>
  <c r="BM29" i="1" s="1"/>
  <c r="S29" i="1"/>
  <c r="CE28" i="1"/>
  <c r="BP28" i="1" a="1"/>
  <c r="BP28" i="1" s="1"/>
  <c r="CF28" i="1" s="1"/>
  <c r="BO28" i="1" a="1"/>
  <c r="BO28" i="1" s="1"/>
  <c r="BN28" i="1" a="1"/>
  <c r="BN28" i="1" s="1"/>
  <c r="BI28" i="1"/>
  <c r="AT28" i="1"/>
  <c r="AK28" i="1"/>
  <c r="AJ28" i="1"/>
  <c r="AI28" i="1"/>
  <c r="AG28" i="1"/>
  <c r="AF28" i="1"/>
  <c r="AH28" i="1" s="1"/>
  <c r="R28" i="1" s="1"/>
  <c r="AZ28" i="1" s="1"/>
  <c r="BK28" i="1" s="1"/>
  <c r="BR28" i="1" s="1"/>
  <c r="S28" i="1"/>
  <c r="AT27" i="1"/>
  <c r="AK27" i="1"/>
  <c r="AJ27" i="1"/>
  <c r="AI27" i="1"/>
  <c r="AG27" i="1"/>
  <c r="AH27" i="1" s="1"/>
  <c r="CM27" i="1" s="1"/>
  <c r="AF27" i="1"/>
  <c r="S27" i="1"/>
  <c r="CE26" i="1"/>
  <c r="BP26" i="1" a="1"/>
  <c r="BP26" i="1" s="1"/>
  <c r="CF26" i="1" s="1"/>
  <c r="BO26" i="1" a="1"/>
  <c r="BO26" i="1" s="1"/>
  <c r="BN26" i="1" a="1"/>
  <c r="BN26" i="1" s="1"/>
  <c r="BI26" i="1"/>
  <c r="AT26" i="1"/>
  <c r="AK26" i="1"/>
  <c r="AJ26" i="1"/>
  <c r="AI26" i="1"/>
  <c r="AG26" i="1"/>
  <c r="AF26" i="1"/>
  <c r="AH26" i="1" s="1"/>
  <c r="S26" i="1"/>
  <c r="CE25" i="1"/>
  <c r="BP25" i="1" a="1"/>
  <c r="BP25" i="1" s="1"/>
  <c r="CF25" i="1" s="1"/>
  <c r="BO25" i="1" a="1"/>
  <c r="BO25" i="1" s="1"/>
  <c r="BN25" i="1" a="1"/>
  <c r="BN25" i="1" s="1"/>
  <c r="BI25" i="1"/>
  <c r="AT25" i="1"/>
  <c r="AK25" i="1"/>
  <c r="AJ25" i="1"/>
  <c r="AI25" i="1"/>
  <c r="AG25" i="1"/>
  <c r="AF25" i="1"/>
  <c r="AH25" i="1" s="1"/>
  <c r="BD25" i="1" s="1" a="1"/>
  <c r="BD25" i="1" s="1"/>
  <c r="BM25" i="1" s="1" a="1"/>
  <c r="BM25" i="1" s="1"/>
  <c r="S25" i="1"/>
  <c r="CE24" i="1"/>
  <c r="BP24" i="1" a="1"/>
  <c r="BP24" i="1" s="1"/>
  <c r="CF24" i="1" s="1"/>
  <c r="BO24" i="1" a="1"/>
  <c r="BO24" i="1" s="1"/>
  <c r="BN24" i="1" a="1"/>
  <c r="BN24" i="1" s="1"/>
  <c r="BI24" i="1"/>
  <c r="AT24" i="1"/>
  <c r="AK24" i="1"/>
  <c r="AJ24" i="1"/>
  <c r="AI24" i="1"/>
  <c r="AG24" i="1"/>
  <c r="AF24" i="1"/>
  <c r="AH24" i="1" s="1"/>
  <c r="R24" i="1" s="1"/>
  <c r="AZ24" i="1" s="1"/>
  <c r="BK24" i="1" s="1"/>
  <c r="BR24" i="1" s="1"/>
  <c r="S24" i="1"/>
  <c r="CE23" i="1"/>
  <c r="BP23" i="1" a="1"/>
  <c r="BP23" i="1" s="1"/>
  <c r="CF23" i="1" s="1"/>
  <c r="BO23" i="1" a="1"/>
  <c r="BO23" i="1" s="1"/>
  <c r="BN23" i="1" a="1"/>
  <c r="BN23" i="1" s="1"/>
  <c r="BI23" i="1"/>
  <c r="AT23" i="1"/>
  <c r="AK23" i="1"/>
  <c r="AJ23" i="1"/>
  <c r="AI23" i="1"/>
  <c r="AG23" i="1"/>
  <c r="AF23" i="1"/>
  <c r="AH23" i="1" s="1"/>
  <c r="S23" i="1"/>
  <c r="CE22" i="1"/>
  <c r="BP22" i="1" a="1"/>
  <c r="BP22" i="1" s="1"/>
  <c r="CF22" i="1" s="1"/>
  <c r="BO22" i="1" a="1"/>
  <c r="BO22" i="1" s="1"/>
  <c r="BN22" i="1" a="1"/>
  <c r="BN22" i="1" s="1"/>
  <c r="BI22" i="1"/>
  <c r="AT22" i="1"/>
  <c r="AK22" i="1"/>
  <c r="AJ22" i="1"/>
  <c r="AI22" i="1"/>
  <c r="AG22" i="1"/>
  <c r="AF22" i="1"/>
  <c r="AH22" i="1" s="1"/>
  <c r="BD22" i="1" s="1" a="1"/>
  <c r="BD22" i="1" s="1"/>
  <c r="BM22" i="1" s="1" a="1"/>
  <c r="BM22" i="1" s="1"/>
  <c r="S22" i="1"/>
  <c r="CE21" i="1"/>
  <c r="BP21" i="1" a="1"/>
  <c r="BP21" i="1" s="1"/>
  <c r="CF21" i="1" s="1"/>
  <c r="BO21" i="1" a="1"/>
  <c r="BO21" i="1" s="1"/>
  <c r="BN21" i="1" a="1"/>
  <c r="BN21" i="1" s="1"/>
  <c r="BI21" i="1"/>
  <c r="AT21" i="1"/>
  <c r="AK21" i="1"/>
  <c r="AJ21" i="1"/>
  <c r="AI21" i="1"/>
  <c r="AG21" i="1"/>
  <c r="AF21" i="1"/>
  <c r="AH21" i="1" s="1"/>
  <c r="R21" i="1" s="1"/>
  <c r="AZ21" i="1" s="1"/>
  <c r="BK21" i="1" s="1"/>
  <c r="BR21" i="1" s="1"/>
  <c r="BX21" i="1" s="1"/>
  <c r="CA21" i="1" s="1"/>
  <c r="S21" i="1"/>
  <c r="CE20" i="1"/>
  <c r="BP20" i="1" a="1"/>
  <c r="BP20" i="1" s="1"/>
  <c r="CF20" i="1" s="1"/>
  <c r="BO20" i="1" a="1"/>
  <c r="BO20" i="1" s="1"/>
  <c r="BN20" i="1" a="1"/>
  <c r="BN20" i="1" s="1"/>
  <c r="BI20" i="1"/>
  <c r="AT20" i="1"/>
  <c r="AK20" i="1"/>
  <c r="AJ20" i="1"/>
  <c r="AI20" i="1"/>
  <c r="AG20" i="1"/>
  <c r="AF20" i="1"/>
  <c r="AH20" i="1" s="1"/>
  <c r="BD20" i="1" s="1" a="1"/>
  <c r="BD20" i="1" s="1"/>
  <c r="BM20" i="1" s="1" a="1"/>
  <c r="BM20" i="1" s="1"/>
  <c r="S20" i="1"/>
  <c r="CE19" i="1"/>
  <c r="BP19" i="1" a="1"/>
  <c r="BP19" i="1" s="1"/>
  <c r="CF19" i="1" s="1"/>
  <c r="BO19" i="1" a="1"/>
  <c r="BO19" i="1" s="1"/>
  <c r="BN19" i="1" a="1"/>
  <c r="BN19" i="1" s="1"/>
  <c r="BI19" i="1"/>
  <c r="AT19" i="1"/>
  <c r="AK19" i="1"/>
  <c r="AJ19" i="1"/>
  <c r="AI19" i="1"/>
  <c r="AG19" i="1"/>
  <c r="AF19" i="1"/>
  <c r="AH19" i="1" s="1"/>
  <c r="S19" i="1"/>
  <c r="AT18" i="1"/>
  <c r="AK18" i="1"/>
  <c r="AJ18" i="1"/>
  <c r="AI18" i="1"/>
  <c r="AG18" i="1"/>
  <c r="AH18" i="1" s="1"/>
  <c r="AF18" i="1"/>
  <c r="S18" i="1"/>
  <c r="CE17" i="1"/>
  <c r="BP17" i="1" a="1"/>
  <c r="BP17" i="1" s="1"/>
  <c r="CF17" i="1" s="1"/>
  <c r="BO17" i="1" a="1"/>
  <c r="BO17" i="1" s="1"/>
  <c r="BN17" i="1" a="1"/>
  <c r="BN17" i="1" s="1"/>
  <c r="BI17" i="1"/>
  <c r="AT17" i="1"/>
  <c r="AK17" i="1"/>
  <c r="AJ17" i="1"/>
  <c r="AI17" i="1"/>
  <c r="AG17" i="1"/>
  <c r="AF17" i="1"/>
  <c r="AH17" i="1" s="1"/>
  <c r="S17" i="1"/>
  <c r="CE16" i="1"/>
  <c r="BP16" i="1" a="1"/>
  <c r="BP16" i="1" s="1"/>
  <c r="CF16" i="1" s="1"/>
  <c r="BO16" i="1" a="1"/>
  <c r="BO16" i="1" s="1"/>
  <c r="BN16" i="1" a="1"/>
  <c r="BN16" i="1" s="1"/>
  <c r="BI16" i="1"/>
  <c r="AT16" i="1"/>
  <c r="AK16" i="1"/>
  <c r="AJ16" i="1"/>
  <c r="AI16" i="1"/>
  <c r="AG16" i="1"/>
  <c r="AF16" i="1"/>
  <c r="AH16" i="1" s="1"/>
  <c r="S16" i="1"/>
  <c r="CE15" i="1"/>
  <c r="BP15" i="1" a="1"/>
  <c r="BP15" i="1" s="1"/>
  <c r="CF15" i="1" s="1"/>
  <c r="BO15" i="1" a="1"/>
  <c r="BO15" i="1" s="1"/>
  <c r="BN15" i="1" a="1"/>
  <c r="BN15" i="1" s="1"/>
  <c r="BI15" i="1"/>
  <c r="AT15" i="1"/>
  <c r="AK15" i="1"/>
  <c r="AJ15" i="1"/>
  <c r="AI15" i="1"/>
  <c r="AG15" i="1"/>
  <c r="AF15" i="1"/>
  <c r="AH15" i="1" s="1"/>
  <c r="R15" i="1" s="1"/>
  <c r="AZ15" i="1" s="1"/>
  <c r="BK15" i="1" s="1"/>
  <c r="BR15" i="1" s="1"/>
  <c r="S15" i="1"/>
  <c r="CE14" i="1"/>
  <c r="BP14" i="1" a="1"/>
  <c r="BP14" i="1" s="1"/>
  <c r="CF14" i="1" s="1"/>
  <c r="BO14" i="1" a="1"/>
  <c r="BO14" i="1" s="1"/>
  <c r="BN14" i="1" a="1"/>
  <c r="BN14" i="1" s="1"/>
  <c r="BI14" i="1"/>
  <c r="AT14" i="1"/>
  <c r="AK14" i="1"/>
  <c r="AJ14" i="1"/>
  <c r="AI14" i="1"/>
  <c r="AG14" i="1"/>
  <c r="AF14" i="1"/>
  <c r="AH14" i="1" s="1"/>
  <c r="S14" i="1"/>
  <c r="CK13" i="1"/>
  <c r="CJ13" i="1"/>
  <c r="CI13" i="1"/>
  <c r="CH13" i="1"/>
  <c r="AT13" i="1"/>
  <c r="AK13" i="1"/>
  <c r="AJ13" i="1"/>
  <c r="AI13" i="1"/>
  <c r="AF13" i="1"/>
  <c r="S13" i="1"/>
  <c r="CE12" i="1"/>
  <c r="CB12" i="1"/>
  <c r="BY12" i="1"/>
  <c r="BV12" i="1"/>
  <c r="BP12" i="1" a="1"/>
  <c r="BP12" i="1" s="1"/>
  <c r="CF12" i="1" s="1"/>
  <c r="BO12" i="1" a="1"/>
  <c r="BO12" i="1" s="1"/>
  <c r="BN12" i="1" a="1"/>
  <c r="BN12" i="1" s="1"/>
  <c r="BI12" i="1"/>
  <c r="BG12" i="1"/>
  <c r="BE12" i="1"/>
  <c r="BC12" i="1"/>
  <c r="AT12" i="1"/>
  <c r="AK12" i="1"/>
  <c r="AJ12" i="1"/>
  <c r="AI12" i="1"/>
  <c r="AG12" i="1"/>
  <c r="AF12" i="1"/>
  <c r="AH12" i="1" s="1"/>
  <c r="BD12" i="1" s="1" a="1"/>
  <c r="BD12" i="1" s="1"/>
  <c r="BM12" i="1" s="1" a="1"/>
  <c r="BM12" i="1" s="1"/>
  <c r="S12" i="1"/>
  <c r="AH14" i="33"/>
  <c r="AF235" i="2"/>
  <c r="AH235" i="2" s="1"/>
  <c r="R235" i="2" s="1"/>
  <c r="AZ235" i="2" s="1"/>
  <c r="BK235" i="2" s="1"/>
  <c r="BR235" i="2" s="1"/>
  <c r="AH15" i="35"/>
  <c r="R15" i="35"/>
  <c r="AH23" i="6"/>
  <c r="R23" i="6" s="1"/>
  <c r="AJ46" i="8"/>
  <c r="AJ45" i="8"/>
  <c r="AJ70" i="8"/>
  <c r="AJ69" i="8"/>
  <c r="AJ62" i="8"/>
  <c r="AJ61" i="8"/>
  <c r="AJ54" i="8"/>
  <c r="AJ53" i="8"/>
  <c r="AG14" i="7"/>
  <c r="AH13" i="35"/>
  <c r="AH13" i="6"/>
  <c r="AH31" i="6"/>
  <c r="AF456" i="2"/>
  <c r="AH456" i="2" s="1"/>
  <c r="AF455" i="2"/>
  <c r="AH455" i="2" s="1"/>
  <c r="AF454" i="2"/>
  <c r="AH454" i="2" s="1"/>
  <c r="R454" i="2" s="1"/>
  <c r="AZ454" i="2" s="1"/>
  <c r="BK454" i="2" s="1"/>
  <c r="BR454" i="2" s="1"/>
  <c r="AF453" i="2"/>
  <c r="AH453" i="2" s="1"/>
  <c r="AF452" i="2"/>
  <c r="AH452" i="2" s="1"/>
  <c r="BD452" i="2" s="1" a="1"/>
  <c r="BD452" i="2" s="1"/>
  <c r="BM452" i="2" s="1" a="1"/>
  <c r="BM452" i="2" s="1"/>
  <c r="BW452" i="2" s="1"/>
  <c r="AF451" i="2"/>
  <c r="AH451" i="2" s="1"/>
  <c r="BD451" i="2" s="1" a="1"/>
  <c r="BD451" i="2" s="1"/>
  <c r="BM451" i="2" s="1" a="1"/>
  <c r="BM451" i="2" s="1"/>
  <c r="BW451" i="2" s="1"/>
  <c r="AF432" i="2"/>
  <c r="AH432" i="2" s="1"/>
  <c r="BD432" i="2" s="1" a="1"/>
  <c r="BD432" i="2" s="1"/>
  <c r="BM432" i="2" s="1" a="1"/>
  <c r="BM432" i="2" s="1"/>
  <c r="BW432" i="2" s="1"/>
  <c r="AF431" i="2"/>
  <c r="AH431" i="2" s="1"/>
  <c r="BD431" i="2" s="1" a="1"/>
  <c r="BD431" i="2" s="1"/>
  <c r="BM431" i="2" s="1" a="1"/>
  <c r="BM431" i="2" s="1"/>
  <c r="BW431" i="2" s="1"/>
  <c r="AF402" i="2"/>
  <c r="AH402" i="2" s="1"/>
  <c r="R402" i="2" s="1"/>
  <c r="AZ402" i="2" s="1"/>
  <c r="BK402" i="2" s="1"/>
  <c r="BR402" i="2" s="1"/>
  <c r="BX402" i="2" s="1"/>
  <c r="AF401" i="2"/>
  <c r="AH401" i="2" s="1"/>
  <c r="BD401" i="2" s="1" a="1"/>
  <c r="BD401" i="2" s="1"/>
  <c r="BM401" i="2" s="1" a="1"/>
  <c r="BM401" i="2" s="1"/>
  <c r="BW401" i="2" s="1"/>
  <c r="AF369" i="2"/>
  <c r="AH369" i="2" s="1"/>
  <c r="BD369" i="2" s="1" a="1"/>
  <c r="BD369" i="2" s="1"/>
  <c r="BM369" i="2" s="1" a="1"/>
  <c r="BM369" i="2" s="1"/>
  <c r="BW369" i="2" s="1"/>
  <c r="AF368" i="2"/>
  <c r="AH368" i="2" s="1"/>
  <c r="BV456" i="2"/>
  <c r="BV455" i="2"/>
  <c r="BV454" i="2"/>
  <c r="BV453" i="2"/>
  <c r="BV452" i="2"/>
  <c r="BV451" i="2"/>
  <c r="BV450" i="2"/>
  <c r="BV447" i="2"/>
  <c r="BV446" i="2"/>
  <c r="BV445" i="2"/>
  <c r="BV441" i="2"/>
  <c r="BV440" i="2"/>
  <c r="BV439" i="2"/>
  <c r="BV438" i="2"/>
  <c r="BV437" i="2"/>
  <c r="BV436" i="2"/>
  <c r="BV435" i="2"/>
  <c r="BV434" i="2"/>
  <c r="BV432" i="2"/>
  <c r="BV431" i="2"/>
  <c r="BV428" i="2"/>
  <c r="BV427" i="2"/>
  <c r="BV426" i="2"/>
  <c r="BV424" i="2"/>
  <c r="BV423" i="2"/>
  <c r="BV422" i="2"/>
  <c r="BV421" i="2"/>
  <c r="BV418" i="2"/>
  <c r="BV417" i="2"/>
  <c r="BV415" i="2"/>
  <c r="BV414" i="2"/>
  <c r="BV413" i="2"/>
  <c r="BV412" i="2"/>
  <c r="BV410" i="2"/>
  <c r="BV409" i="2"/>
  <c r="BV402" i="2"/>
  <c r="BV401" i="2"/>
  <c r="BV400" i="2"/>
  <c r="BV399" i="2"/>
  <c r="BV397" i="2"/>
  <c r="BV396" i="2"/>
  <c r="BV394" i="2"/>
  <c r="BV393" i="2"/>
  <c r="BV392" i="2"/>
  <c r="BV391" i="2"/>
  <c r="BV390" i="2"/>
  <c r="BV388" i="2"/>
  <c r="BV386" i="2"/>
  <c r="BV385" i="2"/>
  <c r="BV384" i="2"/>
  <c r="BV383" i="2"/>
  <c r="BV382" i="2"/>
  <c r="BV381" i="2"/>
  <c r="BV380" i="2"/>
  <c r="BV379" i="2"/>
  <c r="BV378" i="2"/>
  <c r="BV376" i="2"/>
  <c r="BV375" i="2"/>
  <c r="BV374" i="2"/>
  <c r="BV373" i="2"/>
  <c r="BV372" i="2"/>
  <c r="BV371" i="2"/>
  <c r="BV370" i="2"/>
  <c r="BV369" i="2"/>
  <c r="BV368" i="2"/>
  <c r="BV367" i="2"/>
  <c r="BV366" i="2"/>
  <c r="BV365" i="2"/>
  <c r="BV363" i="2"/>
  <c r="BV362" i="2"/>
  <c r="BV361" i="2"/>
  <c r="BV360" i="2"/>
  <c r="BV359" i="2"/>
  <c r="BV358" i="2"/>
  <c r="BV357" i="2"/>
  <c r="BV356" i="2"/>
  <c r="BV355" i="2"/>
  <c r="BV354" i="2"/>
  <c r="BV353" i="2"/>
  <c r="BV352" i="2"/>
  <c r="BV351" i="2"/>
  <c r="BV350" i="2"/>
  <c r="BV349" i="2"/>
  <c r="BV348" i="2"/>
  <c r="BV347" i="2"/>
  <c r="BV346" i="2"/>
  <c r="BV345" i="2"/>
  <c r="BV344" i="2"/>
  <c r="BV343" i="2"/>
  <c r="BV342" i="2"/>
  <c r="BV341" i="2"/>
  <c r="BV340" i="2"/>
  <c r="BV339" i="2"/>
  <c r="BV338" i="2"/>
  <c r="BV337" i="2"/>
  <c r="BV336" i="2"/>
  <c r="BV335" i="2"/>
  <c r="BV334" i="2"/>
  <c r="BV333" i="2"/>
  <c r="BV332" i="2"/>
  <c r="BV331" i="2"/>
  <c r="BV330" i="2"/>
  <c r="BV329" i="2"/>
  <c r="BV327" i="2"/>
  <c r="BV326" i="2"/>
  <c r="BV325" i="2"/>
  <c r="BV323" i="2"/>
  <c r="BV322" i="2"/>
  <c r="BV321" i="2"/>
  <c r="BV319" i="2"/>
  <c r="BV318" i="2"/>
  <c r="BV317" i="2"/>
  <c r="BV316" i="2"/>
  <c r="BV315" i="2"/>
  <c r="BV313" i="2"/>
  <c r="BV312" i="2"/>
  <c r="BV311" i="2"/>
  <c r="BV310" i="2"/>
  <c r="BV309" i="2"/>
  <c r="BV308" i="2"/>
  <c r="BV307" i="2"/>
  <c r="BV306" i="2"/>
  <c r="BV305" i="2"/>
  <c r="BV304" i="2"/>
  <c r="BV303" i="2"/>
  <c r="BV302" i="2"/>
  <c r="BV301" i="2"/>
  <c r="BV298" i="2"/>
  <c r="BV297" i="2"/>
  <c r="BV296" i="2"/>
  <c r="BV295" i="2"/>
  <c r="BV294" i="2"/>
  <c r="BV293" i="2"/>
  <c r="BV292" i="2"/>
  <c r="BV291" i="2"/>
  <c r="BV290" i="2"/>
  <c r="BV289" i="2"/>
  <c r="BV288" i="2"/>
  <c r="BV287" i="2"/>
  <c r="BV286" i="2"/>
  <c r="BV285" i="2"/>
  <c r="BV284" i="2"/>
  <c r="BV282" i="2"/>
  <c r="BV281" i="2"/>
  <c r="BV280" i="2"/>
  <c r="BV279" i="2"/>
  <c r="BV278" i="2"/>
  <c r="BV277" i="2"/>
  <c r="BV276" i="2"/>
  <c r="BV275" i="2"/>
  <c r="BV274" i="2"/>
  <c r="BV273" i="2"/>
  <c r="BV272" i="2"/>
  <c r="BV271" i="2"/>
  <c r="BV270" i="2"/>
  <c r="BV269" i="2"/>
  <c r="BV268" i="2"/>
  <c r="BV267" i="2"/>
  <c r="BV265" i="2"/>
  <c r="BV264" i="2"/>
  <c r="BV263" i="2"/>
  <c r="BV262" i="2"/>
  <c r="BV261" i="2"/>
  <c r="BV260" i="2"/>
  <c r="BV259" i="2"/>
  <c r="BV258" i="2"/>
  <c r="BV257" i="2"/>
  <c r="BV256" i="2"/>
  <c r="BV255" i="2"/>
  <c r="BV254" i="2"/>
  <c r="BV253" i="2"/>
  <c r="BV252" i="2"/>
  <c r="BV251" i="2"/>
  <c r="BV250" i="2"/>
  <c r="BV249" i="2"/>
  <c r="BV248" i="2"/>
  <c r="BV247" i="2"/>
  <c r="BV246" i="2"/>
  <c r="BV245" i="2"/>
  <c r="BV244" i="2"/>
  <c r="BV243" i="2"/>
  <c r="BV241" i="2"/>
  <c r="BV240" i="2"/>
  <c r="BV238" i="2"/>
  <c r="BV237" i="2"/>
  <c r="BV236" i="2"/>
  <c r="BV235" i="2"/>
  <c r="BV234" i="2"/>
  <c r="BV233" i="2"/>
  <c r="BV232" i="2"/>
  <c r="BV231" i="2"/>
  <c r="BV230" i="2"/>
  <c r="BV229" i="2"/>
  <c r="BV228" i="2"/>
  <c r="BV227" i="2"/>
  <c r="BV226" i="2"/>
  <c r="BV225" i="2"/>
  <c r="BV224" i="2"/>
  <c r="BV222" i="2"/>
  <c r="BV221" i="2"/>
  <c r="BV220" i="2"/>
  <c r="BV219" i="2"/>
  <c r="BV218" i="2"/>
  <c r="BV217" i="2"/>
  <c r="BV216" i="2"/>
  <c r="BV215" i="2"/>
  <c r="BV214" i="2"/>
  <c r="BV213" i="2"/>
  <c r="BV212" i="2"/>
  <c r="BV211" i="2"/>
  <c r="BV210" i="2"/>
  <c r="BV209" i="2"/>
  <c r="BV208" i="2"/>
  <c r="BV207" i="2"/>
  <c r="BV206" i="2"/>
  <c r="BV205" i="2"/>
  <c r="BV204" i="2"/>
  <c r="BV203" i="2"/>
  <c r="BV202" i="2"/>
  <c r="BV201" i="2"/>
  <c r="BV200" i="2"/>
  <c r="BV199" i="2"/>
  <c r="BV198" i="2"/>
  <c r="BV197" i="2"/>
  <c r="BV196" i="2"/>
  <c r="BV195" i="2"/>
  <c r="BV193" i="2"/>
  <c r="BV190" i="2"/>
  <c r="BV188" i="2"/>
  <c r="BV186" i="2"/>
  <c r="BV185" i="2"/>
  <c r="BV183" i="2"/>
  <c r="BV182" i="2"/>
  <c r="BV181" i="2"/>
  <c r="BV178" i="2"/>
  <c r="BV177" i="2"/>
  <c r="BV175" i="2"/>
  <c r="BV174" i="2"/>
  <c r="BV170" i="2"/>
  <c r="BV169" i="2"/>
  <c r="BV168" i="2"/>
  <c r="BV167" i="2"/>
  <c r="BV166" i="2"/>
  <c r="BV165" i="2"/>
  <c r="BV164" i="2"/>
  <c r="BV163" i="2"/>
  <c r="BV162" i="2"/>
  <c r="BV161" i="2"/>
  <c r="BV160" i="2"/>
  <c r="BV159" i="2"/>
  <c r="BV158" i="2"/>
  <c r="BV156" i="2"/>
  <c r="BV154" i="2"/>
  <c r="BV153" i="2"/>
  <c r="BV152" i="2"/>
  <c r="BV151" i="2"/>
  <c r="BV148" i="2"/>
  <c r="BV147" i="2"/>
  <c r="BV145" i="2"/>
  <c r="BV142" i="2"/>
  <c r="BV140" i="2"/>
  <c r="BV139" i="2"/>
  <c r="BV137" i="2"/>
  <c r="BV136" i="2"/>
  <c r="BV135" i="2"/>
  <c r="BV134" i="2"/>
  <c r="BV133" i="2"/>
  <c r="BV132" i="2"/>
  <c r="BV130" i="2"/>
  <c r="BV128" i="2"/>
  <c r="BV127" i="2"/>
  <c r="BV126" i="2"/>
  <c r="BV125" i="2"/>
  <c r="BV124" i="2"/>
  <c r="BV123" i="2"/>
  <c r="BV122" i="2"/>
  <c r="BV121" i="2"/>
  <c r="BV120" i="2"/>
  <c r="BV119" i="2"/>
  <c r="BV118" i="2"/>
  <c r="BV117" i="2"/>
  <c r="BV116" i="2"/>
  <c r="BV114" i="2"/>
  <c r="BV113" i="2"/>
  <c r="BV112" i="2"/>
  <c r="BV111" i="2"/>
  <c r="BV110" i="2"/>
  <c r="BV109" i="2"/>
  <c r="BV106" i="2"/>
  <c r="BV105" i="2"/>
  <c r="BV104" i="2"/>
  <c r="BV103" i="2"/>
  <c r="BV102" i="2"/>
  <c r="BV101" i="2"/>
  <c r="BV100" i="2"/>
  <c r="BV99" i="2"/>
  <c r="BV98" i="2"/>
  <c r="BV95" i="2"/>
  <c r="BV93" i="2"/>
  <c r="BV92" i="2"/>
  <c r="BV91" i="2"/>
  <c r="BV89" i="2"/>
  <c r="BV88" i="2"/>
  <c r="BV87" i="2"/>
  <c r="BV86" i="2"/>
  <c r="BV85" i="2"/>
  <c r="BV84" i="2"/>
  <c r="BV81" i="2"/>
  <c r="BV80" i="2"/>
  <c r="BV79" i="2"/>
  <c r="BV77" i="2"/>
  <c r="BV76" i="2"/>
  <c r="BV75" i="2"/>
  <c r="BV74" i="2"/>
  <c r="BV73" i="2"/>
  <c r="BV72" i="2"/>
  <c r="BV71" i="2"/>
  <c r="BV70" i="2"/>
  <c r="BV69" i="2"/>
  <c r="BV68" i="2"/>
  <c r="BV67" i="2"/>
  <c r="BV66" i="2"/>
  <c r="BV65" i="2"/>
  <c r="BV64" i="2"/>
  <c r="BV63" i="2"/>
  <c r="BV62" i="2"/>
  <c r="BV61" i="2"/>
  <c r="BV60" i="2"/>
  <c r="BV59" i="2"/>
  <c r="BV58" i="2"/>
  <c r="BV57" i="2"/>
  <c r="BV56" i="2"/>
  <c r="BV55" i="2"/>
  <c r="BV53" i="2"/>
  <c r="BV52" i="2"/>
  <c r="BV51" i="2"/>
  <c r="BV48" i="2"/>
  <c r="BV46" i="2"/>
  <c r="BV45" i="2"/>
  <c r="BV44" i="2"/>
  <c r="BV43" i="2"/>
  <c r="BV42" i="2"/>
  <c r="BV41" i="2"/>
  <c r="BV40" i="2"/>
  <c r="BV39" i="2"/>
  <c r="BV38" i="2"/>
  <c r="BV36" i="2"/>
  <c r="BV35" i="2"/>
  <c r="BV34" i="2"/>
  <c r="BV33" i="2"/>
  <c r="BV32" i="2"/>
  <c r="BV31" i="2"/>
  <c r="BV30" i="2"/>
  <c r="BV29" i="2"/>
  <c r="BV28" i="2"/>
  <c r="BV26" i="2"/>
  <c r="BV25" i="2"/>
  <c r="BV24" i="2"/>
  <c r="BV23" i="2"/>
  <c r="BV22" i="2"/>
  <c r="BV21" i="2"/>
  <c r="BV20" i="2"/>
  <c r="BV19" i="2"/>
  <c r="BV17" i="2"/>
  <c r="BV16" i="2"/>
  <c r="BV15" i="2"/>
  <c r="BV14" i="2"/>
  <c r="BV12" i="2"/>
  <c r="CB456" i="2"/>
  <c r="BY456" i="2"/>
  <c r="CB455" i="2"/>
  <c r="BY455" i="2"/>
  <c r="CB454" i="2"/>
  <c r="CC454" i="2"/>
  <c r="BY454" i="2"/>
  <c r="CB453" i="2"/>
  <c r="BY453" i="2"/>
  <c r="CB452" i="2"/>
  <c r="BY452" i="2"/>
  <c r="CB451" i="2"/>
  <c r="BY451" i="2"/>
  <c r="CB450" i="2"/>
  <c r="BY450" i="2"/>
  <c r="BZ450" i="2"/>
  <c r="CB447" i="2"/>
  <c r="BY447" i="2"/>
  <c r="CB446" i="2"/>
  <c r="BY446" i="2"/>
  <c r="CB445" i="2"/>
  <c r="BY445" i="2"/>
  <c r="CB441" i="2"/>
  <c r="BY441" i="2"/>
  <c r="CB440" i="2"/>
  <c r="BY440" i="2"/>
  <c r="CB439" i="2"/>
  <c r="BY439" i="2"/>
  <c r="CB438" i="2"/>
  <c r="BY438" i="2"/>
  <c r="CB437" i="2"/>
  <c r="BY437" i="2"/>
  <c r="CB436" i="2"/>
  <c r="BY436" i="2"/>
  <c r="CB435" i="2"/>
  <c r="BY435" i="2"/>
  <c r="CB434" i="2"/>
  <c r="BY434" i="2"/>
  <c r="CB432" i="2"/>
  <c r="CC432" i="2"/>
  <c r="BY432" i="2"/>
  <c r="CB431" i="2"/>
  <c r="BY431" i="2"/>
  <c r="CB428" i="2"/>
  <c r="BY428" i="2"/>
  <c r="CB427" i="2"/>
  <c r="BY427" i="2"/>
  <c r="CB426" i="2"/>
  <c r="BY426" i="2"/>
  <c r="CB424" i="2"/>
  <c r="BY424" i="2"/>
  <c r="CB423" i="2"/>
  <c r="BY423" i="2"/>
  <c r="CB422" i="2"/>
  <c r="BY422" i="2"/>
  <c r="CB421" i="2"/>
  <c r="BY421" i="2"/>
  <c r="CB418" i="2"/>
  <c r="BY418" i="2"/>
  <c r="CB417" i="2"/>
  <c r="BY417" i="2"/>
  <c r="CB415" i="2"/>
  <c r="BY415" i="2"/>
  <c r="CB414" i="2"/>
  <c r="BY414" i="2"/>
  <c r="CB413" i="2"/>
  <c r="BY413" i="2"/>
  <c r="CB412" i="2"/>
  <c r="BY412" i="2"/>
  <c r="CB410" i="2"/>
  <c r="BY410" i="2"/>
  <c r="CB409" i="2"/>
  <c r="CC409" i="2"/>
  <c r="BY409" i="2"/>
  <c r="CB402" i="2"/>
  <c r="BY402" i="2"/>
  <c r="CB401" i="2"/>
  <c r="BY401" i="2"/>
  <c r="CB400" i="2"/>
  <c r="BY400" i="2"/>
  <c r="CB399" i="2"/>
  <c r="BY399" i="2"/>
  <c r="BZ399" i="2"/>
  <c r="CB397" i="2"/>
  <c r="BY397" i="2"/>
  <c r="CB396" i="2"/>
  <c r="BY396" i="2"/>
  <c r="CB394" i="2"/>
  <c r="BY394" i="2"/>
  <c r="CB393" i="2"/>
  <c r="BY393" i="2"/>
  <c r="CB392" i="2"/>
  <c r="BY392" i="2"/>
  <c r="CB391" i="2"/>
  <c r="BY391" i="2"/>
  <c r="CB390" i="2"/>
  <c r="BY390" i="2"/>
  <c r="CB388" i="2"/>
  <c r="BY388" i="2"/>
  <c r="CB386" i="2"/>
  <c r="BY386" i="2"/>
  <c r="CB385" i="2"/>
  <c r="BY385" i="2"/>
  <c r="CB384" i="2"/>
  <c r="BY384" i="2"/>
  <c r="CB383" i="2"/>
  <c r="BY383" i="2"/>
  <c r="CB382" i="2"/>
  <c r="BY382" i="2"/>
  <c r="CB381" i="2"/>
  <c r="BY381" i="2"/>
  <c r="CB380" i="2"/>
  <c r="BY380" i="2"/>
  <c r="CB379" i="2"/>
  <c r="BY379" i="2"/>
  <c r="CB378" i="2"/>
  <c r="BY378" i="2"/>
  <c r="CB376" i="2"/>
  <c r="BY376" i="2"/>
  <c r="CB375" i="2"/>
  <c r="BY375" i="2"/>
  <c r="CB374" i="2"/>
  <c r="BY374" i="2"/>
  <c r="CB373" i="2"/>
  <c r="BY373" i="2"/>
  <c r="CB372" i="2"/>
  <c r="BY372" i="2"/>
  <c r="CB371" i="2"/>
  <c r="BY371" i="2"/>
  <c r="CB370" i="2"/>
  <c r="BY370" i="2"/>
  <c r="CB369" i="2"/>
  <c r="BY369" i="2"/>
  <c r="CB368" i="2"/>
  <c r="BY368" i="2"/>
  <c r="CB367" i="2"/>
  <c r="BY367" i="2"/>
  <c r="CB366" i="2"/>
  <c r="CC366" i="2"/>
  <c r="BY366" i="2"/>
  <c r="CB365" i="2"/>
  <c r="BY365" i="2"/>
  <c r="CB363" i="2"/>
  <c r="BY363" i="2"/>
  <c r="CB362" i="2"/>
  <c r="BY362" i="2"/>
  <c r="CB361" i="2"/>
  <c r="BY361" i="2"/>
  <c r="CB360" i="2"/>
  <c r="BY360" i="2"/>
  <c r="CB359" i="2"/>
  <c r="BY359" i="2"/>
  <c r="CB358" i="2"/>
  <c r="BY358" i="2"/>
  <c r="CB357" i="2"/>
  <c r="BY357" i="2"/>
  <c r="CB356" i="2"/>
  <c r="BY356" i="2"/>
  <c r="CB355" i="2"/>
  <c r="BY355" i="2"/>
  <c r="CB354" i="2"/>
  <c r="BY354" i="2"/>
  <c r="CB353" i="2"/>
  <c r="BY353" i="2"/>
  <c r="CB352" i="2"/>
  <c r="BY352" i="2"/>
  <c r="CB351" i="2"/>
  <c r="BY351" i="2"/>
  <c r="CB350" i="2"/>
  <c r="BY350" i="2"/>
  <c r="CB349" i="2"/>
  <c r="CC349" i="2"/>
  <c r="BY349" i="2"/>
  <c r="CB348" i="2"/>
  <c r="BY348" i="2"/>
  <c r="CB347" i="2"/>
  <c r="BY347" i="2"/>
  <c r="CB346" i="2"/>
  <c r="BY346" i="2"/>
  <c r="CB345" i="2"/>
  <c r="BY345" i="2"/>
  <c r="CB344" i="2"/>
  <c r="BY344" i="2"/>
  <c r="CB343" i="2"/>
  <c r="BY343" i="2"/>
  <c r="CB342" i="2"/>
  <c r="BY342" i="2"/>
  <c r="CB341" i="2"/>
  <c r="BY341" i="2"/>
  <c r="CB340" i="2"/>
  <c r="BY340" i="2"/>
  <c r="CB339" i="2"/>
  <c r="BY339" i="2"/>
  <c r="CB338" i="2"/>
  <c r="BY338" i="2"/>
  <c r="CB337" i="2"/>
  <c r="BY337" i="2"/>
  <c r="BZ337" i="2"/>
  <c r="CB336" i="2"/>
  <c r="BY336" i="2"/>
  <c r="CB335" i="2"/>
  <c r="BY335" i="2"/>
  <c r="CB334" i="2"/>
  <c r="BY334" i="2"/>
  <c r="CB333" i="2"/>
  <c r="BY333" i="2"/>
  <c r="CB332" i="2"/>
  <c r="BY332" i="2"/>
  <c r="CB331" i="2"/>
  <c r="BY331" i="2"/>
  <c r="CB330" i="2"/>
  <c r="BY330" i="2"/>
  <c r="CB329" i="2"/>
  <c r="BY329" i="2"/>
  <c r="CB327" i="2"/>
  <c r="BY327" i="2"/>
  <c r="CB326" i="2"/>
  <c r="BY326" i="2"/>
  <c r="CB325" i="2"/>
  <c r="BY325" i="2"/>
  <c r="CB323" i="2"/>
  <c r="BY323" i="2"/>
  <c r="CB322" i="2"/>
  <c r="BY322" i="2"/>
  <c r="CB321" i="2"/>
  <c r="BY321" i="2"/>
  <c r="CB319" i="2"/>
  <c r="BY319" i="2"/>
  <c r="CB318" i="2"/>
  <c r="BY318" i="2"/>
  <c r="CB317" i="2"/>
  <c r="BY317" i="2"/>
  <c r="CB316" i="2"/>
  <c r="BY316" i="2"/>
  <c r="CB315" i="2"/>
  <c r="BY315" i="2"/>
  <c r="CB313" i="2"/>
  <c r="CC313" i="2"/>
  <c r="BY313" i="2"/>
  <c r="BZ313" i="2"/>
  <c r="CB312" i="2"/>
  <c r="BY312" i="2"/>
  <c r="CB311" i="2"/>
  <c r="BY311" i="2"/>
  <c r="CB310" i="2"/>
  <c r="BY310" i="2"/>
  <c r="CB309" i="2"/>
  <c r="BY309" i="2"/>
  <c r="CB308" i="2"/>
  <c r="BY308" i="2"/>
  <c r="CB307" i="2"/>
  <c r="BY307" i="2"/>
  <c r="CB306" i="2"/>
  <c r="BY306" i="2"/>
  <c r="CB305" i="2"/>
  <c r="CC305" i="2"/>
  <c r="BY305" i="2"/>
  <c r="CB304" i="2"/>
  <c r="BY304" i="2"/>
  <c r="CB303" i="2"/>
  <c r="BY303" i="2"/>
  <c r="CB302" i="2"/>
  <c r="BY302" i="2"/>
  <c r="CB301" i="2"/>
  <c r="BY301" i="2"/>
  <c r="CB298" i="2"/>
  <c r="BY298" i="2"/>
  <c r="CB297" i="2"/>
  <c r="BY297" i="2"/>
  <c r="CB296" i="2"/>
  <c r="BY296" i="2"/>
  <c r="CB295" i="2"/>
  <c r="BY295" i="2"/>
  <c r="CB294" i="2"/>
  <c r="BY294" i="2"/>
  <c r="CB293" i="2"/>
  <c r="BY293" i="2"/>
  <c r="CB292" i="2"/>
  <c r="BY292" i="2"/>
  <c r="CB291" i="2"/>
  <c r="BY291" i="2"/>
  <c r="BZ291" i="2"/>
  <c r="CB290" i="2"/>
  <c r="BY290" i="2"/>
  <c r="CB289" i="2"/>
  <c r="BY289" i="2"/>
  <c r="CB288" i="2"/>
  <c r="BY288" i="2"/>
  <c r="CB287" i="2"/>
  <c r="BY287" i="2"/>
  <c r="CB286" i="2"/>
  <c r="BY286" i="2"/>
  <c r="CB285" i="2"/>
  <c r="BY285" i="2"/>
  <c r="CB284" i="2"/>
  <c r="BY284" i="2"/>
  <c r="CB282" i="2"/>
  <c r="BY282" i="2"/>
  <c r="CB281" i="2"/>
  <c r="BY281" i="2"/>
  <c r="CB280" i="2"/>
  <c r="BY280" i="2"/>
  <c r="CB279" i="2"/>
  <c r="BY279" i="2"/>
  <c r="CB278" i="2"/>
  <c r="CC278" i="2"/>
  <c r="BY278" i="2"/>
  <c r="CB277" i="2"/>
  <c r="BY277" i="2"/>
  <c r="CB276" i="2"/>
  <c r="BY276" i="2"/>
  <c r="CB275" i="2"/>
  <c r="BY275" i="2"/>
  <c r="CB274" i="2"/>
  <c r="BY274" i="2"/>
  <c r="CB273" i="2"/>
  <c r="BY273" i="2"/>
  <c r="CB272" i="2"/>
  <c r="BY272" i="2"/>
  <c r="CB271" i="2"/>
  <c r="BY271" i="2"/>
  <c r="CB270" i="2"/>
  <c r="CC270" i="2"/>
  <c r="BY270" i="2"/>
  <c r="CB269" i="2"/>
  <c r="BY269" i="2"/>
  <c r="CB268" i="2"/>
  <c r="BY268" i="2"/>
  <c r="CB267" i="2"/>
  <c r="BY267" i="2"/>
  <c r="CB265" i="2"/>
  <c r="CC265" i="2"/>
  <c r="BY265" i="2"/>
  <c r="CB264" i="2"/>
  <c r="BY264" i="2"/>
  <c r="CB263" i="2"/>
  <c r="BY263" i="2"/>
  <c r="CB262" i="2"/>
  <c r="BY262" i="2"/>
  <c r="CB261" i="2"/>
  <c r="BY261" i="2"/>
  <c r="BZ261" i="2"/>
  <c r="CB260" i="2"/>
  <c r="BY260" i="2"/>
  <c r="CB259" i="2"/>
  <c r="BY259" i="2"/>
  <c r="CB258" i="2"/>
  <c r="BY258" i="2"/>
  <c r="CB257" i="2"/>
  <c r="CC257" i="2"/>
  <c r="BY257" i="2"/>
  <c r="BZ257" i="2"/>
  <c r="CB256" i="2"/>
  <c r="BY256" i="2"/>
  <c r="CB255" i="2"/>
  <c r="BY255" i="2"/>
  <c r="CB254" i="2"/>
  <c r="BY254" i="2"/>
  <c r="CB253" i="2"/>
  <c r="CC253" i="2"/>
  <c r="BY253" i="2"/>
  <c r="CB252" i="2"/>
  <c r="BY252" i="2"/>
  <c r="CB251" i="2"/>
  <c r="BY251" i="2"/>
  <c r="CB250" i="2"/>
  <c r="BY250" i="2"/>
  <c r="CB249" i="2"/>
  <c r="BY249" i="2"/>
  <c r="CB248" i="2"/>
  <c r="BY248" i="2"/>
  <c r="CB247" i="2"/>
  <c r="BY247" i="2"/>
  <c r="CB246" i="2"/>
  <c r="BY246" i="2"/>
  <c r="CB245" i="2"/>
  <c r="CC245" i="2"/>
  <c r="BY245" i="2"/>
  <c r="CB244" i="2"/>
  <c r="BY244" i="2"/>
  <c r="CB243" i="2"/>
  <c r="BY243" i="2"/>
  <c r="CB241" i="2"/>
  <c r="BY241" i="2"/>
  <c r="CB240" i="2"/>
  <c r="CC240" i="2"/>
  <c r="BY240" i="2"/>
  <c r="CB238" i="2"/>
  <c r="BY238" i="2"/>
  <c r="CB237" i="2"/>
  <c r="BY237" i="2"/>
  <c r="CB236" i="2"/>
  <c r="BY236" i="2"/>
  <c r="CB235" i="2"/>
  <c r="CC235" i="2"/>
  <c r="BY235" i="2"/>
  <c r="BZ235" i="2"/>
  <c r="CB234" i="2"/>
  <c r="BY234" i="2"/>
  <c r="CB233" i="2"/>
  <c r="BY233" i="2"/>
  <c r="CB232" i="2"/>
  <c r="BY232" i="2"/>
  <c r="CB231" i="2"/>
  <c r="BY231" i="2"/>
  <c r="CB230" i="2"/>
  <c r="BY230" i="2"/>
  <c r="CB229" i="2"/>
  <c r="BY229" i="2"/>
  <c r="CB228" i="2"/>
  <c r="BY228" i="2"/>
  <c r="CB227" i="2"/>
  <c r="BY227" i="2"/>
  <c r="CB226" i="2"/>
  <c r="BY226" i="2"/>
  <c r="CB225" i="2"/>
  <c r="BY225" i="2"/>
  <c r="CB224" i="2"/>
  <c r="BY224" i="2"/>
  <c r="CB222" i="2"/>
  <c r="BY222" i="2"/>
  <c r="CB221" i="2"/>
  <c r="BY221" i="2"/>
  <c r="CB220" i="2"/>
  <c r="BY220" i="2"/>
  <c r="CB219" i="2"/>
  <c r="BY219" i="2"/>
  <c r="CB218" i="2"/>
  <c r="BY218" i="2"/>
  <c r="CB217" i="2"/>
  <c r="BY217" i="2"/>
  <c r="CB216" i="2"/>
  <c r="BY216" i="2"/>
  <c r="CB215" i="2"/>
  <c r="BY215" i="2"/>
  <c r="CB214" i="2"/>
  <c r="BY214" i="2"/>
  <c r="BZ214" i="2"/>
  <c r="CB213" i="2"/>
  <c r="BY213" i="2"/>
  <c r="CB212" i="2"/>
  <c r="BY212" i="2"/>
  <c r="CB211" i="2"/>
  <c r="BY211" i="2"/>
  <c r="CB210" i="2"/>
  <c r="CC210" i="2"/>
  <c r="BY210" i="2"/>
  <c r="BZ210" i="2"/>
  <c r="CB209" i="2"/>
  <c r="BY209" i="2"/>
  <c r="CB208" i="2"/>
  <c r="BY208" i="2"/>
  <c r="CB207" i="2"/>
  <c r="BY207" i="2"/>
  <c r="CB206" i="2"/>
  <c r="BY206" i="2"/>
  <c r="CB205" i="2"/>
  <c r="BY205" i="2"/>
  <c r="CB204" i="2"/>
  <c r="BY204" i="2"/>
  <c r="CB203" i="2"/>
  <c r="BY203" i="2"/>
  <c r="CB202" i="2"/>
  <c r="CC202" i="2"/>
  <c r="BY202" i="2"/>
  <c r="CB201" i="2"/>
  <c r="BY201" i="2"/>
  <c r="CB200" i="2"/>
  <c r="BY200" i="2"/>
  <c r="CB199" i="2"/>
  <c r="BY199" i="2"/>
  <c r="CB198" i="2"/>
  <c r="BY198" i="2"/>
  <c r="CB197" i="2"/>
  <c r="BY197" i="2"/>
  <c r="CB196" i="2"/>
  <c r="BY196" i="2"/>
  <c r="CB195" i="2"/>
  <c r="BY195" i="2"/>
  <c r="CB193" i="2"/>
  <c r="BY193" i="2"/>
  <c r="BZ193" i="2"/>
  <c r="CB190" i="2"/>
  <c r="BY190" i="2"/>
  <c r="CB188" i="2"/>
  <c r="BY188" i="2"/>
  <c r="CB186" i="2"/>
  <c r="BY186" i="2"/>
  <c r="CB185" i="2"/>
  <c r="BY185" i="2"/>
  <c r="BZ185" i="2"/>
  <c r="CB183" i="2"/>
  <c r="BY183" i="2"/>
  <c r="CB182" i="2"/>
  <c r="BY182" i="2"/>
  <c r="CB181" i="2"/>
  <c r="BY181" i="2"/>
  <c r="CB178" i="2"/>
  <c r="BY178" i="2"/>
  <c r="CB177" i="2"/>
  <c r="BY177" i="2"/>
  <c r="CB175" i="2"/>
  <c r="BY175" i="2"/>
  <c r="CB174" i="2"/>
  <c r="BY174" i="2"/>
  <c r="CB170" i="2"/>
  <c r="BY170" i="2"/>
  <c r="CB169" i="2"/>
  <c r="BY169" i="2"/>
  <c r="CB168" i="2"/>
  <c r="BY168" i="2"/>
  <c r="CB167" i="2"/>
  <c r="BY167" i="2"/>
  <c r="CB166" i="2"/>
  <c r="CC166" i="2"/>
  <c r="BY166" i="2"/>
  <c r="CB165" i="2"/>
  <c r="BY165" i="2"/>
  <c r="CB164" i="2"/>
  <c r="BY164" i="2"/>
  <c r="CB163" i="2"/>
  <c r="BY163" i="2"/>
  <c r="CB162" i="2"/>
  <c r="BY162" i="2"/>
  <c r="CB161" i="2"/>
  <c r="BY161" i="2"/>
  <c r="CB160" i="2"/>
  <c r="BY160" i="2"/>
  <c r="CB159" i="2"/>
  <c r="BY159" i="2"/>
  <c r="CB158" i="2"/>
  <c r="BY158" i="2"/>
  <c r="BZ158" i="2"/>
  <c r="CB156" i="2"/>
  <c r="BY156" i="2"/>
  <c r="CB154" i="2"/>
  <c r="BY154" i="2"/>
  <c r="CB153" i="2"/>
  <c r="BY153" i="2"/>
  <c r="CB152" i="2"/>
  <c r="BY152" i="2"/>
  <c r="CB151" i="2"/>
  <c r="BY151" i="2"/>
  <c r="CB148" i="2"/>
  <c r="BY148" i="2"/>
  <c r="CB147" i="2"/>
  <c r="BY147" i="2"/>
  <c r="CB145" i="2"/>
  <c r="BY145" i="2"/>
  <c r="CB142" i="2"/>
  <c r="BY142" i="2"/>
  <c r="CB140" i="2"/>
  <c r="BY140" i="2"/>
  <c r="CB139" i="2"/>
  <c r="BY139" i="2"/>
  <c r="CB137" i="2"/>
  <c r="BY137" i="2"/>
  <c r="CB136" i="2"/>
  <c r="BY136" i="2"/>
  <c r="CB135" i="2"/>
  <c r="BY135" i="2"/>
  <c r="CB134" i="2"/>
  <c r="BY134" i="2"/>
  <c r="CB133" i="2"/>
  <c r="BY133" i="2"/>
  <c r="CB132" i="2"/>
  <c r="BY132" i="2"/>
  <c r="CB130" i="2"/>
  <c r="BY130" i="2"/>
  <c r="CB128" i="2"/>
  <c r="BY128" i="2"/>
  <c r="CB127" i="2"/>
  <c r="BY127" i="2"/>
  <c r="BZ127" i="2"/>
  <c r="CB126" i="2"/>
  <c r="BY126" i="2"/>
  <c r="CB125" i="2"/>
  <c r="BY125" i="2"/>
  <c r="CB124" i="2"/>
  <c r="BY124" i="2"/>
  <c r="CB123" i="2"/>
  <c r="BY123" i="2"/>
  <c r="CB122" i="2"/>
  <c r="BY122" i="2"/>
  <c r="CB121" i="2"/>
  <c r="BY121" i="2"/>
  <c r="CB120" i="2"/>
  <c r="BY120" i="2"/>
  <c r="CB119" i="2"/>
  <c r="BY119" i="2"/>
  <c r="CB118" i="2"/>
  <c r="BY118" i="2"/>
  <c r="CB117" i="2"/>
  <c r="BY117" i="2"/>
  <c r="CB116" i="2"/>
  <c r="BY116" i="2"/>
  <c r="CB114" i="2"/>
  <c r="BY114" i="2"/>
  <c r="CB113" i="2"/>
  <c r="BY113" i="2"/>
  <c r="CB112" i="2"/>
  <c r="BY112" i="2"/>
  <c r="CB111" i="2"/>
  <c r="BY111" i="2"/>
  <c r="CB110" i="2"/>
  <c r="BY110" i="2"/>
  <c r="CB109" i="2"/>
  <c r="BY109" i="2"/>
  <c r="CB106" i="2"/>
  <c r="BY106" i="2"/>
  <c r="CB105" i="2"/>
  <c r="BY105" i="2"/>
  <c r="CB104" i="2"/>
  <c r="BY104" i="2"/>
  <c r="BZ104" i="2"/>
  <c r="CB103" i="2"/>
  <c r="BY103" i="2"/>
  <c r="CB102" i="2"/>
  <c r="BY102" i="2"/>
  <c r="CB101" i="2"/>
  <c r="BY101" i="2"/>
  <c r="CB100" i="2"/>
  <c r="BY100" i="2"/>
  <c r="BZ100" i="2"/>
  <c r="CB99" i="2"/>
  <c r="BY99" i="2"/>
  <c r="CB98" i="2"/>
  <c r="BY98" i="2"/>
  <c r="CB95" i="2"/>
  <c r="BY95" i="2"/>
  <c r="CB93" i="2"/>
  <c r="BY93" i="2"/>
  <c r="CB92" i="2"/>
  <c r="BY92" i="2"/>
  <c r="CB91" i="2"/>
  <c r="BY91" i="2"/>
  <c r="CB89" i="2"/>
  <c r="BY89" i="2"/>
  <c r="CB88" i="2"/>
  <c r="BY88" i="2"/>
  <c r="CB87" i="2"/>
  <c r="BY87" i="2"/>
  <c r="CB86" i="2"/>
  <c r="BY86" i="2"/>
  <c r="CB85" i="2"/>
  <c r="BY85" i="2"/>
  <c r="CB84" i="2"/>
  <c r="BY84" i="2"/>
  <c r="CB81" i="2"/>
  <c r="BY81" i="2"/>
  <c r="CB80" i="2"/>
  <c r="BY80" i="2"/>
  <c r="CB79" i="2"/>
  <c r="BY79" i="2"/>
  <c r="CB77" i="2"/>
  <c r="BY77" i="2"/>
  <c r="CB76" i="2"/>
  <c r="BY76" i="2"/>
  <c r="CB75" i="2"/>
  <c r="BY75" i="2"/>
  <c r="CB74" i="2"/>
  <c r="BY74" i="2"/>
  <c r="CB73" i="2"/>
  <c r="BY73" i="2"/>
  <c r="BZ73" i="2"/>
  <c r="CB72" i="2"/>
  <c r="BY72" i="2"/>
  <c r="CB71" i="2"/>
  <c r="BY71" i="2"/>
  <c r="CB70" i="2"/>
  <c r="BY70" i="2"/>
  <c r="CB69" i="2"/>
  <c r="BY69" i="2"/>
  <c r="CB68" i="2"/>
  <c r="BY68" i="2"/>
  <c r="CB67" i="2"/>
  <c r="BY67" i="2"/>
  <c r="CB66" i="2"/>
  <c r="BY66" i="2"/>
  <c r="CB65" i="2"/>
  <c r="BY65" i="2"/>
  <c r="CB64" i="2"/>
  <c r="BY64" i="2"/>
  <c r="CB63" i="2"/>
  <c r="BY63" i="2"/>
  <c r="CB62" i="2"/>
  <c r="BY62" i="2"/>
  <c r="CB61" i="2"/>
  <c r="BY61" i="2"/>
  <c r="CB60" i="2"/>
  <c r="BY60" i="2"/>
  <c r="CB59" i="2"/>
  <c r="BY59" i="2"/>
  <c r="CB58" i="2"/>
  <c r="BY58" i="2"/>
  <c r="CB57" i="2"/>
  <c r="BY57" i="2"/>
  <c r="CB56" i="2"/>
  <c r="BY56" i="2"/>
  <c r="CB55" i="2"/>
  <c r="BY55" i="2"/>
  <c r="CB53" i="2"/>
  <c r="BY53" i="2"/>
  <c r="CB52" i="2"/>
  <c r="BY52" i="2"/>
  <c r="BZ52" i="2"/>
  <c r="CB51" i="2"/>
  <c r="BY51" i="2"/>
  <c r="CB48" i="2"/>
  <c r="BY48" i="2"/>
  <c r="CB46" i="2"/>
  <c r="BY46" i="2"/>
  <c r="CB45" i="2"/>
  <c r="BY45" i="2"/>
  <c r="BZ45" i="2"/>
  <c r="CB44" i="2"/>
  <c r="BY44" i="2"/>
  <c r="CB43" i="2"/>
  <c r="BY43" i="2"/>
  <c r="CB42" i="2"/>
  <c r="BY42" i="2"/>
  <c r="CB41" i="2"/>
  <c r="BY41" i="2"/>
  <c r="CB40" i="2"/>
  <c r="BY40" i="2"/>
  <c r="CB39" i="2"/>
  <c r="BY39" i="2"/>
  <c r="CB38" i="2"/>
  <c r="BY38" i="2"/>
  <c r="CB36" i="2"/>
  <c r="BY36" i="2"/>
  <c r="CB35" i="2"/>
  <c r="BY35" i="2"/>
  <c r="CB34" i="2"/>
  <c r="BY34" i="2"/>
  <c r="CB33" i="2"/>
  <c r="BY33" i="2"/>
  <c r="CB32" i="2"/>
  <c r="BY32" i="2"/>
  <c r="CB31" i="2"/>
  <c r="BY31" i="2"/>
  <c r="CB30" i="2"/>
  <c r="BY30" i="2"/>
  <c r="CB29" i="2"/>
  <c r="BY29" i="2"/>
  <c r="CB28" i="2"/>
  <c r="BY28" i="2"/>
  <c r="BZ28" i="2"/>
  <c r="CB26" i="2"/>
  <c r="BY26" i="2"/>
  <c r="CB25" i="2"/>
  <c r="BY25" i="2"/>
  <c r="CB24" i="2"/>
  <c r="BY24" i="2"/>
  <c r="CB23" i="2"/>
  <c r="BY23" i="2"/>
  <c r="CB22" i="2"/>
  <c r="BY22" i="2"/>
  <c r="CB21" i="2"/>
  <c r="BY21" i="2"/>
  <c r="CB20" i="2"/>
  <c r="BY20" i="2"/>
  <c r="CB19" i="2"/>
  <c r="BY19" i="2"/>
  <c r="CB17" i="2"/>
  <c r="BY17" i="2"/>
  <c r="CB16" i="2"/>
  <c r="BY16" i="2"/>
  <c r="CB15" i="2"/>
  <c r="BY15" i="2"/>
  <c r="CB14" i="2"/>
  <c r="BY14" i="2"/>
  <c r="CB12" i="2"/>
  <c r="BY12" i="2"/>
  <c r="BG456" i="2"/>
  <c r="BE456" i="2"/>
  <c r="BC456" i="2"/>
  <c r="BG455" i="2"/>
  <c r="BE455" i="2"/>
  <c r="BC455" i="2"/>
  <c r="BG454" i="2"/>
  <c r="BE454" i="2"/>
  <c r="BC454" i="2"/>
  <c r="BG453" i="2"/>
  <c r="BE453" i="2"/>
  <c r="BC453" i="2"/>
  <c r="BG452" i="2"/>
  <c r="BE452" i="2"/>
  <c r="BC452" i="2"/>
  <c r="BG451" i="2"/>
  <c r="BE451" i="2"/>
  <c r="BC451" i="2"/>
  <c r="BG450" i="2"/>
  <c r="BE450" i="2"/>
  <c r="BC450" i="2"/>
  <c r="BG447" i="2"/>
  <c r="BE447" i="2"/>
  <c r="BC447" i="2"/>
  <c r="BG446" i="2"/>
  <c r="BE446" i="2"/>
  <c r="BC446" i="2"/>
  <c r="BG445" i="2"/>
  <c r="BE445" i="2"/>
  <c r="BC445" i="2"/>
  <c r="BG441" i="2"/>
  <c r="BE441" i="2"/>
  <c r="BC441" i="2"/>
  <c r="BG440" i="2"/>
  <c r="BE440" i="2"/>
  <c r="BC440" i="2"/>
  <c r="BG439" i="2"/>
  <c r="BE439" i="2"/>
  <c r="BC439" i="2"/>
  <c r="BG438" i="2"/>
  <c r="BE438" i="2"/>
  <c r="BC438" i="2"/>
  <c r="BG437" i="2"/>
  <c r="BE437" i="2"/>
  <c r="BC437" i="2"/>
  <c r="BG436" i="2"/>
  <c r="BE436" i="2"/>
  <c r="BC436" i="2"/>
  <c r="BG435" i="2"/>
  <c r="BE435" i="2"/>
  <c r="BC435" i="2"/>
  <c r="BG434" i="2"/>
  <c r="BE434" i="2"/>
  <c r="BC434" i="2"/>
  <c r="BG432" i="2"/>
  <c r="BE432" i="2"/>
  <c r="BC432" i="2"/>
  <c r="BG431" i="2"/>
  <c r="BE431" i="2"/>
  <c r="BC431" i="2"/>
  <c r="BG428" i="2"/>
  <c r="BE428" i="2"/>
  <c r="BC428" i="2"/>
  <c r="BG426" i="2"/>
  <c r="BE426" i="2"/>
  <c r="BC426" i="2"/>
  <c r="BG424" i="2"/>
  <c r="BE424" i="2"/>
  <c r="BC424" i="2"/>
  <c r="BG423" i="2"/>
  <c r="BE423" i="2"/>
  <c r="BC423" i="2"/>
  <c r="BG422" i="2"/>
  <c r="BE422" i="2"/>
  <c r="BC422" i="2"/>
  <c r="BG421" i="2"/>
  <c r="BE421" i="2"/>
  <c r="BC421" i="2"/>
  <c r="BG418" i="2"/>
  <c r="BE418" i="2"/>
  <c r="BC418" i="2"/>
  <c r="BG417" i="2"/>
  <c r="BE417" i="2"/>
  <c r="BC417" i="2"/>
  <c r="BG415" i="2"/>
  <c r="BE415" i="2"/>
  <c r="BC415" i="2"/>
  <c r="BG414" i="2"/>
  <c r="BE414" i="2"/>
  <c r="BC414" i="2"/>
  <c r="BG413" i="2"/>
  <c r="BE413" i="2"/>
  <c r="BC413" i="2"/>
  <c r="BG412" i="2"/>
  <c r="BE412" i="2"/>
  <c r="BC412" i="2"/>
  <c r="BG410" i="2"/>
  <c r="BE410" i="2"/>
  <c r="BC410" i="2"/>
  <c r="BG409" i="2"/>
  <c r="BE409" i="2"/>
  <c r="BC409" i="2"/>
  <c r="BG402" i="2"/>
  <c r="BE402" i="2"/>
  <c r="BC402" i="2"/>
  <c r="BG401" i="2"/>
  <c r="BE401" i="2"/>
  <c r="BC401" i="2"/>
  <c r="BG400" i="2"/>
  <c r="BE400" i="2"/>
  <c r="BC400" i="2"/>
  <c r="BG399" i="2"/>
  <c r="BE399" i="2"/>
  <c r="BC399" i="2"/>
  <c r="BG397" i="2"/>
  <c r="BE397" i="2"/>
  <c r="BC397" i="2"/>
  <c r="BG396" i="2"/>
  <c r="BE396" i="2"/>
  <c r="BC396" i="2"/>
  <c r="BG394" i="2"/>
  <c r="BE394" i="2"/>
  <c r="BC394" i="2"/>
  <c r="BG393" i="2"/>
  <c r="BE393" i="2"/>
  <c r="BC393" i="2"/>
  <c r="BG392" i="2"/>
  <c r="BE392" i="2"/>
  <c r="BC392" i="2"/>
  <c r="BG391" i="2"/>
  <c r="BE391" i="2"/>
  <c r="BC391" i="2"/>
  <c r="BG390" i="2"/>
  <c r="BE390" i="2"/>
  <c r="BC390" i="2"/>
  <c r="BG388" i="2"/>
  <c r="BE388" i="2"/>
  <c r="BC388" i="2"/>
  <c r="BG386" i="2"/>
  <c r="BE386" i="2"/>
  <c r="BC386" i="2"/>
  <c r="BG385" i="2"/>
  <c r="BE385" i="2"/>
  <c r="BC385" i="2"/>
  <c r="BG384" i="2"/>
  <c r="BE384" i="2"/>
  <c r="BC384" i="2"/>
  <c r="BG383" i="2"/>
  <c r="BE383" i="2"/>
  <c r="BC383" i="2"/>
  <c r="BG382" i="2"/>
  <c r="BE382" i="2"/>
  <c r="BC382" i="2"/>
  <c r="BG381" i="2"/>
  <c r="BE381" i="2"/>
  <c r="BC381" i="2"/>
  <c r="BG380" i="2"/>
  <c r="BE380" i="2"/>
  <c r="BC380" i="2"/>
  <c r="BG379" i="2"/>
  <c r="BE379" i="2"/>
  <c r="BC379" i="2"/>
  <c r="BG378" i="2"/>
  <c r="BE378" i="2"/>
  <c r="BC378" i="2"/>
  <c r="BG376" i="2"/>
  <c r="BE376" i="2"/>
  <c r="BC376" i="2"/>
  <c r="BG375" i="2"/>
  <c r="BE375" i="2"/>
  <c r="BC375" i="2"/>
  <c r="BG374" i="2"/>
  <c r="BE374" i="2"/>
  <c r="BC374" i="2"/>
  <c r="BG373" i="2"/>
  <c r="BE373" i="2"/>
  <c r="BC373" i="2"/>
  <c r="BG372" i="2"/>
  <c r="BE372" i="2"/>
  <c r="BC372" i="2"/>
  <c r="BG371" i="2"/>
  <c r="BE371" i="2"/>
  <c r="BC371" i="2"/>
  <c r="BG370" i="2"/>
  <c r="BE370" i="2"/>
  <c r="BC370" i="2"/>
  <c r="BG369" i="2"/>
  <c r="BE369" i="2"/>
  <c r="BC369" i="2"/>
  <c r="BG368" i="2"/>
  <c r="BE368" i="2"/>
  <c r="BC368" i="2"/>
  <c r="BG367" i="2"/>
  <c r="BE367" i="2"/>
  <c r="BC367" i="2"/>
  <c r="BG366" i="2"/>
  <c r="BE366" i="2"/>
  <c r="BC366" i="2"/>
  <c r="BG365" i="2"/>
  <c r="BE365" i="2"/>
  <c r="BC365" i="2"/>
  <c r="BG363" i="2"/>
  <c r="BE363" i="2"/>
  <c r="BC363" i="2"/>
  <c r="BG362" i="2"/>
  <c r="BE362" i="2"/>
  <c r="BC362" i="2"/>
  <c r="BG361" i="2"/>
  <c r="BE361" i="2"/>
  <c r="BC361" i="2"/>
  <c r="BG360" i="2"/>
  <c r="BE360" i="2"/>
  <c r="BC360" i="2"/>
  <c r="BG359" i="2"/>
  <c r="BE359" i="2"/>
  <c r="BC359" i="2"/>
  <c r="BG358" i="2"/>
  <c r="BE358" i="2"/>
  <c r="BC358" i="2"/>
  <c r="BG357" i="2"/>
  <c r="BE357" i="2"/>
  <c r="BC357" i="2"/>
  <c r="BG356" i="2"/>
  <c r="BE356" i="2"/>
  <c r="BC356" i="2"/>
  <c r="BG355" i="2"/>
  <c r="BE355" i="2"/>
  <c r="BC355" i="2"/>
  <c r="BG354" i="2"/>
  <c r="BE354" i="2"/>
  <c r="BC354" i="2"/>
  <c r="BG353" i="2"/>
  <c r="BE353" i="2"/>
  <c r="BC353" i="2"/>
  <c r="BG352" i="2"/>
  <c r="BE352" i="2"/>
  <c r="BC352" i="2"/>
  <c r="BG351" i="2"/>
  <c r="BE351" i="2"/>
  <c r="BC351" i="2"/>
  <c r="BG350" i="2"/>
  <c r="BE350" i="2"/>
  <c r="BC350" i="2"/>
  <c r="BG349" i="2"/>
  <c r="BE349" i="2"/>
  <c r="BC349" i="2"/>
  <c r="BG348" i="2"/>
  <c r="BE348" i="2"/>
  <c r="BC348" i="2"/>
  <c r="BG347" i="2"/>
  <c r="BE347" i="2"/>
  <c r="BC347" i="2"/>
  <c r="BG346" i="2"/>
  <c r="BE346" i="2"/>
  <c r="BC346" i="2"/>
  <c r="BG345" i="2"/>
  <c r="BE345" i="2"/>
  <c r="BC345" i="2"/>
  <c r="BG344" i="2"/>
  <c r="BE344" i="2"/>
  <c r="BC344" i="2"/>
  <c r="BG343" i="2"/>
  <c r="BE343" i="2"/>
  <c r="BC343" i="2"/>
  <c r="BG342" i="2"/>
  <c r="BE342" i="2"/>
  <c r="BC342" i="2"/>
  <c r="BG341" i="2"/>
  <c r="BE341" i="2"/>
  <c r="BC341" i="2"/>
  <c r="BG340" i="2"/>
  <c r="BE340" i="2"/>
  <c r="BC340" i="2"/>
  <c r="BG339" i="2"/>
  <c r="BE339" i="2"/>
  <c r="BC339" i="2"/>
  <c r="BG338" i="2"/>
  <c r="BE338" i="2"/>
  <c r="BC338" i="2"/>
  <c r="BG337" i="2"/>
  <c r="BE337" i="2"/>
  <c r="BC337" i="2"/>
  <c r="BG336" i="2"/>
  <c r="BE336" i="2"/>
  <c r="BC336" i="2"/>
  <c r="BG335" i="2"/>
  <c r="BE335" i="2"/>
  <c r="BC335" i="2"/>
  <c r="BG334" i="2"/>
  <c r="BE334" i="2"/>
  <c r="BC334" i="2"/>
  <c r="BG333" i="2"/>
  <c r="BE333" i="2"/>
  <c r="BC333" i="2"/>
  <c r="BG332" i="2"/>
  <c r="BE332" i="2"/>
  <c r="BC332" i="2"/>
  <c r="BG331" i="2"/>
  <c r="BE331" i="2"/>
  <c r="BC331" i="2"/>
  <c r="BG330" i="2"/>
  <c r="BE330" i="2"/>
  <c r="BC330" i="2"/>
  <c r="BG329" i="2"/>
  <c r="BE329" i="2"/>
  <c r="BC329" i="2"/>
  <c r="BG327" i="2"/>
  <c r="BE327" i="2"/>
  <c r="BC327" i="2"/>
  <c r="BG326" i="2"/>
  <c r="BE326" i="2"/>
  <c r="BC326" i="2"/>
  <c r="BG325" i="2"/>
  <c r="BE325" i="2"/>
  <c r="BC325" i="2"/>
  <c r="BG323" i="2"/>
  <c r="BE323" i="2"/>
  <c r="BC323" i="2"/>
  <c r="BG322" i="2"/>
  <c r="BE322" i="2"/>
  <c r="BC322" i="2"/>
  <c r="BG321" i="2"/>
  <c r="BE321" i="2"/>
  <c r="BC321" i="2"/>
  <c r="BG319" i="2"/>
  <c r="BE319" i="2"/>
  <c r="BC319" i="2"/>
  <c r="BG318" i="2"/>
  <c r="BE318" i="2"/>
  <c r="BC318" i="2"/>
  <c r="BG317" i="2"/>
  <c r="BE317" i="2"/>
  <c r="BC317" i="2"/>
  <c r="BG316" i="2"/>
  <c r="BE316" i="2"/>
  <c r="BC316" i="2"/>
  <c r="BG315" i="2"/>
  <c r="BE315" i="2"/>
  <c r="BC315" i="2"/>
  <c r="BG313" i="2"/>
  <c r="BE313" i="2"/>
  <c r="BC313" i="2"/>
  <c r="BG312" i="2"/>
  <c r="BE312" i="2"/>
  <c r="BC312" i="2"/>
  <c r="BG311" i="2"/>
  <c r="BE311" i="2"/>
  <c r="BC311" i="2"/>
  <c r="BG310" i="2"/>
  <c r="BE310" i="2"/>
  <c r="BC310" i="2"/>
  <c r="BG309" i="2"/>
  <c r="BE309" i="2"/>
  <c r="BC309" i="2"/>
  <c r="BG308" i="2"/>
  <c r="BE308" i="2"/>
  <c r="BC308" i="2"/>
  <c r="BG307" i="2"/>
  <c r="BE307" i="2"/>
  <c r="BC307" i="2"/>
  <c r="BG306" i="2"/>
  <c r="BE306" i="2"/>
  <c r="BC306" i="2"/>
  <c r="BG305" i="2"/>
  <c r="BE305" i="2"/>
  <c r="BC305" i="2"/>
  <c r="BG304" i="2"/>
  <c r="BE304" i="2"/>
  <c r="BC304" i="2"/>
  <c r="BG303" i="2"/>
  <c r="BE303" i="2"/>
  <c r="BC303" i="2"/>
  <c r="BG302" i="2"/>
  <c r="BE302" i="2"/>
  <c r="BC302" i="2"/>
  <c r="BG301" i="2"/>
  <c r="BE301" i="2"/>
  <c r="BC301" i="2"/>
  <c r="BG298" i="2"/>
  <c r="BE298" i="2"/>
  <c r="BC298" i="2"/>
  <c r="BG297" i="2"/>
  <c r="BE297" i="2"/>
  <c r="BC297" i="2"/>
  <c r="BG296" i="2"/>
  <c r="BE296" i="2"/>
  <c r="BC296" i="2"/>
  <c r="BG295" i="2"/>
  <c r="BE295" i="2"/>
  <c r="BC295" i="2"/>
  <c r="BG294" i="2"/>
  <c r="BE294" i="2"/>
  <c r="BC294" i="2"/>
  <c r="BG293" i="2"/>
  <c r="BE293" i="2"/>
  <c r="BC293" i="2"/>
  <c r="BG292" i="2"/>
  <c r="BE292" i="2"/>
  <c r="BC292" i="2"/>
  <c r="BG291" i="2"/>
  <c r="BE291" i="2"/>
  <c r="BC291" i="2"/>
  <c r="BG290" i="2"/>
  <c r="BE290" i="2"/>
  <c r="BC290" i="2"/>
  <c r="BG289" i="2"/>
  <c r="BE289" i="2"/>
  <c r="BC289" i="2"/>
  <c r="BG288" i="2"/>
  <c r="BE288" i="2"/>
  <c r="BC288" i="2"/>
  <c r="BG287" i="2"/>
  <c r="BE287" i="2"/>
  <c r="BC287" i="2"/>
  <c r="BG286" i="2"/>
  <c r="BE286" i="2"/>
  <c r="BC286" i="2"/>
  <c r="BG285" i="2"/>
  <c r="BE285" i="2"/>
  <c r="BC285" i="2"/>
  <c r="BG284" i="2"/>
  <c r="BE284" i="2"/>
  <c r="BC284" i="2"/>
  <c r="BG282" i="2"/>
  <c r="BE282" i="2"/>
  <c r="BC282" i="2"/>
  <c r="BG281" i="2"/>
  <c r="BE281" i="2"/>
  <c r="BC281" i="2"/>
  <c r="BG280" i="2"/>
  <c r="BE280" i="2"/>
  <c r="BC280" i="2"/>
  <c r="BG279" i="2"/>
  <c r="BE279" i="2"/>
  <c r="BC279" i="2"/>
  <c r="BG278" i="2"/>
  <c r="BE278" i="2"/>
  <c r="BC278" i="2"/>
  <c r="BG277" i="2"/>
  <c r="BE277" i="2"/>
  <c r="BC277" i="2"/>
  <c r="BG276" i="2"/>
  <c r="BE276" i="2"/>
  <c r="BC276" i="2"/>
  <c r="BG275" i="2"/>
  <c r="BE275" i="2"/>
  <c r="BC275" i="2"/>
  <c r="BG274" i="2"/>
  <c r="BE274" i="2"/>
  <c r="BC274" i="2"/>
  <c r="BG273" i="2"/>
  <c r="BE273" i="2"/>
  <c r="BC273" i="2"/>
  <c r="BG272" i="2"/>
  <c r="BE272" i="2"/>
  <c r="BC272" i="2"/>
  <c r="BG271" i="2"/>
  <c r="BE271" i="2"/>
  <c r="BC271" i="2"/>
  <c r="BG270" i="2"/>
  <c r="BE270" i="2"/>
  <c r="BC270" i="2"/>
  <c r="BG269" i="2"/>
  <c r="BE269" i="2"/>
  <c r="BC269" i="2"/>
  <c r="BG268" i="2"/>
  <c r="BE268" i="2"/>
  <c r="BC268" i="2"/>
  <c r="BG267" i="2"/>
  <c r="BE267" i="2"/>
  <c r="BC267" i="2"/>
  <c r="BG265" i="2"/>
  <c r="BE265" i="2"/>
  <c r="BC265" i="2"/>
  <c r="BG264" i="2"/>
  <c r="BE264" i="2"/>
  <c r="BC264" i="2"/>
  <c r="BG263" i="2"/>
  <c r="BE263" i="2"/>
  <c r="BC263" i="2"/>
  <c r="BG262" i="2"/>
  <c r="BE262" i="2"/>
  <c r="BC262" i="2"/>
  <c r="BG261" i="2"/>
  <c r="BE261" i="2"/>
  <c r="BC261" i="2"/>
  <c r="BG260" i="2"/>
  <c r="BE260" i="2"/>
  <c r="BC260" i="2"/>
  <c r="BG259" i="2"/>
  <c r="BE259" i="2"/>
  <c r="BC259" i="2"/>
  <c r="BG258" i="2"/>
  <c r="BE258" i="2"/>
  <c r="BC258" i="2"/>
  <c r="BG257" i="2"/>
  <c r="BE257" i="2"/>
  <c r="BC257" i="2"/>
  <c r="BG256" i="2"/>
  <c r="BE256" i="2"/>
  <c r="BC256" i="2"/>
  <c r="BG255" i="2"/>
  <c r="BE255" i="2"/>
  <c r="BC255" i="2"/>
  <c r="BG254" i="2"/>
  <c r="BE254" i="2"/>
  <c r="BC254" i="2"/>
  <c r="BG253" i="2"/>
  <c r="BE253" i="2"/>
  <c r="BC253" i="2"/>
  <c r="BG252" i="2"/>
  <c r="BE252" i="2"/>
  <c r="BC252" i="2"/>
  <c r="BG251" i="2"/>
  <c r="BE251" i="2"/>
  <c r="BC251" i="2"/>
  <c r="BG250" i="2"/>
  <c r="BE250" i="2"/>
  <c r="BC250" i="2"/>
  <c r="BG249" i="2"/>
  <c r="BE249" i="2"/>
  <c r="BC249" i="2"/>
  <c r="BG248" i="2"/>
  <c r="BE248" i="2"/>
  <c r="BC248" i="2"/>
  <c r="BG247" i="2"/>
  <c r="BE247" i="2"/>
  <c r="BC247" i="2"/>
  <c r="BG246" i="2"/>
  <c r="BE246" i="2"/>
  <c r="BC246" i="2"/>
  <c r="BG245" i="2"/>
  <c r="BE245" i="2"/>
  <c r="BC245" i="2"/>
  <c r="BG244" i="2"/>
  <c r="BE244" i="2"/>
  <c r="BC244" i="2"/>
  <c r="BG243" i="2"/>
  <c r="BE243" i="2"/>
  <c r="BC243" i="2"/>
  <c r="BG241" i="2"/>
  <c r="BE241" i="2"/>
  <c r="BC241" i="2"/>
  <c r="BG240" i="2"/>
  <c r="BE240" i="2"/>
  <c r="BC240" i="2"/>
  <c r="BG238" i="2"/>
  <c r="BE238" i="2"/>
  <c r="BC238" i="2"/>
  <c r="BG237" i="2"/>
  <c r="BE237" i="2"/>
  <c r="BC237" i="2"/>
  <c r="BG236" i="2"/>
  <c r="BE236" i="2"/>
  <c r="BC236" i="2"/>
  <c r="BG235" i="2"/>
  <c r="BE235" i="2"/>
  <c r="BC235" i="2"/>
  <c r="BG234" i="2"/>
  <c r="BE234" i="2"/>
  <c r="BC234" i="2"/>
  <c r="BG233" i="2"/>
  <c r="BE233" i="2"/>
  <c r="BC233" i="2"/>
  <c r="BG232" i="2"/>
  <c r="BE232" i="2"/>
  <c r="BC232" i="2"/>
  <c r="BG231" i="2"/>
  <c r="BE231" i="2"/>
  <c r="BC231" i="2"/>
  <c r="BG230" i="2"/>
  <c r="BE230" i="2"/>
  <c r="BC230" i="2"/>
  <c r="BG229" i="2"/>
  <c r="BE229" i="2"/>
  <c r="BC229" i="2"/>
  <c r="BG228" i="2"/>
  <c r="BE228" i="2"/>
  <c r="BC228" i="2"/>
  <c r="BG227" i="2"/>
  <c r="BE227" i="2"/>
  <c r="BC227" i="2"/>
  <c r="BG226" i="2"/>
  <c r="BE226" i="2"/>
  <c r="BC226" i="2"/>
  <c r="BG225" i="2"/>
  <c r="BE225" i="2"/>
  <c r="BC225" i="2"/>
  <c r="BG224" i="2"/>
  <c r="BE224" i="2"/>
  <c r="BC224" i="2"/>
  <c r="BG222" i="2"/>
  <c r="BE222" i="2"/>
  <c r="BC222" i="2"/>
  <c r="BG221" i="2"/>
  <c r="BE221" i="2"/>
  <c r="BC221" i="2"/>
  <c r="BG220" i="2"/>
  <c r="BE220" i="2"/>
  <c r="BC220" i="2"/>
  <c r="BG219" i="2"/>
  <c r="BE219" i="2"/>
  <c r="BC219" i="2"/>
  <c r="BG218" i="2"/>
  <c r="BE218" i="2"/>
  <c r="BC218" i="2"/>
  <c r="BG217" i="2"/>
  <c r="BE217" i="2"/>
  <c r="BC217" i="2"/>
  <c r="BG216" i="2"/>
  <c r="BE216" i="2"/>
  <c r="BC216" i="2"/>
  <c r="BG215" i="2"/>
  <c r="BE215" i="2"/>
  <c r="BC215" i="2"/>
  <c r="BG214" i="2"/>
  <c r="BE214" i="2"/>
  <c r="BC214" i="2"/>
  <c r="BG213" i="2"/>
  <c r="BE213" i="2"/>
  <c r="BC213" i="2"/>
  <c r="BG212" i="2"/>
  <c r="BE212" i="2"/>
  <c r="BC212" i="2"/>
  <c r="BG211" i="2"/>
  <c r="BE211" i="2"/>
  <c r="BC211" i="2"/>
  <c r="BG210" i="2"/>
  <c r="BE210" i="2"/>
  <c r="BC210" i="2"/>
  <c r="BG209" i="2"/>
  <c r="BE209" i="2"/>
  <c r="BC209" i="2"/>
  <c r="BG208" i="2"/>
  <c r="BE208" i="2"/>
  <c r="BC208" i="2"/>
  <c r="BG207" i="2"/>
  <c r="BE207" i="2"/>
  <c r="BC207" i="2"/>
  <c r="BG206" i="2"/>
  <c r="BE206" i="2"/>
  <c r="BC206" i="2"/>
  <c r="BG205" i="2"/>
  <c r="BE205" i="2"/>
  <c r="BC205" i="2"/>
  <c r="BG204" i="2"/>
  <c r="BE204" i="2"/>
  <c r="BC204" i="2"/>
  <c r="BG203" i="2"/>
  <c r="BE203" i="2"/>
  <c r="BC203" i="2"/>
  <c r="BG202" i="2"/>
  <c r="BE202" i="2"/>
  <c r="BC202" i="2"/>
  <c r="BG201" i="2"/>
  <c r="BE201" i="2"/>
  <c r="BC201" i="2"/>
  <c r="BG200" i="2"/>
  <c r="BE200" i="2"/>
  <c r="BC200" i="2"/>
  <c r="BG199" i="2"/>
  <c r="BE199" i="2"/>
  <c r="BC199" i="2"/>
  <c r="BG198" i="2"/>
  <c r="BE198" i="2"/>
  <c r="BC198" i="2"/>
  <c r="BG197" i="2"/>
  <c r="BE197" i="2"/>
  <c r="BC197" i="2"/>
  <c r="BG196" i="2"/>
  <c r="BE196" i="2"/>
  <c r="BC196" i="2"/>
  <c r="BG195" i="2"/>
  <c r="BE195" i="2"/>
  <c r="BC195" i="2"/>
  <c r="BG193" i="2"/>
  <c r="BE193" i="2"/>
  <c r="BC193" i="2"/>
  <c r="BG190" i="2"/>
  <c r="BE190" i="2"/>
  <c r="BC190" i="2"/>
  <c r="BG188" i="2"/>
  <c r="BE188" i="2"/>
  <c r="BC188" i="2"/>
  <c r="BG186" i="2"/>
  <c r="BE186" i="2"/>
  <c r="BC186" i="2"/>
  <c r="BG185" i="2"/>
  <c r="BE185" i="2"/>
  <c r="BC185" i="2"/>
  <c r="BG183" i="2"/>
  <c r="BE183" i="2"/>
  <c r="BC183" i="2"/>
  <c r="BG182" i="2"/>
  <c r="BE182" i="2"/>
  <c r="BC182" i="2"/>
  <c r="BG181" i="2"/>
  <c r="BE181" i="2"/>
  <c r="BC181" i="2"/>
  <c r="BG178" i="2"/>
  <c r="BE178" i="2"/>
  <c r="BC178" i="2"/>
  <c r="BG177" i="2"/>
  <c r="BE177" i="2"/>
  <c r="BC177" i="2"/>
  <c r="BG175" i="2"/>
  <c r="BE175" i="2"/>
  <c r="BC175" i="2"/>
  <c r="BG174" i="2"/>
  <c r="BE174" i="2"/>
  <c r="BC174" i="2"/>
  <c r="BG170" i="2"/>
  <c r="BE170" i="2"/>
  <c r="BC170" i="2"/>
  <c r="BG169" i="2"/>
  <c r="BE169" i="2"/>
  <c r="BC169" i="2"/>
  <c r="BG168" i="2"/>
  <c r="BE168" i="2"/>
  <c r="BC168" i="2"/>
  <c r="BG167" i="2"/>
  <c r="BE167" i="2"/>
  <c r="BC167" i="2"/>
  <c r="BG166" i="2"/>
  <c r="BE166" i="2"/>
  <c r="BC166" i="2"/>
  <c r="BG165" i="2"/>
  <c r="BE165" i="2"/>
  <c r="BC165" i="2"/>
  <c r="BG164" i="2"/>
  <c r="BE164" i="2"/>
  <c r="BC164" i="2"/>
  <c r="BG163" i="2"/>
  <c r="BE163" i="2"/>
  <c r="BC163" i="2"/>
  <c r="BG162" i="2"/>
  <c r="BE162" i="2"/>
  <c r="BC162" i="2"/>
  <c r="BG161" i="2"/>
  <c r="BE161" i="2"/>
  <c r="BC161" i="2"/>
  <c r="BG160" i="2"/>
  <c r="BE160" i="2"/>
  <c r="BC160" i="2"/>
  <c r="BG159" i="2"/>
  <c r="BE159" i="2"/>
  <c r="BC159" i="2"/>
  <c r="BG158" i="2"/>
  <c r="BE158" i="2"/>
  <c r="BC158" i="2"/>
  <c r="BG156" i="2"/>
  <c r="BE156" i="2"/>
  <c r="BC156" i="2"/>
  <c r="BG154" i="2"/>
  <c r="BE154" i="2"/>
  <c r="BC154" i="2"/>
  <c r="BG153" i="2"/>
  <c r="BE153" i="2"/>
  <c r="BC153" i="2"/>
  <c r="BG152" i="2"/>
  <c r="BE152" i="2"/>
  <c r="BC152" i="2"/>
  <c r="BG151" i="2"/>
  <c r="BE151" i="2"/>
  <c r="BC151" i="2"/>
  <c r="BG148" i="2"/>
  <c r="BE148" i="2"/>
  <c r="BC148" i="2"/>
  <c r="BG147" i="2"/>
  <c r="BE147" i="2"/>
  <c r="BC147" i="2"/>
  <c r="BG145" i="2"/>
  <c r="BE145" i="2"/>
  <c r="BC145" i="2"/>
  <c r="BG142" i="2"/>
  <c r="BE142" i="2"/>
  <c r="BC142" i="2"/>
  <c r="BG140" i="2"/>
  <c r="BE140" i="2"/>
  <c r="BC140" i="2"/>
  <c r="BG139" i="2"/>
  <c r="BE139" i="2"/>
  <c r="BC139" i="2"/>
  <c r="BG137" i="2"/>
  <c r="BE137" i="2"/>
  <c r="BC137" i="2"/>
  <c r="BG136" i="2"/>
  <c r="BE136" i="2"/>
  <c r="BC136" i="2"/>
  <c r="BG135" i="2"/>
  <c r="BE135" i="2"/>
  <c r="BC135" i="2"/>
  <c r="BG134" i="2"/>
  <c r="BE134" i="2"/>
  <c r="BC134" i="2"/>
  <c r="BG133" i="2"/>
  <c r="BE133" i="2"/>
  <c r="BC133" i="2"/>
  <c r="BG132" i="2"/>
  <c r="BE132" i="2"/>
  <c r="BC132" i="2"/>
  <c r="BG130" i="2"/>
  <c r="BE130" i="2"/>
  <c r="BC130" i="2"/>
  <c r="BG128" i="2"/>
  <c r="BE128" i="2"/>
  <c r="BC128" i="2"/>
  <c r="BG127" i="2"/>
  <c r="BE127" i="2"/>
  <c r="BC127" i="2"/>
  <c r="BG126" i="2"/>
  <c r="BE126" i="2"/>
  <c r="BC126" i="2"/>
  <c r="BG125" i="2"/>
  <c r="BE125" i="2"/>
  <c r="BC125" i="2"/>
  <c r="BG124" i="2"/>
  <c r="BE124" i="2"/>
  <c r="BC124" i="2"/>
  <c r="BG123" i="2"/>
  <c r="BE123" i="2"/>
  <c r="BC123" i="2"/>
  <c r="BG122" i="2"/>
  <c r="BE122" i="2"/>
  <c r="BC122" i="2"/>
  <c r="BG121" i="2"/>
  <c r="BE121" i="2"/>
  <c r="BC121" i="2"/>
  <c r="BG120" i="2"/>
  <c r="BE120" i="2"/>
  <c r="BC120" i="2"/>
  <c r="BG119" i="2"/>
  <c r="BE119" i="2"/>
  <c r="BC119" i="2"/>
  <c r="BG118" i="2"/>
  <c r="BE118" i="2"/>
  <c r="BC118" i="2"/>
  <c r="BG117" i="2"/>
  <c r="BE117" i="2"/>
  <c r="BC117" i="2"/>
  <c r="BG116" i="2"/>
  <c r="BE116" i="2"/>
  <c r="BC116" i="2"/>
  <c r="BG114" i="2"/>
  <c r="BE114" i="2"/>
  <c r="BC114" i="2"/>
  <c r="BG113" i="2"/>
  <c r="BE113" i="2"/>
  <c r="BC113" i="2"/>
  <c r="BG112" i="2"/>
  <c r="BE112" i="2"/>
  <c r="BC112" i="2"/>
  <c r="BG111" i="2"/>
  <c r="BE111" i="2"/>
  <c r="BC111" i="2"/>
  <c r="BG110" i="2"/>
  <c r="BE110" i="2"/>
  <c r="BC110" i="2"/>
  <c r="BG109" i="2"/>
  <c r="BE109" i="2"/>
  <c r="BC109" i="2"/>
  <c r="BG106" i="2"/>
  <c r="BE106" i="2"/>
  <c r="BC106" i="2"/>
  <c r="BG105" i="2"/>
  <c r="BE105" i="2"/>
  <c r="BC105" i="2"/>
  <c r="BG104" i="2"/>
  <c r="BE104" i="2"/>
  <c r="BC104" i="2"/>
  <c r="BG103" i="2"/>
  <c r="BE103" i="2"/>
  <c r="BC103" i="2"/>
  <c r="BG102" i="2"/>
  <c r="BE102" i="2"/>
  <c r="BC102" i="2"/>
  <c r="BG101" i="2"/>
  <c r="BE101" i="2"/>
  <c r="BC101" i="2"/>
  <c r="BG100" i="2"/>
  <c r="BE100" i="2"/>
  <c r="BC100" i="2"/>
  <c r="BG99" i="2"/>
  <c r="BE99" i="2"/>
  <c r="BC99" i="2"/>
  <c r="BG98" i="2"/>
  <c r="BE98" i="2"/>
  <c r="BC98" i="2"/>
  <c r="BG95" i="2"/>
  <c r="BE95" i="2"/>
  <c r="BC95" i="2"/>
  <c r="BG93" i="2"/>
  <c r="BE93" i="2"/>
  <c r="BC93" i="2"/>
  <c r="BG92" i="2"/>
  <c r="BE92" i="2"/>
  <c r="BC92" i="2"/>
  <c r="BG91" i="2"/>
  <c r="BE91" i="2"/>
  <c r="BC91" i="2"/>
  <c r="BG89" i="2"/>
  <c r="BE89" i="2"/>
  <c r="BC89" i="2"/>
  <c r="BG88" i="2"/>
  <c r="BE88" i="2"/>
  <c r="BC88" i="2"/>
  <c r="BG87" i="2"/>
  <c r="BE87" i="2"/>
  <c r="BC87" i="2"/>
  <c r="BG86" i="2"/>
  <c r="BE86" i="2"/>
  <c r="BC86" i="2"/>
  <c r="BG85" i="2"/>
  <c r="BE85" i="2"/>
  <c r="BC85" i="2"/>
  <c r="BG84" i="2"/>
  <c r="BE84" i="2"/>
  <c r="BC84" i="2"/>
  <c r="BG81" i="2"/>
  <c r="BE81" i="2"/>
  <c r="BC81" i="2"/>
  <c r="BG80" i="2"/>
  <c r="BE80" i="2"/>
  <c r="BC80" i="2"/>
  <c r="BG79" i="2"/>
  <c r="BE79" i="2"/>
  <c r="BC79" i="2"/>
  <c r="BG77" i="2"/>
  <c r="BE77" i="2"/>
  <c r="BC77" i="2"/>
  <c r="BG76" i="2"/>
  <c r="BE76" i="2"/>
  <c r="BC76" i="2"/>
  <c r="BG75" i="2"/>
  <c r="BE75" i="2"/>
  <c r="BC75" i="2"/>
  <c r="BG74" i="2"/>
  <c r="BE74" i="2"/>
  <c r="BC74" i="2"/>
  <c r="BG73" i="2"/>
  <c r="BE73" i="2"/>
  <c r="BC73" i="2"/>
  <c r="BG72" i="2"/>
  <c r="BE72" i="2"/>
  <c r="BC72" i="2"/>
  <c r="BG71" i="2"/>
  <c r="BE71" i="2"/>
  <c r="BC71" i="2"/>
  <c r="BG70" i="2"/>
  <c r="BE70" i="2"/>
  <c r="BC70" i="2"/>
  <c r="BG69" i="2"/>
  <c r="BE69" i="2"/>
  <c r="BC69" i="2"/>
  <c r="BG68" i="2"/>
  <c r="BE68" i="2"/>
  <c r="BC68" i="2"/>
  <c r="BG67" i="2"/>
  <c r="BE67" i="2"/>
  <c r="BC67" i="2"/>
  <c r="BG66" i="2"/>
  <c r="BE66" i="2"/>
  <c r="BC66" i="2"/>
  <c r="BG65" i="2"/>
  <c r="BE65" i="2"/>
  <c r="BC65" i="2"/>
  <c r="BG64" i="2"/>
  <c r="BE64" i="2"/>
  <c r="BC64" i="2"/>
  <c r="BG63" i="2"/>
  <c r="BE63" i="2"/>
  <c r="BC63" i="2"/>
  <c r="BG62" i="2"/>
  <c r="BE62" i="2"/>
  <c r="BC62" i="2"/>
  <c r="BG61" i="2"/>
  <c r="BE61" i="2"/>
  <c r="BC61" i="2"/>
  <c r="BG60" i="2"/>
  <c r="BE60" i="2"/>
  <c r="BC60" i="2"/>
  <c r="BG59" i="2"/>
  <c r="BE59" i="2"/>
  <c r="BC59" i="2"/>
  <c r="BG58" i="2"/>
  <c r="BE58" i="2"/>
  <c r="BC58" i="2"/>
  <c r="BG57" i="2"/>
  <c r="BE57" i="2"/>
  <c r="BC57" i="2"/>
  <c r="BG56" i="2"/>
  <c r="BE56" i="2"/>
  <c r="BC56" i="2"/>
  <c r="BG55" i="2"/>
  <c r="BE55" i="2"/>
  <c r="BC55" i="2"/>
  <c r="BG53" i="2"/>
  <c r="BE53" i="2"/>
  <c r="BC53" i="2"/>
  <c r="BG52" i="2"/>
  <c r="BE52" i="2"/>
  <c r="BC52" i="2"/>
  <c r="BG51" i="2"/>
  <c r="BE51" i="2"/>
  <c r="BC51" i="2"/>
  <c r="BG48" i="2"/>
  <c r="BE48" i="2"/>
  <c r="BC48" i="2"/>
  <c r="BG46" i="2"/>
  <c r="BE46" i="2"/>
  <c r="BC46" i="2"/>
  <c r="BG45" i="2"/>
  <c r="BE45" i="2"/>
  <c r="BC45" i="2"/>
  <c r="BG44" i="2"/>
  <c r="BE44" i="2"/>
  <c r="BC44" i="2"/>
  <c r="BG43" i="2"/>
  <c r="BE43" i="2"/>
  <c r="BC43" i="2"/>
  <c r="BG42" i="2"/>
  <c r="BE42" i="2"/>
  <c r="BC42" i="2"/>
  <c r="BG41" i="2"/>
  <c r="BE41" i="2"/>
  <c r="BC41" i="2"/>
  <c r="BG40" i="2"/>
  <c r="BE40" i="2"/>
  <c r="BC40" i="2"/>
  <c r="BG39" i="2"/>
  <c r="BE39" i="2"/>
  <c r="BC39" i="2"/>
  <c r="BG38" i="2"/>
  <c r="BE38" i="2"/>
  <c r="BC38" i="2"/>
  <c r="BG36" i="2"/>
  <c r="BE36" i="2"/>
  <c r="BC36" i="2"/>
  <c r="BG35" i="2"/>
  <c r="BE35" i="2"/>
  <c r="BC35" i="2"/>
  <c r="BG34" i="2"/>
  <c r="BE34" i="2"/>
  <c r="BC34" i="2"/>
  <c r="BG33" i="2"/>
  <c r="BE33" i="2"/>
  <c r="BC33" i="2"/>
  <c r="BG32" i="2"/>
  <c r="BE32" i="2"/>
  <c r="BC32" i="2"/>
  <c r="BG31" i="2"/>
  <c r="BE31" i="2"/>
  <c r="BC31" i="2"/>
  <c r="BG30" i="2"/>
  <c r="BE30" i="2"/>
  <c r="BC30" i="2"/>
  <c r="BG29" i="2"/>
  <c r="BE29" i="2"/>
  <c r="BC29" i="2"/>
  <c r="BG28" i="2"/>
  <c r="BE28" i="2"/>
  <c r="BC28" i="2"/>
  <c r="BG26" i="2"/>
  <c r="BE26" i="2"/>
  <c r="BC26" i="2"/>
  <c r="BG25" i="2"/>
  <c r="BE25" i="2"/>
  <c r="BC25" i="2"/>
  <c r="BG24" i="2"/>
  <c r="BE24" i="2"/>
  <c r="BC24" i="2"/>
  <c r="BG23" i="2"/>
  <c r="BE23" i="2"/>
  <c r="BC23" i="2"/>
  <c r="BG22" i="2"/>
  <c r="BE22" i="2"/>
  <c r="BC22" i="2"/>
  <c r="BG21" i="2"/>
  <c r="BE21" i="2"/>
  <c r="BC21" i="2"/>
  <c r="BG20" i="2"/>
  <c r="BE20" i="2"/>
  <c r="BC20" i="2"/>
  <c r="BG19" i="2"/>
  <c r="BE19" i="2"/>
  <c r="BC19" i="2"/>
  <c r="BG17" i="2"/>
  <c r="BE17" i="2"/>
  <c r="BC17" i="2"/>
  <c r="BG16" i="2"/>
  <c r="BE16" i="2"/>
  <c r="BC16" i="2"/>
  <c r="BG15" i="2"/>
  <c r="BE15" i="2"/>
  <c r="BC15" i="2"/>
  <c r="BG14" i="2"/>
  <c r="BE14" i="2"/>
  <c r="BC14" i="2"/>
  <c r="BG12" i="2"/>
  <c r="BE12" i="2"/>
  <c r="BC12" i="2"/>
  <c r="CK449" i="2"/>
  <c r="CJ449" i="2"/>
  <c r="CI449" i="2"/>
  <c r="CH449" i="2"/>
  <c r="CK448" i="2"/>
  <c r="CJ448" i="2"/>
  <c r="CI448" i="2"/>
  <c r="CH448" i="2"/>
  <c r="CK444" i="2"/>
  <c r="CJ444" i="2"/>
  <c r="CI444" i="2"/>
  <c r="CH444" i="2"/>
  <c r="CK443" i="2"/>
  <c r="CJ443" i="2"/>
  <c r="CI443" i="2"/>
  <c r="CH443" i="2"/>
  <c r="CK442" i="2"/>
  <c r="CJ442" i="2"/>
  <c r="CI442" i="2"/>
  <c r="CH442" i="2"/>
  <c r="CK433" i="2"/>
  <c r="CJ433" i="2"/>
  <c r="CI433" i="2"/>
  <c r="CH433" i="2"/>
  <c r="CL433" i="2"/>
  <c r="CK430" i="2"/>
  <c r="CJ430" i="2"/>
  <c r="CI430" i="2"/>
  <c r="CH430" i="2"/>
  <c r="CK429" i="2"/>
  <c r="CJ429" i="2"/>
  <c r="CI429" i="2"/>
  <c r="CH429" i="2"/>
  <c r="CL429" i="2"/>
  <c r="CK427" i="2"/>
  <c r="CJ427" i="2"/>
  <c r="CI427" i="2"/>
  <c r="CH427" i="2"/>
  <c r="CK425" i="2"/>
  <c r="CJ425" i="2"/>
  <c r="CI425" i="2"/>
  <c r="CH425" i="2"/>
  <c r="CL425" i="2"/>
  <c r="CK420" i="2"/>
  <c r="CJ420" i="2"/>
  <c r="CI420" i="2"/>
  <c r="CH420" i="2"/>
  <c r="CK419" i="2"/>
  <c r="CJ419" i="2"/>
  <c r="CI419" i="2"/>
  <c r="CH419" i="2"/>
  <c r="CL419" i="2"/>
  <c r="CK416" i="2"/>
  <c r="CJ416" i="2"/>
  <c r="CI416" i="2"/>
  <c r="CH416" i="2"/>
  <c r="CK411" i="2"/>
  <c r="CJ411" i="2"/>
  <c r="CI411" i="2"/>
  <c r="CH411" i="2"/>
  <c r="CL411" i="2"/>
  <c r="BG411" i="2"/>
  <c r="CK408" i="2"/>
  <c r="CJ408" i="2"/>
  <c r="CI408" i="2"/>
  <c r="CH408" i="2"/>
  <c r="CL408" i="2"/>
  <c r="CK407" i="2"/>
  <c r="CJ407" i="2"/>
  <c r="CI407" i="2"/>
  <c r="CH407" i="2"/>
  <c r="CL407" i="2"/>
  <c r="CK406" i="2"/>
  <c r="CJ406" i="2"/>
  <c r="CI406" i="2"/>
  <c r="CH406" i="2"/>
  <c r="CK405" i="2"/>
  <c r="CJ405" i="2"/>
  <c r="CI405" i="2"/>
  <c r="CH405" i="2"/>
  <c r="CL405" i="2"/>
  <c r="CK404" i="2"/>
  <c r="CL404" i="2"/>
  <c r="CJ404" i="2"/>
  <c r="CI404" i="2"/>
  <c r="CH404" i="2"/>
  <c r="CK403" i="2"/>
  <c r="CJ403" i="2"/>
  <c r="CI403" i="2"/>
  <c r="CH403" i="2"/>
  <c r="CL403" i="2"/>
  <c r="CK398" i="2"/>
  <c r="CJ398" i="2"/>
  <c r="CI398" i="2"/>
  <c r="CH398" i="2"/>
  <c r="CK395" i="2"/>
  <c r="CJ395" i="2"/>
  <c r="CI395" i="2"/>
  <c r="CH395" i="2"/>
  <c r="CL395" i="2"/>
  <c r="CK389" i="2"/>
  <c r="CJ389" i="2"/>
  <c r="CI389" i="2"/>
  <c r="CH389" i="2"/>
  <c r="CK387" i="2"/>
  <c r="CJ387" i="2"/>
  <c r="CI387" i="2"/>
  <c r="CH387" i="2"/>
  <c r="CL387" i="2"/>
  <c r="CK377" i="2"/>
  <c r="CJ377" i="2"/>
  <c r="CI377" i="2"/>
  <c r="CH377" i="2"/>
  <c r="CK364" i="2"/>
  <c r="CJ364" i="2"/>
  <c r="CI364" i="2"/>
  <c r="CH364" i="2"/>
  <c r="CK328" i="2"/>
  <c r="CL328" i="2"/>
  <c r="CJ328" i="2"/>
  <c r="CI328" i="2"/>
  <c r="CH328" i="2"/>
  <c r="CK324" i="2"/>
  <c r="CJ324" i="2"/>
  <c r="CI324" i="2"/>
  <c r="CH324" i="2"/>
  <c r="CL324" i="2"/>
  <c r="BE324" i="2"/>
  <c r="CK320" i="2"/>
  <c r="CJ320" i="2"/>
  <c r="CI320" i="2"/>
  <c r="CH320" i="2"/>
  <c r="CK314" i="2"/>
  <c r="CJ314" i="2"/>
  <c r="CI314" i="2"/>
  <c r="CH314" i="2"/>
  <c r="CL314" i="2"/>
  <c r="CK300" i="2"/>
  <c r="CJ300" i="2"/>
  <c r="CI300" i="2"/>
  <c r="CH300" i="2"/>
  <c r="CK299" i="2"/>
  <c r="CJ299" i="2"/>
  <c r="CI299" i="2"/>
  <c r="CH299" i="2"/>
  <c r="CL299" i="2"/>
  <c r="BG299" i="2"/>
  <c r="CK283" i="2"/>
  <c r="CJ283" i="2"/>
  <c r="CI283" i="2"/>
  <c r="CH283" i="2"/>
  <c r="CK266" i="2"/>
  <c r="CJ266" i="2"/>
  <c r="CI266" i="2"/>
  <c r="CH266" i="2"/>
  <c r="CL266" i="2"/>
  <c r="CK242" i="2"/>
  <c r="CJ242" i="2"/>
  <c r="CI242" i="2"/>
  <c r="CH242" i="2"/>
  <c r="CK239" i="2"/>
  <c r="CJ239" i="2"/>
  <c r="CI239" i="2"/>
  <c r="CH239" i="2"/>
  <c r="CL239" i="2"/>
  <c r="CK223" i="2"/>
  <c r="CJ223" i="2"/>
  <c r="CI223" i="2"/>
  <c r="CH223" i="2"/>
  <c r="CK194" i="2"/>
  <c r="CJ194" i="2"/>
  <c r="CI194" i="2"/>
  <c r="CH194" i="2"/>
  <c r="CK192" i="2"/>
  <c r="CL192" i="2"/>
  <c r="CJ192" i="2"/>
  <c r="CI192" i="2"/>
  <c r="CH192" i="2"/>
  <c r="CK191" i="2"/>
  <c r="CJ191" i="2"/>
  <c r="CI191" i="2"/>
  <c r="CH191" i="2"/>
  <c r="CL191" i="2"/>
  <c r="CK189" i="2"/>
  <c r="CJ189" i="2"/>
  <c r="CI189" i="2"/>
  <c r="CH189" i="2"/>
  <c r="CK187" i="2"/>
  <c r="CJ187" i="2"/>
  <c r="CI187" i="2"/>
  <c r="CH187" i="2"/>
  <c r="CL187" i="2"/>
  <c r="CK184" i="2"/>
  <c r="CJ184" i="2"/>
  <c r="CI184" i="2"/>
  <c r="CH184" i="2"/>
  <c r="CK180" i="2"/>
  <c r="CJ180" i="2"/>
  <c r="CI180" i="2"/>
  <c r="CH180" i="2"/>
  <c r="CL180" i="2"/>
  <c r="CK179" i="2"/>
  <c r="CJ179" i="2"/>
  <c r="CI179" i="2"/>
  <c r="CH179" i="2"/>
  <c r="CK176" i="2"/>
  <c r="CJ176" i="2"/>
  <c r="CI176" i="2"/>
  <c r="CH176" i="2"/>
  <c r="CL176" i="2"/>
  <c r="CK173" i="2"/>
  <c r="CJ173" i="2"/>
  <c r="CI173" i="2"/>
  <c r="CH173" i="2"/>
  <c r="CK172" i="2"/>
  <c r="CJ172" i="2"/>
  <c r="CI172" i="2"/>
  <c r="CH172" i="2"/>
  <c r="CL172" i="2"/>
  <c r="CK171" i="2"/>
  <c r="CJ171" i="2"/>
  <c r="CI171" i="2"/>
  <c r="CH171" i="2"/>
  <c r="CK157" i="2"/>
  <c r="CJ157" i="2"/>
  <c r="CI157" i="2"/>
  <c r="CH157" i="2"/>
  <c r="CL157" i="2"/>
  <c r="CK155" i="2"/>
  <c r="CJ155" i="2"/>
  <c r="CI155" i="2"/>
  <c r="CH155" i="2"/>
  <c r="CK150" i="2"/>
  <c r="CJ150" i="2"/>
  <c r="CI150" i="2"/>
  <c r="CH150" i="2"/>
  <c r="CL150" i="2"/>
  <c r="CK149" i="2"/>
  <c r="CJ149" i="2"/>
  <c r="CI149" i="2"/>
  <c r="CH149" i="2"/>
  <c r="CK146" i="2"/>
  <c r="CJ146" i="2"/>
  <c r="CI146" i="2"/>
  <c r="CH146" i="2"/>
  <c r="CL146" i="2"/>
  <c r="CK144" i="2"/>
  <c r="CJ144" i="2"/>
  <c r="CI144" i="2"/>
  <c r="CH144" i="2"/>
  <c r="CK143" i="2"/>
  <c r="CJ143" i="2"/>
  <c r="CI143" i="2"/>
  <c r="CH143" i="2"/>
  <c r="CL143" i="2"/>
  <c r="CK141" i="2"/>
  <c r="CJ141" i="2"/>
  <c r="CI141" i="2"/>
  <c r="CH141" i="2"/>
  <c r="CK138" i="2"/>
  <c r="CJ138" i="2"/>
  <c r="CI138" i="2"/>
  <c r="CH138" i="2"/>
  <c r="CL138" i="2"/>
  <c r="CK131" i="2"/>
  <c r="CJ131" i="2"/>
  <c r="CI131" i="2"/>
  <c r="CH131" i="2"/>
  <c r="CK129" i="2"/>
  <c r="CJ129" i="2"/>
  <c r="CI129" i="2"/>
  <c r="CH129" i="2"/>
  <c r="CL129" i="2"/>
  <c r="CK115" i="2"/>
  <c r="CJ115" i="2"/>
  <c r="CI115" i="2"/>
  <c r="CH115" i="2"/>
  <c r="CK108" i="2"/>
  <c r="CJ108" i="2"/>
  <c r="CI108" i="2"/>
  <c r="CH108" i="2"/>
  <c r="CL108" i="2"/>
  <c r="CK107" i="2"/>
  <c r="CJ107" i="2"/>
  <c r="CI107" i="2"/>
  <c r="CH107" i="2"/>
  <c r="CK97" i="2"/>
  <c r="CJ97" i="2"/>
  <c r="CI97" i="2"/>
  <c r="CH97" i="2"/>
  <c r="CL97" i="2"/>
  <c r="CK96" i="2"/>
  <c r="CJ96" i="2"/>
  <c r="CI96" i="2"/>
  <c r="CH96" i="2"/>
  <c r="CK94" i="2"/>
  <c r="CJ94" i="2"/>
  <c r="CI94" i="2"/>
  <c r="CH94" i="2"/>
  <c r="CL94" i="2"/>
  <c r="CK90" i="2"/>
  <c r="CJ90" i="2"/>
  <c r="CI90" i="2"/>
  <c r="CH90" i="2"/>
  <c r="CK83" i="2"/>
  <c r="CJ83" i="2"/>
  <c r="CI83" i="2"/>
  <c r="CH83" i="2"/>
  <c r="CL83" i="2"/>
  <c r="CK82" i="2"/>
  <c r="CJ82" i="2"/>
  <c r="CI82" i="2"/>
  <c r="CH82" i="2"/>
  <c r="CK78" i="2"/>
  <c r="CJ78" i="2"/>
  <c r="CI78" i="2"/>
  <c r="CH78" i="2"/>
  <c r="CL78" i="2"/>
  <c r="CK54" i="2"/>
  <c r="CJ54" i="2"/>
  <c r="CI54" i="2"/>
  <c r="CH54" i="2"/>
  <c r="CK50" i="2"/>
  <c r="CJ50" i="2"/>
  <c r="CI50" i="2"/>
  <c r="CH50" i="2"/>
  <c r="CL50" i="2"/>
  <c r="CK49" i="2"/>
  <c r="CJ49" i="2"/>
  <c r="CI49" i="2"/>
  <c r="CH49" i="2"/>
  <c r="CK47" i="2"/>
  <c r="CJ47" i="2"/>
  <c r="CI47" i="2"/>
  <c r="CH47" i="2"/>
  <c r="CL47" i="2"/>
  <c r="CK37" i="2"/>
  <c r="CL37" i="2"/>
  <c r="CJ37" i="2"/>
  <c r="CI37" i="2"/>
  <c r="CH37" i="2"/>
  <c r="CK27" i="2"/>
  <c r="CJ27" i="2"/>
  <c r="CI27" i="2"/>
  <c r="CH27" i="2"/>
  <c r="CK18" i="2"/>
  <c r="CJ18" i="2"/>
  <c r="CI18" i="2"/>
  <c r="CH18" i="2"/>
  <c r="CK13" i="2"/>
  <c r="CJ13" i="2"/>
  <c r="CI13" i="2"/>
  <c r="CH13" i="2"/>
  <c r="CL13" i="2"/>
  <c r="BE13" i="2"/>
  <c r="BI12" i="2"/>
  <c r="BN12" i="2" a="1"/>
  <c r="BN12" i="2"/>
  <c r="BO12" i="2" a="1"/>
  <c r="BO12" i="2"/>
  <c r="CC12" i="2"/>
  <c r="BP12" i="2" a="1"/>
  <c r="BP12" i="2"/>
  <c r="CF12" i="2"/>
  <c r="CE12" i="2"/>
  <c r="BE187" i="2"/>
  <c r="BG239" i="2"/>
  <c r="CL448" i="2"/>
  <c r="CL443" i="2"/>
  <c r="CL27" i="2"/>
  <c r="CL364" i="2"/>
  <c r="CL49" i="2"/>
  <c r="CL320" i="2"/>
  <c r="CL194" i="2"/>
  <c r="BZ12" i="2"/>
  <c r="BE180" i="2"/>
  <c r="BG157" i="2"/>
  <c r="BG13" i="2"/>
  <c r="BE411" i="2"/>
  <c r="BC408" i="2"/>
  <c r="BC172" i="2"/>
  <c r="AH30" i="38"/>
  <c r="AF243" i="1"/>
  <c r="AH243" i="1" s="1"/>
  <c r="AY111" i="2"/>
  <c r="AY39" i="2"/>
  <c r="AV39" i="2"/>
  <c r="AJ26" i="17"/>
  <c r="AJ425" i="1"/>
  <c r="AJ27" i="17"/>
  <c r="AJ426" i="1"/>
  <c r="AG419" i="1"/>
  <c r="AH419" i="1" s="1"/>
  <c r="AJ324" i="1"/>
  <c r="AF324" i="1"/>
  <c r="AH324" i="1" s="1"/>
  <c r="AF212" i="1"/>
  <c r="AV45" i="2"/>
  <c r="S12" i="2"/>
  <c r="AT29" i="2"/>
  <c r="BI29" i="2"/>
  <c r="AT30" i="2"/>
  <c r="BI30" i="2"/>
  <c r="AT31" i="2"/>
  <c r="BI31" i="2"/>
  <c r="AT32" i="2"/>
  <c r="BI32" i="2"/>
  <c r="AT33" i="2"/>
  <c r="BI33" i="2"/>
  <c r="AT34" i="2"/>
  <c r="BI34" i="2"/>
  <c r="AT35" i="2"/>
  <c r="BI35" i="2"/>
  <c r="AV111" i="2"/>
  <c r="S27" i="2"/>
  <c r="AF27" i="2"/>
  <c r="AG27" i="2"/>
  <c r="AH27" i="2" s="1"/>
  <c r="BD27" i="2" s="1" a="1"/>
  <c r="BD27" i="2" s="1"/>
  <c r="AI27" i="2"/>
  <c r="AJ27" i="2"/>
  <c r="AK27" i="2"/>
  <c r="AT27" i="2"/>
  <c r="AH58" i="2"/>
  <c r="R58" i="2"/>
  <c r="AZ58" i="2"/>
  <c r="BK58" i="2"/>
  <c r="AG420" i="1"/>
  <c r="AH420" i="1" s="1"/>
  <c r="AH19" i="9"/>
  <c r="AH13" i="26"/>
  <c r="AK309" i="2"/>
  <c r="AK308" i="2"/>
  <c r="AJ309" i="2"/>
  <c r="AJ308" i="2"/>
  <c r="AI309" i="2"/>
  <c r="AI308" i="2"/>
  <c r="AG309" i="2"/>
  <c r="AG308" i="2"/>
  <c r="AF309" i="2"/>
  <c r="AH309" i="2" s="1"/>
  <c r="AF308" i="2"/>
  <c r="AH308" i="2" s="1"/>
  <c r="AH14" i="29"/>
  <c r="R14" i="29"/>
  <c r="AH13" i="29"/>
  <c r="R13" i="29"/>
  <c r="AH14" i="6"/>
  <c r="R14" i="6"/>
  <c r="R13" i="6"/>
  <c r="AT456" i="2"/>
  <c r="AT455" i="2"/>
  <c r="AT454" i="2"/>
  <c r="AT453" i="2"/>
  <c r="AT452" i="2"/>
  <c r="AT451" i="2"/>
  <c r="AT450" i="2"/>
  <c r="AT449" i="2"/>
  <c r="AT448" i="2"/>
  <c r="AT447" i="2"/>
  <c r="AT446" i="2"/>
  <c r="AT445" i="2"/>
  <c r="AT444" i="2"/>
  <c r="AT443" i="2"/>
  <c r="AT442" i="2"/>
  <c r="AT441" i="2"/>
  <c r="AT440" i="2"/>
  <c r="AT439" i="2"/>
  <c r="AT438" i="2"/>
  <c r="AT437" i="2"/>
  <c r="AT436" i="2"/>
  <c r="AT435" i="2"/>
  <c r="AT434" i="2"/>
  <c r="AT433" i="2"/>
  <c r="AT432" i="2"/>
  <c r="AT431" i="2"/>
  <c r="AT430" i="2"/>
  <c r="AT429" i="2"/>
  <c r="AT428" i="2"/>
  <c r="AT427" i="2"/>
  <c r="AT426" i="2"/>
  <c r="AT425" i="2"/>
  <c r="AT424" i="2"/>
  <c r="AT423" i="2"/>
  <c r="AT422" i="2"/>
  <c r="AT421" i="2"/>
  <c r="AT420" i="2"/>
  <c r="AT419" i="2"/>
  <c r="AT418" i="2"/>
  <c r="AT417" i="2"/>
  <c r="AT416" i="2"/>
  <c r="AT415" i="2"/>
  <c r="AT414" i="2"/>
  <c r="AT413" i="2"/>
  <c r="AT412" i="2"/>
  <c r="AT411" i="2"/>
  <c r="AT410" i="2"/>
  <c r="AT409" i="2"/>
  <c r="AT408" i="2"/>
  <c r="AT407" i="2"/>
  <c r="AT406" i="2"/>
  <c r="AT405" i="2"/>
  <c r="AT404" i="2"/>
  <c r="AT403" i="2"/>
  <c r="AT402" i="2"/>
  <c r="AT401" i="2"/>
  <c r="AT400" i="2"/>
  <c r="AT399" i="2"/>
  <c r="AT398" i="2"/>
  <c r="AT397" i="2"/>
  <c r="AT396" i="2"/>
  <c r="AT395" i="2"/>
  <c r="AT394" i="2"/>
  <c r="AT393" i="2"/>
  <c r="AT392" i="2"/>
  <c r="AT391" i="2"/>
  <c r="AT390" i="2"/>
  <c r="AT389" i="2"/>
  <c r="AT388" i="2"/>
  <c r="AT387" i="2"/>
  <c r="AT386" i="2"/>
  <c r="AT385" i="2"/>
  <c r="AT384" i="2"/>
  <c r="AT383" i="2"/>
  <c r="AT382" i="2"/>
  <c r="AT381" i="2"/>
  <c r="AT380" i="2"/>
  <c r="AT379" i="2"/>
  <c r="AT378" i="2"/>
  <c r="AT377" i="2"/>
  <c r="AT376" i="2"/>
  <c r="AT375" i="2"/>
  <c r="AT374" i="2"/>
  <c r="AT373" i="2"/>
  <c r="AT372" i="2"/>
  <c r="AT371" i="2"/>
  <c r="AT370" i="2"/>
  <c r="AT369" i="2"/>
  <c r="AT368" i="2"/>
  <c r="AT367" i="2"/>
  <c r="AT366" i="2"/>
  <c r="AT365" i="2"/>
  <c r="AT364" i="2"/>
  <c r="AT363" i="2"/>
  <c r="AT362" i="2"/>
  <c r="AT361" i="2"/>
  <c r="AT360" i="2"/>
  <c r="AT359" i="2"/>
  <c r="AT358" i="2"/>
  <c r="AT357" i="2"/>
  <c r="AT356" i="2"/>
  <c r="AT355" i="2"/>
  <c r="AT354" i="2"/>
  <c r="AT353" i="2"/>
  <c r="AT352" i="2"/>
  <c r="AT351" i="2"/>
  <c r="AT350" i="2"/>
  <c r="AT349" i="2"/>
  <c r="AT348" i="2"/>
  <c r="AT347" i="2"/>
  <c r="AT346" i="2"/>
  <c r="AT345" i="2"/>
  <c r="AT344" i="2"/>
  <c r="AT343" i="2"/>
  <c r="AT342" i="2"/>
  <c r="AT341" i="2"/>
  <c r="AT340" i="2"/>
  <c r="AT339" i="2"/>
  <c r="AT338" i="2"/>
  <c r="AT337" i="2"/>
  <c r="AT336" i="2"/>
  <c r="AT335" i="2"/>
  <c r="AT334" i="2"/>
  <c r="AT333" i="2"/>
  <c r="AT332" i="2"/>
  <c r="AT331" i="2"/>
  <c r="AT330" i="2"/>
  <c r="AT329" i="2"/>
  <c r="AT328" i="2"/>
  <c r="AT327" i="2"/>
  <c r="AT326" i="2"/>
  <c r="AT325" i="2"/>
  <c r="AT324" i="2"/>
  <c r="AT323" i="2"/>
  <c r="AT322" i="2"/>
  <c r="AT321" i="2"/>
  <c r="AT320" i="2"/>
  <c r="AT319" i="2"/>
  <c r="AT318" i="2"/>
  <c r="AT317" i="2"/>
  <c r="AT316" i="2"/>
  <c r="AT315" i="2"/>
  <c r="AT314" i="2"/>
  <c r="AT313" i="2"/>
  <c r="AT312" i="2"/>
  <c r="AT311" i="2"/>
  <c r="AT310" i="2"/>
  <c r="AT309" i="2"/>
  <c r="AT308" i="2"/>
  <c r="AT307" i="2"/>
  <c r="AT306" i="2"/>
  <c r="AT305" i="2"/>
  <c r="AT304" i="2"/>
  <c r="AT303" i="2"/>
  <c r="AT302" i="2"/>
  <c r="AT301" i="2"/>
  <c r="AT300" i="2"/>
  <c r="AT299" i="2"/>
  <c r="AT298" i="2"/>
  <c r="AT297" i="2"/>
  <c r="AT296" i="2"/>
  <c r="AT295" i="2"/>
  <c r="AT294" i="2"/>
  <c r="AT293" i="2"/>
  <c r="AT292" i="2"/>
  <c r="AT291" i="2"/>
  <c r="AT290" i="2"/>
  <c r="AT289" i="2"/>
  <c r="AT288" i="2"/>
  <c r="AT287" i="2"/>
  <c r="AT286" i="2"/>
  <c r="AT285" i="2"/>
  <c r="AT284" i="2"/>
  <c r="AT283" i="2"/>
  <c r="AT282" i="2"/>
  <c r="AT281" i="2"/>
  <c r="AT280" i="2"/>
  <c r="AT279" i="2"/>
  <c r="AT278" i="2"/>
  <c r="AT277" i="2"/>
  <c r="AT276" i="2"/>
  <c r="AT275" i="2"/>
  <c r="AT274" i="2"/>
  <c r="AT273" i="2"/>
  <c r="AT272" i="2"/>
  <c r="AT271" i="2"/>
  <c r="AT270" i="2"/>
  <c r="AT269" i="2"/>
  <c r="AT268" i="2"/>
  <c r="AT267" i="2"/>
  <c r="AT266" i="2"/>
  <c r="AT265" i="2"/>
  <c r="AT264" i="2"/>
  <c r="AT263" i="2"/>
  <c r="AT262" i="2"/>
  <c r="AT261" i="2"/>
  <c r="AT260" i="2"/>
  <c r="AT259" i="2"/>
  <c r="AT258" i="2"/>
  <c r="AT257" i="2"/>
  <c r="AT256" i="2"/>
  <c r="AT255" i="2"/>
  <c r="AT254" i="2"/>
  <c r="AT253" i="2"/>
  <c r="AT252" i="2"/>
  <c r="AT251" i="2"/>
  <c r="AT250" i="2"/>
  <c r="AT249" i="2"/>
  <c r="AT248" i="2"/>
  <c r="AT247" i="2"/>
  <c r="AT246" i="2"/>
  <c r="AT245" i="2"/>
  <c r="AT244" i="2"/>
  <c r="AT243" i="2"/>
  <c r="AT242" i="2"/>
  <c r="AT241" i="2"/>
  <c r="AT240" i="2"/>
  <c r="AT239" i="2"/>
  <c r="AT238" i="2"/>
  <c r="AT237" i="2"/>
  <c r="AT236" i="2"/>
  <c r="AT235" i="2"/>
  <c r="AT234" i="2"/>
  <c r="AT233" i="2"/>
  <c r="AT232" i="2"/>
  <c r="AT231" i="2"/>
  <c r="AT230" i="2"/>
  <c r="AT229" i="2"/>
  <c r="AT228" i="2"/>
  <c r="AT227" i="2"/>
  <c r="AT226" i="2"/>
  <c r="AT225" i="2"/>
  <c r="AT224" i="2"/>
  <c r="AT223" i="2"/>
  <c r="AT222" i="2"/>
  <c r="AT221" i="2"/>
  <c r="AT220" i="2"/>
  <c r="AT219" i="2"/>
  <c r="AT218" i="2"/>
  <c r="AT217" i="2"/>
  <c r="AT216" i="2"/>
  <c r="AT215" i="2"/>
  <c r="AT214" i="2"/>
  <c r="AT213" i="2"/>
  <c r="AT212" i="2"/>
  <c r="AT211" i="2"/>
  <c r="AT210" i="2"/>
  <c r="AT209" i="2"/>
  <c r="AT208" i="2"/>
  <c r="AT207" i="2"/>
  <c r="AT206" i="2"/>
  <c r="AT205" i="2"/>
  <c r="AT204" i="2"/>
  <c r="AT203" i="2"/>
  <c r="AT202" i="2"/>
  <c r="AT201" i="2"/>
  <c r="AT200" i="2"/>
  <c r="AT199" i="2"/>
  <c r="AT198" i="2"/>
  <c r="AT197" i="2"/>
  <c r="AT196" i="2"/>
  <c r="AT195" i="2"/>
  <c r="AT194" i="2"/>
  <c r="AT193" i="2"/>
  <c r="AT192" i="2"/>
  <c r="AT191" i="2"/>
  <c r="AT190" i="2"/>
  <c r="AT189" i="2"/>
  <c r="AT188" i="2"/>
  <c r="AT187" i="2"/>
  <c r="AT186" i="2"/>
  <c r="AT185" i="2"/>
  <c r="AT184" i="2"/>
  <c r="AT183" i="2"/>
  <c r="AT182" i="2"/>
  <c r="AT181" i="2"/>
  <c r="AT180" i="2"/>
  <c r="AT179" i="2"/>
  <c r="AT178" i="2"/>
  <c r="AT177" i="2"/>
  <c r="AT176" i="2"/>
  <c r="AT175" i="2"/>
  <c r="AT174" i="2"/>
  <c r="AT173" i="2"/>
  <c r="AT172" i="2"/>
  <c r="AT171" i="2"/>
  <c r="AT170" i="2"/>
  <c r="AT169" i="2"/>
  <c r="AT168" i="2"/>
  <c r="AT167" i="2"/>
  <c r="AT166" i="2"/>
  <c r="AT165" i="2"/>
  <c r="AT164" i="2"/>
  <c r="AT163" i="2"/>
  <c r="AT162" i="2"/>
  <c r="AT161" i="2"/>
  <c r="AT160" i="2"/>
  <c r="AT159" i="2"/>
  <c r="AT158" i="2"/>
  <c r="AT157" i="2"/>
  <c r="AT156" i="2"/>
  <c r="AT155" i="2"/>
  <c r="AT154" i="2"/>
  <c r="AT153" i="2"/>
  <c r="AT152" i="2"/>
  <c r="AT151" i="2"/>
  <c r="AT150" i="2"/>
  <c r="AT149" i="2"/>
  <c r="AT148" i="2"/>
  <c r="AT147" i="2"/>
  <c r="AT146" i="2"/>
  <c r="AT145" i="2"/>
  <c r="AT144" i="2"/>
  <c r="AT143" i="2"/>
  <c r="AT142" i="2"/>
  <c r="AT141" i="2"/>
  <c r="AT140" i="2"/>
  <c r="AT139" i="2"/>
  <c r="AT138" i="2"/>
  <c r="AT137" i="2"/>
  <c r="AT136" i="2"/>
  <c r="AT135" i="2"/>
  <c r="AT134" i="2"/>
  <c r="AT133" i="2"/>
  <c r="AT132" i="2"/>
  <c r="AT131" i="2"/>
  <c r="AT130" i="2"/>
  <c r="AT129" i="2"/>
  <c r="AT128" i="2"/>
  <c r="AT127" i="2"/>
  <c r="AT126" i="2"/>
  <c r="AT125" i="2"/>
  <c r="AT124" i="2"/>
  <c r="AT123" i="2"/>
  <c r="AT122" i="2"/>
  <c r="AT121" i="2"/>
  <c r="AT120" i="2"/>
  <c r="AT119" i="2"/>
  <c r="AT118" i="2"/>
  <c r="AT117" i="2"/>
  <c r="AT116" i="2"/>
  <c r="AT115" i="2"/>
  <c r="AT114" i="2"/>
  <c r="AT113" i="2"/>
  <c r="AT112" i="2"/>
  <c r="AT111" i="2"/>
  <c r="AT110" i="2"/>
  <c r="AT109" i="2"/>
  <c r="AT108" i="2"/>
  <c r="AT107" i="2"/>
  <c r="AT106" i="2"/>
  <c r="AT105" i="2"/>
  <c r="AT104" i="2"/>
  <c r="AT103" i="2"/>
  <c r="AT102" i="2"/>
  <c r="AT101" i="2"/>
  <c r="AT100" i="2"/>
  <c r="AT99" i="2"/>
  <c r="AT98" i="2"/>
  <c r="AT97" i="2"/>
  <c r="AT96" i="2"/>
  <c r="AT95" i="2"/>
  <c r="AT94" i="2"/>
  <c r="AT93" i="2"/>
  <c r="AT92" i="2"/>
  <c r="AT91" i="2"/>
  <c r="AT90" i="2"/>
  <c r="AT89" i="2"/>
  <c r="AT88" i="2"/>
  <c r="AT87" i="2"/>
  <c r="AT86" i="2"/>
  <c r="AT85" i="2"/>
  <c r="AT84" i="2"/>
  <c r="AT83" i="2"/>
  <c r="AT82" i="2"/>
  <c r="AT81" i="2"/>
  <c r="AT80" i="2"/>
  <c r="AT79" i="2"/>
  <c r="AT78" i="2"/>
  <c r="AT77" i="2"/>
  <c r="AT76" i="2"/>
  <c r="AT75" i="2"/>
  <c r="AT74" i="2"/>
  <c r="AT73" i="2"/>
  <c r="AT72" i="2"/>
  <c r="AT71" i="2"/>
  <c r="AT70" i="2"/>
  <c r="AT69" i="2"/>
  <c r="AT68" i="2"/>
  <c r="AT67" i="2"/>
  <c r="AT66" i="2"/>
  <c r="AT65" i="2"/>
  <c r="AT64" i="2"/>
  <c r="AT63" i="2"/>
  <c r="AT62" i="2"/>
  <c r="AT61" i="2"/>
  <c r="AT60" i="2"/>
  <c r="AT59" i="2"/>
  <c r="AT58" i="2"/>
  <c r="AT57" i="2"/>
  <c r="AT56" i="2"/>
  <c r="AT55" i="2"/>
  <c r="AT54" i="2"/>
  <c r="AT53" i="2"/>
  <c r="AT52" i="2"/>
  <c r="AT51" i="2"/>
  <c r="AT50" i="2"/>
  <c r="AT49" i="2"/>
  <c r="AT48" i="2"/>
  <c r="AT47" i="2"/>
  <c r="AT46" i="2"/>
  <c r="AT45" i="2"/>
  <c r="AT44" i="2"/>
  <c r="AT43" i="2"/>
  <c r="AT42" i="2"/>
  <c r="AT41" i="2"/>
  <c r="AT40" i="2"/>
  <c r="AT39" i="2"/>
  <c r="AT38" i="2"/>
  <c r="AT37" i="2"/>
  <c r="AT36" i="2"/>
  <c r="AT28" i="2"/>
  <c r="AT26" i="2"/>
  <c r="AT25" i="2"/>
  <c r="AT24" i="2"/>
  <c r="AT23" i="2"/>
  <c r="AT22" i="2"/>
  <c r="AT21" i="2"/>
  <c r="AT20" i="2"/>
  <c r="AT19" i="2"/>
  <c r="AT18" i="2"/>
  <c r="AT17" i="2"/>
  <c r="AT16" i="2"/>
  <c r="AT15" i="2"/>
  <c r="AT14" i="2"/>
  <c r="AT13" i="2"/>
  <c r="AT12" i="2"/>
  <c r="AC346" i="2"/>
  <c r="AA346" i="2"/>
  <c r="AC276" i="2"/>
  <c r="AC269" i="2"/>
  <c r="AA269" i="2"/>
  <c r="AC266" i="2"/>
  <c r="AA264" i="2"/>
  <c r="AF12" i="2"/>
  <c r="AH12" i="2" s="1"/>
  <c r="CE456" i="2"/>
  <c r="CE455" i="2"/>
  <c r="CE454" i="2"/>
  <c r="CE453" i="2"/>
  <c r="CE452" i="2"/>
  <c r="CE451" i="2"/>
  <c r="CE450" i="2"/>
  <c r="CE447" i="2"/>
  <c r="CE446" i="2"/>
  <c r="CE445" i="2"/>
  <c r="CE441" i="2"/>
  <c r="CE440" i="2"/>
  <c r="CE439" i="2"/>
  <c r="CE438" i="2"/>
  <c r="CE437" i="2"/>
  <c r="CE436" i="2"/>
  <c r="CE435" i="2"/>
  <c r="CE434" i="2"/>
  <c r="CE432" i="2"/>
  <c r="CE431" i="2"/>
  <c r="CE428" i="2"/>
  <c r="CE427" i="2"/>
  <c r="CE426" i="2"/>
  <c r="CE424" i="2"/>
  <c r="CE423" i="2"/>
  <c r="CE422" i="2"/>
  <c r="CE421" i="2"/>
  <c r="CE418" i="2"/>
  <c r="CE417" i="2"/>
  <c r="CE415" i="2"/>
  <c r="CE414" i="2"/>
  <c r="CE413" i="2"/>
  <c r="CE412" i="2"/>
  <c r="CE410" i="2"/>
  <c r="CE409" i="2"/>
  <c r="CE402" i="2"/>
  <c r="CE401" i="2"/>
  <c r="CE400" i="2"/>
  <c r="CE399" i="2"/>
  <c r="CE397" i="2"/>
  <c r="CE396" i="2"/>
  <c r="CE394" i="2"/>
  <c r="CE393" i="2"/>
  <c r="CE392" i="2"/>
  <c r="CE391" i="2"/>
  <c r="CE390" i="2"/>
  <c r="CE388" i="2"/>
  <c r="CE386" i="2"/>
  <c r="CE385" i="2"/>
  <c r="CE384" i="2"/>
  <c r="CE383" i="2"/>
  <c r="CE382" i="2"/>
  <c r="CE381" i="2"/>
  <c r="CE380" i="2"/>
  <c r="CE379" i="2"/>
  <c r="CE378" i="2"/>
  <c r="CE376" i="2"/>
  <c r="CE375" i="2"/>
  <c r="CE374" i="2"/>
  <c r="CE373" i="2"/>
  <c r="CE372" i="2"/>
  <c r="CE371" i="2"/>
  <c r="CE370" i="2"/>
  <c r="CE369" i="2"/>
  <c r="CE368" i="2"/>
  <c r="CE367" i="2"/>
  <c r="CE366" i="2"/>
  <c r="CE365" i="2"/>
  <c r="CE363" i="2"/>
  <c r="CE362" i="2"/>
  <c r="CE361" i="2"/>
  <c r="CE360" i="2"/>
  <c r="CE359" i="2"/>
  <c r="CE358" i="2"/>
  <c r="CE357" i="2"/>
  <c r="CE356" i="2"/>
  <c r="CE355" i="2"/>
  <c r="CE354" i="2"/>
  <c r="CE353" i="2"/>
  <c r="CE352" i="2"/>
  <c r="CE351" i="2"/>
  <c r="CE350" i="2"/>
  <c r="CE349" i="2"/>
  <c r="CE348" i="2"/>
  <c r="CE347" i="2"/>
  <c r="CE346" i="2"/>
  <c r="CE345" i="2"/>
  <c r="CE344" i="2"/>
  <c r="CE343" i="2"/>
  <c r="CE342" i="2"/>
  <c r="CE341" i="2"/>
  <c r="CE340" i="2"/>
  <c r="CE339" i="2"/>
  <c r="CE338" i="2"/>
  <c r="CE337" i="2"/>
  <c r="CE336" i="2"/>
  <c r="CE335" i="2"/>
  <c r="CE334" i="2"/>
  <c r="CE333" i="2"/>
  <c r="CE332" i="2"/>
  <c r="CE331" i="2"/>
  <c r="CE330" i="2"/>
  <c r="CE329" i="2"/>
  <c r="CE327" i="2"/>
  <c r="CE326" i="2"/>
  <c r="CE325" i="2"/>
  <c r="CE323" i="2"/>
  <c r="CE322" i="2"/>
  <c r="CE321" i="2"/>
  <c r="CE319" i="2"/>
  <c r="CE318" i="2"/>
  <c r="CE317" i="2"/>
  <c r="CE316" i="2"/>
  <c r="CE315" i="2"/>
  <c r="CE313" i="2"/>
  <c r="CE312" i="2"/>
  <c r="CE311" i="2"/>
  <c r="CE310" i="2"/>
  <c r="CE309" i="2"/>
  <c r="CE308" i="2"/>
  <c r="CE307" i="2"/>
  <c r="CE306" i="2"/>
  <c r="CE305" i="2"/>
  <c r="CE304" i="2"/>
  <c r="CE303" i="2"/>
  <c r="CE302" i="2"/>
  <c r="CE301" i="2"/>
  <c r="CE298" i="2"/>
  <c r="CE297" i="2"/>
  <c r="CE296" i="2"/>
  <c r="CE295" i="2"/>
  <c r="CE294" i="2"/>
  <c r="CE293" i="2"/>
  <c r="CE292" i="2"/>
  <c r="CE291" i="2"/>
  <c r="CE290" i="2"/>
  <c r="CE289" i="2"/>
  <c r="CE288" i="2"/>
  <c r="CE287" i="2"/>
  <c r="CE286" i="2"/>
  <c r="CE285" i="2"/>
  <c r="CE284" i="2"/>
  <c r="CE282" i="2"/>
  <c r="CE281" i="2"/>
  <c r="CE280" i="2"/>
  <c r="CE279" i="2"/>
  <c r="CE278" i="2"/>
  <c r="CE277" i="2"/>
  <c r="CE276" i="2"/>
  <c r="CE275" i="2"/>
  <c r="CE274" i="2"/>
  <c r="CE273" i="2"/>
  <c r="CE272" i="2"/>
  <c r="CE271" i="2"/>
  <c r="CE270" i="2"/>
  <c r="CE269" i="2"/>
  <c r="CE268" i="2"/>
  <c r="CE267" i="2"/>
  <c r="CE265" i="2"/>
  <c r="CE264" i="2"/>
  <c r="CE263" i="2"/>
  <c r="CE262" i="2"/>
  <c r="CE261" i="2"/>
  <c r="CE260" i="2"/>
  <c r="CE259" i="2"/>
  <c r="CE258" i="2"/>
  <c r="CE257" i="2"/>
  <c r="CE256" i="2"/>
  <c r="CE255" i="2"/>
  <c r="CE254" i="2"/>
  <c r="CE253" i="2"/>
  <c r="CE252" i="2"/>
  <c r="CE251" i="2"/>
  <c r="CE250" i="2"/>
  <c r="CE249" i="2"/>
  <c r="CE248" i="2"/>
  <c r="CE247" i="2"/>
  <c r="CE246" i="2"/>
  <c r="CE245" i="2"/>
  <c r="CE244" i="2"/>
  <c r="CE243" i="2"/>
  <c r="CE241" i="2"/>
  <c r="CE240" i="2"/>
  <c r="CE238" i="2"/>
  <c r="CE237" i="2"/>
  <c r="CE236" i="2"/>
  <c r="CE235" i="2"/>
  <c r="CE234" i="2"/>
  <c r="CE233" i="2"/>
  <c r="CE232" i="2"/>
  <c r="CE231" i="2"/>
  <c r="CE230" i="2"/>
  <c r="CE229" i="2"/>
  <c r="CE228" i="2"/>
  <c r="CE227" i="2"/>
  <c r="CE226" i="2"/>
  <c r="CE225" i="2"/>
  <c r="CE224" i="2"/>
  <c r="CE222" i="2"/>
  <c r="CE221" i="2"/>
  <c r="CE220" i="2"/>
  <c r="CE219" i="2"/>
  <c r="CE218" i="2"/>
  <c r="CE217" i="2"/>
  <c r="CE216" i="2"/>
  <c r="CE215" i="2"/>
  <c r="CE214" i="2"/>
  <c r="CE213" i="2"/>
  <c r="CE212" i="2"/>
  <c r="CE211" i="2"/>
  <c r="CE210" i="2"/>
  <c r="CE209" i="2"/>
  <c r="CE208" i="2"/>
  <c r="CE207" i="2"/>
  <c r="CE206" i="2"/>
  <c r="CE205" i="2"/>
  <c r="CE204" i="2"/>
  <c r="CE203" i="2"/>
  <c r="CE202" i="2"/>
  <c r="CE201" i="2"/>
  <c r="CE200" i="2"/>
  <c r="CE199" i="2"/>
  <c r="CE198" i="2"/>
  <c r="CE197" i="2"/>
  <c r="CE196" i="2"/>
  <c r="CE195" i="2"/>
  <c r="CE193" i="2"/>
  <c r="CE190" i="2"/>
  <c r="CE188" i="2"/>
  <c r="CE186" i="2"/>
  <c r="CE185" i="2"/>
  <c r="CE183" i="2"/>
  <c r="CE182" i="2"/>
  <c r="CE181" i="2"/>
  <c r="CE178" i="2"/>
  <c r="CE177" i="2"/>
  <c r="CE175" i="2"/>
  <c r="CE174" i="2"/>
  <c r="CE170" i="2"/>
  <c r="CE169" i="2"/>
  <c r="CE168" i="2"/>
  <c r="CE167" i="2"/>
  <c r="CE166" i="2"/>
  <c r="CE165" i="2"/>
  <c r="CE164" i="2"/>
  <c r="CE163" i="2"/>
  <c r="CE162" i="2"/>
  <c r="CE161" i="2"/>
  <c r="CE160" i="2"/>
  <c r="CE159" i="2"/>
  <c r="CE158" i="2"/>
  <c r="CE156" i="2"/>
  <c r="CE154" i="2"/>
  <c r="CE153" i="2"/>
  <c r="CE152" i="2"/>
  <c r="CE151" i="2"/>
  <c r="CE148" i="2"/>
  <c r="CE147" i="2"/>
  <c r="CE145" i="2"/>
  <c r="CE142" i="2"/>
  <c r="CE140" i="2"/>
  <c r="CE139" i="2"/>
  <c r="CE137" i="2"/>
  <c r="CE136" i="2"/>
  <c r="CE135" i="2"/>
  <c r="CE134" i="2"/>
  <c r="CE133" i="2"/>
  <c r="CE132" i="2"/>
  <c r="CE130" i="2"/>
  <c r="CE128" i="2"/>
  <c r="CE127" i="2"/>
  <c r="CE126" i="2"/>
  <c r="CE125" i="2"/>
  <c r="CE124" i="2"/>
  <c r="CE123" i="2"/>
  <c r="CE122" i="2"/>
  <c r="CE121" i="2"/>
  <c r="CE120" i="2"/>
  <c r="CE119" i="2"/>
  <c r="CE118" i="2"/>
  <c r="CE117" i="2"/>
  <c r="CE116" i="2"/>
  <c r="CE114" i="2"/>
  <c r="CE113" i="2"/>
  <c r="CE112" i="2"/>
  <c r="CE111" i="2"/>
  <c r="CE110" i="2"/>
  <c r="CE109" i="2"/>
  <c r="CE106" i="2"/>
  <c r="CE105" i="2"/>
  <c r="CE104" i="2"/>
  <c r="CE103" i="2"/>
  <c r="CE102" i="2"/>
  <c r="CE101" i="2"/>
  <c r="CE100" i="2"/>
  <c r="CE99" i="2"/>
  <c r="CE98" i="2"/>
  <c r="CE95" i="2"/>
  <c r="CE93" i="2"/>
  <c r="CE92" i="2"/>
  <c r="CE91" i="2"/>
  <c r="CE89" i="2"/>
  <c r="CE88" i="2"/>
  <c r="CE87" i="2"/>
  <c r="CE86" i="2"/>
  <c r="CE85" i="2"/>
  <c r="CE84" i="2"/>
  <c r="CE81" i="2"/>
  <c r="CE80" i="2"/>
  <c r="CE79" i="2"/>
  <c r="CE77" i="2"/>
  <c r="CE76" i="2"/>
  <c r="CE75" i="2"/>
  <c r="CE74" i="2"/>
  <c r="CE73" i="2"/>
  <c r="CE72" i="2"/>
  <c r="CE71" i="2"/>
  <c r="CE70" i="2"/>
  <c r="CE69" i="2"/>
  <c r="CE68" i="2"/>
  <c r="CE67" i="2"/>
  <c r="CE66" i="2"/>
  <c r="CE65" i="2"/>
  <c r="CE64" i="2"/>
  <c r="CE63" i="2"/>
  <c r="CE62" i="2"/>
  <c r="CE61" i="2"/>
  <c r="CE60" i="2"/>
  <c r="CE59" i="2"/>
  <c r="CE58" i="2"/>
  <c r="CE57" i="2"/>
  <c r="CE56" i="2"/>
  <c r="CE55" i="2"/>
  <c r="CE53" i="2"/>
  <c r="CE52" i="2"/>
  <c r="CE51" i="2"/>
  <c r="CE48" i="2"/>
  <c r="CE46" i="2"/>
  <c r="CE45" i="2"/>
  <c r="CE44" i="2"/>
  <c r="CE43" i="2"/>
  <c r="CE42" i="2"/>
  <c r="CE41" i="2"/>
  <c r="CE40" i="2"/>
  <c r="CE39" i="2"/>
  <c r="CE38" i="2"/>
  <c r="CE36" i="2"/>
  <c r="CE35" i="2"/>
  <c r="CE34" i="2"/>
  <c r="CE33" i="2"/>
  <c r="CE32" i="2"/>
  <c r="CE31" i="2"/>
  <c r="CE30" i="2"/>
  <c r="CE29" i="2"/>
  <c r="CE28" i="2"/>
  <c r="CE26" i="2"/>
  <c r="CE25" i="2"/>
  <c r="CE24" i="2"/>
  <c r="CE23" i="2"/>
  <c r="CE22" i="2"/>
  <c r="CE21" i="2"/>
  <c r="CE20" i="2"/>
  <c r="CE19" i="2"/>
  <c r="CE17" i="2"/>
  <c r="CE16" i="2"/>
  <c r="CE15" i="2"/>
  <c r="CE14" i="2"/>
  <c r="BP456" i="2" a="1"/>
  <c r="BP456" i="2"/>
  <c r="CF456" i="2"/>
  <c r="BP455" i="2" a="1"/>
  <c r="BP455" i="2"/>
  <c r="CF455" i="2"/>
  <c r="BP454" i="2" a="1"/>
  <c r="BP454" i="2"/>
  <c r="CF454" i="2"/>
  <c r="BP453" i="2" a="1"/>
  <c r="BP453" i="2"/>
  <c r="CF453" i="2"/>
  <c r="BP452" i="2" a="1"/>
  <c r="BP452" i="2"/>
  <c r="CF452" i="2"/>
  <c r="BP451" i="2" a="1"/>
  <c r="BP451" i="2"/>
  <c r="CF451" i="2"/>
  <c r="BP450" i="2" a="1"/>
  <c r="BP450" i="2"/>
  <c r="CF450" i="2"/>
  <c r="BP447" i="2" a="1"/>
  <c r="BP447" i="2"/>
  <c r="CF447" i="2"/>
  <c r="BP446" i="2" a="1"/>
  <c r="BP446" i="2"/>
  <c r="CF446" i="2"/>
  <c r="BP445" i="2" a="1"/>
  <c r="BP445" i="2"/>
  <c r="CF445" i="2"/>
  <c r="BP441" i="2" a="1"/>
  <c r="BP441" i="2"/>
  <c r="CF441" i="2"/>
  <c r="BP440" i="2" a="1"/>
  <c r="BP440" i="2"/>
  <c r="CF440" i="2"/>
  <c r="BP439" i="2" a="1"/>
  <c r="BP439" i="2"/>
  <c r="CF439" i="2"/>
  <c r="BP438" i="2" a="1"/>
  <c r="BP438" i="2"/>
  <c r="CF438" i="2"/>
  <c r="BP437" i="2" a="1"/>
  <c r="BP437" i="2"/>
  <c r="CF437" i="2"/>
  <c r="BP436" i="2" a="1"/>
  <c r="BP436" i="2"/>
  <c r="CF436" i="2"/>
  <c r="BP435" i="2" a="1"/>
  <c r="BP435" i="2"/>
  <c r="CF435" i="2"/>
  <c r="BP434" i="2" a="1"/>
  <c r="BP434" i="2"/>
  <c r="CF434" i="2"/>
  <c r="BP432" i="2" a="1"/>
  <c r="BP432" i="2"/>
  <c r="CF432" i="2"/>
  <c r="BP431" i="2" a="1"/>
  <c r="BP431" i="2"/>
  <c r="CF431" i="2"/>
  <c r="BP428" i="2" a="1"/>
  <c r="BP428" i="2"/>
  <c r="CF428" i="2"/>
  <c r="BP427" i="2" a="1"/>
  <c r="BP427" i="2"/>
  <c r="CF427" i="2"/>
  <c r="BP426" i="2" a="1"/>
  <c r="BP426" i="2"/>
  <c r="CF426" i="2"/>
  <c r="BP424" i="2" a="1"/>
  <c r="BP424" i="2"/>
  <c r="CF424" i="2"/>
  <c r="BP423" i="2" a="1"/>
  <c r="BP423" i="2"/>
  <c r="CF423" i="2"/>
  <c r="BP422" i="2" a="1"/>
  <c r="BP422" i="2"/>
  <c r="CF422" i="2"/>
  <c r="BP421" i="2" a="1"/>
  <c r="BP421" i="2"/>
  <c r="CF421" i="2"/>
  <c r="BP418" i="2" a="1"/>
  <c r="BP418" i="2"/>
  <c r="CF418" i="2"/>
  <c r="BP417" i="2" a="1"/>
  <c r="BP417" i="2"/>
  <c r="CF417" i="2"/>
  <c r="BP415" i="2" a="1"/>
  <c r="BP415" i="2"/>
  <c r="CF415" i="2"/>
  <c r="BP414" i="2" a="1"/>
  <c r="BP414" i="2"/>
  <c r="CF414" i="2"/>
  <c r="BP413" i="2" a="1"/>
  <c r="BP413" i="2"/>
  <c r="CF413" i="2"/>
  <c r="BP412" i="2" a="1"/>
  <c r="BP412" i="2"/>
  <c r="CF412" i="2"/>
  <c r="BP410" i="2" a="1"/>
  <c r="BP410" i="2"/>
  <c r="CF410" i="2"/>
  <c r="BP409" i="2" a="1"/>
  <c r="BP409" i="2"/>
  <c r="CF409" i="2"/>
  <c r="BP402" i="2" a="1"/>
  <c r="BP402" i="2"/>
  <c r="CF402" i="2"/>
  <c r="BP401" i="2" a="1"/>
  <c r="BP401" i="2"/>
  <c r="CF401" i="2"/>
  <c r="BP400" i="2" a="1"/>
  <c r="BP400" i="2"/>
  <c r="CF400" i="2"/>
  <c r="BP399" i="2" a="1"/>
  <c r="BP399" i="2"/>
  <c r="CF399" i="2"/>
  <c r="BP397" i="2" a="1"/>
  <c r="BP397" i="2"/>
  <c r="CF397" i="2"/>
  <c r="BP396" i="2" a="1"/>
  <c r="BP396" i="2"/>
  <c r="CF396" i="2"/>
  <c r="BP394" i="2" a="1"/>
  <c r="BP394" i="2"/>
  <c r="CF394" i="2"/>
  <c r="BP393" i="2" a="1"/>
  <c r="BP393" i="2"/>
  <c r="CF393" i="2"/>
  <c r="BP392" i="2" a="1"/>
  <c r="BP392" i="2"/>
  <c r="CF392" i="2"/>
  <c r="BP391" i="2" a="1"/>
  <c r="BP391" i="2"/>
  <c r="CF391" i="2"/>
  <c r="BP390" i="2" a="1"/>
  <c r="BP390" i="2"/>
  <c r="CF390" i="2"/>
  <c r="BP388" i="2" a="1"/>
  <c r="BP388" i="2"/>
  <c r="CF388" i="2"/>
  <c r="BP386" i="2" a="1"/>
  <c r="BP386" i="2"/>
  <c r="CF386" i="2"/>
  <c r="BP385" i="2" a="1"/>
  <c r="BP385" i="2"/>
  <c r="CF385" i="2"/>
  <c r="BP384" i="2" a="1"/>
  <c r="BP384" i="2"/>
  <c r="CF384" i="2"/>
  <c r="BP383" i="2" a="1"/>
  <c r="BP383" i="2"/>
  <c r="CF383" i="2"/>
  <c r="BP382" i="2" a="1"/>
  <c r="BP382" i="2"/>
  <c r="CF382" i="2"/>
  <c r="BP381" i="2" a="1"/>
  <c r="BP381" i="2"/>
  <c r="CF381" i="2"/>
  <c r="BP380" i="2" a="1"/>
  <c r="BP380" i="2"/>
  <c r="CF380" i="2"/>
  <c r="BP379" i="2" a="1"/>
  <c r="BP379" i="2"/>
  <c r="CF379" i="2"/>
  <c r="BP378" i="2" a="1"/>
  <c r="BP378" i="2"/>
  <c r="CF378" i="2"/>
  <c r="BP376" i="2" a="1"/>
  <c r="BP376" i="2"/>
  <c r="CF376" i="2"/>
  <c r="BP375" i="2" a="1"/>
  <c r="BP375" i="2"/>
  <c r="CF375" i="2"/>
  <c r="BP374" i="2" a="1"/>
  <c r="BP374" i="2"/>
  <c r="CF374" i="2"/>
  <c r="BP373" i="2" a="1"/>
  <c r="BP373" i="2"/>
  <c r="CF373" i="2"/>
  <c r="BP372" i="2" a="1"/>
  <c r="BP372" i="2"/>
  <c r="CF372" i="2"/>
  <c r="BP371" i="2" a="1"/>
  <c r="BP371" i="2"/>
  <c r="CF371" i="2"/>
  <c r="BP370" i="2" a="1"/>
  <c r="BP370" i="2"/>
  <c r="CF370" i="2"/>
  <c r="BP369" i="2" a="1"/>
  <c r="BP369" i="2"/>
  <c r="CF369" i="2"/>
  <c r="BP368" i="2" a="1"/>
  <c r="BP368" i="2"/>
  <c r="CF368" i="2"/>
  <c r="BP367" i="2" a="1"/>
  <c r="BP367" i="2"/>
  <c r="CF367" i="2"/>
  <c r="BP366" i="2" a="1"/>
  <c r="BP366" i="2"/>
  <c r="CF366" i="2"/>
  <c r="BP365" i="2" a="1"/>
  <c r="BP365" i="2"/>
  <c r="CF365" i="2"/>
  <c r="BP363" i="2" a="1"/>
  <c r="BP363" i="2"/>
  <c r="CF363" i="2"/>
  <c r="BP362" i="2" a="1"/>
  <c r="BP362" i="2"/>
  <c r="CF362" i="2"/>
  <c r="BP361" i="2" a="1"/>
  <c r="BP361" i="2"/>
  <c r="CF361" i="2"/>
  <c r="BP360" i="2" a="1"/>
  <c r="BP360" i="2"/>
  <c r="CF360" i="2"/>
  <c r="BP359" i="2" a="1"/>
  <c r="BP359" i="2"/>
  <c r="CF359" i="2"/>
  <c r="BP358" i="2" a="1"/>
  <c r="BP358" i="2"/>
  <c r="CF358" i="2"/>
  <c r="BP357" i="2" a="1"/>
  <c r="BP357" i="2"/>
  <c r="CF357" i="2"/>
  <c r="BP356" i="2" a="1"/>
  <c r="BP356" i="2"/>
  <c r="CF356" i="2"/>
  <c r="BP355" i="2" a="1"/>
  <c r="BP355" i="2"/>
  <c r="CF355" i="2"/>
  <c r="BP354" i="2" a="1"/>
  <c r="BP354" i="2"/>
  <c r="CF354" i="2"/>
  <c r="BP353" i="2" a="1"/>
  <c r="BP353" i="2"/>
  <c r="CF353" i="2"/>
  <c r="BP352" i="2" a="1"/>
  <c r="BP352" i="2"/>
  <c r="CF352" i="2"/>
  <c r="BP351" i="2" a="1"/>
  <c r="BP351" i="2"/>
  <c r="CF351" i="2"/>
  <c r="BP350" i="2" a="1"/>
  <c r="BP350" i="2"/>
  <c r="CF350" i="2"/>
  <c r="BP349" i="2" a="1"/>
  <c r="BP349" i="2"/>
  <c r="CF349" i="2"/>
  <c r="BP348" i="2" a="1"/>
  <c r="BP348" i="2"/>
  <c r="CF348" i="2"/>
  <c r="BP347" i="2" a="1"/>
  <c r="BP347" i="2"/>
  <c r="CF347" i="2"/>
  <c r="BP346" i="2" a="1"/>
  <c r="BP346" i="2"/>
  <c r="CF346" i="2"/>
  <c r="BP345" i="2" a="1"/>
  <c r="BP345" i="2"/>
  <c r="CF345" i="2"/>
  <c r="BP344" i="2" a="1"/>
  <c r="BP344" i="2"/>
  <c r="CF344" i="2"/>
  <c r="BP343" i="2" a="1"/>
  <c r="BP343" i="2"/>
  <c r="CF343" i="2"/>
  <c r="BP342" i="2" a="1"/>
  <c r="BP342" i="2"/>
  <c r="CF342" i="2"/>
  <c r="BP341" i="2" a="1"/>
  <c r="BP341" i="2"/>
  <c r="CF341" i="2"/>
  <c r="BP340" i="2" a="1"/>
  <c r="BP340" i="2"/>
  <c r="CF340" i="2"/>
  <c r="BP339" i="2" a="1"/>
  <c r="BP339" i="2"/>
  <c r="CF339" i="2"/>
  <c r="BP338" i="2" a="1"/>
  <c r="BP338" i="2"/>
  <c r="CF338" i="2"/>
  <c r="BP337" i="2" a="1"/>
  <c r="BP337" i="2"/>
  <c r="CF337" i="2"/>
  <c r="BP336" i="2" a="1"/>
  <c r="BP336" i="2"/>
  <c r="CF336" i="2"/>
  <c r="BP335" i="2" a="1"/>
  <c r="BP335" i="2"/>
  <c r="CF335" i="2"/>
  <c r="BP334" i="2" a="1"/>
  <c r="BP334" i="2"/>
  <c r="CF334" i="2"/>
  <c r="BP333" i="2" a="1"/>
  <c r="BP333" i="2"/>
  <c r="CF333" i="2"/>
  <c r="BP332" i="2" a="1"/>
  <c r="BP332" i="2"/>
  <c r="CF332" i="2"/>
  <c r="BP331" i="2" a="1"/>
  <c r="BP331" i="2"/>
  <c r="CF331" i="2"/>
  <c r="BP330" i="2" a="1"/>
  <c r="BP330" i="2"/>
  <c r="CF330" i="2"/>
  <c r="BP329" i="2" a="1"/>
  <c r="BP329" i="2"/>
  <c r="CF329" i="2"/>
  <c r="BP327" i="2" a="1"/>
  <c r="BP327" i="2"/>
  <c r="CF327" i="2"/>
  <c r="BP326" i="2" a="1"/>
  <c r="BP326" i="2"/>
  <c r="CF326" i="2"/>
  <c r="BP325" i="2" a="1"/>
  <c r="BP325" i="2"/>
  <c r="CF325" i="2"/>
  <c r="BP323" i="2" a="1"/>
  <c r="BP323" i="2"/>
  <c r="CF323" i="2"/>
  <c r="BP322" i="2" a="1"/>
  <c r="BP322" i="2"/>
  <c r="CF322" i="2"/>
  <c r="BP321" i="2" a="1"/>
  <c r="BP321" i="2"/>
  <c r="CF321" i="2"/>
  <c r="BP319" i="2" a="1"/>
  <c r="BP319" i="2"/>
  <c r="CF319" i="2"/>
  <c r="BP318" i="2" a="1"/>
  <c r="BP318" i="2"/>
  <c r="CF318" i="2"/>
  <c r="BP317" i="2" a="1"/>
  <c r="BP317" i="2"/>
  <c r="CF317" i="2"/>
  <c r="BP316" i="2" a="1"/>
  <c r="BP316" i="2"/>
  <c r="CF316" i="2"/>
  <c r="BP315" i="2" a="1"/>
  <c r="BP315" i="2"/>
  <c r="CF315" i="2"/>
  <c r="BP313" i="2" a="1"/>
  <c r="BP313" i="2"/>
  <c r="CF313" i="2"/>
  <c r="BP312" i="2" a="1"/>
  <c r="BP312" i="2"/>
  <c r="CF312" i="2"/>
  <c r="BP311" i="2" a="1"/>
  <c r="BP311" i="2"/>
  <c r="CF311" i="2"/>
  <c r="BP310" i="2" a="1"/>
  <c r="BP310" i="2"/>
  <c r="CF310" i="2"/>
  <c r="BP309" i="2" a="1"/>
  <c r="BP309" i="2"/>
  <c r="CF309" i="2"/>
  <c r="BP308" i="2" a="1"/>
  <c r="BP308" i="2"/>
  <c r="CF308" i="2"/>
  <c r="BP307" i="2" a="1"/>
  <c r="BP307" i="2"/>
  <c r="CF307" i="2"/>
  <c r="BP306" i="2" a="1"/>
  <c r="BP306" i="2"/>
  <c r="CF306" i="2"/>
  <c r="BP305" i="2" a="1"/>
  <c r="BP305" i="2"/>
  <c r="CF305" i="2"/>
  <c r="BP304" i="2" a="1"/>
  <c r="BP304" i="2"/>
  <c r="CF304" i="2"/>
  <c r="BP303" i="2" a="1"/>
  <c r="BP303" i="2"/>
  <c r="CF303" i="2"/>
  <c r="BP302" i="2" a="1"/>
  <c r="BP302" i="2"/>
  <c r="CF302" i="2"/>
  <c r="BP301" i="2" a="1"/>
  <c r="BP301" i="2"/>
  <c r="CF301" i="2"/>
  <c r="BP298" i="2" a="1"/>
  <c r="BP298" i="2"/>
  <c r="CF298" i="2"/>
  <c r="BP297" i="2" a="1"/>
  <c r="BP297" i="2"/>
  <c r="CF297" i="2"/>
  <c r="BP296" i="2" a="1"/>
  <c r="BP296" i="2"/>
  <c r="CF296" i="2"/>
  <c r="BP295" i="2" a="1"/>
  <c r="BP295" i="2"/>
  <c r="CF295" i="2"/>
  <c r="BP294" i="2" a="1"/>
  <c r="BP294" i="2"/>
  <c r="CF294" i="2"/>
  <c r="BP293" i="2" a="1"/>
  <c r="BP293" i="2"/>
  <c r="CF293" i="2"/>
  <c r="BP292" i="2" a="1"/>
  <c r="BP292" i="2"/>
  <c r="CF292" i="2"/>
  <c r="BP291" i="2" a="1"/>
  <c r="BP291" i="2"/>
  <c r="CF291" i="2"/>
  <c r="BP290" i="2" a="1"/>
  <c r="BP290" i="2"/>
  <c r="CF290" i="2"/>
  <c r="BP289" i="2" a="1"/>
  <c r="BP289" i="2"/>
  <c r="CF289" i="2"/>
  <c r="BP288" i="2" a="1"/>
  <c r="BP288" i="2"/>
  <c r="CF288" i="2"/>
  <c r="BP287" i="2" a="1"/>
  <c r="BP287" i="2"/>
  <c r="CF287" i="2"/>
  <c r="BP286" i="2" a="1"/>
  <c r="BP286" i="2"/>
  <c r="CF286" i="2"/>
  <c r="BP285" i="2" a="1"/>
  <c r="BP285" i="2"/>
  <c r="CF285" i="2"/>
  <c r="BP284" i="2" a="1"/>
  <c r="BP284" i="2"/>
  <c r="CF284" i="2"/>
  <c r="BP282" i="2" a="1"/>
  <c r="BP282" i="2"/>
  <c r="CF282" i="2"/>
  <c r="BP281" i="2" a="1"/>
  <c r="BP281" i="2"/>
  <c r="CF281" i="2"/>
  <c r="BP280" i="2" a="1"/>
  <c r="BP280" i="2"/>
  <c r="CF280" i="2"/>
  <c r="BP279" i="2" a="1"/>
  <c r="BP279" i="2"/>
  <c r="CF279" i="2"/>
  <c r="BP278" i="2" a="1"/>
  <c r="BP278" i="2"/>
  <c r="CF278" i="2"/>
  <c r="BP277" i="2" a="1"/>
  <c r="BP277" i="2"/>
  <c r="CF277" i="2"/>
  <c r="BP276" i="2" a="1"/>
  <c r="BP276" i="2"/>
  <c r="CF276" i="2"/>
  <c r="BP275" i="2" a="1"/>
  <c r="BP275" i="2"/>
  <c r="CF275" i="2"/>
  <c r="BP274" i="2" a="1"/>
  <c r="BP274" i="2"/>
  <c r="CF274" i="2"/>
  <c r="BP273" i="2" a="1"/>
  <c r="BP273" i="2"/>
  <c r="CF273" i="2"/>
  <c r="BP272" i="2" a="1"/>
  <c r="BP272" i="2"/>
  <c r="CF272" i="2"/>
  <c r="BP271" i="2" a="1"/>
  <c r="BP271" i="2"/>
  <c r="CF271" i="2"/>
  <c r="BP270" i="2" a="1"/>
  <c r="BP270" i="2"/>
  <c r="CF270" i="2"/>
  <c r="BP269" i="2" a="1"/>
  <c r="BP269" i="2"/>
  <c r="CF269" i="2"/>
  <c r="BP268" i="2" a="1"/>
  <c r="BP268" i="2"/>
  <c r="CF268" i="2"/>
  <c r="BP267" i="2" a="1"/>
  <c r="BP267" i="2"/>
  <c r="CF267" i="2"/>
  <c r="BP265" i="2" a="1"/>
  <c r="BP265" i="2"/>
  <c r="CF265" i="2"/>
  <c r="BP264" i="2" a="1"/>
  <c r="BP264" i="2"/>
  <c r="CF264" i="2"/>
  <c r="BP263" i="2" a="1"/>
  <c r="BP263" i="2"/>
  <c r="CF263" i="2"/>
  <c r="BP262" i="2" a="1"/>
  <c r="BP262" i="2"/>
  <c r="CF262" i="2"/>
  <c r="BP261" i="2" a="1"/>
  <c r="BP261" i="2"/>
  <c r="CF261" i="2"/>
  <c r="BP260" i="2" a="1"/>
  <c r="BP260" i="2"/>
  <c r="CF260" i="2"/>
  <c r="BP259" i="2" a="1"/>
  <c r="BP259" i="2"/>
  <c r="CF259" i="2"/>
  <c r="BP258" i="2" a="1"/>
  <c r="BP258" i="2"/>
  <c r="CF258" i="2"/>
  <c r="BP257" i="2" a="1"/>
  <c r="BP257" i="2"/>
  <c r="CF257" i="2"/>
  <c r="BP256" i="2" a="1"/>
  <c r="BP256" i="2"/>
  <c r="CF256" i="2"/>
  <c r="BP255" i="2" a="1"/>
  <c r="BP255" i="2"/>
  <c r="CF255" i="2"/>
  <c r="BP254" i="2" a="1"/>
  <c r="BP254" i="2"/>
  <c r="CF254" i="2"/>
  <c r="BP253" i="2" a="1"/>
  <c r="BP253" i="2"/>
  <c r="CF253" i="2"/>
  <c r="BP252" i="2" a="1"/>
  <c r="BP252" i="2"/>
  <c r="CF252" i="2"/>
  <c r="BP251" i="2" a="1"/>
  <c r="BP251" i="2"/>
  <c r="CF251" i="2"/>
  <c r="BP250" i="2" a="1"/>
  <c r="BP250" i="2"/>
  <c r="CF250" i="2"/>
  <c r="BP249" i="2" a="1"/>
  <c r="BP249" i="2"/>
  <c r="CF249" i="2"/>
  <c r="BP248" i="2" a="1"/>
  <c r="BP248" i="2"/>
  <c r="CF248" i="2"/>
  <c r="BP247" i="2" a="1"/>
  <c r="BP247" i="2"/>
  <c r="CF247" i="2"/>
  <c r="BP246" i="2" a="1"/>
  <c r="BP246" i="2"/>
  <c r="CF246" i="2"/>
  <c r="BP245" i="2" a="1"/>
  <c r="BP245" i="2"/>
  <c r="CF245" i="2"/>
  <c r="BP244" i="2" a="1"/>
  <c r="BP244" i="2"/>
  <c r="CF244" i="2"/>
  <c r="BP243" i="2" a="1"/>
  <c r="BP243" i="2"/>
  <c r="CF243" i="2"/>
  <c r="BP241" i="2" a="1"/>
  <c r="BP241" i="2"/>
  <c r="CF241" i="2"/>
  <c r="BP240" i="2" a="1"/>
  <c r="BP240" i="2"/>
  <c r="CF240" i="2"/>
  <c r="BP238" i="2" a="1"/>
  <c r="BP238" i="2"/>
  <c r="CF238" i="2"/>
  <c r="BP237" i="2" a="1"/>
  <c r="BP237" i="2"/>
  <c r="CF237" i="2"/>
  <c r="BP236" i="2" a="1"/>
  <c r="BP236" i="2"/>
  <c r="CF236" i="2"/>
  <c r="BP235" i="2" a="1"/>
  <c r="BP235" i="2"/>
  <c r="CF235" i="2"/>
  <c r="BP234" i="2" a="1"/>
  <c r="BP234" i="2"/>
  <c r="CF234" i="2"/>
  <c r="BP233" i="2" a="1"/>
  <c r="BP233" i="2"/>
  <c r="CF233" i="2"/>
  <c r="BP232" i="2" a="1"/>
  <c r="BP232" i="2"/>
  <c r="CF232" i="2"/>
  <c r="BP231" i="2" a="1"/>
  <c r="BP231" i="2"/>
  <c r="CF231" i="2"/>
  <c r="BP230" i="2" a="1"/>
  <c r="BP230" i="2"/>
  <c r="CF230" i="2"/>
  <c r="BP229" i="2" a="1"/>
  <c r="BP229" i="2"/>
  <c r="CF229" i="2"/>
  <c r="BP228" i="2" a="1"/>
  <c r="BP228" i="2"/>
  <c r="CF228" i="2"/>
  <c r="BP227" i="2" a="1"/>
  <c r="BP227" i="2"/>
  <c r="CF227" i="2"/>
  <c r="BP226" i="2" a="1"/>
  <c r="BP226" i="2"/>
  <c r="CF226" i="2"/>
  <c r="BP225" i="2" a="1"/>
  <c r="BP225" i="2"/>
  <c r="CF225" i="2"/>
  <c r="BP224" i="2" a="1"/>
  <c r="BP224" i="2"/>
  <c r="CF224" i="2"/>
  <c r="BP222" i="2" a="1"/>
  <c r="BP222" i="2"/>
  <c r="CF222" i="2"/>
  <c r="BP221" i="2" a="1"/>
  <c r="BP221" i="2"/>
  <c r="CF221" i="2"/>
  <c r="BP220" i="2" a="1"/>
  <c r="BP220" i="2"/>
  <c r="CF220" i="2"/>
  <c r="BP219" i="2" a="1"/>
  <c r="BP219" i="2"/>
  <c r="CF219" i="2"/>
  <c r="BP218" i="2" a="1"/>
  <c r="BP218" i="2"/>
  <c r="CF218" i="2"/>
  <c r="BP217" i="2" a="1"/>
  <c r="BP217" i="2"/>
  <c r="CF217" i="2"/>
  <c r="BP216" i="2" a="1"/>
  <c r="BP216" i="2"/>
  <c r="CF216" i="2"/>
  <c r="BP215" i="2" a="1"/>
  <c r="BP215" i="2"/>
  <c r="CF215" i="2"/>
  <c r="BP214" i="2" a="1"/>
  <c r="BP214" i="2"/>
  <c r="CF214" i="2"/>
  <c r="BP213" i="2" a="1"/>
  <c r="BP213" i="2"/>
  <c r="CF213" i="2"/>
  <c r="BP212" i="2" a="1"/>
  <c r="BP212" i="2"/>
  <c r="CF212" i="2"/>
  <c r="BP211" i="2" a="1"/>
  <c r="BP211" i="2"/>
  <c r="CF211" i="2"/>
  <c r="BP210" i="2" a="1"/>
  <c r="BP210" i="2"/>
  <c r="CF210" i="2"/>
  <c r="BP209" i="2" a="1"/>
  <c r="BP209" i="2"/>
  <c r="CF209" i="2"/>
  <c r="BP208" i="2" a="1"/>
  <c r="BP208" i="2"/>
  <c r="CF208" i="2"/>
  <c r="BP207" i="2" a="1"/>
  <c r="BP207" i="2"/>
  <c r="CF207" i="2"/>
  <c r="BP206" i="2" a="1"/>
  <c r="BP206" i="2"/>
  <c r="CF206" i="2"/>
  <c r="BP205" i="2" a="1"/>
  <c r="BP205" i="2"/>
  <c r="CF205" i="2"/>
  <c r="BP204" i="2" a="1"/>
  <c r="BP204" i="2"/>
  <c r="CF204" i="2"/>
  <c r="BP203" i="2" a="1"/>
  <c r="BP203" i="2"/>
  <c r="CF203" i="2"/>
  <c r="BP202" i="2" a="1"/>
  <c r="BP202" i="2"/>
  <c r="CF202" i="2"/>
  <c r="BP201" i="2" a="1"/>
  <c r="BP201" i="2"/>
  <c r="CF201" i="2"/>
  <c r="BP200" i="2" a="1"/>
  <c r="BP200" i="2"/>
  <c r="CF200" i="2"/>
  <c r="BP199" i="2" a="1"/>
  <c r="BP199" i="2"/>
  <c r="CF199" i="2"/>
  <c r="BP198" i="2" a="1"/>
  <c r="BP198" i="2"/>
  <c r="CF198" i="2"/>
  <c r="BP197" i="2" a="1"/>
  <c r="BP197" i="2"/>
  <c r="CF197" i="2"/>
  <c r="BP196" i="2" a="1"/>
  <c r="BP196" i="2"/>
  <c r="CF196" i="2"/>
  <c r="BP195" i="2" a="1"/>
  <c r="BP195" i="2"/>
  <c r="CF195" i="2"/>
  <c r="BP193" i="2" a="1"/>
  <c r="BP193" i="2"/>
  <c r="CF193" i="2"/>
  <c r="BP190" i="2" a="1"/>
  <c r="BP190" i="2"/>
  <c r="CF190" i="2"/>
  <c r="BP188" i="2" a="1"/>
  <c r="BP188" i="2"/>
  <c r="CF188" i="2"/>
  <c r="BP186" i="2" a="1"/>
  <c r="BP186" i="2"/>
  <c r="CF186" i="2"/>
  <c r="BP185" i="2" a="1"/>
  <c r="BP185" i="2"/>
  <c r="CF185" i="2"/>
  <c r="BP183" i="2" a="1"/>
  <c r="BP183" i="2"/>
  <c r="CF183" i="2"/>
  <c r="BP182" i="2" a="1"/>
  <c r="BP182" i="2"/>
  <c r="CF182" i="2"/>
  <c r="BP181" i="2" a="1"/>
  <c r="BP181" i="2"/>
  <c r="CF181" i="2"/>
  <c r="BP178" i="2" a="1"/>
  <c r="BP178" i="2"/>
  <c r="CF178" i="2"/>
  <c r="BP177" i="2" a="1"/>
  <c r="BP177" i="2"/>
  <c r="CF177" i="2"/>
  <c r="BP175" i="2" a="1"/>
  <c r="BP175" i="2"/>
  <c r="CF175" i="2"/>
  <c r="BP174" i="2" a="1"/>
  <c r="BP174" i="2"/>
  <c r="CF174" i="2"/>
  <c r="BP170" i="2" a="1"/>
  <c r="BP170" i="2"/>
  <c r="CF170" i="2"/>
  <c r="BP169" i="2" a="1"/>
  <c r="BP169" i="2"/>
  <c r="CF169" i="2"/>
  <c r="BP168" i="2" a="1"/>
  <c r="BP168" i="2"/>
  <c r="CF168" i="2"/>
  <c r="BP167" i="2" a="1"/>
  <c r="BP167" i="2"/>
  <c r="CF167" i="2"/>
  <c r="BP166" i="2" a="1"/>
  <c r="BP166" i="2"/>
  <c r="CF166" i="2"/>
  <c r="BP165" i="2" a="1"/>
  <c r="BP165" i="2"/>
  <c r="CF165" i="2"/>
  <c r="BP164" i="2" a="1"/>
  <c r="BP164" i="2"/>
  <c r="CF164" i="2"/>
  <c r="BP163" i="2" a="1"/>
  <c r="BP163" i="2"/>
  <c r="CF163" i="2"/>
  <c r="BP162" i="2" a="1"/>
  <c r="BP162" i="2"/>
  <c r="CF162" i="2"/>
  <c r="BP161" i="2" a="1"/>
  <c r="BP161" i="2"/>
  <c r="CF161" i="2"/>
  <c r="BP160" i="2" a="1"/>
  <c r="BP160" i="2"/>
  <c r="CF160" i="2"/>
  <c r="BP159" i="2" a="1"/>
  <c r="BP159" i="2"/>
  <c r="CF159" i="2"/>
  <c r="BP158" i="2" a="1"/>
  <c r="BP158" i="2"/>
  <c r="CF158" i="2"/>
  <c r="BP156" i="2" a="1"/>
  <c r="BP156" i="2"/>
  <c r="CF156" i="2"/>
  <c r="BP154" i="2" a="1"/>
  <c r="BP154" i="2"/>
  <c r="CF154" i="2"/>
  <c r="BP153" i="2" a="1"/>
  <c r="BP153" i="2"/>
  <c r="CF153" i="2"/>
  <c r="BP152" i="2" a="1"/>
  <c r="BP152" i="2"/>
  <c r="CF152" i="2"/>
  <c r="BP151" i="2" a="1"/>
  <c r="BP151" i="2"/>
  <c r="CF151" i="2"/>
  <c r="BP148" i="2" a="1"/>
  <c r="BP148" i="2"/>
  <c r="CF148" i="2"/>
  <c r="BP147" i="2" a="1"/>
  <c r="BP147" i="2"/>
  <c r="CF147" i="2"/>
  <c r="BP145" i="2" a="1"/>
  <c r="BP145" i="2"/>
  <c r="CF145" i="2"/>
  <c r="BP142" i="2" a="1"/>
  <c r="BP142" i="2"/>
  <c r="CF142" i="2"/>
  <c r="BP140" i="2" a="1"/>
  <c r="BP140" i="2"/>
  <c r="CF140" i="2"/>
  <c r="BP139" i="2" a="1"/>
  <c r="BP139" i="2"/>
  <c r="CF139" i="2"/>
  <c r="BP137" i="2" a="1"/>
  <c r="BP137" i="2"/>
  <c r="CF137" i="2"/>
  <c r="BP136" i="2" a="1"/>
  <c r="BP136" i="2"/>
  <c r="CF136" i="2"/>
  <c r="BP135" i="2" a="1"/>
  <c r="BP135" i="2"/>
  <c r="CF135" i="2"/>
  <c r="BP134" i="2" a="1"/>
  <c r="BP134" i="2"/>
  <c r="CF134" i="2"/>
  <c r="BP133" i="2" a="1"/>
  <c r="BP133" i="2"/>
  <c r="CF133" i="2"/>
  <c r="BP132" i="2" a="1"/>
  <c r="BP132" i="2"/>
  <c r="CF132" i="2"/>
  <c r="BP130" i="2" a="1"/>
  <c r="BP130" i="2"/>
  <c r="CF130" i="2"/>
  <c r="BP128" i="2" a="1"/>
  <c r="BP128" i="2"/>
  <c r="CF128" i="2"/>
  <c r="BP127" i="2" a="1"/>
  <c r="BP127" i="2"/>
  <c r="CF127" i="2"/>
  <c r="BP126" i="2" a="1"/>
  <c r="BP126" i="2"/>
  <c r="CF126" i="2"/>
  <c r="BP125" i="2" a="1"/>
  <c r="BP125" i="2"/>
  <c r="CF125" i="2"/>
  <c r="BP124" i="2" a="1"/>
  <c r="BP124" i="2"/>
  <c r="CF124" i="2"/>
  <c r="BP123" i="2" a="1"/>
  <c r="BP123" i="2"/>
  <c r="CF123" i="2"/>
  <c r="BP122" i="2" a="1"/>
  <c r="BP122" i="2"/>
  <c r="CF122" i="2"/>
  <c r="BP121" i="2" a="1"/>
  <c r="BP121" i="2"/>
  <c r="CF121" i="2"/>
  <c r="BP120" i="2" a="1"/>
  <c r="BP120" i="2"/>
  <c r="CF120" i="2"/>
  <c r="BP119" i="2" a="1"/>
  <c r="BP119" i="2"/>
  <c r="CF119" i="2"/>
  <c r="BP118" i="2" a="1"/>
  <c r="BP118" i="2"/>
  <c r="CF118" i="2"/>
  <c r="BP117" i="2" a="1"/>
  <c r="BP117" i="2"/>
  <c r="CF117" i="2"/>
  <c r="BP116" i="2" a="1"/>
  <c r="BP116" i="2"/>
  <c r="CF116" i="2"/>
  <c r="BP114" i="2" a="1"/>
  <c r="BP114" i="2"/>
  <c r="CF114" i="2"/>
  <c r="BP113" i="2" a="1"/>
  <c r="BP113" i="2"/>
  <c r="CF113" i="2"/>
  <c r="BP112" i="2" a="1"/>
  <c r="BP112" i="2"/>
  <c r="CF112" i="2"/>
  <c r="BP111" i="2" a="1"/>
  <c r="BP111" i="2"/>
  <c r="CF111" i="2"/>
  <c r="BP110" i="2" a="1"/>
  <c r="BP110" i="2"/>
  <c r="CF110" i="2"/>
  <c r="BP109" i="2" a="1"/>
  <c r="BP109" i="2"/>
  <c r="CF109" i="2"/>
  <c r="BP106" i="2" a="1"/>
  <c r="BP106" i="2"/>
  <c r="CF106" i="2"/>
  <c r="BP105" i="2" a="1"/>
  <c r="BP105" i="2"/>
  <c r="CF105" i="2"/>
  <c r="BP104" i="2" a="1"/>
  <c r="BP104" i="2"/>
  <c r="CF104" i="2"/>
  <c r="BP103" i="2" a="1"/>
  <c r="BP103" i="2"/>
  <c r="CF103" i="2"/>
  <c r="BP102" i="2" a="1"/>
  <c r="BP102" i="2"/>
  <c r="CF102" i="2"/>
  <c r="BP101" i="2" a="1"/>
  <c r="BP101" i="2"/>
  <c r="CF101" i="2"/>
  <c r="BP100" i="2" a="1"/>
  <c r="BP100" i="2"/>
  <c r="CF100" i="2"/>
  <c r="BP99" i="2" a="1"/>
  <c r="BP99" i="2"/>
  <c r="CF99" i="2"/>
  <c r="BP98" i="2" a="1"/>
  <c r="BP98" i="2"/>
  <c r="CF98" i="2"/>
  <c r="BP95" i="2" a="1"/>
  <c r="BP95" i="2"/>
  <c r="CF95" i="2"/>
  <c r="BP93" i="2" a="1"/>
  <c r="BP93" i="2"/>
  <c r="CF93" i="2"/>
  <c r="BP92" i="2" a="1"/>
  <c r="BP92" i="2"/>
  <c r="CF92" i="2"/>
  <c r="BP91" i="2" a="1"/>
  <c r="BP91" i="2"/>
  <c r="CF91" i="2"/>
  <c r="BP89" i="2" a="1"/>
  <c r="BP89" i="2"/>
  <c r="CF89" i="2"/>
  <c r="BP88" i="2" a="1"/>
  <c r="BP88" i="2"/>
  <c r="CF88" i="2"/>
  <c r="BP87" i="2" a="1"/>
  <c r="BP87" i="2"/>
  <c r="CF87" i="2"/>
  <c r="BP86" i="2" a="1"/>
  <c r="BP86" i="2"/>
  <c r="CF86" i="2"/>
  <c r="BP85" i="2" a="1"/>
  <c r="BP85" i="2"/>
  <c r="CF85" i="2"/>
  <c r="BP84" i="2" a="1"/>
  <c r="BP84" i="2"/>
  <c r="CF84" i="2"/>
  <c r="BP81" i="2" a="1"/>
  <c r="BP81" i="2"/>
  <c r="CF81" i="2"/>
  <c r="BP80" i="2" a="1"/>
  <c r="BP80" i="2"/>
  <c r="CF80" i="2"/>
  <c r="BP79" i="2" a="1"/>
  <c r="BP79" i="2"/>
  <c r="CF79" i="2"/>
  <c r="BP77" i="2" a="1"/>
  <c r="BP77" i="2"/>
  <c r="CF77" i="2"/>
  <c r="BP76" i="2" a="1"/>
  <c r="BP76" i="2"/>
  <c r="CF76" i="2"/>
  <c r="BP75" i="2" a="1"/>
  <c r="BP75" i="2"/>
  <c r="CF75" i="2"/>
  <c r="BP74" i="2" a="1"/>
  <c r="BP74" i="2"/>
  <c r="CF74" i="2"/>
  <c r="BP73" i="2" a="1"/>
  <c r="BP73" i="2"/>
  <c r="CF73" i="2"/>
  <c r="BP72" i="2" a="1"/>
  <c r="BP72" i="2"/>
  <c r="CF72" i="2"/>
  <c r="BP71" i="2" a="1"/>
  <c r="BP71" i="2"/>
  <c r="CF71" i="2"/>
  <c r="BP70" i="2" a="1"/>
  <c r="BP70" i="2"/>
  <c r="CF70" i="2"/>
  <c r="BP69" i="2" a="1"/>
  <c r="BP69" i="2"/>
  <c r="CF69" i="2"/>
  <c r="BP68" i="2" a="1"/>
  <c r="BP68" i="2"/>
  <c r="CF68" i="2"/>
  <c r="BP67" i="2" a="1"/>
  <c r="BP67" i="2"/>
  <c r="CF67" i="2"/>
  <c r="BP66" i="2" a="1"/>
  <c r="BP66" i="2"/>
  <c r="CF66" i="2"/>
  <c r="BP65" i="2" a="1"/>
  <c r="BP65" i="2"/>
  <c r="CF65" i="2"/>
  <c r="BP64" i="2" a="1"/>
  <c r="BP64" i="2"/>
  <c r="CF64" i="2"/>
  <c r="BP63" i="2" a="1"/>
  <c r="BP63" i="2"/>
  <c r="CF63" i="2"/>
  <c r="BP62" i="2" a="1"/>
  <c r="BP62" i="2"/>
  <c r="CF62" i="2"/>
  <c r="BP61" i="2" a="1"/>
  <c r="BP61" i="2"/>
  <c r="CF61" i="2"/>
  <c r="BP60" i="2" a="1"/>
  <c r="BP60" i="2"/>
  <c r="CF60" i="2"/>
  <c r="BP59" i="2" a="1"/>
  <c r="BP59" i="2"/>
  <c r="CF59" i="2"/>
  <c r="BP58" i="2" a="1"/>
  <c r="BP58" i="2"/>
  <c r="CF58" i="2"/>
  <c r="BP57" i="2" a="1"/>
  <c r="BP57" i="2"/>
  <c r="CF57" i="2"/>
  <c r="BP56" i="2" a="1"/>
  <c r="BP56" i="2"/>
  <c r="CF56" i="2"/>
  <c r="BP55" i="2" a="1"/>
  <c r="BP55" i="2"/>
  <c r="CF55" i="2"/>
  <c r="BP53" i="2" a="1"/>
  <c r="BP53" i="2"/>
  <c r="CF53" i="2"/>
  <c r="BP52" i="2" a="1"/>
  <c r="BP52" i="2"/>
  <c r="CF52" i="2"/>
  <c r="BP51" i="2" a="1"/>
  <c r="BP51" i="2"/>
  <c r="CF51" i="2"/>
  <c r="BP48" i="2" a="1"/>
  <c r="BP48" i="2"/>
  <c r="CF48" i="2"/>
  <c r="BP46" i="2" a="1"/>
  <c r="BP46" i="2"/>
  <c r="CF46" i="2"/>
  <c r="BP45" i="2" a="1"/>
  <c r="BP45" i="2"/>
  <c r="CF45" i="2"/>
  <c r="BP44" i="2" a="1"/>
  <c r="BP44" i="2"/>
  <c r="CF44" i="2"/>
  <c r="BP43" i="2" a="1"/>
  <c r="BP43" i="2"/>
  <c r="CF43" i="2"/>
  <c r="BP42" i="2" a="1"/>
  <c r="BP42" i="2"/>
  <c r="CF42" i="2"/>
  <c r="BP41" i="2" a="1"/>
  <c r="BP41" i="2"/>
  <c r="CF41" i="2"/>
  <c r="BP40" i="2" a="1"/>
  <c r="BP40" i="2"/>
  <c r="CF40" i="2"/>
  <c r="BP39" i="2" a="1"/>
  <c r="BP39" i="2"/>
  <c r="CF39" i="2"/>
  <c r="BP38" i="2" a="1"/>
  <c r="BP38" i="2"/>
  <c r="CF38" i="2"/>
  <c r="BP36" i="2" a="1"/>
  <c r="BP36" i="2"/>
  <c r="CF36" i="2"/>
  <c r="BP35" i="2" a="1"/>
  <c r="BP35" i="2"/>
  <c r="CF35" i="2"/>
  <c r="BP34" i="2" a="1"/>
  <c r="BP34" i="2"/>
  <c r="CF34" i="2"/>
  <c r="BP33" i="2" a="1"/>
  <c r="BP33" i="2"/>
  <c r="CF33" i="2"/>
  <c r="BP32" i="2" a="1"/>
  <c r="BP32" i="2"/>
  <c r="CF32" i="2"/>
  <c r="BP31" i="2" a="1"/>
  <c r="BP31" i="2"/>
  <c r="CF31" i="2"/>
  <c r="BP30" i="2" a="1"/>
  <c r="BP30" i="2"/>
  <c r="CF30" i="2"/>
  <c r="BP29" i="2" a="1"/>
  <c r="BP29" i="2"/>
  <c r="CF29" i="2"/>
  <c r="BP28" i="2" a="1"/>
  <c r="BP28" i="2"/>
  <c r="CF28" i="2"/>
  <c r="BP26" i="2" a="1"/>
  <c r="BP26" i="2"/>
  <c r="CF26" i="2"/>
  <c r="BP25" i="2" a="1"/>
  <c r="BP25" i="2"/>
  <c r="CF25" i="2"/>
  <c r="BP24" i="2" a="1"/>
  <c r="BP24" i="2"/>
  <c r="CF24" i="2"/>
  <c r="BP23" i="2" a="1"/>
  <c r="BP23" i="2"/>
  <c r="CF23" i="2"/>
  <c r="BP22" i="2" a="1"/>
  <c r="BP22" i="2"/>
  <c r="CF22" i="2"/>
  <c r="BP21" i="2" a="1"/>
  <c r="BP21" i="2"/>
  <c r="CF21" i="2"/>
  <c r="BP20" i="2" a="1"/>
  <c r="BP20" i="2"/>
  <c r="CF20" i="2"/>
  <c r="BP19" i="2" a="1"/>
  <c r="BP19" i="2"/>
  <c r="CF19" i="2"/>
  <c r="BP17" i="2" a="1"/>
  <c r="BP17" i="2"/>
  <c r="CF17" i="2"/>
  <c r="BP16" i="2" a="1"/>
  <c r="BP16" i="2"/>
  <c r="CF16" i="2"/>
  <c r="BP15" i="2" a="1"/>
  <c r="BP15" i="2"/>
  <c r="CF15" i="2"/>
  <c r="BP14" i="2" a="1"/>
  <c r="BP14" i="2"/>
  <c r="CF14" i="2"/>
  <c r="BO456" i="2" a="1"/>
  <c r="BO456" i="2"/>
  <c r="CC456" i="2"/>
  <c r="BO455" i="2" a="1"/>
  <c r="BO455" i="2"/>
  <c r="CC455" i="2"/>
  <c r="BO454" i="2" a="1"/>
  <c r="BO454" i="2"/>
  <c r="BO453" i="2" a="1"/>
  <c r="BO453" i="2"/>
  <c r="CC453" i="2"/>
  <c r="BO452" i="2" a="1"/>
  <c r="BO452" i="2"/>
  <c r="CC452" i="2"/>
  <c r="BO451" i="2" a="1"/>
  <c r="BO451" i="2"/>
  <c r="CC451" i="2"/>
  <c r="BO450" i="2" a="1"/>
  <c r="BO450" i="2"/>
  <c r="BO447" i="2" a="1"/>
  <c r="BO447" i="2"/>
  <c r="CC447" i="2"/>
  <c r="BO446" i="2" a="1"/>
  <c r="BO446" i="2"/>
  <c r="CC446" i="2"/>
  <c r="BO445" i="2" a="1"/>
  <c r="BO445" i="2"/>
  <c r="CC445" i="2"/>
  <c r="BO441" i="2" a="1"/>
  <c r="BO441" i="2"/>
  <c r="CC441" i="2"/>
  <c r="BO440" i="2" a="1"/>
  <c r="BO440" i="2"/>
  <c r="CC440" i="2"/>
  <c r="BO439" i="2" a="1"/>
  <c r="BO439" i="2"/>
  <c r="BO438" i="2" a="1"/>
  <c r="BO438" i="2"/>
  <c r="CC438" i="2"/>
  <c r="BO437" i="2" a="1"/>
  <c r="BO437" i="2"/>
  <c r="CC437" i="2"/>
  <c r="BO436" i="2" a="1"/>
  <c r="BO436" i="2"/>
  <c r="CC436" i="2"/>
  <c r="BO435" i="2" a="1"/>
  <c r="BO435" i="2"/>
  <c r="CC435" i="2"/>
  <c r="BO434" i="2" a="1"/>
  <c r="BO434" i="2"/>
  <c r="CC434" i="2"/>
  <c r="BO432" i="2" a="1"/>
  <c r="BO432" i="2"/>
  <c r="BO431" i="2" a="1"/>
  <c r="BO431" i="2"/>
  <c r="CC431" i="2"/>
  <c r="BO428" i="2" a="1"/>
  <c r="BO428" i="2"/>
  <c r="BO427" i="2" a="1"/>
  <c r="BO427" i="2"/>
  <c r="CC427" i="2"/>
  <c r="BO426" i="2" a="1"/>
  <c r="BO426" i="2"/>
  <c r="BO424" i="2" a="1"/>
  <c r="BO424" i="2"/>
  <c r="CC424" i="2"/>
  <c r="BO423" i="2" a="1"/>
  <c r="BO423" i="2"/>
  <c r="CC423" i="2"/>
  <c r="BO422" i="2" a="1"/>
  <c r="BO422" i="2"/>
  <c r="CC422" i="2"/>
  <c r="BO421" i="2" a="1"/>
  <c r="BO421" i="2"/>
  <c r="CC421" i="2"/>
  <c r="BO418" i="2" a="1"/>
  <c r="BO418" i="2"/>
  <c r="CC418" i="2"/>
  <c r="BO417" i="2" a="1"/>
  <c r="BO417" i="2"/>
  <c r="BO415" i="2" a="1"/>
  <c r="BO415" i="2"/>
  <c r="CC415" i="2"/>
  <c r="BO414" i="2" a="1"/>
  <c r="BO414" i="2"/>
  <c r="CC414" i="2"/>
  <c r="BO413" i="2" a="1"/>
  <c r="BO413" i="2"/>
  <c r="CC413" i="2"/>
  <c r="BO412" i="2" a="1"/>
  <c r="BO412" i="2"/>
  <c r="CC412" i="2"/>
  <c r="BO410" i="2" a="1"/>
  <c r="BO410" i="2"/>
  <c r="CC410" i="2"/>
  <c r="BO409" i="2" a="1"/>
  <c r="BO409" i="2"/>
  <c r="BO402" i="2" a="1"/>
  <c r="BO402" i="2"/>
  <c r="CC402" i="2"/>
  <c r="BO401" i="2" a="1"/>
  <c r="BO401" i="2"/>
  <c r="CC401" i="2"/>
  <c r="BO400" i="2" a="1"/>
  <c r="BO400" i="2"/>
  <c r="CC400" i="2"/>
  <c r="BO399" i="2" a="1"/>
  <c r="BO399" i="2"/>
  <c r="CC399" i="2"/>
  <c r="BO397" i="2" a="1"/>
  <c r="BO397" i="2"/>
  <c r="CC397" i="2"/>
  <c r="BO396" i="2" a="1"/>
  <c r="BO396" i="2"/>
  <c r="CC396" i="2"/>
  <c r="BO394" i="2" a="1"/>
  <c r="BO394" i="2"/>
  <c r="CC394" i="2"/>
  <c r="BO393" i="2" a="1"/>
  <c r="BO393" i="2"/>
  <c r="CC393" i="2"/>
  <c r="BO392" i="2" a="1"/>
  <c r="BO392" i="2"/>
  <c r="CC392" i="2"/>
  <c r="BO391" i="2" a="1"/>
  <c r="BO391" i="2"/>
  <c r="BO390" i="2" a="1"/>
  <c r="BO390" i="2"/>
  <c r="CC390" i="2"/>
  <c r="BO388" i="2" a="1"/>
  <c r="BO388" i="2"/>
  <c r="BO386" i="2" a="1"/>
  <c r="BO386" i="2"/>
  <c r="CC386" i="2"/>
  <c r="BO385" i="2" a="1"/>
  <c r="BO385" i="2"/>
  <c r="CC385" i="2"/>
  <c r="BO384" i="2" a="1"/>
  <c r="BO384" i="2"/>
  <c r="CC384" i="2"/>
  <c r="BO383" i="2" a="1"/>
  <c r="BO383" i="2"/>
  <c r="CC383" i="2"/>
  <c r="BO382" i="2" a="1"/>
  <c r="BO382" i="2"/>
  <c r="CC382" i="2"/>
  <c r="BO381" i="2" a="1"/>
  <c r="BO381" i="2"/>
  <c r="BO380" i="2" a="1"/>
  <c r="BO380" i="2"/>
  <c r="CC380" i="2"/>
  <c r="BO379" i="2" a="1"/>
  <c r="BO379" i="2"/>
  <c r="CC379" i="2"/>
  <c r="BO378" i="2" a="1"/>
  <c r="BO378" i="2"/>
  <c r="CC378" i="2"/>
  <c r="BO376" i="2" a="1"/>
  <c r="BO376" i="2"/>
  <c r="CC376" i="2"/>
  <c r="BO375" i="2" a="1"/>
  <c r="BO375" i="2"/>
  <c r="CC375" i="2"/>
  <c r="BO374" i="2" a="1"/>
  <c r="BO374" i="2"/>
  <c r="CC374" i="2"/>
  <c r="BO373" i="2" a="1"/>
  <c r="BO373" i="2"/>
  <c r="CC373" i="2"/>
  <c r="BO372" i="2" a="1"/>
  <c r="BO372" i="2"/>
  <c r="BO371" i="2" a="1"/>
  <c r="BO371" i="2"/>
  <c r="CC371" i="2"/>
  <c r="BO370" i="2" a="1"/>
  <c r="BO370" i="2"/>
  <c r="CC370" i="2"/>
  <c r="BO369" i="2" a="1"/>
  <c r="BO369" i="2"/>
  <c r="CC369" i="2"/>
  <c r="BO368" i="2" a="1"/>
  <c r="BO368" i="2"/>
  <c r="CC368" i="2"/>
  <c r="BO367" i="2" a="1"/>
  <c r="BO367" i="2"/>
  <c r="CC367" i="2"/>
  <c r="BO366" i="2" a="1"/>
  <c r="BO366" i="2"/>
  <c r="BO365" i="2" a="1"/>
  <c r="BO365" i="2"/>
  <c r="CC365" i="2"/>
  <c r="BO363" i="2" a="1"/>
  <c r="BO363" i="2"/>
  <c r="CC363" i="2"/>
  <c r="BO362" i="2" a="1"/>
  <c r="BO362" i="2"/>
  <c r="CC362" i="2"/>
  <c r="BO361" i="2" a="1"/>
  <c r="BO361" i="2"/>
  <c r="CC361" i="2"/>
  <c r="BO360" i="2" a="1"/>
  <c r="BO360" i="2"/>
  <c r="CC360" i="2"/>
  <c r="BO359" i="2" a="1"/>
  <c r="BO359" i="2"/>
  <c r="CC359" i="2"/>
  <c r="BO358" i="2" a="1"/>
  <c r="BO358" i="2"/>
  <c r="CC358" i="2"/>
  <c r="BO357" i="2" a="1"/>
  <c r="BO357" i="2"/>
  <c r="CC357" i="2"/>
  <c r="BO356" i="2" a="1"/>
  <c r="BO356" i="2"/>
  <c r="CC356" i="2"/>
  <c r="BO355" i="2" a="1"/>
  <c r="BO355" i="2"/>
  <c r="CC355" i="2"/>
  <c r="BO354" i="2" a="1"/>
  <c r="BO354" i="2"/>
  <c r="CC354" i="2"/>
  <c r="BO353" i="2" a="1"/>
  <c r="BO353" i="2"/>
  <c r="CC353" i="2"/>
  <c r="BO352" i="2" a="1"/>
  <c r="BO352" i="2"/>
  <c r="CC352" i="2"/>
  <c r="BO351" i="2" a="1"/>
  <c r="BO351" i="2"/>
  <c r="CC351" i="2"/>
  <c r="BO350" i="2" a="1"/>
  <c r="BO350" i="2"/>
  <c r="CC350" i="2"/>
  <c r="BO349" i="2" a="1"/>
  <c r="BO349" i="2"/>
  <c r="BO348" i="2" a="1"/>
  <c r="BO348" i="2"/>
  <c r="CC348" i="2"/>
  <c r="BO347" i="2" a="1"/>
  <c r="BO347" i="2"/>
  <c r="CC347" i="2"/>
  <c r="BO346" i="2" a="1"/>
  <c r="BO346" i="2"/>
  <c r="CC346" i="2"/>
  <c r="BO345" i="2" a="1"/>
  <c r="BO345" i="2"/>
  <c r="BO344" i="2" a="1"/>
  <c r="BO344" i="2"/>
  <c r="CC344" i="2"/>
  <c r="BO343" i="2" a="1"/>
  <c r="BO343" i="2"/>
  <c r="CC343" i="2"/>
  <c r="BO342" i="2" a="1"/>
  <c r="BO342" i="2"/>
  <c r="CC342" i="2"/>
  <c r="BO341" i="2" a="1"/>
  <c r="BO341" i="2"/>
  <c r="CC341" i="2"/>
  <c r="BO340" i="2" a="1"/>
  <c r="BO340" i="2"/>
  <c r="CC340" i="2"/>
  <c r="BO339" i="2" a="1"/>
  <c r="BO339" i="2"/>
  <c r="BO338" i="2" a="1"/>
  <c r="BO338" i="2"/>
  <c r="CC338" i="2"/>
  <c r="BO337" i="2" a="1"/>
  <c r="BO337" i="2"/>
  <c r="CC337" i="2"/>
  <c r="BO336" i="2" a="1"/>
  <c r="BO336" i="2"/>
  <c r="CC336" i="2"/>
  <c r="BO335" i="2" a="1"/>
  <c r="BO335" i="2"/>
  <c r="CC335" i="2"/>
  <c r="BO334" i="2" a="1"/>
  <c r="BO334" i="2"/>
  <c r="CC334" i="2"/>
  <c r="BO333" i="2" a="1"/>
  <c r="BO333" i="2"/>
  <c r="CC333" i="2"/>
  <c r="BO332" i="2" a="1"/>
  <c r="BO332" i="2"/>
  <c r="CC332" i="2"/>
  <c r="BO331" i="2" a="1"/>
  <c r="BO331" i="2"/>
  <c r="BO330" i="2" a="1"/>
  <c r="BO330" i="2"/>
  <c r="CC330" i="2"/>
  <c r="BO329" i="2" a="1"/>
  <c r="BO329" i="2"/>
  <c r="CC329" i="2"/>
  <c r="BO327" i="2" a="1"/>
  <c r="BO327" i="2"/>
  <c r="CC327" i="2"/>
  <c r="BO326" i="2" a="1"/>
  <c r="BO326" i="2"/>
  <c r="BO325" i="2" a="1"/>
  <c r="BO325" i="2"/>
  <c r="CC325" i="2"/>
  <c r="BO323" i="2" a="1"/>
  <c r="BO323" i="2"/>
  <c r="CC323" i="2"/>
  <c r="BO322" i="2" a="1"/>
  <c r="BO322" i="2"/>
  <c r="CC322" i="2"/>
  <c r="BO321" i="2" a="1"/>
  <c r="BO321" i="2"/>
  <c r="BO319" i="2" a="1"/>
  <c r="BO319" i="2"/>
  <c r="CC319" i="2"/>
  <c r="BO318" i="2" a="1"/>
  <c r="BO318" i="2"/>
  <c r="CC318" i="2"/>
  <c r="BO317" i="2" a="1"/>
  <c r="BO317" i="2"/>
  <c r="CC317" i="2"/>
  <c r="BO316" i="2" a="1"/>
  <c r="BO316" i="2"/>
  <c r="CC316" i="2"/>
  <c r="BO315" i="2" a="1"/>
  <c r="BO315" i="2"/>
  <c r="CC315" i="2"/>
  <c r="BO313" i="2" a="1"/>
  <c r="BO313" i="2"/>
  <c r="BO312" i="2" a="1"/>
  <c r="BO312" i="2"/>
  <c r="CC312" i="2"/>
  <c r="BO311" i="2" a="1"/>
  <c r="BO311" i="2"/>
  <c r="CC311" i="2"/>
  <c r="BO310" i="2" a="1"/>
  <c r="BO310" i="2"/>
  <c r="CC310" i="2"/>
  <c r="BO309" i="2" a="1"/>
  <c r="BO309" i="2"/>
  <c r="CC309" i="2"/>
  <c r="BO308" i="2" a="1"/>
  <c r="BO308" i="2"/>
  <c r="CC308" i="2"/>
  <c r="BO307" i="2" a="1"/>
  <c r="BO307" i="2"/>
  <c r="CC307" i="2"/>
  <c r="BO306" i="2" a="1"/>
  <c r="BO306" i="2"/>
  <c r="CC306" i="2"/>
  <c r="BO305" i="2" a="1"/>
  <c r="BO305" i="2"/>
  <c r="BO304" i="2" a="1"/>
  <c r="BO304" i="2"/>
  <c r="CC304" i="2"/>
  <c r="BO303" i="2" a="1"/>
  <c r="BO303" i="2"/>
  <c r="BO302" i="2" a="1"/>
  <c r="BO302" i="2"/>
  <c r="CC302" i="2"/>
  <c r="BO301" i="2" a="1"/>
  <c r="BO301" i="2"/>
  <c r="CC301" i="2"/>
  <c r="BO298" i="2" a="1"/>
  <c r="BO298" i="2"/>
  <c r="CC298" i="2"/>
  <c r="BO297" i="2" a="1"/>
  <c r="BO297" i="2"/>
  <c r="CC297" i="2"/>
  <c r="BO296" i="2" a="1"/>
  <c r="BO296" i="2"/>
  <c r="CC296" i="2"/>
  <c r="BO295" i="2" a="1"/>
  <c r="BO295" i="2"/>
  <c r="CC295" i="2"/>
  <c r="BO294" i="2" a="1"/>
  <c r="BO294" i="2"/>
  <c r="CC294" i="2"/>
  <c r="BO293" i="2" a="1"/>
  <c r="BO293" i="2"/>
  <c r="CC293" i="2"/>
  <c r="BO292" i="2" a="1"/>
  <c r="BO292" i="2"/>
  <c r="CC292" i="2"/>
  <c r="BO291" i="2" a="1"/>
  <c r="BO291" i="2"/>
  <c r="CC291" i="2"/>
  <c r="BO290" i="2" a="1"/>
  <c r="BO290" i="2"/>
  <c r="CC290" i="2"/>
  <c r="BO289" i="2" a="1"/>
  <c r="BO289" i="2"/>
  <c r="CC289" i="2"/>
  <c r="BO288" i="2" a="1"/>
  <c r="BO288" i="2"/>
  <c r="CC288" i="2"/>
  <c r="BO287" i="2" a="1"/>
  <c r="BO287" i="2"/>
  <c r="CC287" i="2"/>
  <c r="BO286" i="2" a="1"/>
  <c r="BO286" i="2"/>
  <c r="CC286" i="2"/>
  <c r="BO285" i="2" a="1"/>
  <c r="BO285" i="2"/>
  <c r="BO284" i="2" a="1"/>
  <c r="BO284" i="2"/>
  <c r="CC284" i="2"/>
  <c r="BO282" i="2" a="1"/>
  <c r="BO282" i="2"/>
  <c r="CC282" i="2"/>
  <c r="BO281" i="2" a="1"/>
  <c r="BO281" i="2"/>
  <c r="CC281" i="2"/>
  <c r="BO280" i="2" a="1"/>
  <c r="BO280" i="2"/>
  <c r="CC280" i="2"/>
  <c r="BO279" i="2" a="1"/>
  <c r="BO279" i="2"/>
  <c r="CC279" i="2"/>
  <c r="BO278" i="2" a="1"/>
  <c r="BO278" i="2"/>
  <c r="BO277" i="2" a="1"/>
  <c r="BO277" i="2"/>
  <c r="CC277" i="2"/>
  <c r="BO276" i="2" a="1"/>
  <c r="BO276" i="2"/>
  <c r="CC276" i="2"/>
  <c r="BO275" i="2" a="1"/>
  <c r="BO275" i="2"/>
  <c r="CC275" i="2"/>
  <c r="BO274" i="2" a="1"/>
  <c r="BO274" i="2"/>
  <c r="CC274" i="2"/>
  <c r="BO273" i="2" a="1"/>
  <c r="BO273" i="2"/>
  <c r="CC273" i="2"/>
  <c r="BO272" i="2" a="1"/>
  <c r="BO272" i="2"/>
  <c r="CC272" i="2"/>
  <c r="BO271" i="2" a="1"/>
  <c r="BO271" i="2"/>
  <c r="CC271" i="2"/>
  <c r="BO270" i="2" a="1"/>
  <c r="BO270" i="2"/>
  <c r="BO269" i="2" a="1"/>
  <c r="BO269" i="2"/>
  <c r="CC269" i="2"/>
  <c r="BO268" i="2" a="1"/>
  <c r="BO268" i="2"/>
  <c r="CC268" i="2"/>
  <c r="BO267" i="2" a="1"/>
  <c r="BO267" i="2"/>
  <c r="CC267" i="2"/>
  <c r="BO265" i="2" a="1"/>
  <c r="BO265" i="2"/>
  <c r="BO264" i="2" a="1"/>
  <c r="BO264" i="2"/>
  <c r="CC264" i="2"/>
  <c r="BO263" i="2" a="1"/>
  <c r="BO263" i="2"/>
  <c r="CC263" i="2"/>
  <c r="BO262" i="2" a="1"/>
  <c r="BO262" i="2"/>
  <c r="CC262" i="2"/>
  <c r="BO261" i="2" a="1"/>
  <c r="BO261" i="2"/>
  <c r="CC261" i="2"/>
  <c r="BO260" i="2" a="1"/>
  <c r="BO260" i="2"/>
  <c r="CC260" i="2"/>
  <c r="BO259" i="2" a="1"/>
  <c r="BO259" i="2"/>
  <c r="BO258" i="2" a="1"/>
  <c r="BO258" i="2"/>
  <c r="CC258" i="2"/>
  <c r="BO257" i="2" a="1"/>
  <c r="BO257" i="2"/>
  <c r="BO256" i="2" a="1"/>
  <c r="BO256" i="2"/>
  <c r="CC256" i="2"/>
  <c r="BO255" i="2" a="1"/>
  <c r="BO255" i="2"/>
  <c r="CC255" i="2"/>
  <c r="BO254" i="2" a="1"/>
  <c r="BO254" i="2"/>
  <c r="CC254" i="2"/>
  <c r="BO253" i="2" a="1"/>
  <c r="BO253" i="2"/>
  <c r="BO252" i="2" a="1"/>
  <c r="BO252" i="2"/>
  <c r="CC252" i="2"/>
  <c r="BO251" i="2" a="1"/>
  <c r="BO251" i="2"/>
  <c r="BO250" i="2" a="1"/>
  <c r="BO250" i="2"/>
  <c r="CC250" i="2"/>
  <c r="BO249" i="2" a="1"/>
  <c r="BO249" i="2"/>
  <c r="BO248" i="2" a="1"/>
  <c r="BO248" i="2"/>
  <c r="CC248" i="2"/>
  <c r="BO247" i="2" a="1"/>
  <c r="BO247" i="2"/>
  <c r="CC247" i="2"/>
  <c r="BO246" i="2" a="1"/>
  <c r="BO246" i="2"/>
  <c r="CC246" i="2"/>
  <c r="BO245" i="2" a="1"/>
  <c r="BO245" i="2"/>
  <c r="BO244" i="2" a="1"/>
  <c r="BO244" i="2"/>
  <c r="CC244" i="2"/>
  <c r="BO243" i="2" a="1"/>
  <c r="BO243" i="2"/>
  <c r="CC243" i="2"/>
  <c r="BO241" i="2" a="1"/>
  <c r="BO241" i="2"/>
  <c r="CC241" i="2"/>
  <c r="BO240" i="2" a="1"/>
  <c r="BO240" i="2"/>
  <c r="BO238" i="2" a="1"/>
  <c r="BO238" i="2"/>
  <c r="CC238" i="2"/>
  <c r="BO237" i="2" a="1"/>
  <c r="BO237" i="2"/>
  <c r="CC237" i="2"/>
  <c r="BO236" i="2" a="1"/>
  <c r="BO236" i="2"/>
  <c r="CC236" i="2"/>
  <c r="BO235" i="2" a="1"/>
  <c r="BO235" i="2"/>
  <c r="BO234" i="2" a="1"/>
  <c r="BO234" i="2"/>
  <c r="CC234" i="2"/>
  <c r="BO233" i="2" a="1"/>
  <c r="BO233" i="2"/>
  <c r="BO232" i="2" a="1"/>
  <c r="BO232" i="2"/>
  <c r="CC232" i="2"/>
  <c r="BO231" i="2" a="1"/>
  <c r="BO231" i="2"/>
  <c r="CC231" i="2"/>
  <c r="BO230" i="2" a="1"/>
  <c r="BO230" i="2"/>
  <c r="CC230" i="2"/>
  <c r="BO229" i="2" a="1"/>
  <c r="BO229" i="2"/>
  <c r="BO228" i="2" a="1"/>
  <c r="BO228" i="2"/>
  <c r="CC228" i="2"/>
  <c r="BO227" i="2" a="1"/>
  <c r="BO227" i="2"/>
  <c r="CC227" i="2"/>
  <c r="BO226" i="2" a="1"/>
  <c r="BO226" i="2"/>
  <c r="CC226" i="2"/>
  <c r="BO225" i="2" a="1"/>
  <c r="BO225" i="2"/>
  <c r="CC225" i="2"/>
  <c r="BO224" i="2" a="1"/>
  <c r="BO224" i="2"/>
  <c r="CC224" i="2"/>
  <c r="BO222" i="2" a="1"/>
  <c r="BO222" i="2"/>
  <c r="CC222" i="2"/>
  <c r="BO221" i="2" a="1"/>
  <c r="BO221" i="2"/>
  <c r="CC221" i="2"/>
  <c r="BO220" i="2" a="1"/>
  <c r="BO220" i="2"/>
  <c r="CC220" i="2"/>
  <c r="BO219" i="2" a="1"/>
  <c r="BO219" i="2"/>
  <c r="CC219" i="2"/>
  <c r="BO218" i="2" a="1"/>
  <c r="BO218" i="2"/>
  <c r="CC218" i="2"/>
  <c r="BO217" i="2" a="1"/>
  <c r="BO217" i="2"/>
  <c r="CC217" i="2"/>
  <c r="BO216" i="2" a="1"/>
  <c r="BO216" i="2"/>
  <c r="CC216" i="2"/>
  <c r="BO215" i="2" a="1"/>
  <c r="BO215" i="2"/>
  <c r="CC215" i="2"/>
  <c r="BO214" i="2" a="1"/>
  <c r="BO214" i="2"/>
  <c r="BO213" i="2" a="1"/>
  <c r="BO213" i="2"/>
  <c r="CC213" i="2"/>
  <c r="BO212" i="2" a="1"/>
  <c r="BO212" i="2"/>
  <c r="CC212" i="2"/>
  <c r="BO211" i="2" a="1"/>
  <c r="BO211" i="2"/>
  <c r="CC211" i="2"/>
  <c r="BO210" i="2" a="1"/>
  <c r="BO210" i="2"/>
  <c r="BO209" i="2" a="1"/>
  <c r="BO209" i="2"/>
  <c r="CC209" i="2"/>
  <c r="BO208" i="2" a="1"/>
  <c r="BO208" i="2"/>
  <c r="CC208" i="2"/>
  <c r="BO207" i="2" a="1"/>
  <c r="BO207" i="2"/>
  <c r="CC207" i="2"/>
  <c r="BO206" i="2" a="1"/>
  <c r="BO206" i="2"/>
  <c r="CC206" i="2"/>
  <c r="BO205" i="2" a="1"/>
  <c r="BO205" i="2"/>
  <c r="CC205" i="2"/>
  <c r="BO204" i="2" a="1"/>
  <c r="BO204" i="2"/>
  <c r="CC204" i="2"/>
  <c r="BO203" i="2" a="1"/>
  <c r="BO203" i="2"/>
  <c r="CC203" i="2"/>
  <c r="BO202" i="2" a="1"/>
  <c r="BO202" i="2"/>
  <c r="BO201" i="2" a="1"/>
  <c r="BO201" i="2"/>
  <c r="CC201" i="2"/>
  <c r="BO200" i="2" a="1"/>
  <c r="BO200" i="2"/>
  <c r="CC200" i="2"/>
  <c r="BO199" i="2" a="1"/>
  <c r="BO199" i="2"/>
  <c r="CC199" i="2"/>
  <c r="BO198" i="2" a="1"/>
  <c r="BO198" i="2"/>
  <c r="CC198" i="2"/>
  <c r="BO197" i="2" a="1"/>
  <c r="BO197" i="2"/>
  <c r="CC197" i="2"/>
  <c r="BO196" i="2" a="1"/>
  <c r="BO196" i="2"/>
  <c r="CC196" i="2"/>
  <c r="BO195" i="2" a="1"/>
  <c r="BO195" i="2"/>
  <c r="CC195" i="2"/>
  <c r="BO193" i="2" a="1"/>
  <c r="BO193" i="2"/>
  <c r="CC193" i="2"/>
  <c r="BO190" i="2" a="1"/>
  <c r="BO190" i="2"/>
  <c r="CC190" i="2"/>
  <c r="BO188" i="2" a="1"/>
  <c r="BO188" i="2"/>
  <c r="BO186" i="2" a="1"/>
  <c r="BO186" i="2"/>
  <c r="CC186" i="2"/>
  <c r="BO185" i="2" a="1"/>
  <c r="BO185" i="2"/>
  <c r="CC185" i="2"/>
  <c r="BO183" i="2" a="1"/>
  <c r="BO183" i="2"/>
  <c r="CC183" i="2"/>
  <c r="BO182" i="2" a="1"/>
  <c r="BO182" i="2"/>
  <c r="CC182" i="2"/>
  <c r="BO181" i="2" a="1"/>
  <c r="BO181" i="2"/>
  <c r="CC181" i="2"/>
  <c r="BO178" i="2" a="1"/>
  <c r="BO178" i="2"/>
  <c r="BO177" i="2" a="1"/>
  <c r="BO177" i="2"/>
  <c r="CC177" i="2"/>
  <c r="BO175" i="2" a="1"/>
  <c r="BO175" i="2"/>
  <c r="CC175" i="2"/>
  <c r="BO174" i="2" a="1"/>
  <c r="BO174" i="2"/>
  <c r="CC174" i="2"/>
  <c r="BO170" i="2" a="1"/>
  <c r="BO170" i="2"/>
  <c r="BO169" i="2" a="1"/>
  <c r="BO169" i="2"/>
  <c r="CC169" i="2"/>
  <c r="BO168" i="2" a="1"/>
  <c r="BO168" i="2"/>
  <c r="CC168" i="2"/>
  <c r="BO167" i="2" a="1"/>
  <c r="BO167" i="2"/>
  <c r="CC167" i="2"/>
  <c r="BO166" i="2" a="1"/>
  <c r="BO166" i="2"/>
  <c r="BO165" i="2" a="1"/>
  <c r="BO165" i="2"/>
  <c r="CC165" i="2"/>
  <c r="BO164" i="2" a="1"/>
  <c r="BO164" i="2"/>
  <c r="CC164" i="2"/>
  <c r="BO163" i="2" a="1"/>
  <c r="BO163" i="2"/>
  <c r="CC163" i="2"/>
  <c r="BO162" i="2" a="1"/>
  <c r="BO162" i="2"/>
  <c r="BO161" i="2" a="1"/>
  <c r="BO161" i="2"/>
  <c r="CC161" i="2"/>
  <c r="BO160" i="2" a="1"/>
  <c r="BO160" i="2"/>
  <c r="CC160" i="2"/>
  <c r="BO159" i="2" a="1"/>
  <c r="BO159" i="2"/>
  <c r="CC159" i="2"/>
  <c r="BO158" i="2" a="1"/>
  <c r="BO158" i="2"/>
  <c r="BO156" i="2" a="1"/>
  <c r="BO156" i="2"/>
  <c r="CC156" i="2"/>
  <c r="BO154" i="2" a="1"/>
  <c r="BO154" i="2"/>
  <c r="CC154" i="2"/>
  <c r="BO153" i="2" a="1"/>
  <c r="BO153" i="2"/>
  <c r="CC153" i="2"/>
  <c r="BO152" i="2" a="1"/>
  <c r="BO152" i="2"/>
  <c r="CC152" i="2"/>
  <c r="BO151" i="2" a="1"/>
  <c r="BO151" i="2"/>
  <c r="CC151" i="2"/>
  <c r="BO148" i="2" a="1"/>
  <c r="BO148" i="2"/>
  <c r="CC148" i="2"/>
  <c r="BO147" i="2" a="1"/>
  <c r="BO147" i="2"/>
  <c r="CC147" i="2"/>
  <c r="BO145" i="2" a="1"/>
  <c r="BO145" i="2"/>
  <c r="BO142" i="2" a="1"/>
  <c r="BO142" i="2"/>
  <c r="CC142" i="2"/>
  <c r="BO140" i="2" a="1"/>
  <c r="BO140" i="2"/>
  <c r="CC140" i="2"/>
  <c r="BO139" i="2" a="1"/>
  <c r="BO139" i="2"/>
  <c r="CC139" i="2"/>
  <c r="BO137" i="2" a="1"/>
  <c r="BO137" i="2"/>
  <c r="CC137" i="2"/>
  <c r="BO136" i="2" a="1"/>
  <c r="BO136" i="2"/>
  <c r="CC136" i="2"/>
  <c r="BO135" i="2" a="1"/>
  <c r="BO135" i="2"/>
  <c r="CC135" i="2"/>
  <c r="BO134" i="2" a="1"/>
  <c r="BO134" i="2"/>
  <c r="CC134" i="2"/>
  <c r="BO133" i="2" a="1"/>
  <c r="BO133" i="2"/>
  <c r="BO132" i="2" a="1"/>
  <c r="BO132" i="2"/>
  <c r="CC132" i="2"/>
  <c r="BO130" i="2" a="1"/>
  <c r="BO130" i="2"/>
  <c r="CC130" i="2"/>
  <c r="BO128" i="2" a="1"/>
  <c r="BO128" i="2"/>
  <c r="CC128" i="2"/>
  <c r="BO127" i="2" a="1"/>
  <c r="BO127" i="2"/>
  <c r="CC127" i="2"/>
  <c r="BO126" i="2" a="1"/>
  <c r="BO126" i="2"/>
  <c r="CC126" i="2"/>
  <c r="BO125" i="2" a="1"/>
  <c r="BO125" i="2"/>
  <c r="CC125" i="2"/>
  <c r="BO124" i="2" a="1"/>
  <c r="BO124" i="2"/>
  <c r="CC124" i="2"/>
  <c r="BO123" i="2" a="1"/>
  <c r="BO123" i="2"/>
  <c r="CC123" i="2"/>
  <c r="BO122" i="2" a="1"/>
  <c r="BO122" i="2"/>
  <c r="CC122" i="2"/>
  <c r="BO121" i="2" a="1"/>
  <c r="BO121" i="2"/>
  <c r="CC121" i="2"/>
  <c r="BO120" i="2" a="1"/>
  <c r="BO120" i="2"/>
  <c r="CC120" i="2"/>
  <c r="BO119" i="2" a="1"/>
  <c r="BO119" i="2"/>
  <c r="CC119" i="2"/>
  <c r="BO118" i="2" a="1"/>
  <c r="BO118" i="2"/>
  <c r="CC118" i="2"/>
  <c r="BO117" i="2" a="1"/>
  <c r="BO117" i="2"/>
  <c r="CC117" i="2"/>
  <c r="BO116" i="2" a="1"/>
  <c r="BO116" i="2"/>
  <c r="CC116" i="2"/>
  <c r="BO114" i="2" a="1"/>
  <c r="BO114" i="2"/>
  <c r="BO113" i="2" a="1"/>
  <c r="BO113" i="2"/>
  <c r="CC113" i="2"/>
  <c r="BO112" i="2" a="1"/>
  <c r="BO112" i="2"/>
  <c r="CC112" i="2"/>
  <c r="BO111" i="2" a="1"/>
  <c r="BO111" i="2"/>
  <c r="CC111" i="2"/>
  <c r="BO110" i="2" a="1"/>
  <c r="BO110" i="2"/>
  <c r="BO109" i="2" a="1"/>
  <c r="BO109" i="2"/>
  <c r="CC109" i="2"/>
  <c r="BO106" i="2" a="1"/>
  <c r="BO106" i="2"/>
  <c r="CC106" i="2"/>
  <c r="BO105" i="2" a="1"/>
  <c r="BO105" i="2"/>
  <c r="CC105" i="2"/>
  <c r="BO104" i="2" a="1"/>
  <c r="BO104" i="2"/>
  <c r="BO103" i="2" a="1"/>
  <c r="BO103" i="2"/>
  <c r="CC103" i="2"/>
  <c r="BO102" i="2" a="1"/>
  <c r="BO102" i="2"/>
  <c r="CC102" i="2"/>
  <c r="BO101" i="2" a="1"/>
  <c r="BO101" i="2"/>
  <c r="CC101" i="2"/>
  <c r="BO100" i="2" a="1"/>
  <c r="BO100" i="2"/>
  <c r="CC100" i="2"/>
  <c r="BO99" i="2" a="1"/>
  <c r="BO99" i="2"/>
  <c r="CC99" i="2"/>
  <c r="BO98" i="2" a="1"/>
  <c r="BO98" i="2"/>
  <c r="CC98" i="2"/>
  <c r="BO95" i="2" a="1"/>
  <c r="BO95" i="2"/>
  <c r="CC95" i="2"/>
  <c r="BO93" i="2" a="1"/>
  <c r="BO93" i="2"/>
  <c r="BO92" i="2" a="1"/>
  <c r="BO92" i="2"/>
  <c r="CC92" i="2"/>
  <c r="BO91" i="2" a="1"/>
  <c r="BO91" i="2"/>
  <c r="CC91" i="2"/>
  <c r="BO89" i="2" a="1"/>
  <c r="BO89" i="2"/>
  <c r="CC89" i="2"/>
  <c r="BO88" i="2" a="1"/>
  <c r="BO88" i="2"/>
  <c r="BO87" i="2" a="1"/>
  <c r="BO87" i="2"/>
  <c r="CC87" i="2"/>
  <c r="BO86" i="2" a="1"/>
  <c r="BO86" i="2"/>
  <c r="CC86" i="2"/>
  <c r="BO85" i="2" a="1"/>
  <c r="BO85" i="2"/>
  <c r="CC85" i="2"/>
  <c r="BO84" i="2" a="1"/>
  <c r="BO84" i="2"/>
  <c r="BO81" i="2" a="1"/>
  <c r="BO81" i="2"/>
  <c r="CC81" i="2"/>
  <c r="BO80" i="2" a="1"/>
  <c r="BO80" i="2"/>
  <c r="CC80" i="2"/>
  <c r="BO79" i="2" a="1"/>
  <c r="BO79" i="2"/>
  <c r="CC79" i="2"/>
  <c r="BO77" i="2" a="1"/>
  <c r="BO77" i="2"/>
  <c r="CC77" i="2"/>
  <c r="BO76" i="2" a="1"/>
  <c r="BO76" i="2"/>
  <c r="CC76" i="2"/>
  <c r="BO75" i="2" a="1"/>
  <c r="BO75" i="2"/>
  <c r="CC75" i="2"/>
  <c r="BO74" i="2" a="1"/>
  <c r="BO74" i="2"/>
  <c r="CC74" i="2"/>
  <c r="BO73" i="2" a="1"/>
  <c r="BO73" i="2"/>
  <c r="BO72" i="2" a="1"/>
  <c r="BO72" i="2"/>
  <c r="CC72" i="2"/>
  <c r="BO71" i="2" a="1"/>
  <c r="BO71" i="2"/>
  <c r="CC71" i="2"/>
  <c r="BO70" i="2" a="1"/>
  <c r="BO70" i="2"/>
  <c r="CC70" i="2"/>
  <c r="BO69" i="2" a="1"/>
  <c r="BO69" i="2"/>
  <c r="BO68" i="2" a="1"/>
  <c r="BO68" i="2"/>
  <c r="CC68" i="2"/>
  <c r="BO67" i="2" a="1"/>
  <c r="BO67" i="2"/>
  <c r="CC67" i="2"/>
  <c r="BO66" i="2" a="1"/>
  <c r="BO66" i="2"/>
  <c r="CC66" i="2"/>
  <c r="BO65" i="2" a="1"/>
  <c r="BO65" i="2"/>
  <c r="BO64" i="2" a="1"/>
  <c r="BO64" i="2"/>
  <c r="CC64" i="2"/>
  <c r="BO63" i="2" a="1"/>
  <c r="BO63" i="2"/>
  <c r="CC63" i="2"/>
  <c r="BO62" i="2" a="1"/>
  <c r="BO62" i="2"/>
  <c r="CC62" i="2"/>
  <c r="BO61" i="2" a="1"/>
  <c r="BO61" i="2"/>
  <c r="CC61" i="2"/>
  <c r="BO60" i="2" a="1"/>
  <c r="BO60" i="2"/>
  <c r="CC60" i="2"/>
  <c r="BO59" i="2" a="1"/>
  <c r="BO59" i="2"/>
  <c r="CC59" i="2"/>
  <c r="BO58" i="2" a="1"/>
  <c r="BO58" i="2"/>
  <c r="CC58" i="2"/>
  <c r="BO57" i="2" a="1"/>
  <c r="BO57" i="2"/>
  <c r="BO56" i="2" a="1"/>
  <c r="BO56" i="2"/>
  <c r="CC56" i="2"/>
  <c r="BO55" i="2" a="1"/>
  <c r="BO55" i="2"/>
  <c r="CC55" i="2"/>
  <c r="BO53" i="2" a="1"/>
  <c r="BO53" i="2"/>
  <c r="CC53" i="2"/>
  <c r="BO52" i="2" a="1"/>
  <c r="BO52" i="2"/>
  <c r="BO51" i="2" a="1"/>
  <c r="BO51" i="2"/>
  <c r="CC51" i="2"/>
  <c r="BO48" i="2" a="1"/>
  <c r="BO48" i="2"/>
  <c r="CC48" i="2"/>
  <c r="BO46" i="2" a="1"/>
  <c r="BO46" i="2"/>
  <c r="CC46" i="2"/>
  <c r="BO45" i="2" a="1"/>
  <c r="BO45" i="2"/>
  <c r="BO44" i="2" a="1"/>
  <c r="BO44" i="2"/>
  <c r="CC44" i="2"/>
  <c r="BO43" i="2" a="1"/>
  <c r="BO43" i="2"/>
  <c r="CC43" i="2"/>
  <c r="BO42" i="2" a="1"/>
  <c r="BO42" i="2"/>
  <c r="CC42" i="2"/>
  <c r="BO41" i="2" a="1"/>
  <c r="BO41" i="2"/>
  <c r="CC41" i="2"/>
  <c r="BO40" i="2" a="1"/>
  <c r="BO40" i="2"/>
  <c r="CC40" i="2"/>
  <c r="BO39" i="2" a="1"/>
  <c r="BO39" i="2"/>
  <c r="CC39" i="2"/>
  <c r="BO38" i="2" a="1"/>
  <c r="BO38" i="2"/>
  <c r="CC38" i="2"/>
  <c r="BO36" i="2" a="1"/>
  <c r="BO36" i="2"/>
  <c r="BO35" i="2" a="1"/>
  <c r="BO35" i="2"/>
  <c r="CC35" i="2"/>
  <c r="BO34" i="2" a="1"/>
  <c r="BO34" i="2"/>
  <c r="CC34" i="2"/>
  <c r="BO33" i="2" a="1"/>
  <c r="BO33" i="2"/>
  <c r="CC33" i="2"/>
  <c r="BO32" i="2" a="1"/>
  <c r="BO32" i="2"/>
  <c r="BO31" i="2" a="1"/>
  <c r="BO31" i="2"/>
  <c r="CC31" i="2"/>
  <c r="BO30" i="2" a="1"/>
  <c r="BO30" i="2"/>
  <c r="CC30" i="2"/>
  <c r="BO29" i="2" a="1"/>
  <c r="BO29" i="2"/>
  <c r="CC29" i="2"/>
  <c r="BO28" i="2" a="1"/>
  <c r="BO28" i="2"/>
  <c r="BO26" i="2" a="1"/>
  <c r="BO26" i="2"/>
  <c r="CC26" i="2"/>
  <c r="BO25" i="2" a="1"/>
  <c r="BO25" i="2"/>
  <c r="CC25" i="2"/>
  <c r="BO24" i="2" a="1"/>
  <c r="BO24" i="2"/>
  <c r="CC24" i="2"/>
  <c r="BO23" i="2" a="1"/>
  <c r="BO23" i="2"/>
  <c r="CC23" i="2"/>
  <c r="BO22" i="2" a="1"/>
  <c r="BO22" i="2"/>
  <c r="CC22" i="2"/>
  <c r="BO21" i="2" a="1"/>
  <c r="BO21" i="2"/>
  <c r="CC21" i="2"/>
  <c r="BO20" i="2" a="1"/>
  <c r="BO20" i="2"/>
  <c r="CC20" i="2"/>
  <c r="BO19" i="2" a="1"/>
  <c r="BO19" i="2"/>
  <c r="BO17" i="2" a="1"/>
  <c r="BO17" i="2"/>
  <c r="CC17" i="2"/>
  <c r="BO16" i="2" a="1"/>
  <c r="BO16" i="2"/>
  <c r="CC16" i="2"/>
  <c r="BO15" i="2" a="1"/>
  <c r="BO15" i="2"/>
  <c r="CC15" i="2"/>
  <c r="BO14" i="2" a="1"/>
  <c r="BO14" i="2"/>
  <c r="BN456" i="2" a="1"/>
  <c r="BN456" i="2"/>
  <c r="BZ456" i="2"/>
  <c r="BN455" i="2" a="1"/>
  <c r="BN455" i="2"/>
  <c r="BZ455" i="2"/>
  <c r="BN454" i="2" a="1"/>
  <c r="BN454" i="2"/>
  <c r="BN453" i="2" a="1"/>
  <c r="BN453" i="2"/>
  <c r="BZ453" i="2"/>
  <c r="BN452" i="2" a="1"/>
  <c r="BN452" i="2"/>
  <c r="BZ452" i="2"/>
  <c r="BN451" i="2" a="1"/>
  <c r="BN451" i="2"/>
  <c r="BZ451" i="2"/>
  <c r="BN450" i="2" a="1"/>
  <c r="BN450" i="2"/>
  <c r="BN447" i="2" a="1"/>
  <c r="BN447" i="2"/>
  <c r="BZ447" i="2"/>
  <c r="BN446" i="2" a="1"/>
  <c r="BN446" i="2"/>
  <c r="BZ446" i="2"/>
  <c r="BN445" i="2" a="1"/>
  <c r="BN445" i="2"/>
  <c r="BZ445" i="2"/>
  <c r="BN441" i="2" a="1"/>
  <c r="BN441" i="2"/>
  <c r="BZ441" i="2"/>
  <c r="BN440" i="2" a="1"/>
  <c r="BN440" i="2"/>
  <c r="BZ440" i="2"/>
  <c r="BN439" i="2" a="1"/>
  <c r="BN439" i="2"/>
  <c r="BZ439" i="2"/>
  <c r="BN438" i="2" a="1"/>
  <c r="BN438" i="2"/>
  <c r="BZ438" i="2"/>
  <c r="BN437" i="2" a="1"/>
  <c r="BN437" i="2"/>
  <c r="BZ437" i="2"/>
  <c r="BN436" i="2" a="1"/>
  <c r="BN436" i="2"/>
  <c r="BZ436" i="2"/>
  <c r="BN435" i="2" a="1"/>
  <c r="BN435" i="2"/>
  <c r="BZ435" i="2"/>
  <c r="BN434" i="2" a="1"/>
  <c r="BN434" i="2"/>
  <c r="BZ434" i="2"/>
  <c r="BN432" i="2" a="1"/>
  <c r="BN432" i="2"/>
  <c r="BZ432" i="2"/>
  <c r="BN431" i="2" a="1"/>
  <c r="BN431" i="2"/>
  <c r="BZ431" i="2"/>
  <c r="BN428" i="2" a="1"/>
  <c r="BN428" i="2"/>
  <c r="BZ428" i="2"/>
  <c r="BN427" i="2" a="1"/>
  <c r="BN427" i="2"/>
  <c r="BZ427" i="2"/>
  <c r="BN426" i="2" a="1"/>
  <c r="BN426" i="2"/>
  <c r="BZ426" i="2"/>
  <c r="BN424" i="2" a="1"/>
  <c r="BN424" i="2"/>
  <c r="BZ424" i="2"/>
  <c r="BN423" i="2" a="1"/>
  <c r="BN423" i="2"/>
  <c r="BZ423" i="2"/>
  <c r="BN422" i="2" a="1"/>
  <c r="BN422" i="2"/>
  <c r="BZ422" i="2"/>
  <c r="BN421" i="2" a="1"/>
  <c r="BN421" i="2"/>
  <c r="BZ421" i="2"/>
  <c r="BN418" i="2" a="1"/>
  <c r="BN418" i="2"/>
  <c r="BZ418" i="2"/>
  <c r="BN417" i="2" a="1"/>
  <c r="BN417" i="2"/>
  <c r="BZ417" i="2"/>
  <c r="BN415" i="2" a="1"/>
  <c r="BN415" i="2"/>
  <c r="BZ415" i="2"/>
  <c r="BN414" i="2" a="1"/>
  <c r="BN414" i="2"/>
  <c r="BZ414" i="2"/>
  <c r="BN413" i="2" a="1"/>
  <c r="BN413" i="2"/>
  <c r="BZ413" i="2"/>
  <c r="BN412" i="2" a="1"/>
  <c r="BN412" i="2"/>
  <c r="BZ412" i="2"/>
  <c r="BN410" i="2" a="1"/>
  <c r="BN410" i="2"/>
  <c r="BZ410" i="2"/>
  <c r="BN409" i="2" a="1"/>
  <c r="BN409" i="2"/>
  <c r="BN402" i="2" a="1"/>
  <c r="BN402" i="2"/>
  <c r="BZ402" i="2"/>
  <c r="BN401" i="2" a="1"/>
  <c r="BN401" i="2"/>
  <c r="BZ401" i="2"/>
  <c r="BN400" i="2" a="1"/>
  <c r="BN400" i="2"/>
  <c r="BZ400" i="2"/>
  <c r="BN399" i="2" a="1"/>
  <c r="BN399" i="2"/>
  <c r="BN397" i="2" a="1"/>
  <c r="BN397" i="2"/>
  <c r="BZ397" i="2"/>
  <c r="BN396" i="2" a="1"/>
  <c r="BN396" i="2"/>
  <c r="BZ396" i="2"/>
  <c r="BN394" i="2" a="1"/>
  <c r="BN394" i="2"/>
  <c r="BZ394" i="2"/>
  <c r="BN393" i="2" a="1"/>
  <c r="BN393" i="2"/>
  <c r="BZ393" i="2"/>
  <c r="BN392" i="2" a="1"/>
  <c r="BN392" i="2"/>
  <c r="BZ392" i="2"/>
  <c r="BN391" i="2" a="1"/>
  <c r="BN391" i="2"/>
  <c r="BZ391" i="2"/>
  <c r="BN390" i="2" a="1"/>
  <c r="BN390" i="2"/>
  <c r="BZ390" i="2"/>
  <c r="BN388" i="2" a="1"/>
  <c r="BN388" i="2"/>
  <c r="BN386" i="2" a="1"/>
  <c r="BN386" i="2"/>
  <c r="BZ386" i="2"/>
  <c r="BN385" i="2" a="1"/>
  <c r="BN385" i="2"/>
  <c r="BZ385" i="2"/>
  <c r="BN384" i="2" a="1"/>
  <c r="BN384" i="2"/>
  <c r="BZ384" i="2"/>
  <c r="BN383" i="2" a="1"/>
  <c r="BN383" i="2"/>
  <c r="BZ383" i="2"/>
  <c r="BN382" i="2" a="1"/>
  <c r="BN382" i="2"/>
  <c r="BZ382" i="2"/>
  <c r="BN381" i="2" a="1"/>
  <c r="BN381" i="2"/>
  <c r="BZ381" i="2"/>
  <c r="BN380" i="2" a="1"/>
  <c r="BN380" i="2"/>
  <c r="BZ380" i="2"/>
  <c r="BN379" i="2" a="1"/>
  <c r="BN379" i="2"/>
  <c r="BZ379" i="2"/>
  <c r="BN378" i="2" a="1"/>
  <c r="BN378" i="2"/>
  <c r="BZ378" i="2"/>
  <c r="BN376" i="2" a="1"/>
  <c r="BN376" i="2"/>
  <c r="BZ376" i="2"/>
  <c r="BN375" i="2" a="1"/>
  <c r="BN375" i="2"/>
  <c r="BZ375" i="2"/>
  <c r="BN374" i="2" a="1"/>
  <c r="BN374" i="2"/>
  <c r="BZ374" i="2"/>
  <c r="BN373" i="2" a="1"/>
  <c r="BN373" i="2"/>
  <c r="BZ373" i="2"/>
  <c r="BN372" i="2" a="1"/>
  <c r="BN372" i="2"/>
  <c r="BZ372" i="2"/>
  <c r="BN371" i="2" a="1"/>
  <c r="BN371" i="2"/>
  <c r="BZ371" i="2"/>
  <c r="BN370" i="2" a="1"/>
  <c r="BN370" i="2"/>
  <c r="BZ370" i="2"/>
  <c r="BN369" i="2" a="1"/>
  <c r="BN369" i="2"/>
  <c r="BZ369" i="2"/>
  <c r="BN368" i="2" a="1"/>
  <c r="BN368" i="2"/>
  <c r="BZ368" i="2"/>
  <c r="BN367" i="2" a="1"/>
  <c r="BN367" i="2"/>
  <c r="BZ367" i="2"/>
  <c r="BN366" i="2" a="1"/>
  <c r="BN366" i="2"/>
  <c r="BN365" i="2" a="1"/>
  <c r="BN365" i="2"/>
  <c r="BZ365" i="2"/>
  <c r="BN363" i="2" a="1"/>
  <c r="BN363" i="2"/>
  <c r="BZ363" i="2"/>
  <c r="BN362" i="2" a="1"/>
  <c r="BN362" i="2"/>
  <c r="BZ362" i="2"/>
  <c r="BN361" i="2" a="1"/>
  <c r="BN361" i="2"/>
  <c r="BZ361" i="2"/>
  <c r="BN360" i="2" a="1"/>
  <c r="BN360" i="2"/>
  <c r="BZ360" i="2"/>
  <c r="BN359" i="2" a="1"/>
  <c r="BN359" i="2"/>
  <c r="BZ359" i="2"/>
  <c r="BN358" i="2" a="1"/>
  <c r="BN358" i="2"/>
  <c r="BZ358" i="2"/>
  <c r="BN357" i="2" a="1"/>
  <c r="BN357" i="2"/>
  <c r="BZ357" i="2"/>
  <c r="BN356" i="2" a="1"/>
  <c r="BN356" i="2"/>
  <c r="BZ356" i="2"/>
  <c r="BN355" i="2" a="1"/>
  <c r="BN355" i="2"/>
  <c r="BZ355" i="2"/>
  <c r="BN354" i="2" a="1"/>
  <c r="BN354" i="2"/>
  <c r="BZ354" i="2"/>
  <c r="BN353" i="2" a="1"/>
  <c r="BN353" i="2"/>
  <c r="BZ353" i="2"/>
  <c r="BN352" i="2" a="1"/>
  <c r="BN352" i="2"/>
  <c r="BZ352" i="2"/>
  <c r="BN351" i="2" a="1"/>
  <c r="BN351" i="2"/>
  <c r="BZ351" i="2"/>
  <c r="BN350" i="2" a="1"/>
  <c r="BN350" i="2"/>
  <c r="BZ350" i="2"/>
  <c r="BN349" i="2" a="1"/>
  <c r="BN349" i="2"/>
  <c r="BZ349" i="2"/>
  <c r="BN348" i="2" a="1"/>
  <c r="BN348" i="2"/>
  <c r="BZ348" i="2"/>
  <c r="BN347" i="2" a="1"/>
  <c r="BN347" i="2"/>
  <c r="BZ347" i="2"/>
  <c r="BN346" i="2" a="1"/>
  <c r="BN346" i="2" s="1"/>
  <c r="BZ346" i="2" s="1"/>
  <c r="BN345" i="2" a="1"/>
  <c r="BN345" i="2"/>
  <c r="BZ345" i="2"/>
  <c r="BN344" i="2" a="1"/>
  <c r="BN344" i="2"/>
  <c r="BZ344" i="2"/>
  <c r="BN343" i="2" a="1"/>
  <c r="BN343" i="2"/>
  <c r="BZ343" i="2"/>
  <c r="BN342" i="2" a="1"/>
  <c r="BN342" i="2"/>
  <c r="BZ342" i="2"/>
  <c r="BN341" i="2" a="1"/>
  <c r="BN341" i="2"/>
  <c r="BZ341" i="2"/>
  <c r="BN340" i="2" a="1"/>
  <c r="BN340" i="2"/>
  <c r="BZ340" i="2"/>
  <c r="BN339" i="2" a="1"/>
  <c r="BN339" i="2"/>
  <c r="BZ339" i="2"/>
  <c r="BN338" i="2" a="1"/>
  <c r="BN338" i="2"/>
  <c r="BZ338" i="2"/>
  <c r="BN337" i="2" a="1"/>
  <c r="BN337" i="2"/>
  <c r="BN336" i="2" a="1"/>
  <c r="BN336" i="2"/>
  <c r="BZ336" i="2"/>
  <c r="BN335" i="2" a="1"/>
  <c r="BN335" i="2"/>
  <c r="BZ335" i="2"/>
  <c r="BN334" i="2" a="1"/>
  <c r="BN334" i="2"/>
  <c r="BZ334" i="2"/>
  <c r="BN333" i="2" a="1"/>
  <c r="BN333" i="2"/>
  <c r="BZ333" i="2"/>
  <c r="BN332" i="2" a="1"/>
  <c r="BN332" i="2"/>
  <c r="BZ332" i="2"/>
  <c r="BN331" i="2" a="1"/>
  <c r="BN331" i="2"/>
  <c r="BZ331" i="2"/>
  <c r="BN330" i="2" a="1"/>
  <c r="BN330" i="2"/>
  <c r="BZ330" i="2"/>
  <c r="BN329" i="2" a="1"/>
  <c r="BN329" i="2"/>
  <c r="BZ329" i="2"/>
  <c r="BN327" i="2" a="1"/>
  <c r="BN327" i="2"/>
  <c r="BZ327" i="2"/>
  <c r="BN326" i="2" a="1"/>
  <c r="BN326" i="2"/>
  <c r="BZ326" i="2"/>
  <c r="BN325" i="2" a="1"/>
  <c r="BN325" i="2"/>
  <c r="BZ325" i="2"/>
  <c r="BN323" i="2" a="1"/>
  <c r="BN323" i="2"/>
  <c r="BZ323" i="2"/>
  <c r="BN322" i="2" a="1"/>
  <c r="BN322" i="2"/>
  <c r="BZ322" i="2"/>
  <c r="BN321" i="2" a="1"/>
  <c r="BN321" i="2"/>
  <c r="BZ321" i="2"/>
  <c r="BN319" i="2" a="1"/>
  <c r="BN319" i="2"/>
  <c r="BZ319" i="2"/>
  <c r="BN318" i="2" a="1"/>
  <c r="BN318" i="2"/>
  <c r="BZ318" i="2"/>
  <c r="BN317" i="2" a="1"/>
  <c r="BN317" i="2"/>
  <c r="BZ317" i="2"/>
  <c r="BN316" i="2" a="1"/>
  <c r="BN316" i="2"/>
  <c r="BZ316" i="2"/>
  <c r="BN315" i="2" a="1"/>
  <c r="BN315" i="2"/>
  <c r="BZ315" i="2"/>
  <c r="BN313" i="2" a="1"/>
  <c r="BN313" i="2"/>
  <c r="BN312" i="2" a="1"/>
  <c r="BN312" i="2"/>
  <c r="BZ312" i="2"/>
  <c r="BN311" i="2" a="1"/>
  <c r="BN311" i="2"/>
  <c r="BZ311" i="2"/>
  <c r="BN310" i="2" a="1"/>
  <c r="BN310" i="2"/>
  <c r="BZ310" i="2"/>
  <c r="BN309" i="2" a="1"/>
  <c r="BN309" i="2"/>
  <c r="BZ309" i="2"/>
  <c r="BN308" i="2" a="1"/>
  <c r="BN308" i="2"/>
  <c r="BZ308" i="2"/>
  <c r="BN307" i="2" a="1"/>
  <c r="BN307" i="2"/>
  <c r="BZ307" i="2"/>
  <c r="BN306" i="2" a="1"/>
  <c r="BN306" i="2"/>
  <c r="BZ306" i="2"/>
  <c r="BN305" i="2" a="1"/>
  <c r="BN305" i="2"/>
  <c r="BZ305" i="2"/>
  <c r="BN304" i="2" a="1"/>
  <c r="BN304" i="2"/>
  <c r="BZ304" i="2"/>
  <c r="BN303" i="2" a="1"/>
  <c r="BN303" i="2"/>
  <c r="BZ303" i="2"/>
  <c r="BN302" i="2" a="1"/>
  <c r="BN302" i="2"/>
  <c r="BZ302" i="2"/>
  <c r="BN301" i="2" a="1"/>
  <c r="BN301" i="2"/>
  <c r="BZ301" i="2"/>
  <c r="BN298" i="2" a="1"/>
  <c r="BN298" i="2"/>
  <c r="BZ298" i="2"/>
  <c r="BN297" i="2" a="1"/>
  <c r="BN297" i="2"/>
  <c r="BZ297" i="2"/>
  <c r="BN296" i="2" a="1"/>
  <c r="BN296" i="2"/>
  <c r="BZ296" i="2"/>
  <c r="BN295" i="2" a="1"/>
  <c r="BN295" i="2"/>
  <c r="BZ295" i="2"/>
  <c r="BN294" i="2" a="1"/>
  <c r="BN294" i="2"/>
  <c r="BZ294" i="2"/>
  <c r="BN293" i="2" a="1"/>
  <c r="BN293" i="2"/>
  <c r="BZ293" i="2"/>
  <c r="BN292" i="2" a="1"/>
  <c r="BN292" i="2"/>
  <c r="BZ292" i="2"/>
  <c r="BN291" i="2" a="1"/>
  <c r="BN291" i="2"/>
  <c r="BN290" i="2" a="1"/>
  <c r="BN290" i="2"/>
  <c r="BZ290" i="2"/>
  <c r="BN289" i="2" a="1"/>
  <c r="BN289" i="2"/>
  <c r="BZ289" i="2"/>
  <c r="BN288" i="2" a="1"/>
  <c r="BN288" i="2"/>
  <c r="BZ288" i="2"/>
  <c r="BN287" i="2" a="1"/>
  <c r="BN287" i="2"/>
  <c r="BZ287" i="2"/>
  <c r="BN286" i="2" a="1"/>
  <c r="BN286" i="2"/>
  <c r="BZ286" i="2"/>
  <c r="BN285" i="2" a="1"/>
  <c r="BN285" i="2"/>
  <c r="BZ285" i="2"/>
  <c r="BN284" i="2" a="1"/>
  <c r="BN284" i="2"/>
  <c r="BZ284" i="2"/>
  <c r="BN282" i="2" a="1"/>
  <c r="BN282" i="2"/>
  <c r="BZ282" i="2"/>
  <c r="BN281" i="2" a="1"/>
  <c r="BN281" i="2"/>
  <c r="BZ281" i="2"/>
  <c r="BN280" i="2" a="1"/>
  <c r="BN280" i="2"/>
  <c r="BZ280" i="2"/>
  <c r="BN279" i="2" a="1"/>
  <c r="BN279" i="2"/>
  <c r="BZ279" i="2"/>
  <c r="BN278" i="2" a="1"/>
  <c r="BN278" i="2"/>
  <c r="BZ278" i="2"/>
  <c r="BN277" i="2" a="1"/>
  <c r="BN277" i="2"/>
  <c r="BZ277" i="2"/>
  <c r="BN276" i="2" a="1"/>
  <c r="BN276" i="2" s="1"/>
  <c r="BZ276" i="2" s="1"/>
  <c r="BN275" i="2" a="1"/>
  <c r="BN275" i="2"/>
  <c r="BZ275" i="2"/>
  <c r="BN274" i="2" a="1"/>
  <c r="BN274" i="2"/>
  <c r="BZ274" i="2"/>
  <c r="BN273" i="2" a="1"/>
  <c r="BN273" i="2"/>
  <c r="BZ273" i="2"/>
  <c r="BN272" i="2" a="1"/>
  <c r="BN272" i="2"/>
  <c r="BZ272" i="2"/>
  <c r="BN271" i="2" a="1"/>
  <c r="BN271" i="2"/>
  <c r="BZ271" i="2"/>
  <c r="BN270" i="2" a="1"/>
  <c r="BN270" i="2"/>
  <c r="BZ270" i="2"/>
  <c r="BN269" i="2" a="1"/>
  <c r="BN269" i="2"/>
  <c r="BZ269" i="2"/>
  <c r="BN268" i="2" a="1"/>
  <c r="BN268" i="2"/>
  <c r="BZ268" i="2"/>
  <c r="BN267" i="2" a="1"/>
  <c r="BN267" i="2"/>
  <c r="BZ267" i="2"/>
  <c r="BN265" i="2" a="1"/>
  <c r="BN265" i="2"/>
  <c r="BN264" i="2" a="1"/>
  <c r="BN264" i="2" s="1"/>
  <c r="BZ264" i="2" s="1"/>
  <c r="BN263" i="2" a="1"/>
  <c r="BN263" i="2"/>
  <c r="BZ263" i="2"/>
  <c r="BN262" i="2" a="1"/>
  <c r="BN262" i="2"/>
  <c r="BZ262" i="2"/>
  <c r="BN261" i="2" a="1"/>
  <c r="BN261" i="2"/>
  <c r="BN260" i="2" a="1"/>
  <c r="BN260" i="2"/>
  <c r="BZ260" i="2"/>
  <c r="BN259" i="2" a="1"/>
  <c r="BN259" i="2"/>
  <c r="BZ259" i="2"/>
  <c r="BN258" i="2" a="1"/>
  <c r="BN258" i="2"/>
  <c r="BZ258" i="2"/>
  <c r="BN257" i="2" a="1"/>
  <c r="BN257" i="2"/>
  <c r="BN256" i="2" a="1"/>
  <c r="BN256" i="2"/>
  <c r="BZ256" i="2"/>
  <c r="BN255" i="2" a="1"/>
  <c r="BN255" i="2"/>
  <c r="BZ255" i="2"/>
  <c r="BN254" i="2" a="1"/>
  <c r="BN254" i="2"/>
  <c r="BZ254" i="2"/>
  <c r="BN253" i="2" a="1"/>
  <c r="BN253" i="2"/>
  <c r="BZ253" i="2"/>
  <c r="BN252" i="2" a="1"/>
  <c r="BN252" i="2"/>
  <c r="BZ252" i="2"/>
  <c r="BN251" i="2" a="1"/>
  <c r="BN251" i="2"/>
  <c r="BZ251" i="2"/>
  <c r="BN250" i="2" a="1"/>
  <c r="BN250" i="2"/>
  <c r="BZ250" i="2"/>
  <c r="BN249" i="2" a="1"/>
  <c r="BN249" i="2"/>
  <c r="BZ249" i="2"/>
  <c r="BN248" i="2" a="1"/>
  <c r="BN248" i="2"/>
  <c r="BZ248" i="2"/>
  <c r="BN247" i="2" a="1"/>
  <c r="BN247" i="2"/>
  <c r="BZ247" i="2"/>
  <c r="BN246" i="2" a="1"/>
  <c r="BN246" i="2"/>
  <c r="BZ246" i="2"/>
  <c r="BN245" i="2" a="1"/>
  <c r="BN245" i="2"/>
  <c r="BZ245" i="2"/>
  <c r="BN244" i="2" a="1"/>
  <c r="BN244" i="2"/>
  <c r="BZ244" i="2"/>
  <c r="BN243" i="2" a="1"/>
  <c r="BN243" i="2"/>
  <c r="BZ243" i="2"/>
  <c r="BN241" i="2" a="1"/>
  <c r="BN241" i="2"/>
  <c r="BZ241" i="2"/>
  <c r="BN240" i="2" a="1"/>
  <c r="BN240" i="2"/>
  <c r="BZ240" i="2"/>
  <c r="BN238" i="2" a="1"/>
  <c r="BN238" i="2"/>
  <c r="BZ238" i="2"/>
  <c r="BN237" i="2" a="1"/>
  <c r="BN237" i="2"/>
  <c r="BZ237" i="2"/>
  <c r="BN236" i="2" a="1"/>
  <c r="BN236" i="2"/>
  <c r="BZ236" i="2"/>
  <c r="BN235" i="2" a="1"/>
  <c r="BN235" i="2"/>
  <c r="BN234" i="2" a="1"/>
  <c r="BN234" i="2"/>
  <c r="BZ234" i="2"/>
  <c r="BN233" i="2" a="1"/>
  <c r="BN233" i="2"/>
  <c r="BZ233" i="2"/>
  <c r="BN232" i="2" a="1"/>
  <c r="BN232" i="2"/>
  <c r="BZ232" i="2"/>
  <c r="BN231" i="2" a="1"/>
  <c r="BN231" i="2"/>
  <c r="BZ231" i="2"/>
  <c r="BN230" i="2" a="1"/>
  <c r="BN230" i="2"/>
  <c r="BZ230" i="2"/>
  <c r="BN229" i="2" a="1"/>
  <c r="BN229" i="2"/>
  <c r="BZ229" i="2"/>
  <c r="BN228" i="2" a="1"/>
  <c r="BN228" i="2"/>
  <c r="BZ228" i="2"/>
  <c r="BN227" i="2" a="1"/>
  <c r="BN227" i="2"/>
  <c r="BZ227" i="2"/>
  <c r="BN226" i="2" a="1"/>
  <c r="BN226" i="2"/>
  <c r="BZ226" i="2"/>
  <c r="BN225" i="2" a="1"/>
  <c r="BN225" i="2"/>
  <c r="BZ225" i="2"/>
  <c r="BN224" i="2" a="1"/>
  <c r="BN224" i="2"/>
  <c r="BZ224" i="2"/>
  <c r="BN222" i="2" a="1"/>
  <c r="BN222" i="2"/>
  <c r="BZ222" i="2"/>
  <c r="BN221" i="2" a="1"/>
  <c r="BN221" i="2"/>
  <c r="BZ221" i="2"/>
  <c r="BN220" i="2" a="1"/>
  <c r="BN220" i="2"/>
  <c r="BZ220" i="2"/>
  <c r="BN219" i="2" a="1"/>
  <c r="BN219" i="2"/>
  <c r="BZ219" i="2"/>
  <c r="BN218" i="2" a="1"/>
  <c r="BN218" i="2"/>
  <c r="BZ218" i="2"/>
  <c r="BN217" i="2" a="1"/>
  <c r="BN217" i="2"/>
  <c r="BZ217" i="2"/>
  <c r="BN216" i="2" a="1"/>
  <c r="BN216" i="2"/>
  <c r="BZ216" i="2"/>
  <c r="BN215" i="2" a="1"/>
  <c r="BN215" i="2"/>
  <c r="BZ215" i="2"/>
  <c r="BN214" i="2" a="1"/>
  <c r="BN214" i="2"/>
  <c r="BN213" i="2" a="1"/>
  <c r="BN213" i="2"/>
  <c r="BZ213" i="2"/>
  <c r="BN212" i="2" a="1"/>
  <c r="BN212" i="2"/>
  <c r="BZ212" i="2"/>
  <c r="BN211" i="2" a="1"/>
  <c r="BN211" i="2"/>
  <c r="BZ211" i="2"/>
  <c r="BN210" i="2" a="1"/>
  <c r="BN210" i="2"/>
  <c r="BN209" i="2" a="1"/>
  <c r="BN209" i="2"/>
  <c r="BZ209" i="2"/>
  <c r="BN208" i="2" a="1"/>
  <c r="BN208" i="2"/>
  <c r="BZ208" i="2"/>
  <c r="BN207" i="2" a="1"/>
  <c r="BN207" i="2"/>
  <c r="BZ207" i="2"/>
  <c r="BN206" i="2" a="1"/>
  <c r="BN206" i="2"/>
  <c r="BZ206" i="2"/>
  <c r="BN205" i="2" a="1"/>
  <c r="BN205" i="2"/>
  <c r="BZ205" i="2"/>
  <c r="BN204" i="2" a="1"/>
  <c r="BN204" i="2"/>
  <c r="BZ204" i="2"/>
  <c r="BN203" i="2" a="1"/>
  <c r="BN203" i="2"/>
  <c r="BZ203" i="2"/>
  <c r="BN202" i="2" a="1"/>
  <c r="BN202" i="2"/>
  <c r="BZ202" i="2"/>
  <c r="BN201" i="2" a="1"/>
  <c r="BN201" i="2"/>
  <c r="BZ201" i="2"/>
  <c r="BN200" i="2" a="1"/>
  <c r="BN200" i="2"/>
  <c r="BZ200" i="2"/>
  <c r="BN199" i="2" a="1"/>
  <c r="BN199" i="2"/>
  <c r="BZ199" i="2"/>
  <c r="BN198" i="2" a="1"/>
  <c r="BN198" i="2"/>
  <c r="BZ198" i="2"/>
  <c r="BN197" i="2" a="1"/>
  <c r="BN197" i="2"/>
  <c r="BZ197" i="2"/>
  <c r="BN196" i="2" a="1"/>
  <c r="BN196" i="2"/>
  <c r="BZ196" i="2"/>
  <c r="BN195" i="2" a="1"/>
  <c r="BN195" i="2"/>
  <c r="BZ195" i="2"/>
  <c r="BN193" i="2" a="1"/>
  <c r="BN193" i="2"/>
  <c r="BN190" i="2" a="1"/>
  <c r="BN190" i="2"/>
  <c r="BZ190" i="2"/>
  <c r="BN188" i="2" a="1"/>
  <c r="BN188" i="2"/>
  <c r="BZ188" i="2"/>
  <c r="BN186" i="2" a="1"/>
  <c r="BN186" i="2"/>
  <c r="BZ186" i="2"/>
  <c r="BN185" i="2" a="1"/>
  <c r="BN185" i="2"/>
  <c r="BN183" i="2" a="1"/>
  <c r="BN183" i="2"/>
  <c r="BZ183" i="2"/>
  <c r="BN182" i="2" a="1"/>
  <c r="BN182" i="2"/>
  <c r="BZ182" i="2"/>
  <c r="BN181" i="2" a="1"/>
  <c r="BN181" i="2"/>
  <c r="BZ181" i="2"/>
  <c r="BN178" i="2" a="1"/>
  <c r="BN178" i="2"/>
  <c r="BZ178" i="2"/>
  <c r="BN177" i="2" a="1"/>
  <c r="BN177" i="2"/>
  <c r="BZ177" i="2"/>
  <c r="BN175" i="2" a="1"/>
  <c r="BN175" i="2"/>
  <c r="BZ175" i="2"/>
  <c r="BN174" i="2" a="1"/>
  <c r="BN174" i="2"/>
  <c r="BZ174" i="2"/>
  <c r="BN170" i="2" a="1"/>
  <c r="BN170" i="2"/>
  <c r="BZ170" i="2"/>
  <c r="BN169" i="2" a="1"/>
  <c r="BN169" i="2"/>
  <c r="BZ169" i="2"/>
  <c r="BN168" i="2" a="1"/>
  <c r="BN168" i="2"/>
  <c r="BZ168" i="2"/>
  <c r="BN167" i="2" a="1"/>
  <c r="BN167" i="2"/>
  <c r="BZ167" i="2"/>
  <c r="BN166" i="2" a="1"/>
  <c r="BN166" i="2"/>
  <c r="BZ166" i="2"/>
  <c r="BN165" i="2" a="1"/>
  <c r="BN165" i="2"/>
  <c r="BZ165" i="2"/>
  <c r="BN164" i="2" a="1"/>
  <c r="BN164" i="2"/>
  <c r="BZ164" i="2"/>
  <c r="BN163" i="2" a="1"/>
  <c r="BN163" i="2"/>
  <c r="BZ163" i="2"/>
  <c r="BN162" i="2" a="1"/>
  <c r="BN162" i="2"/>
  <c r="BZ162" i="2"/>
  <c r="BN161" i="2" a="1"/>
  <c r="BN161" i="2"/>
  <c r="BZ161" i="2"/>
  <c r="BN160" i="2" a="1"/>
  <c r="BN160" i="2"/>
  <c r="BZ160" i="2"/>
  <c r="BN159" i="2" a="1"/>
  <c r="BN159" i="2"/>
  <c r="BZ159" i="2"/>
  <c r="BN158" i="2" a="1"/>
  <c r="BN158" i="2"/>
  <c r="BN156" i="2" a="1"/>
  <c r="BN156" i="2"/>
  <c r="BZ156" i="2"/>
  <c r="BN154" i="2" a="1"/>
  <c r="BN154" i="2"/>
  <c r="BZ154" i="2"/>
  <c r="BN153" i="2" a="1"/>
  <c r="BN153" i="2"/>
  <c r="BZ153" i="2"/>
  <c r="BN152" i="2" a="1"/>
  <c r="BN152" i="2"/>
  <c r="BZ152" i="2"/>
  <c r="BN151" i="2" a="1"/>
  <c r="BN151" i="2"/>
  <c r="BZ151" i="2"/>
  <c r="BN148" i="2" a="1"/>
  <c r="BN148" i="2"/>
  <c r="BZ148" i="2"/>
  <c r="BN147" i="2" a="1"/>
  <c r="BN147" i="2"/>
  <c r="BZ147" i="2"/>
  <c r="BN145" i="2" a="1"/>
  <c r="BN145" i="2"/>
  <c r="BZ145" i="2"/>
  <c r="BN142" i="2" a="1"/>
  <c r="BN142" i="2"/>
  <c r="BZ142" i="2"/>
  <c r="BN140" i="2" a="1"/>
  <c r="BN140" i="2"/>
  <c r="BZ140" i="2"/>
  <c r="BN139" i="2" a="1"/>
  <c r="BN139" i="2"/>
  <c r="BZ139" i="2"/>
  <c r="BN137" i="2" a="1"/>
  <c r="BN137" i="2"/>
  <c r="BZ137" i="2"/>
  <c r="BN136" i="2" a="1"/>
  <c r="BN136" i="2"/>
  <c r="BZ136" i="2"/>
  <c r="BN135" i="2" a="1"/>
  <c r="BN135" i="2"/>
  <c r="BZ135" i="2"/>
  <c r="BN134" i="2" a="1"/>
  <c r="BN134" i="2"/>
  <c r="BZ134" i="2"/>
  <c r="BN133" i="2" a="1"/>
  <c r="BN133" i="2"/>
  <c r="BZ133" i="2"/>
  <c r="BN132" i="2" a="1"/>
  <c r="BN132" i="2"/>
  <c r="BZ132" i="2"/>
  <c r="BN130" i="2" a="1"/>
  <c r="BN130" i="2"/>
  <c r="BZ130" i="2"/>
  <c r="BN128" i="2" a="1"/>
  <c r="BN128" i="2"/>
  <c r="BZ128" i="2"/>
  <c r="BN127" i="2" a="1"/>
  <c r="BN127" i="2"/>
  <c r="BN126" i="2" a="1"/>
  <c r="BN126" i="2"/>
  <c r="BZ126" i="2"/>
  <c r="BN125" i="2" a="1"/>
  <c r="BN125" i="2"/>
  <c r="BZ125" i="2"/>
  <c r="BN124" i="2" a="1"/>
  <c r="BN124" i="2"/>
  <c r="BZ124" i="2"/>
  <c r="BN123" i="2" a="1"/>
  <c r="BN123" i="2"/>
  <c r="BZ123" i="2"/>
  <c r="BN122" i="2" a="1"/>
  <c r="BN122" i="2"/>
  <c r="BZ122" i="2"/>
  <c r="BN121" i="2" a="1"/>
  <c r="BN121" i="2"/>
  <c r="BZ121" i="2"/>
  <c r="BN120" i="2" a="1"/>
  <c r="BN120" i="2"/>
  <c r="BZ120" i="2"/>
  <c r="BN119" i="2" a="1"/>
  <c r="BN119" i="2"/>
  <c r="BZ119" i="2"/>
  <c r="BN118" i="2" a="1"/>
  <c r="BN118" i="2"/>
  <c r="BZ118" i="2"/>
  <c r="BN117" i="2" a="1"/>
  <c r="BN117" i="2"/>
  <c r="BZ117" i="2"/>
  <c r="BN116" i="2" a="1"/>
  <c r="BN116" i="2"/>
  <c r="BZ116" i="2"/>
  <c r="BN114" i="2" a="1"/>
  <c r="BN114" i="2"/>
  <c r="BZ114" i="2"/>
  <c r="BN113" i="2" a="1"/>
  <c r="BN113" i="2"/>
  <c r="BZ113" i="2"/>
  <c r="BN112" i="2" a="1"/>
  <c r="BN112" i="2"/>
  <c r="BZ112" i="2"/>
  <c r="BN111" i="2" a="1"/>
  <c r="BN111" i="2"/>
  <c r="BZ111" i="2"/>
  <c r="BN110" i="2" a="1"/>
  <c r="BN110" i="2"/>
  <c r="BZ110" i="2"/>
  <c r="BN109" i="2" a="1"/>
  <c r="BN109" i="2"/>
  <c r="BZ109" i="2"/>
  <c r="BN106" i="2" a="1"/>
  <c r="BN106" i="2"/>
  <c r="BZ106" i="2"/>
  <c r="BN105" i="2" a="1"/>
  <c r="BN105" i="2"/>
  <c r="BZ105" i="2"/>
  <c r="BN104" i="2" a="1"/>
  <c r="BN104" i="2"/>
  <c r="BN103" i="2" a="1"/>
  <c r="BN103" i="2"/>
  <c r="BZ103" i="2"/>
  <c r="BN102" i="2" a="1"/>
  <c r="BN102" i="2"/>
  <c r="BZ102" i="2"/>
  <c r="BN101" i="2" a="1"/>
  <c r="BN101" i="2"/>
  <c r="BZ101" i="2"/>
  <c r="BN100" i="2" a="1"/>
  <c r="BN100" i="2"/>
  <c r="BN99" i="2" a="1"/>
  <c r="BN99" i="2"/>
  <c r="BZ99" i="2"/>
  <c r="BN98" i="2" a="1"/>
  <c r="BN98" i="2"/>
  <c r="BZ98" i="2"/>
  <c r="BN95" i="2" a="1"/>
  <c r="BN95" i="2"/>
  <c r="BZ95" i="2"/>
  <c r="BN93" i="2" a="1"/>
  <c r="BN93" i="2"/>
  <c r="BZ93" i="2"/>
  <c r="BN92" i="2" a="1"/>
  <c r="BN92" i="2"/>
  <c r="BZ92" i="2"/>
  <c r="BN91" i="2" a="1"/>
  <c r="BN91" i="2"/>
  <c r="BZ91" i="2"/>
  <c r="BN89" i="2" a="1"/>
  <c r="BN89" i="2"/>
  <c r="BZ89" i="2"/>
  <c r="BN88" i="2" a="1"/>
  <c r="BN88" i="2"/>
  <c r="BZ88" i="2"/>
  <c r="BN87" i="2" a="1"/>
  <c r="BN87" i="2"/>
  <c r="BZ87" i="2"/>
  <c r="BN86" i="2" a="1"/>
  <c r="BN86" i="2"/>
  <c r="BZ86" i="2"/>
  <c r="BN85" i="2" a="1"/>
  <c r="BN85" i="2"/>
  <c r="BZ85" i="2"/>
  <c r="BN84" i="2" a="1"/>
  <c r="BN84" i="2"/>
  <c r="BZ84" i="2"/>
  <c r="BN81" i="2" a="1"/>
  <c r="BN81" i="2"/>
  <c r="BZ81" i="2"/>
  <c r="BN80" i="2" a="1"/>
  <c r="BN80" i="2"/>
  <c r="BZ80" i="2"/>
  <c r="BN79" i="2" a="1"/>
  <c r="BN79" i="2"/>
  <c r="BZ79" i="2"/>
  <c r="BN77" i="2" a="1"/>
  <c r="BN77" i="2"/>
  <c r="BZ77" i="2"/>
  <c r="BN76" i="2" a="1"/>
  <c r="BN76" i="2"/>
  <c r="BZ76" i="2"/>
  <c r="BN75" i="2" a="1"/>
  <c r="BN75" i="2"/>
  <c r="BZ75" i="2"/>
  <c r="BN74" i="2" a="1"/>
  <c r="BN74" i="2"/>
  <c r="BZ74" i="2"/>
  <c r="BN73" i="2" a="1"/>
  <c r="BN73" i="2"/>
  <c r="BN72" i="2" a="1"/>
  <c r="BN72" i="2"/>
  <c r="BZ72" i="2"/>
  <c r="BN71" i="2" a="1"/>
  <c r="BN71" i="2"/>
  <c r="BZ71" i="2"/>
  <c r="BN70" i="2" a="1"/>
  <c r="BN70" i="2"/>
  <c r="BZ70" i="2"/>
  <c r="BN69" i="2" a="1"/>
  <c r="BN69" i="2"/>
  <c r="BZ69" i="2"/>
  <c r="BN68" i="2" a="1"/>
  <c r="BN68" i="2"/>
  <c r="BZ68" i="2"/>
  <c r="BN67" i="2" a="1"/>
  <c r="BN67" i="2"/>
  <c r="BZ67" i="2"/>
  <c r="BN66" i="2" a="1"/>
  <c r="BN66" i="2"/>
  <c r="BZ66" i="2"/>
  <c r="BN65" i="2" a="1"/>
  <c r="BN65" i="2"/>
  <c r="BZ65" i="2"/>
  <c r="BN64" i="2" a="1"/>
  <c r="BN64" i="2"/>
  <c r="BZ64" i="2"/>
  <c r="BN63" i="2" a="1"/>
  <c r="BN63" i="2"/>
  <c r="BZ63" i="2"/>
  <c r="BN62" i="2" a="1"/>
  <c r="BN62" i="2"/>
  <c r="BZ62" i="2"/>
  <c r="BN61" i="2" a="1"/>
  <c r="BN61" i="2"/>
  <c r="BZ61" i="2"/>
  <c r="BN60" i="2" a="1"/>
  <c r="BN60" i="2"/>
  <c r="BZ60" i="2"/>
  <c r="BN59" i="2" a="1"/>
  <c r="BN59" i="2"/>
  <c r="BZ59" i="2"/>
  <c r="BN58" i="2" a="1"/>
  <c r="BN58" i="2"/>
  <c r="BZ58" i="2"/>
  <c r="BN57" i="2" a="1"/>
  <c r="BN57" i="2"/>
  <c r="BZ57" i="2"/>
  <c r="BN56" i="2" a="1"/>
  <c r="BN56" i="2"/>
  <c r="BZ56" i="2"/>
  <c r="BN55" i="2" a="1"/>
  <c r="BN55" i="2"/>
  <c r="BZ55" i="2"/>
  <c r="BN53" i="2" a="1"/>
  <c r="BN53" i="2"/>
  <c r="BZ53" i="2"/>
  <c r="BN52" i="2" a="1"/>
  <c r="BN52" i="2"/>
  <c r="BN51" i="2" a="1"/>
  <c r="BN51" i="2"/>
  <c r="BZ51" i="2"/>
  <c r="BN48" i="2" a="1"/>
  <c r="BN48" i="2"/>
  <c r="BZ48" i="2"/>
  <c r="BN46" i="2" a="1"/>
  <c r="BN46" i="2"/>
  <c r="BZ46" i="2"/>
  <c r="BN45" i="2" a="1"/>
  <c r="BN45" i="2"/>
  <c r="BN44" i="2" a="1"/>
  <c r="BN44" i="2"/>
  <c r="BZ44" i="2"/>
  <c r="BN43" i="2" a="1"/>
  <c r="BN43" i="2"/>
  <c r="BZ43" i="2"/>
  <c r="BN42" i="2" a="1"/>
  <c r="BN42" i="2"/>
  <c r="BZ42" i="2"/>
  <c r="BN41" i="2" a="1"/>
  <c r="BN41" i="2"/>
  <c r="BZ41" i="2"/>
  <c r="BN40" i="2" a="1"/>
  <c r="BN40" i="2"/>
  <c r="BZ40" i="2"/>
  <c r="BN39" i="2" a="1"/>
  <c r="BN39" i="2"/>
  <c r="BZ39" i="2"/>
  <c r="BN38" i="2" a="1"/>
  <c r="BN38" i="2"/>
  <c r="BZ38" i="2"/>
  <c r="BN36" i="2" a="1"/>
  <c r="BN36" i="2"/>
  <c r="BZ36" i="2"/>
  <c r="BN35" i="2" a="1"/>
  <c r="BN35" i="2"/>
  <c r="BZ35" i="2"/>
  <c r="BN34" i="2" a="1"/>
  <c r="BN34" i="2"/>
  <c r="BZ34" i="2"/>
  <c r="BN33" i="2" a="1"/>
  <c r="BN33" i="2"/>
  <c r="BZ33" i="2"/>
  <c r="BN32" i="2" a="1"/>
  <c r="BN32" i="2"/>
  <c r="BZ32" i="2"/>
  <c r="BN31" i="2" a="1"/>
  <c r="BN31" i="2"/>
  <c r="BZ31" i="2"/>
  <c r="BN30" i="2" a="1"/>
  <c r="BN30" i="2"/>
  <c r="BZ30" i="2"/>
  <c r="BN29" i="2" a="1"/>
  <c r="BN29" i="2"/>
  <c r="BZ29" i="2"/>
  <c r="BN28" i="2" a="1"/>
  <c r="BN28" i="2"/>
  <c r="BN26" i="2" a="1"/>
  <c r="BN26" i="2"/>
  <c r="BZ26" i="2"/>
  <c r="BN25" i="2" a="1"/>
  <c r="BN25" i="2"/>
  <c r="BZ25" i="2"/>
  <c r="BN24" i="2" a="1"/>
  <c r="BN24" i="2"/>
  <c r="BZ24" i="2"/>
  <c r="BN23" i="2" a="1"/>
  <c r="BN23" i="2"/>
  <c r="BZ23" i="2"/>
  <c r="BN22" i="2" a="1"/>
  <c r="BN22" i="2"/>
  <c r="BZ22" i="2"/>
  <c r="BN21" i="2" a="1"/>
  <c r="BN21" i="2"/>
  <c r="BZ21" i="2"/>
  <c r="BN20" i="2" a="1"/>
  <c r="BN20" i="2"/>
  <c r="BZ20" i="2"/>
  <c r="BN19" i="2" a="1"/>
  <c r="BN19" i="2"/>
  <c r="BZ19" i="2"/>
  <c r="BN17" i="2" a="1"/>
  <c r="BN17" i="2"/>
  <c r="BZ17" i="2"/>
  <c r="BN16" i="2" a="1"/>
  <c r="BN16" i="2"/>
  <c r="BZ16" i="2"/>
  <c r="BN15" i="2" a="1"/>
  <c r="BN15" i="2"/>
  <c r="BZ15" i="2"/>
  <c r="BN14" i="2" a="1"/>
  <c r="BN14" i="2"/>
  <c r="BZ14" i="2"/>
  <c r="BI456" i="2"/>
  <c r="BI455" i="2"/>
  <c r="BI454" i="2"/>
  <c r="BI453" i="2"/>
  <c r="BI452" i="2"/>
  <c r="BI451" i="2"/>
  <c r="BI450" i="2"/>
  <c r="BI447" i="2"/>
  <c r="BI446" i="2"/>
  <c r="BI445" i="2"/>
  <c r="BI441" i="2"/>
  <c r="BI440" i="2"/>
  <c r="BI439" i="2"/>
  <c r="BI438" i="2"/>
  <c r="BI437" i="2"/>
  <c r="BI436" i="2"/>
  <c r="BI435" i="2"/>
  <c r="BI434" i="2"/>
  <c r="BI432" i="2"/>
  <c r="BI431" i="2"/>
  <c r="BI428" i="2"/>
  <c r="BI427" i="2"/>
  <c r="BI426" i="2"/>
  <c r="BI424" i="2"/>
  <c r="BI423" i="2"/>
  <c r="BI422" i="2"/>
  <c r="BI421" i="2"/>
  <c r="BI418" i="2"/>
  <c r="BI417" i="2"/>
  <c r="BI415" i="2"/>
  <c r="BI414" i="2"/>
  <c r="BI413" i="2"/>
  <c r="BI412" i="2"/>
  <c r="BI410" i="2"/>
  <c r="BI409" i="2"/>
  <c r="BI402" i="2"/>
  <c r="BI401" i="2"/>
  <c r="BI400" i="2"/>
  <c r="BI399" i="2"/>
  <c r="BI397" i="2"/>
  <c r="BI396" i="2"/>
  <c r="BI394" i="2"/>
  <c r="BI393" i="2"/>
  <c r="BI392" i="2"/>
  <c r="BI391" i="2"/>
  <c r="BI390" i="2"/>
  <c r="BI388" i="2"/>
  <c r="BI386" i="2"/>
  <c r="BI385" i="2"/>
  <c r="BI384" i="2"/>
  <c r="BI383" i="2"/>
  <c r="BI382" i="2"/>
  <c r="BI381" i="2"/>
  <c r="BI380" i="2"/>
  <c r="BI379" i="2"/>
  <c r="BI378" i="2"/>
  <c r="BI376" i="2"/>
  <c r="BI375" i="2"/>
  <c r="BI374" i="2"/>
  <c r="BI373" i="2"/>
  <c r="BI372" i="2"/>
  <c r="BI371" i="2"/>
  <c r="BI370" i="2"/>
  <c r="BI369" i="2"/>
  <c r="BI368" i="2"/>
  <c r="BI367" i="2"/>
  <c r="BI366" i="2"/>
  <c r="BI365" i="2"/>
  <c r="BI363" i="2"/>
  <c r="BI362" i="2"/>
  <c r="BI361" i="2"/>
  <c r="BI360" i="2"/>
  <c r="BI359" i="2"/>
  <c r="BI358" i="2"/>
  <c r="BI357" i="2"/>
  <c r="BI356" i="2"/>
  <c r="BI355" i="2"/>
  <c r="BI354" i="2"/>
  <c r="BI353" i="2"/>
  <c r="BI352" i="2"/>
  <c r="BI351" i="2"/>
  <c r="BI350" i="2"/>
  <c r="BI349" i="2"/>
  <c r="BI348" i="2"/>
  <c r="BI347" i="2"/>
  <c r="BI346" i="2"/>
  <c r="BI345" i="2"/>
  <c r="BI344" i="2"/>
  <c r="BI343" i="2"/>
  <c r="BI342" i="2"/>
  <c r="BI341" i="2"/>
  <c r="BI340" i="2"/>
  <c r="BI339" i="2"/>
  <c r="BI338" i="2"/>
  <c r="BI337" i="2"/>
  <c r="BI336" i="2"/>
  <c r="BI335" i="2"/>
  <c r="BI334" i="2"/>
  <c r="BI333" i="2"/>
  <c r="BI332" i="2"/>
  <c r="BI331" i="2"/>
  <c r="BI330" i="2"/>
  <c r="BI329" i="2"/>
  <c r="BI327" i="2"/>
  <c r="BI326" i="2"/>
  <c r="BI325" i="2"/>
  <c r="BI323" i="2"/>
  <c r="BI322" i="2"/>
  <c r="BI321" i="2"/>
  <c r="BI319" i="2"/>
  <c r="BI318" i="2"/>
  <c r="BI317" i="2"/>
  <c r="BI316" i="2"/>
  <c r="BI315" i="2"/>
  <c r="BI313" i="2"/>
  <c r="BI312" i="2"/>
  <c r="BI311" i="2"/>
  <c r="BI310" i="2"/>
  <c r="BI309" i="2"/>
  <c r="BI308" i="2"/>
  <c r="BI307" i="2"/>
  <c r="BI306" i="2"/>
  <c r="BI305" i="2"/>
  <c r="BI304" i="2"/>
  <c r="BI303" i="2"/>
  <c r="BI302" i="2"/>
  <c r="BI301" i="2"/>
  <c r="BI298" i="2"/>
  <c r="BI297" i="2"/>
  <c r="BI296" i="2"/>
  <c r="BI295" i="2"/>
  <c r="BI294" i="2"/>
  <c r="BI293" i="2"/>
  <c r="BI292" i="2"/>
  <c r="BI291" i="2"/>
  <c r="BI290" i="2"/>
  <c r="BI289" i="2"/>
  <c r="BI288" i="2"/>
  <c r="BI287" i="2"/>
  <c r="BI286" i="2"/>
  <c r="BI285" i="2"/>
  <c r="BI284" i="2"/>
  <c r="BI282" i="2"/>
  <c r="BI281" i="2"/>
  <c r="BI280" i="2"/>
  <c r="BI279" i="2"/>
  <c r="BI278" i="2"/>
  <c r="BI277" i="2"/>
  <c r="BI276" i="2"/>
  <c r="BI275" i="2"/>
  <c r="BI274" i="2"/>
  <c r="BI273" i="2"/>
  <c r="BI272" i="2"/>
  <c r="BI271" i="2"/>
  <c r="BI270" i="2"/>
  <c r="BI269" i="2"/>
  <c r="BI268" i="2"/>
  <c r="BI267" i="2"/>
  <c r="BI265" i="2"/>
  <c r="BI264" i="2"/>
  <c r="BI263" i="2"/>
  <c r="BI262" i="2"/>
  <c r="BI261" i="2"/>
  <c r="BI260" i="2"/>
  <c r="BI259" i="2"/>
  <c r="BI258" i="2"/>
  <c r="BI257" i="2"/>
  <c r="BI256" i="2"/>
  <c r="BI255" i="2"/>
  <c r="BI254" i="2"/>
  <c r="BI253" i="2"/>
  <c r="BI252" i="2"/>
  <c r="BI251" i="2"/>
  <c r="BI250" i="2"/>
  <c r="BI249" i="2"/>
  <c r="BI248" i="2"/>
  <c r="BI247" i="2"/>
  <c r="BI246" i="2"/>
  <c r="BI245" i="2"/>
  <c r="BI244" i="2"/>
  <c r="BI243" i="2"/>
  <c r="BI241" i="2"/>
  <c r="BI240" i="2"/>
  <c r="BI238" i="2"/>
  <c r="BI237" i="2"/>
  <c r="BI236" i="2"/>
  <c r="BI235" i="2"/>
  <c r="BI234" i="2"/>
  <c r="BI233" i="2"/>
  <c r="BI232" i="2"/>
  <c r="BI231" i="2"/>
  <c r="BI230" i="2"/>
  <c r="BI229" i="2"/>
  <c r="BI228" i="2"/>
  <c r="BI227" i="2"/>
  <c r="BI226" i="2"/>
  <c r="BI225" i="2"/>
  <c r="BI224" i="2"/>
  <c r="BI222" i="2"/>
  <c r="BI221" i="2"/>
  <c r="BI220" i="2"/>
  <c r="BI219" i="2"/>
  <c r="BI218" i="2"/>
  <c r="BI217" i="2"/>
  <c r="BI216" i="2"/>
  <c r="BI215" i="2"/>
  <c r="BI214" i="2"/>
  <c r="BI213" i="2"/>
  <c r="BI212" i="2"/>
  <c r="BI211" i="2"/>
  <c r="BI210" i="2"/>
  <c r="BI209" i="2"/>
  <c r="BI208" i="2"/>
  <c r="BI207" i="2"/>
  <c r="BI206" i="2"/>
  <c r="BI205" i="2"/>
  <c r="BI204" i="2"/>
  <c r="BI203" i="2"/>
  <c r="BI202" i="2"/>
  <c r="BI201" i="2"/>
  <c r="BI200" i="2"/>
  <c r="BI199" i="2"/>
  <c r="BI198" i="2"/>
  <c r="BI197" i="2"/>
  <c r="BI196" i="2"/>
  <c r="BI195" i="2"/>
  <c r="BI193" i="2"/>
  <c r="BI190" i="2"/>
  <c r="BI188" i="2"/>
  <c r="BI186" i="2"/>
  <c r="BI185" i="2"/>
  <c r="BI183" i="2"/>
  <c r="BI182" i="2"/>
  <c r="BI181" i="2"/>
  <c r="BI178" i="2"/>
  <c r="BI177" i="2"/>
  <c r="BI175" i="2"/>
  <c r="BI174" i="2"/>
  <c r="BI170" i="2"/>
  <c r="BI169" i="2"/>
  <c r="BI168" i="2"/>
  <c r="BI167" i="2"/>
  <c r="BI166" i="2"/>
  <c r="BI165" i="2"/>
  <c r="BI164" i="2"/>
  <c r="BI163" i="2"/>
  <c r="BI162" i="2"/>
  <c r="BI161" i="2"/>
  <c r="BI160" i="2"/>
  <c r="BI159" i="2"/>
  <c r="BI158" i="2"/>
  <c r="BI156" i="2"/>
  <c r="BI154" i="2"/>
  <c r="BI153" i="2"/>
  <c r="BI152" i="2"/>
  <c r="BI151" i="2"/>
  <c r="BI148" i="2"/>
  <c r="BI147" i="2"/>
  <c r="BI145" i="2"/>
  <c r="BI142" i="2"/>
  <c r="BI140" i="2"/>
  <c r="BI139" i="2"/>
  <c r="BI137" i="2"/>
  <c r="BI136" i="2"/>
  <c r="BI135" i="2"/>
  <c r="BI134" i="2"/>
  <c r="BI133" i="2"/>
  <c r="BI132" i="2"/>
  <c r="BI130" i="2"/>
  <c r="BI128" i="2"/>
  <c r="BI127" i="2"/>
  <c r="BI126" i="2"/>
  <c r="BI125" i="2"/>
  <c r="BI124" i="2"/>
  <c r="BI123" i="2"/>
  <c r="BI122" i="2"/>
  <c r="BI121" i="2"/>
  <c r="BI120" i="2"/>
  <c r="BI119" i="2"/>
  <c r="BI118" i="2"/>
  <c r="BI117" i="2"/>
  <c r="BI116" i="2"/>
  <c r="BI114" i="2"/>
  <c r="BI113" i="2"/>
  <c r="BI112" i="2"/>
  <c r="BI111" i="2"/>
  <c r="BI110" i="2"/>
  <c r="BI109" i="2"/>
  <c r="BI106" i="2"/>
  <c r="BI105" i="2"/>
  <c r="BI104" i="2"/>
  <c r="BI103" i="2"/>
  <c r="BI102" i="2"/>
  <c r="BI101" i="2"/>
  <c r="BI100" i="2"/>
  <c r="BI99" i="2"/>
  <c r="BI98" i="2"/>
  <c r="BI95" i="2"/>
  <c r="BI93" i="2"/>
  <c r="BI92" i="2"/>
  <c r="BI91" i="2"/>
  <c r="BI89" i="2"/>
  <c r="BI88" i="2"/>
  <c r="BI87" i="2"/>
  <c r="BI86" i="2"/>
  <c r="BI85" i="2"/>
  <c r="BI84" i="2"/>
  <c r="BI81" i="2"/>
  <c r="BI80" i="2"/>
  <c r="BI79" i="2"/>
  <c r="BI77" i="2"/>
  <c r="BI76" i="2"/>
  <c r="BI75" i="2"/>
  <c r="BI74" i="2"/>
  <c r="BI73" i="2"/>
  <c r="BI72" i="2"/>
  <c r="BI71" i="2"/>
  <c r="BI70" i="2"/>
  <c r="BI69" i="2"/>
  <c r="BI68" i="2"/>
  <c r="BI67" i="2"/>
  <c r="BI66" i="2"/>
  <c r="BI65" i="2"/>
  <c r="BI64" i="2"/>
  <c r="BI63" i="2"/>
  <c r="BI62" i="2"/>
  <c r="BI61" i="2"/>
  <c r="BI60" i="2"/>
  <c r="BI59" i="2"/>
  <c r="BI58" i="2"/>
  <c r="BI57" i="2"/>
  <c r="BI56" i="2"/>
  <c r="BI55" i="2"/>
  <c r="BI53" i="2"/>
  <c r="BI52" i="2"/>
  <c r="BI51" i="2"/>
  <c r="BI48" i="2"/>
  <c r="BI46" i="2"/>
  <c r="BI45" i="2"/>
  <c r="BI44" i="2"/>
  <c r="BI43" i="2"/>
  <c r="BI42" i="2"/>
  <c r="BI41" i="2"/>
  <c r="BI40" i="2"/>
  <c r="BI39" i="2"/>
  <c r="BI38" i="2"/>
  <c r="BI36" i="2"/>
  <c r="BI28" i="2"/>
  <c r="BI26" i="2"/>
  <c r="BI25" i="2"/>
  <c r="BI24" i="2"/>
  <c r="BI23" i="2"/>
  <c r="BI22" i="2"/>
  <c r="BI21" i="2"/>
  <c r="BI20" i="2"/>
  <c r="BI19" i="2"/>
  <c r="BI17" i="2"/>
  <c r="BI16" i="2"/>
  <c r="BI15" i="2"/>
  <c r="BI14" i="2"/>
  <c r="AH13" i="8"/>
  <c r="AG37" i="2"/>
  <c r="AH37" i="2" s="1"/>
  <c r="AH15" i="4"/>
  <c r="R15" i="4"/>
  <c r="S343" i="2"/>
  <c r="S342" i="2"/>
  <c r="S331" i="2"/>
  <c r="S287" i="2"/>
  <c r="S286" i="2"/>
  <c r="S285" i="2"/>
  <c r="S273" i="2"/>
  <c r="S264" i="2"/>
  <c r="S263" i="2"/>
  <c r="S262" i="2"/>
  <c r="S261" i="2"/>
  <c r="S248" i="2"/>
  <c r="S247" i="2"/>
  <c r="S215" i="2"/>
  <c r="S209" i="2"/>
  <c r="S208" i="2"/>
  <c r="S207" i="2"/>
  <c r="S201" i="2"/>
  <c r="S199" i="2"/>
  <c r="AF199" i="2"/>
  <c r="AH199" i="2" s="1"/>
  <c r="R199" i="2" s="1"/>
  <c r="AZ199" i="2" s="1"/>
  <c r="BK199" i="2" s="1"/>
  <c r="BR199" i="2" s="1"/>
  <c r="S441" i="2"/>
  <c r="S434" i="2"/>
  <c r="S408" i="2"/>
  <c r="S407" i="2"/>
  <c r="S406" i="2"/>
  <c r="S405" i="2"/>
  <c r="S404" i="2"/>
  <c r="S395" i="2"/>
  <c r="S393" i="2"/>
  <c r="S392" i="2"/>
  <c r="S310" i="2"/>
  <c r="S301" i="2"/>
  <c r="S300" i="2"/>
  <c r="S189" i="2"/>
  <c r="S175" i="2"/>
  <c r="S154" i="2"/>
  <c r="S153" i="2"/>
  <c r="S151" i="2"/>
  <c r="S140" i="2"/>
  <c r="S139" i="2"/>
  <c r="S127" i="2"/>
  <c r="S84" i="2"/>
  <c r="S83" i="2"/>
  <c r="S82" i="2"/>
  <c r="S80" i="2"/>
  <c r="S79" i="2"/>
  <c r="S78" i="2"/>
  <c r="S77" i="2"/>
  <c r="S76" i="2"/>
  <c r="S75" i="2"/>
  <c r="S42" i="2"/>
  <c r="S41" i="2"/>
  <c r="S40" i="2"/>
  <c r="S39" i="2"/>
  <c r="S38" i="2"/>
  <c r="S36" i="2"/>
  <c r="S20" i="2"/>
  <c r="S19" i="2"/>
  <c r="S15" i="2"/>
  <c r="S14" i="2"/>
  <c r="S13" i="2"/>
  <c r="S373" i="2"/>
  <c r="S372" i="2"/>
  <c r="S371" i="2"/>
  <c r="S370" i="2"/>
  <c r="S353" i="2"/>
  <c r="S324" i="2"/>
  <c r="S317" i="2"/>
  <c r="S311" i="2"/>
  <c r="S307" i="2"/>
  <c r="S306" i="2"/>
  <c r="S305" i="2"/>
  <c r="S304" i="2"/>
  <c r="S303" i="2"/>
  <c r="S302" i="2"/>
  <c r="S259" i="2"/>
  <c r="S257" i="2"/>
  <c r="S256" i="2"/>
  <c r="S255" i="2"/>
  <c r="S254" i="2"/>
  <c r="S253" i="2"/>
  <c r="S252" i="2"/>
  <c r="S251" i="2"/>
  <c r="S213" i="2"/>
  <c r="AK213" i="2"/>
  <c r="AK373" i="2"/>
  <c r="AJ373" i="2"/>
  <c r="AI373" i="2"/>
  <c r="AK372" i="2"/>
  <c r="AJ372" i="2"/>
  <c r="AI372" i="2"/>
  <c r="AK371" i="2"/>
  <c r="AJ371" i="2"/>
  <c r="AI371" i="2"/>
  <c r="AK370" i="2"/>
  <c r="AJ370" i="2"/>
  <c r="AI370" i="2"/>
  <c r="AK353" i="2"/>
  <c r="AJ353" i="2"/>
  <c r="AI353" i="2"/>
  <c r="AK324" i="2"/>
  <c r="AJ324" i="2"/>
  <c r="AI324" i="2"/>
  <c r="AK317" i="2"/>
  <c r="AJ317" i="2"/>
  <c r="AI317" i="2"/>
  <c r="AK311" i="2"/>
  <c r="AJ311" i="2"/>
  <c r="AI311" i="2"/>
  <c r="AK307" i="2"/>
  <c r="AJ307" i="2"/>
  <c r="AI307" i="2"/>
  <c r="AK306" i="2"/>
  <c r="AJ306" i="2"/>
  <c r="AI306" i="2"/>
  <c r="AK305" i="2"/>
  <c r="AJ305" i="2"/>
  <c r="AI305" i="2"/>
  <c r="AK304" i="2"/>
  <c r="AJ304" i="2"/>
  <c r="AI304" i="2"/>
  <c r="AK303" i="2"/>
  <c r="AJ303" i="2"/>
  <c r="AI303" i="2"/>
  <c r="AK302" i="2"/>
  <c r="AJ302" i="2"/>
  <c r="AI302" i="2"/>
  <c r="AK259" i="2"/>
  <c r="AJ259" i="2"/>
  <c r="AI259" i="2"/>
  <c r="AK257" i="2"/>
  <c r="AJ257" i="2"/>
  <c r="AI257" i="2"/>
  <c r="AK256" i="2"/>
  <c r="AJ256" i="2"/>
  <c r="AI256" i="2"/>
  <c r="AK255" i="2"/>
  <c r="AJ255" i="2"/>
  <c r="AI255" i="2"/>
  <c r="AK254" i="2"/>
  <c r="AJ254" i="2"/>
  <c r="AI254" i="2"/>
  <c r="AK253" i="2"/>
  <c r="AJ253" i="2"/>
  <c r="AI253" i="2"/>
  <c r="AK252" i="2"/>
  <c r="AJ252" i="2"/>
  <c r="AI252" i="2"/>
  <c r="AK251" i="2"/>
  <c r="AJ251" i="2"/>
  <c r="AI251" i="2"/>
  <c r="AJ213" i="2"/>
  <c r="AI213" i="2"/>
  <c r="AG213" i="2"/>
  <c r="AG373" i="2"/>
  <c r="AF373" i="2"/>
  <c r="AH373" i="2"/>
  <c r="BD373" i="2" s="1" a="1"/>
  <c r="BD373" i="2" s="1"/>
  <c r="BM373" i="2" s="1" a="1"/>
  <c r="BM373" i="2" s="1"/>
  <c r="BW373" i="2" s="1"/>
  <c r="AG372" i="2"/>
  <c r="AF372" i="2"/>
  <c r="AH372" i="2"/>
  <c r="BD372" i="2" s="1" a="1"/>
  <c r="BD372" i="2" s="1"/>
  <c r="BM372" i="2" s="1" a="1"/>
  <c r="BM372" i="2" s="1"/>
  <c r="BW372" i="2" s="1"/>
  <c r="R372" i="2"/>
  <c r="AZ372" i="2"/>
  <c r="BK372" i="2" s="1"/>
  <c r="BR372" i="2" s="1"/>
  <c r="AG371" i="2"/>
  <c r="AF371" i="2"/>
  <c r="AH371" i="2"/>
  <c r="AG370" i="2"/>
  <c r="AF370" i="2"/>
  <c r="AH370" i="2"/>
  <c r="BD370" i="2" s="1" a="1"/>
  <c r="BD370" i="2" s="1"/>
  <c r="BM370" i="2" s="1" a="1"/>
  <c r="BM370" i="2" s="1"/>
  <c r="BW370" i="2" s="1"/>
  <c r="AG353" i="2"/>
  <c r="AF353" i="2"/>
  <c r="AH353" i="2"/>
  <c r="R353" i="2" s="1"/>
  <c r="AZ353" i="2" s="1"/>
  <c r="BK353" i="2" s="1"/>
  <c r="BR353" i="2" s="1"/>
  <c r="AG324" i="2"/>
  <c r="AH324" i="2" s="1"/>
  <c r="AF324" i="2"/>
  <c r="AG317" i="2"/>
  <c r="AF317" i="2"/>
  <c r="AH317" i="2"/>
  <c r="AG311" i="2"/>
  <c r="AF311" i="2"/>
  <c r="AH311" i="2"/>
  <c r="R311" i="2" s="1"/>
  <c r="AZ311" i="2" s="1"/>
  <c r="BK311" i="2" s="1"/>
  <c r="BR311" i="2" s="1"/>
  <c r="AG307" i="2"/>
  <c r="AF307" i="2"/>
  <c r="AH307" i="2"/>
  <c r="BD307" i="2" s="1" a="1"/>
  <c r="BD307" i="2" s="1"/>
  <c r="BM307" i="2" s="1" a="1"/>
  <c r="BM307" i="2" s="1"/>
  <c r="BW307" i="2" s="1"/>
  <c r="AG306" i="2"/>
  <c r="AF306" i="2"/>
  <c r="AH306" i="2"/>
  <c r="R306" i="2"/>
  <c r="AZ306" i="2"/>
  <c r="BK306" i="2" s="1"/>
  <c r="BR306" i="2" s="1"/>
  <c r="AG305" i="2"/>
  <c r="AF305" i="2"/>
  <c r="AH305" i="2"/>
  <c r="AG304" i="2"/>
  <c r="AF304" i="2"/>
  <c r="AH304" i="2"/>
  <c r="R304" i="2" s="1"/>
  <c r="AZ304" i="2" s="1"/>
  <c r="BK304" i="2" s="1"/>
  <c r="BR304" i="2" s="1"/>
  <c r="AG303" i="2"/>
  <c r="AF303" i="2"/>
  <c r="AH303" i="2"/>
  <c r="BD303" i="2" s="1" a="1"/>
  <c r="BD303" i="2" s="1"/>
  <c r="BM303" i="2" s="1" a="1"/>
  <c r="BM303" i="2" s="1"/>
  <c r="BW303" i="2" s="1"/>
  <c r="AG302" i="2"/>
  <c r="AF302" i="2"/>
  <c r="AH302" i="2"/>
  <c r="BD302" i="2" s="1" a="1"/>
  <c r="BD302" i="2" s="1"/>
  <c r="BM302" i="2" s="1" a="1"/>
  <c r="BM302" i="2" s="1"/>
  <c r="BW302" i="2" s="1"/>
  <c r="AG259" i="2"/>
  <c r="AF259" i="2"/>
  <c r="AH259" i="2" s="1"/>
  <c r="AG257" i="2"/>
  <c r="AF257" i="2"/>
  <c r="AH257" i="2" s="1"/>
  <c r="AG256" i="2"/>
  <c r="AF256" i="2"/>
  <c r="AH256" i="2"/>
  <c r="BD256" i="2" s="1" a="1"/>
  <c r="BD256" i="2" s="1"/>
  <c r="BM256" i="2" s="1" a="1"/>
  <c r="BM256" i="2" s="1"/>
  <c r="BW256" i="2" s="1"/>
  <c r="AG255" i="2"/>
  <c r="AF255" i="2"/>
  <c r="AH255" i="2" s="1"/>
  <c r="AG254" i="2"/>
  <c r="AF254" i="2"/>
  <c r="AH254" i="2"/>
  <c r="BD254" i="2" a="1"/>
  <c r="BD254" i="2"/>
  <c r="BM254" i="2" a="1"/>
  <c r="BM254" i="2" s="1"/>
  <c r="BW254" i="2" s="1"/>
  <c r="AG253" i="2"/>
  <c r="AF253" i="2"/>
  <c r="AH253" i="2"/>
  <c r="R253" i="2"/>
  <c r="AZ253" i="2"/>
  <c r="BK253" i="2"/>
  <c r="BR253" i="2" s="1"/>
  <c r="AG252" i="2"/>
  <c r="AF252" i="2"/>
  <c r="AH252" i="2" s="1"/>
  <c r="AG251" i="2"/>
  <c r="AF251" i="2"/>
  <c r="AH251" i="2"/>
  <c r="R251" i="2" s="1"/>
  <c r="AZ251" i="2" s="1"/>
  <c r="BK251" i="2" s="1"/>
  <c r="BR251" i="2" s="1"/>
  <c r="BD251" i="2" a="1"/>
  <c r="BD251" i="2" s="1"/>
  <c r="BM251" i="2" s="1" a="1"/>
  <c r="BM251" i="2" s="1"/>
  <c r="BW251" i="2" s="1"/>
  <c r="AF213" i="2"/>
  <c r="AH213" i="2"/>
  <c r="BD213" i="2" s="1" a="1"/>
  <c r="BD213" i="2" s="1"/>
  <c r="BM213" i="2" s="1" a="1"/>
  <c r="BM213" i="2" s="1"/>
  <c r="BW213" i="2" s="1"/>
  <c r="S138" i="2"/>
  <c r="S137" i="2"/>
  <c r="S136" i="2"/>
  <c r="AI136" i="2"/>
  <c r="AK138" i="2"/>
  <c r="AJ138" i="2"/>
  <c r="AI138" i="2"/>
  <c r="AK137" i="2"/>
  <c r="AJ137" i="2"/>
  <c r="AI137" i="2"/>
  <c r="AK136" i="2"/>
  <c r="AJ136" i="2"/>
  <c r="AG136" i="2"/>
  <c r="AG138" i="2"/>
  <c r="AH138" i="2" s="1"/>
  <c r="AF138" i="2"/>
  <c r="AG137" i="2"/>
  <c r="AF137" i="2"/>
  <c r="AH137" i="2"/>
  <c r="R137" i="2" s="1"/>
  <c r="AZ137" i="2" s="1"/>
  <c r="BK137" i="2" s="1"/>
  <c r="BR137" i="2" s="1"/>
  <c r="AF136" i="2"/>
  <c r="AH136" i="2" s="1"/>
  <c r="S359" i="2"/>
  <c r="S244" i="2"/>
  <c r="S243" i="2"/>
  <c r="S242" i="2"/>
  <c r="S241" i="2"/>
  <c r="S240" i="2"/>
  <c r="S239" i="2"/>
  <c r="S238" i="2"/>
  <c r="S237" i="2"/>
  <c r="S236" i="2"/>
  <c r="S235" i="2"/>
  <c r="S59" i="2"/>
  <c r="S58" i="2"/>
  <c r="AK58" i="2"/>
  <c r="AK359" i="2"/>
  <c r="AJ359" i="2"/>
  <c r="AI359" i="2"/>
  <c r="AK244" i="2"/>
  <c r="AJ244" i="2"/>
  <c r="AI244" i="2"/>
  <c r="AK243" i="2"/>
  <c r="AJ243" i="2"/>
  <c r="AI243" i="2"/>
  <c r="AK242" i="2"/>
  <c r="AJ242" i="2"/>
  <c r="AI242" i="2"/>
  <c r="AK241" i="2"/>
  <c r="AJ241" i="2"/>
  <c r="AI241" i="2"/>
  <c r="AK240" i="2"/>
  <c r="AJ240" i="2"/>
  <c r="AI240" i="2"/>
  <c r="AK239" i="2"/>
  <c r="AJ239" i="2"/>
  <c r="AI239" i="2"/>
  <c r="AK238" i="2"/>
  <c r="AJ238" i="2"/>
  <c r="AI238" i="2"/>
  <c r="AK237" i="2"/>
  <c r="AJ237" i="2"/>
  <c r="AI237" i="2"/>
  <c r="AK236" i="2"/>
  <c r="AJ236" i="2"/>
  <c r="AI236" i="2"/>
  <c r="AK235" i="2"/>
  <c r="AJ235" i="2"/>
  <c r="AI235" i="2"/>
  <c r="AK59" i="2"/>
  <c r="AJ59" i="2"/>
  <c r="AI59" i="2"/>
  <c r="AJ58" i="2"/>
  <c r="AI58" i="2"/>
  <c r="AG58" i="2"/>
  <c r="AG359" i="2"/>
  <c r="AH359" i="2"/>
  <c r="AG244" i="2"/>
  <c r="AF244" i="2"/>
  <c r="AH244" i="2" s="1"/>
  <c r="AG243" i="2"/>
  <c r="AF243" i="2"/>
  <c r="AH243" i="2" s="1"/>
  <c r="AG242" i="2"/>
  <c r="AH242" i="2" s="1"/>
  <c r="AF242" i="2"/>
  <c r="AG241" i="2"/>
  <c r="AF241" i="2"/>
  <c r="AH241" i="2" s="1"/>
  <c r="AG240" i="2"/>
  <c r="AH240" i="2"/>
  <c r="R240" i="2"/>
  <c r="AZ240" i="2"/>
  <c r="BK240" i="2"/>
  <c r="BR240" i="2"/>
  <c r="AG239" i="2"/>
  <c r="AH239" i="2" s="1"/>
  <c r="AF239" i="2"/>
  <c r="AG238" i="2"/>
  <c r="AH238" i="2"/>
  <c r="AG237" i="2"/>
  <c r="AF237" i="2"/>
  <c r="AH237" i="2" s="1"/>
  <c r="AG236" i="2"/>
  <c r="AH236" i="2"/>
  <c r="BD236" i="2" a="1"/>
  <c r="BD236" i="2"/>
  <c r="BM236" i="2" a="1"/>
  <c r="BM236" i="2"/>
  <c r="BW236" i="2"/>
  <c r="AG235" i="2"/>
  <c r="AG59" i="2"/>
  <c r="AF59" i="2"/>
  <c r="AH59" i="2" s="1"/>
  <c r="S352" i="2"/>
  <c r="S351" i="2"/>
  <c r="S350" i="2"/>
  <c r="S349" i="2"/>
  <c r="S348" i="2"/>
  <c r="S347" i="2"/>
  <c r="S346" i="2"/>
  <c r="S345" i="2"/>
  <c r="S280" i="2"/>
  <c r="S279" i="2"/>
  <c r="S278" i="2"/>
  <c r="S277" i="2"/>
  <c r="S276" i="2"/>
  <c r="S272" i="2"/>
  <c r="S271" i="2"/>
  <c r="S270" i="2"/>
  <c r="S269" i="2"/>
  <c r="S268" i="2"/>
  <c r="S267" i="2"/>
  <c r="S266" i="2"/>
  <c r="S260" i="2"/>
  <c r="S246" i="2"/>
  <c r="S214" i="2"/>
  <c r="S177" i="2"/>
  <c r="S128" i="2"/>
  <c r="S117" i="2"/>
  <c r="S57" i="2"/>
  <c r="S56" i="2"/>
  <c r="S55" i="2"/>
  <c r="S54" i="2"/>
  <c r="S53" i="2"/>
  <c r="S52" i="2"/>
  <c r="S28" i="2"/>
  <c r="S26" i="2"/>
  <c r="S25" i="2"/>
  <c r="AI25" i="2"/>
  <c r="AK352" i="2"/>
  <c r="AJ352" i="2"/>
  <c r="AI352" i="2"/>
  <c r="AK351" i="2"/>
  <c r="AJ351" i="2"/>
  <c r="AI351" i="2"/>
  <c r="AK350" i="2"/>
  <c r="AJ350" i="2"/>
  <c r="AI350" i="2"/>
  <c r="AK349" i="2"/>
  <c r="AJ349" i="2"/>
  <c r="AI349" i="2"/>
  <c r="AK348" i="2"/>
  <c r="AJ348" i="2"/>
  <c r="AI348" i="2"/>
  <c r="AK347" i="2"/>
  <c r="AJ347" i="2"/>
  <c r="AI347" i="2"/>
  <c r="AK346" i="2"/>
  <c r="AJ346" i="2"/>
  <c r="AI346" i="2"/>
  <c r="AK345" i="2"/>
  <c r="AJ345" i="2"/>
  <c r="AI345" i="2"/>
  <c r="AK280" i="2"/>
  <c r="AJ280" i="2"/>
  <c r="AI280" i="2"/>
  <c r="AK279" i="2"/>
  <c r="AJ279" i="2"/>
  <c r="AI279" i="2"/>
  <c r="AK278" i="2"/>
  <c r="AJ278" i="2"/>
  <c r="AI278" i="2"/>
  <c r="AK277" i="2"/>
  <c r="AJ277" i="2"/>
  <c r="AI277" i="2"/>
  <c r="AK276" i="2"/>
  <c r="AJ276" i="2"/>
  <c r="AI276" i="2"/>
  <c r="AK272" i="2"/>
  <c r="AJ272" i="2"/>
  <c r="AI272" i="2"/>
  <c r="AK271" i="2"/>
  <c r="AJ271" i="2"/>
  <c r="AI271" i="2"/>
  <c r="AK270" i="2"/>
  <c r="AJ270" i="2"/>
  <c r="AI270" i="2"/>
  <c r="AK269" i="2"/>
  <c r="AJ269" i="2"/>
  <c r="AI269" i="2"/>
  <c r="AK268" i="2"/>
  <c r="AJ268" i="2"/>
  <c r="AI268" i="2"/>
  <c r="AK267" i="2"/>
  <c r="AJ267" i="2"/>
  <c r="AI267" i="2"/>
  <c r="AK266" i="2"/>
  <c r="AJ266" i="2"/>
  <c r="AI266" i="2"/>
  <c r="AK260" i="2"/>
  <c r="AJ260" i="2"/>
  <c r="AI260" i="2"/>
  <c r="AK246" i="2"/>
  <c r="AJ246" i="2"/>
  <c r="AI246" i="2"/>
  <c r="AK214" i="2"/>
  <c r="AJ214" i="2"/>
  <c r="AI214" i="2"/>
  <c r="AK177" i="2"/>
  <c r="AJ177" i="2"/>
  <c r="AI177" i="2"/>
  <c r="AK128" i="2"/>
  <c r="AJ128" i="2"/>
  <c r="AI128" i="2"/>
  <c r="AK117" i="2"/>
  <c r="AJ117" i="2"/>
  <c r="AI117" i="2"/>
  <c r="AK57" i="2"/>
  <c r="AJ57" i="2"/>
  <c r="AI57" i="2"/>
  <c r="AK56" i="2"/>
  <c r="AJ56" i="2"/>
  <c r="AI56" i="2"/>
  <c r="AK55" i="2"/>
  <c r="AJ55" i="2"/>
  <c r="AI55" i="2"/>
  <c r="AK54" i="2"/>
  <c r="AJ54" i="2"/>
  <c r="AI54" i="2"/>
  <c r="AK53" i="2"/>
  <c r="AJ53" i="2"/>
  <c r="AI53" i="2"/>
  <c r="AK52" i="2"/>
  <c r="AJ52" i="2"/>
  <c r="AI52" i="2"/>
  <c r="AK28" i="2"/>
  <c r="AJ28" i="2"/>
  <c r="AI28" i="2"/>
  <c r="AK26" i="2"/>
  <c r="AJ26" i="2"/>
  <c r="AI26" i="2"/>
  <c r="AK25" i="2"/>
  <c r="AJ25" i="2"/>
  <c r="AG25" i="2"/>
  <c r="AG352" i="2"/>
  <c r="AF352" i="2"/>
  <c r="AH352" i="2" s="1"/>
  <c r="R352" i="2" s="1"/>
  <c r="AZ352" i="2" s="1"/>
  <c r="BK352" i="2" s="1"/>
  <c r="BR352" i="2" s="1"/>
  <c r="AG351" i="2"/>
  <c r="AF351" i="2"/>
  <c r="AH351" i="2" s="1"/>
  <c r="BD351" i="2" s="1" a="1"/>
  <c r="BD351" i="2" s="1"/>
  <c r="BM351" i="2" s="1" a="1"/>
  <c r="BM351" i="2" s="1"/>
  <c r="BW351" i="2" s="1"/>
  <c r="AG350" i="2"/>
  <c r="AF350" i="2"/>
  <c r="AH350" i="2" s="1"/>
  <c r="BD350" i="2" s="1" a="1"/>
  <c r="BD350" i="2" s="1"/>
  <c r="BM350" i="2" s="1" a="1"/>
  <c r="BM350" i="2" s="1"/>
  <c r="BW350" i="2" s="1"/>
  <c r="AG349" i="2"/>
  <c r="AF349" i="2"/>
  <c r="AH349" i="2" s="1"/>
  <c r="BD349" i="2" s="1" a="1"/>
  <c r="BD349" i="2" s="1"/>
  <c r="BM349" i="2" s="1" a="1"/>
  <c r="BM349" i="2" s="1"/>
  <c r="BW349" i="2" s="1"/>
  <c r="AG348" i="2"/>
  <c r="AF348" i="2"/>
  <c r="AH348" i="2" s="1"/>
  <c r="R348" i="2" s="1"/>
  <c r="AZ348" i="2" s="1"/>
  <c r="BK348" i="2" s="1"/>
  <c r="BR348" i="2" s="1"/>
  <c r="AG347" i="2"/>
  <c r="AF347" i="2"/>
  <c r="AH347" i="2" s="1"/>
  <c r="R347" i="2" s="1"/>
  <c r="AZ347" i="2" s="1"/>
  <c r="BK347" i="2" s="1"/>
  <c r="BR347" i="2" s="1"/>
  <c r="BX347" i="2" s="1"/>
  <c r="AG346" i="2"/>
  <c r="AF346" i="2"/>
  <c r="AH346" i="2" s="1"/>
  <c r="AG345" i="2"/>
  <c r="AF345" i="2"/>
  <c r="AH345" i="2" s="1"/>
  <c r="R345" i="2" s="1"/>
  <c r="AZ345" i="2" s="1"/>
  <c r="BK345" i="2" s="1"/>
  <c r="BR345" i="2" s="1"/>
  <c r="BX345" i="2" s="1"/>
  <c r="CA345" i="2" s="1"/>
  <c r="AG280" i="2"/>
  <c r="AF280" i="2"/>
  <c r="AH280" i="2" s="1"/>
  <c r="AG279" i="2"/>
  <c r="AF279" i="2"/>
  <c r="AH279" i="2" s="1"/>
  <c r="AG278" i="2"/>
  <c r="AF278" i="2"/>
  <c r="AH278" i="2" s="1"/>
  <c r="BD278" i="2" s="1" a="1"/>
  <c r="BD278" i="2" s="1"/>
  <c r="BM278" i="2" s="1" a="1"/>
  <c r="BM278" i="2" s="1"/>
  <c r="BW278" i="2" s="1"/>
  <c r="AG277" i="2"/>
  <c r="AF277" i="2"/>
  <c r="AH277" i="2" s="1"/>
  <c r="R277" i="2" s="1"/>
  <c r="AZ277" i="2" s="1"/>
  <c r="BK277" i="2" s="1"/>
  <c r="BR277" i="2" s="1"/>
  <c r="AG276" i="2"/>
  <c r="AF276" i="2"/>
  <c r="AH276" i="2" s="1"/>
  <c r="R276" i="2" s="1"/>
  <c r="AZ276" i="2" s="1"/>
  <c r="BK276" i="2" s="1"/>
  <c r="BR276" i="2" s="1"/>
  <c r="BX276" i="2" s="1"/>
  <c r="AG272" i="2"/>
  <c r="AF272" i="2"/>
  <c r="AH272" i="2" s="1"/>
  <c r="R272" i="2" s="1"/>
  <c r="AZ272" i="2" s="1"/>
  <c r="BK272" i="2" s="1"/>
  <c r="BR272" i="2" s="1"/>
  <c r="BX272" i="2" s="1"/>
  <c r="CA272" i="2" s="1"/>
  <c r="AG271" i="2"/>
  <c r="AF271" i="2"/>
  <c r="AH271" i="2" s="1"/>
  <c r="AG270" i="2"/>
  <c r="AF270" i="2"/>
  <c r="AH270" i="2" s="1"/>
  <c r="AG269" i="2"/>
  <c r="AF269" i="2"/>
  <c r="AH269" i="2" s="1"/>
  <c r="AG268" i="2"/>
  <c r="AF268" i="2"/>
  <c r="AH268" i="2" s="1"/>
  <c r="BD268" i="2" s="1" a="1"/>
  <c r="BD268" i="2" s="1"/>
  <c r="BM268" i="2" s="1" a="1"/>
  <c r="BM268" i="2" s="1"/>
  <c r="BW268" i="2" s="1"/>
  <c r="AG267" i="2"/>
  <c r="AF267" i="2"/>
  <c r="AH267" i="2" s="1"/>
  <c r="BD267" i="2" s="1" a="1"/>
  <c r="BD267" i="2" s="1"/>
  <c r="BM267" i="2" s="1" a="1"/>
  <c r="BM267" i="2" s="1"/>
  <c r="BW267" i="2" s="1"/>
  <c r="AG266" i="2"/>
  <c r="AH266" i="2" s="1"/>
  <c r="BD266" i="2" s="1" a="1"/>
  <c r="BD266" i="2" s="1"/>
  <c r="AF266" i="2"/>
  <c r="AG260" i="2"/>
  <c r="AF260" i="2"/>
  <c r="AH260" i="2" s="1"/>
  <c r="AG246" i="2"/>
  <c r="AF246" i="2"/>
  <c r="AH246" i="2" s="1"/>
  <c r="R246" i="2" s="1"/>
  <c r="AZ246" i="2" s="1"/>
  <c r="BK246" i="2" s="1"/>
  <c r="BR246" i="2" s="1"/>
  <c r="BX246" i="2" s="1"/>
  <c r="CA246" i="2" s="1"/>
  <c r="AG214" i="2"/>
  <c r="AF214" i="2"/>
  <c r="AH214" i="2" s="1"/>
  <c r="R214" i="2" s="1"/>
  <c r="AZ214" i="2" s="1"/>
  <c r="BK214" i="2" s="1"/>
  <c r="BR214" i="2" s="1"/>
  <c r="BX214" i="2" s="1"/>
  <c r="CA214" i="2" s="1"/>
  <c r="AG177" i="2"/>
  <c r="AF177" i="2"/>
  <c r="AH177" i="2" s="1"/>
  <c r="AG128" i="2"/>
  <c r="AF128" i="2"/>
  <c r="AH128" i="2" s="1"/>
  <c r="AG117" i="2"/>
  <c r="AF117" i="2"/>
  <c r="AH117" i="2" s="1"/>
  <c r="R117" i="2" s="1"/>
  <c r="AZ117" i="2" s="1"/>
  <c r="BK117" i="2" s="1"/>
  <c r="BR117" i="2" s="1"/>
  <c r="BX117" i="2" s="1"/>
  <c r="AG57" i="2"/>
  <c r="AF57" i="2"/>
  <c r="AH57" i="2" s="1"/>
  <c r="R57" i="2" s="1"/>
  <c r="AZ57" i="2" s="1"/>
  <c r="BK57" i="2" s="1"/>
  <c r="BR57" i="2" s="1"/>
  <c r="BX57" i="2" s="1"/>
  <c r="AG56" i="2"/>
  <c r="AF56" i="2"/>
  <c r="AH56" i="2" s="1"/>
  <c r="R56" i="2" s="1"/>
  <c r="AZ56" i="2" s="1"/>
  <c r="BK56" i="2" s="1"/>
  <c r="BR56" i="2" s="1"/>
  <c r="AG55" i="2"/>
  <c r="AF55" i="2"/>
  <c r="AH55" i="2" s="1"/>
  <c r="AG54" i="2"/>
  <c r="AH54" i="2" s="1"/>
  <c r="BD54" i="2" s="1" a="1"/>
  <c r="BD54" i="2" s="1"/>
  <c r="BM54" i="2" s="1" a="1"/>
  <c r="BM54" i="2" s="1"/>
  <c r="BW54" i="2" s="1"/>
  <c r="AF54" i="2"/>
  <c r="AG53" i="2"/>
  <c r="AF53" i="2"/>
  <c r="AH53" i="2" s="1"/>
  <c r="AG52" i="2"/>
  <c r="AF52" i="2"/>
  <c r="AH52" i="2" s="1"/>
  <c r="AG28" i="2"/>
  <c r="AF28" i="2"/>
  <c r="AH28" i="2" s="1"/>
  <c r="R28" i="2" s="1"/>
  <c r="AZ28" i="2" s="1"/>
  <c r="BK28" i="2" s="1"/>
  <c r="BR28" i="2" s="1"/>
  <c r="AG26" i="2"/>
  <c r="AF26" i="2"/>
  <c r="AH26" i="2" s="1"/>
  <c r="R26" i="2" s="1"/>
  <c r="AZ26" i="2" s="1"/>
  <c r="BK26" i="2" s="1"/>
  <c r="BR26" i="2" s="1"/>
  <c r="BX26" i="2" s="1"/>
  <c r="AF25" i="2"/>
  <c r="AH25" i="2" s="1"/>
  <c r="S198" i="2"/>
  <c r="S24" i="2"/>
  <c r="AI24" i="2"/>
  <c r="AK198" i="2"/>
  <c r="AJ198" i="2"/>
  <c r="AI198" i="2"/>
  <c r="AK24" i="2"/>
  <c r="AJ24" i="2"/>
  <c r="AG24" i="2"/>
  <c r="AG198" i="2"/>
  <c r="AF198" i="2"/>
  <c r="AH198" i="2" s="1"/>
  <c r="R198" i="2" s="1"/>
  <c r="AZ198" i="2" s="1"/>
  <c r="BK198" i="2" s="1"/>
  <c r="BR198" i="2" s="1"/>
  <c r="AF24" i="2"/>
  <c r="AH24" i="2" s="1"/>
  <c r="AH35" i="38"/>
  <c r="R35" i="38"/>
  <c r="AH34" i="38"/>
  <c r="R34" i="38"/>
  <c r="AH33" i="38"/>
  <c r="R33" i="38"/>
  <c r="AH32" i="38"/>
  <c r="R32" i="38"/>
  <c r="AH31" i="38"/>
  <c r="R31" i="38"/>
  <c r="R30" i="38"/>
  <c r="AH29" i="38"/>
  <c r="R29" i="38"/>
  <c r="AH28" i="38"/>
  <c r="R28" i="38"/>
  <c r="AH27" i="38"/>
  <c r="R27" i="38"/>
  <c r="AH26" i="38"/>
  <c r="R26" i="38"/>
  <c r="AH25" i="38"/>
  <c r="R25" i="38"/>
  <c r="AH24" i="38"/>
  <c r="R24" i="38"/>
  <c r="AH23" i="38"/>
  <c r="R23" i="38"/>
  <c r="AH22" i="38"/>
  <c r="R22" i="38"/>
  <c r="R21" i="38"/>
  <c r="AH20" i="38"/>
  <c r="R20" i="38"/>
  <c r="AH19" i="38"/>
  <c r="R19" i="38"/>
  <c r="AH18" i="38"/>
  <c r="R18" i="38"/>
  <c r="AH17" i="38"/>
  <c r="R17" i="38"/>
  <c r="AH16" i="38"/>
  <c r="R16" i="38"/>
  <c r="AH15" i="38"/>
  <c r="R15" i="38"/>
  <c r="AH14" i="38"/>
  <c r="R14" i="38"/>
  <c r="AH13" i="38"/>
  <c r="R13" i="38"/>
  <c r="S178" i="2"/>
  <c r="S169" i="2"/>
  <c r="S158" i="2"/>
  <c r="S157" i="2"/>
  <c r="S142" i="2"/>
  <c r="S130" i="2"/>
  <c r="S129" i="2"/>
  <c r="S122" i="2"/>
  <c r="S121" i="2"/>
  <c r="S120" i="2"/>
  <c r="S119" i="2"/>
  <c r="S118" i="2"/>
  <c r="S106" i="2"/>
  <c r="S73" i="2"/>
  <c r="S72" i="2"/>
  <c r="S71" i="2"/>
  <c r="S46" i="2"/>
  <c r="S45" i="2"/>
  <c r="S44" i="2"/>
  <c r="S43" i="2"/>
  <c r="S35" i="2"/>
  <c r="S34" i="2"/>
  <c r="S33" i="2"/>
  <c r="S32" i="2"/>
  <c r="S31" i="2"/>
  <c r="S30" i="2"/>
  <c r="S29" i="2"/>
  <c r="AF29" i="2"/>
  <c r="AH29" i="2" s="1"/>
  <c r="AK178" i="2"/>
  <c r="AJ178" i="2"/>
  <c r="AI178" i="2"/>
  <c r="AK169" i="2"/>
  <c r="AJ169" i="2"/>
  <c r="AI169" i="2"/>
  <c r="AK158" i="2"/>
  <c r="AJ158" i="2"/>
  <c r="AI158" i="2"/>
  <c r="AK157" i="2"/>
  <c r="AJ157" i="2"/>
  <c r="AI157" i="2"/>
  <c r="AK142" i="2"/>
  <c r="AJ142" i="2"/>
  <c r="AI142" i="2"/>
  <c r="AK130" i="2"/>
  <c r="AJ130" i="2"/>
  <c r="AI130" i="2"/>
  <c r="AK129" i="2"/>
  <c r="AJ129" i="2"/>
  <c r="AI129" i="2"/>
  <c r="AK122" i="2"/>
  <c r="AJ122" i="2"/>
  <c r="AI122" i="2"/>
  <c r="AK121" i="2"/>
  <c r="AJ121" i="2"/>
  <c r="AI121" i="2"/>
  <c r="AK120" i="2"/>
  <c r="AJ120" i="2"/>
  <c r="AI120" i="2"/>
  <c r="AK119" i="2"/>
  <c r="AJ119" i="2"/>
  <c r="AI119" i="2"/>
  <c r="AK118" i="2"/>
  <c r="AJ118" i="2"/>
  <c r="AI118" i="2"/>
  <c r="AK106" i="2"/>
  <c r="AJ106" i="2"/>
  <c r="AI106" i="2"/>
  <c r="AK73" i="2"/>
  <c r="AJ73" i="2"/>
  <c r="AI73" i="2"/>
  <c r="AK72" i="2"/>
  <c r="AJ72" i="2"/>
  <c r="AI72" i="2"/>
  <c r="AK71" i="2"/>
  <c r="AJ71" i="2"/>
  <c r="AI71" i="2"/>
  <c r="AK46" i="2"/>
  <c r="AJ46" i="2"/>
  <c r="AI46" i="2"/>
  <c r="AK45" i="2"/>
  <c r="AJ45" i="2"/>
  <c r="AI45" i="2"/>
  <c r="AK44" i="2"/>
  <c r="AJ44" i="2"/>
  <c r="AI44" i="2"/>
  <c r="AK43" i="2"/>
  <c r="AJ43" i="2"/>
  <c r="AI43" i="2"/>
  <c r="AK35" i="2"/>
  <c r="AJ35" i="2"/>
  <c r="AI35" i="2"/>
  <c r="AK34" i="2"/>
  <c r="AJ34" i="2"/>
  <c r="AI34" i="2"/>
  <c r="AK33" i="2"/>
  <c r="AJ33" i="2"/>
  <c r="AI33" i="2"/>
  <c r="AK32" i="2"/>
  <c r="AJ32" i="2"/>
  <c r="AI32" i="2"/>
  <c r="AK31" i="2"/>
  <c r="AJ31" i="2"/>
  <c r="AI31" i="2"/>
  <c r="AK30" i="2"/>
  <c r="AJ30" i="2"/>
  <c r="AI30" i="2"/>
  <c r="AK29" i="2"/>
  <c r="AJ29" i="2"/>
  <c r="AI29" i="2"/>
  <c r="AG29" i="2"/>
  <c r="AG178" i="2"/>
  <c r="AG169" i="2"/>
  <c r="AG158" i="2"/>
  <c r="AG157" i="2"/>
  <c r="AH157" i="2" s="1"/>
  <c r="BD157" i="2" s="1" a="1"/>
  <c r="BD157" i="2" s="1"/>
  <c r="AG142" i="2"/>
  <c r="AG130" i="2"/>
  <c r="AG129" i="2"/>
  <c r="AH129" i="2" s="1"/>
  <c r="AG122" i="2"/>
  <c r="AG121" i="2"/>
  <c r="AG120" i="2"/>
  <c r="AG119" i="2"/>
  <c r="AG118" i="2"/>
  <c r="AG106" i="2"/>
  <c r="AG73" i="2"/>
  <c r="AG72" i="2"/>
  <c r="AG71" i="2"/>
  <c r="AG46" i="2"/>
  <c r="AG45" i="2"/>
  <c r="AG44" i="2"/>
  <c r="AG43" i="2"/>
  <c r="AG35" i="2"/>
  <c r="AG34" i="2"/>
  <c r="AG33" i="2"/>
  <c r="AG32" i="2"/>
  <c r="AG31" i="2"/>
  <c r="AG30" i="2"/>
  <c r="AF178" i="2"/>
  <c r="AH178" i="2" s="1"/>
  <c r="AF169" i="2"/>
  <c r="AH169" i="2" s="1"/>
  <c r="AF158" i="2"/>
  <c r="AH158" i="2" s="1"/>
  <c r="AF157" i="2"/>
  <c r="AF142" i="2"/>
  <c r="AH142" i="2" s="1"/>
  <c r="AF130" i="2"/>
  <c r="AH130" i="2" s="1"/>
  <c r="BD130" i="2" s="1" a="1"/>
  <c r="BD130" i="2" s="1"/>
  <c r="BM130" i="2" s="1" a="1"/>
  <c r="BM130" i="2" s="1"/>
  <c r="BW130" i="2" s="1"/>
  <c r="AF129" i="2"/>
  <c r="AF122" i="2"/>
  <c r="AH122" i="2" s="1"/>
  <c r="AF121" i="2"/>
  <c r="AH121" i="2" s="1"/>
  <c r="AF120" i="2"/>
  <c r="AH120" i="2" s="1"/>
  <c r="AF119" i="2"/>
  <c r="AH119" i="2" s="1"/>
  <c r="BD119" i="2" s="1" a="1"/>
  <c r="AF118" i="2"/>
  <c r="AH118" i="2" s="1"/>
  <c r="AF106" i="2"/>
  <c r="AH106" i="2" s="1"/>
  <c r="R106" i="2" s="1"/>
  <c r="AZ106" i="2" s="1"/>
  <c r="BK106" i="2" s="1"/>
  <c r="BR106" i="2" s="1"/>
  <c r="AF73" i="2"/>
  <c r="AH73" i="2" s="1"/>
  <c r="R73" i="2" s="1"/>
  <c r="AZ73" i="2" s="1"/>
  <c r="BK73" i="2" s="1"/>
  <c r="BR73" i="2" s="1"/>
  <c r="AF72" i="2"/>
  <c r="AH72" i="2" s="1"/>
  <c r="AF71" i="2"/>
  <c r="AH71" i="2" s="1"/>
  <c r="AF46" i="2"/>
  <c r="AH46" i="2" s="1"/>
  <c r="R46" i="2" s="1"/>
  <c r="AZ46" i="2" s="1"/>
  <c r="BK46" i="2" s="1"/>
  <c r="BR46" i="2" s="1"/>
  <c r="AF45" i="2"/>
  <c r="AH45" i="2" s="1"/>
  <c r="AF44" i="2"/>
  <c r="AH44" i="2" s="1"/>
  <c r="R44" i="2" s="1"/>
  <c r="AZ44" i="2" s="1"/>
  <c r="BK44" i="2" s="1"/>
  <c r="BR44" i="2" s="1"/>
  <c r="AF43" i="2"/>
  <c r="AH43" i="2" s="1"/>
  <c r="AF35" i="2"/>
  <c r="AH35" i="2" s="1"/>
  <c r="AF34" i="2"/>
  <c r="AH34" i="2" s="1"/>
  <c r="AF33" i="2"/>
  <c r="AH33" i="2" s="1"/>
  <c r="R33" i="2" s="1"/>
  <c r="AZ33" i="2" s="1"/>
  <c r="BK33" i="2" s="1"/>
  <c r="BR33" i="2" s="1"/>
  <c r="AF32" i="2"/>
  <c r="AH32" i="2" s="1"/>
  <c r="AF31" i="2"/>
  <c r="AH31" i="2" s="1"/>
  <c r="AF30" i="2"/>
  <c r="AH30" i="2" s="1"/>
  <c r="BD30" i="2" s="1" a="1"/>
  <c r="BD30" i="2" s="1"/>
  <c r="BM30" i="2" s="1" a="1"/>
  <c r="BM30" i="2" s="1"/>
  <c r="BW30" i="2" s="1"/>
  <c r="AH15" i="37"/>
  <c r="R15" i="37" s="1"/>
  <c r="AH14" i="37"/>
  <c r="R14" i="37"/>
  <c r="AH13" i="37"/>
  <c r="R13" i="37"/>
  <c r="AH25" i="35"/>
  <c r="R25" i="35"/>
  <c r="AH24" i="35"/>
  <c r="R24" i="35" s="1"/>
  <c r="AH23" i="35"/>
  <c r="R23" i="35"/>
  <c r="AH22" i="35"/>
  <c r="R22" i="35"/>
  <c r="AH21" i="35"/>
  <c r="R21" i="35" s="1"/>
  <c r="AH20" i="35"/>
  <c r="R20" i="35"/>
  <c r="AH19" i="35"/>
  <c r="R19" i="35"/>
  <c r="AH18" i="35"/>
  <c r="R18" i="35"/>
  <c r="AH17" i="35"/>
  <c r="R17" i="35"/>
  <c r="AH16" i="35"/>
  <c r="R16" i="35"/>
  <c r="AH14" i="35"/>
  <c r="R14" i="35"/>
  <c r="R13" i="35"/>
  <c r="S176" i="2"/>
  <c r="S152" i="2"/>
  <c r="S141" i="2"/>
  <c r="AK141" i="2"/>
  <c r="AK176" i="2"/>
  <c r="AJ176" i="2"/>
  <c r="AI176" i="2"/>
  <c r="AK152" i="2"/>
  <c r="AJ152" i="2"/>
  <c r="AI152" i="2"/>
  <c r="AJ141" i="2"/>
  <c r="AI141" i="2"/>
  <c r="AG141" i="2"/>
  <c r="AH141" i="2" s="1"/>
  <c r="AG176" i="2"/>
  <c r="AH176" i="2" s="1"/>
  <c r="AG152" i="2"/>
  <c r="AF141" i="2"/>
  <c r="AF176" i="2"/>
  <c r="AF152" i="2"/>
  <c r="AH152" i="2" s="1"/>
  <c r="S440" i="2"/>
  <c r="S439" i="2"/>
  <c r="S438" i="2"/>
  <c r="S437" i="2"/>
  <c r="S436" i="2"/>
  <c r="S435" i="2"/>
  <c r="AJ435" i="2"/>
  <c r="AK440" i="2"/>
  <c r="AJ440" i="2"/>
  <c r="AK439" i="2"/>
  <c r="AJ439" i="2"/>
  <c r="AK438" i="2"/>
  <c r="AJ438" i="2"/>
  <c r="AK437" i="2"/>
  <c r="AJ437" i="2"/>
  <c r="AK436" i="2"/>
  <c r="AJ436" i="2"/>
  <c r="AK435" i="2"/>
  <c r="AI435" i="2"/>
  <c r="AI440" i="2"/>
  <c r="AI439" i="2"/>
  <c r="AI438" i="2"/>
  <c r="AI437" i="2"/>
  <c r="AI436" i="2"/>
  <c r="AG435" i="2"/>
  <c r="AG440" i="2"/>
  <c r="AG439" i="2"/>
  <c r="AG438" i="2"/>
  <c r="AG437" i="2"/>
  <c r="AG436" i="2"/>
  <c r="AF435" i="2"/>
  <c r="AH435" i="2" s="1"/>
  <c r="BD435" i="2" s="1" a="1"/>
  <c r="BD435" i="2" s="1"/>
  <c r="BM435" i="2" s="1" a="1"/>
  <c r="BM435" i="2" s="1"/>
  <c r="BW435" i="2" s="1"/>
  <c r="AF440" i="2"/>
  <c r="AH440" i="2" s="1"/>
  <c r="AF439" i="2"/>
  <c r="AH439" i="2" s="1"/>
  <c r="AF438" i="2"/>
  <c r="AH438" i="2" s="1"/>
  <c r="BD438" i="2" s="1" a="1"/>
  <c r="BD438" i="2" s="1"/>
  <c r="BM438" i="2" s="1" a="1"/>
  <c r="BM438" i="2" s="1"/>
  <c r="BW438" i="2" s="1"/>
  <c r="AF437" i="2"/>
  <c r="AH437" i="2" s="1"/>
  <c r="BD437" i="2" s="1" a="1"/>
  <c r="BD437" i="2" s="1"/>
  <c r="BM437" i="2" s="1" a="1"/>
  <c r="BM437" i="2" s="1"/>
  <c r="BW437" i="2" s="1"/>
  <c r="AF436" i="2"/>
  <c r="AH436" i="2" s="1"/>
  <c r="BD436" i="2" s="1" a="1"/>
  <c r="BD436" i="2" s="1"/>
  <c r="BM436" i="2" s="1" a="1"/>
  <c r="BM436" i="2" s="1"/>
  <c r="BW436" i="2" s="1"/>
  <c r="S168" i="2"/>
  <c r="S167" i="2"/>
  <c r="S166" i="2"/>
  <c r="AJ166" i="2"/>
  <c r="AK168" i="2"/>
  <c r="AJ168" i="2"/>
  <c r="AK167" i="2"/>
  <c r="AJ167" i="2"/>
  <c r="AK166" i="2"/>
  <c r="AI166" i="2"/>
  <c r="AI168" i="2"/>
  <c r="AI167" i="2"/>
  <c r="AG166" i="2"/>
  <c r="AG168" i="2"/>
  <c r="AG167" i="2"/>
  <c r="AF166" i="2"/>
  <c r="AH166" i="2" s="1"/>
  <c r="AF168" i="2"/>
  <c r="AH168" i="2"/>
  <c r="AF167" i="2"/>
  <c r="AH167" i="2" s="1"/>
  <c r="S425" i="2"/>
  <c r="S424" i="2"/>
  <c r="S423" i="2"/>
  <c r="AJ423" i="2"/>
  <c r="AK425" i="2"/>
  <c r="AJ425" i="2"/>
  <c r="AK424" i="2"/>
  <c r="AJ424" i="2"/>
  <c r="AK423" i="2"/>
  <c r="AI423" i="2"/>
  <c r="AI425" i="2"/>
  <c r="AI424" i="2"/>
  <c r="AG423" i="2"/>
  <c r="AG424" i="2"/>
  <c r="AG425" i="2"/>
  <c r="AH425" i="2" s="1"/>
  <c r="BD425" i="2" s="1" a="1"/>
  <c r="BD425" i="2" s="1"/>
  <c r="AZ425" i="2" s="1" a="1"/>
  <c r="AZ425" i="2" s="1"/>
  <c r="BK425" i="2" s="1"/>
  <c r="BR425" i="2" s="1"/>
  <c r="AF423" i="2"/>
  <c r="AH423" i="2" s="1"/>
  <c r="AF425" i="2"/>
  <c r="AF424" i="2"/>
  <c r="AH424" i="2" s="1"/>
  <c r="AH48" i="34"/>
  <c r="R48" i="34" s="1"/>
  <c r="AH47" i="34"/>
  <c r="R47" i="34" s="1"/>
  <c r="AH46" i="34"/>
  <c r="R46" i="34" s="1"/>
  <c r="AH45" i="34"/>
  <c r="R45" i="34" s="1"/>
  <c r="AH44" i="34"/>
  <c r="R44" i="34" s="1"/>
  <c r="AH43" i="34"/>
  <c r="R43" i="34" s="1"/>
  <c r="AH42" i="34"/>
  <c r="R42" i="34" s="1"/>
  <c r="AC42" i="34"/>
  <c r="AA42" i="34"/>
  <c r="AH41" i="34"/>
  <c r="R41" i="34" s="1"/>
  <c r="AH40" i="34"/>
  <c r="R40" i="34"/>
  <c r="AH39" i="34"/>
  <c r="R39" i="34"/>
  <c r="AH38" i="34"/>
  <c r="R38" i="34"/>
  <c r="AH37" i="34"/>
  <c r="R37" i="34"/>
  <c r="AH36" i="34"/>
  <c r="R36" i="34"/>
  <c r="AC36" i="34"/>
  <c r="AH35" i="34"/>
  <c r="R35" i="34" s="1"/>
  <c r="AH34" i="34"/>
  <c r="R34" i="34" s="1"/>
  <c r="AH33" i="34"/>
  <c r="R33" i="34"/>
  <c r="AH32" i="34"/>
  <c r="R32" i="34"/>
  <c r="AC32" i="34"/>
  <c r="AA32" i="34"/>
  <c r="AH31" i="34"/>
  <c r="R31" i="34"/>
  <c r="AH30" i="34"/>
  <c r="R30" i="34"/>
  <c r="AH29" i="34"/>
  <c r="R29" i="34" s="1"/>
  <c r="AC29" i="34"/>
  <c r="AH28" i="34"/>
  <c r="R28" i="34"/>
  <c r="AH27" i="34"/>
  <c r="R27" i="34" s="1"/>
  <c r="AH26" i="34"/>
  <c r="R26" i="34"/>
  <c r="AH25" i="34"/>
  <c r="R25" i="34"/>
  <c r="AH24" i="34"/>
  <c r="R24" i="34"/>
  <c r="AH23" i="34"/>
  <c r="R23" i="34"/>
  <c r="AH22" i="34"/>
  <c r="R22" i="34"/>
  <c r="AH21" i="34"/>
  <c r="R21" i="34"/>
  <c r="AH20" i="34"/>
  <c r="R20" i="34"/>
  <c r="AH19" i="34"/>
  <c r="R19" i="34"/>
  <c r="AH18" i="34"/>
  <c r="R18" i="34" s="1"/>
  <c r="AC18" i="34"/>
  <c r="AH17" i="34"/>
  <c r="R17" i="34"/>
  <c r="AH16" i="34"/>
  <c r="R16" i="34"/>
  <c r="AH15" i="34"/>
  <c r="R15" i="34" s="1"/>
  <c r="AC15" i="34"/>
  <c r="AH14" i="34"/>
  <c r="R14" i="34"/>
  <c r="AH13" i="34"/>
  <c r="R13" i="34"/>
  <c r="R14" i="33"/>
  <c r="AH13" i="33"/>
  <c r="R13" i="33"/>
  <c r="S328" i="2"/>
  <c r="S327" i="2"/>
  <c r="S326" i="2"/>
  <c r="S325" i="2"/>
  <c r="S323" i="2"/>
  <c r="S322" i="2"/>
  <c r="S320" i="2"/>
  <c r="S319" i="2"/>
  <c r="S318" i="2"/>
  <c r="AJ318" i="2"/>
  <c r="AK328" i="2"/>
  <c r="AJ328" i="2"/>
  <c r="AK327" i="2"/>
  <c r="AJ327" i="2"/>
  <c r="AK326" i="2"/>
  <c r="AJ326" i="2"/>
  <c r="AK325" i="2"/>
  <c r="AJ325" i="2"/>
  <c r="AK323" i="2"/>
  <c r="AJ323" i="2"/>
  <c r="AK322" i="2"/>
  <c r="AJ322" i="2"/>
  <c r="AK320" i="2"/>
  <c r="AJ320" i="2"/>
  <c r="AK319" i="2"/>
  <c r="AJ319" i="2"/>
  <c r="AK318" i="2"/>
  <c r="AI318" i="2"/>
  <c r="AI328" i="2"/>
  <c r="AI327" i="2"/>
  <c r="AI326" i="2"/>
  <c r="AI325" i="2"/>
  <c r="AI323" i="2"/>
  <c r="AI322" i="2"/>
  <c r="AI320" i="2"/>
  <c r="AI319" i="2"/>
  <c r="AG318" i="2"/>
  <c r="AG328" i="2"/>
  <c r="AH328" i="2" s="1"/>
  <c r="AG327" i="2"/>
  <c r="AG326" i="2"/>
  <c r="AG325" i="2"/>
  <c r="AG323" i="2"/>
  <c r="AG322" i="2"/>
  <c r="AG320" i="2"/>
  <c r="AH320" i="2" s="1"/>
  <c r="R320" i="2" s="1"/>
  <c r="AG319" i="2"/>
  <c r="AF318" i="2"/>
  <c r="AH318" i="2" s="1"/>
  <c r="AF328" i="2"/>
  <c r="AF327" i="2"/>
  <c r="AH327" i="2" s="1"/>
  <c r="BD327" i="2" s="1" a="1"/>
  <c r="BD327" i="2" s="1"/>
  <c r="BM327" i="2" s="1" a="1"/>
  <c r="BM327" i="2" s="1"/>
  <c r="BW327" i="2" s="1"/>
  <c r="AF326" i="2"/>
  <c r="AH326" i="2" s="1"/>
  <c r="AF325" i="2"/>
  <c r="AH325" i="2"/>
  <c r="R325" i="2" s="1"/>
  <c r="AZ325" i="2" s="1"/>
  <c r="BK325" i="2" s="1"/>
  <c r="BR325" i="2" s="1"/>
  <c r="AF323" i="2"/>
  <c r="AH323" i="2" s="1"/>
  <c r="AF322" i="2"/>
  <c r="AH322" i="2"/>
  <c r="BD322" i="2" s="1" a="1"/>
  <c r="BD322" i="2" s="1"/>
  <c r="BM322" i="2" s="1" a="1"/>
  <c r="BM322" i="2" s="1"/>
  <c r="BW322" i="2" s="1"/>
  <c r="AF320" i="2"/>
  <c r="AF319" i="2"/>
  <c r="AH319" i="2" s="1"/>
  <c r="BD319" i="2" s="1" a="1"/>
  <c r="BD319" i="2" s="1"/>
  <c r="BM319" i="2" s="1" a="1"/>
  <c r="BM319" i="2" s="1"/>
  <c r="BW319" i="2" s="1"/>
  <c r="S283" i="2"/>
  <c r="S282" i="2"/>
  <c r="S275" i="2"/>
  <c r="S274" i="2"/>
  <c r="AK274" i="2"/>
  <c r="AK283" i="2"/>
  <c r="AK282" i="2"/>
  <c r="AK275" i="2"/>
  <c r="AJ274" i="2"/>
  <c r="AJ283" i="2"/>
  <c r="AJ282" i="2"/>
  <c r="AJ275" i="2"/>
  <c r="AI274" i="2"/>
  <c r="AI283" i="2"/>
  <c r="AI282" i="2"/>
  <c r="AI275" i="2"/>
  <c r="AG274" i="2"/>
  <c r="AG283" i="2"/>
  <c r="AH283" i="2" s="1"/>
  <c r="AG282" i="2"/>
  <c r="AG275" i="2"/>
  <c r="AF274" i="2"/>
  <c r="AH274" i="2" s="1"/>
  <c r="BD274" i="2" s="1" a="1"/>
  <c r="BD274" i="2" s="1"/>
  <c r="BM274" i="2" s="1" a="1"/>
  <c r="BM274" i="2" s="1"/>
  <c r="BW274" i="2" s="1"/>
  <c r="AF283" i="2"/>
  <c r="AF282" i="2"/>
  <c r="AH282" i="2" s="1"/>
  <c r="BD282" i="2" s="1" a="1"/>
  <c r="BD282" i="2" s="1"/>
  <c r="BM282" i="2" s="1" a="1"/>
  <c r="BM282" i="2" s="1"/>
  <c r="BW282" i="2" s="1"/>
  <c r="AF275" i="2"/>
  <c r="AH275" i="2" s="1"/>
  <c r="AH39" i="31"/>
  <c r="R39" i="31" s="1"/>
  <c r="AH38" i="31"/>
  <c r="R38" i="31"/>
  <c r="AH37" i="31"/>
  <c r="R37" i="31"/>
  <c r="AH36" i="31"/>
  <c r="R36" i="31"/>
  <c r="AH35" i="31"/>
  <c r="R35" i="31" s="1"/>
  <c r="AH34" i="31"/>
  <c r="R34" i="31"/>
  <c r="AH33" i="31"/>
  <c r="R33" i="31"/>
  <c r="AH32" i="31"/>
  <c r="R32" i="31"/>
  <c r="AH31" i="31"/>
  <c r="R31" i="31"/>
  <c r="AH30" i="31"/>
  <c r="R30" i="31"/>
  <c r="AH29" i="31"/>
  <c r="R29" i="31" s="1"/>
  <c r="AH28" i="31"/>
  <c r="R28" i="31"/>
  <c r="AH27" i="31"/>
  <c r="R27" i="31"/>
  <c r="AH26" i="31"/>
  <c r="R26" i="31"/>
  <c r="AH25" i="31"/>
  <c r="R25" i="31"/>
  <c r="AH24" i="31"/>
  <c r="R24" i="31"/>
  <c r="AH23" i="31"/>
  <c r="R23" i="31"/>
  <c r="AH22" i="31"/>
  <c r="R22" i="31"/>
  <c r="AH21" i="31"/>
  <c r="R21" i="31"/>
  <c r="AH20" i="31"/>
  <c r="R20" i="31" s="1"/>
  <c r="AH19" i="31"/>
  <c r="R19" i="31"/>
  <c r="AH18" i="31"/>
  <c r="R18" i="31"/>
  <c r="AH17" i="31"/>
  <c r="R17" i="31"/>
  <c r="AH16" i="31"/>
  <c r="R16" i="31"/>
  <c r="AH15" i="31"/>
  <c r="R15" i="31"/>
  <c r="AH14" i="31"/>
  <c r="R14" i="31"/>
  <c r="AH13" i="31"/>
  <c r="R13" i="31"/>
  <c r="AH15" i="32"/>
  <c r="R15" i="32" s="1"/>
  <c r="AH14" i="32"/>
  <c r="R14" i="32"/>
  <c r="AH13" i="32"/>
  <c r="R13" i="32" s="1"/>
  <c r="AH17" i="30"/>
  <c r="R17" i="30" s="1"/>
  <c r="AH16" i="30"/>
  <c r="R16" i="30" s="1"/>
  <c r="AH15" i="30"/>
  <c r="R15" i="30"/>
  <c r="AH14" i="30"/>
  <c r="R14" i="30"/>
  <c r="AH13" i="30"/>
  <c r="R13" i="30" s="1"/>
  <c r="R12" i="30"/>
  <c r="AH15" i="28"/>
  <c r="R15" i="28"/>
  <c r="AH14" i="28"/>
  <c r="R14" i="28"/>
  <c r="AH13" i="28"/>
  <c r="R13" i="28"/>
  <c r="S414" i="2"/>
  <c r="S386" i="2"/>
  <c r="AK386" i="2"/>
  <c r="AK414" i="2"/>
  <c r="AJ386" i="2"/>
  <c r="AJ414" i="2"/>
  <c r="AI386" i="2"/>
  <c r="AI414" i="2"/>
  <c r="AG386" i="2"/>
  <c r="AG414" i="2"/>
  <c r="AF386" i="2"/>
  <c r="AH386" i="2"/>
  <c r="AF414" i="2"/>
  <c r="AH414" i="2"/>
  <c r="S23" i="2"/>
  <c r="S22" i="2"/>
  <c r="S21" i="2"/>
  <c r="AK21" i="2"/>
  <c r="AK23" i="2"/>
  <c r="AK22" i="2"/>
  <c r="AJ21" i="2"/>
  <c r="AJ23" i="2"/>
  <c r="AJ22" i="2"/>
  <c r="AI21" i="2"/>
  <c r="AI23" i="2"/>
  <c r="AI22" i="2"/>
  <c r="AG21" i="2"/>
  <c r="AG23" i="2"/>
  <c r="AG22" i="2"/>
  <c r="AF21" i="2"/>
  <c r="AH21" i="2"/>
  <c r="BD21" i="2" a="1"/>
  <c r="BD21" i="2"/>
  <c r="BM21" i="2" a="1"/>
  <c r="BM21" i="2"/>
  <c r="BW21" i="2"/>
  <c r="AF23" i="2"/>
  <c r="AH23" i="2"/>
  <c r="AF22" i="2"/>
  <c r="AH22" i="2"/>
  <c r="S339" i="2"/>
  <c r="S258" i="2"/>
  <c r="S250" i="2"/>
  <c r="S249" i="2"/>
  <c r="S216" i="2"/>
  <c r="S212" i="2"/>
  <c r="S211" i="2"/>
  <c r="S210" i="2"/>
  <c r="AK210" i="2"/>
  <c r="AK339" i="2"/>
  <c r="AK258" i="2"/>
  <c r="AK250" i="2"/>
  <c r="AK249" i="2"/>
  <c r="AK216" i="2"/>
  <c r="AK212" i="2"/>
  <c r="AK211" i="2"/>
  <c r="AJ210" i="2"/>
  <c r="AJ339" i="2"/>
  <c r="AJ258" i="2"/>
  <c r="AJ250" i="2"/>
  <c r="AJ249" i="2"/>
  <c r="AJ216" i="2"/>
  <c r="AJ212" i="2"/>
  <c r="AJ211" i="2"/>
  <c r="AI210" i="2"/>
  <c r="AI339" i="2"/>
  <c r="AI258" i="2"/>
  <c r="AI250" i="2"/>
  <c r="AI249" i="2"/>
  <c r="AI216" i="2"/>
  <c r="AI212" i="2"/>
  <c r="AI211" i="2"/>
  <c r="AG210" i="2"/>
  <c r="AG339" i="2"/>
  <c r="AG258" i="2"/>
  <c r="AG250" i="2"/>
  <c r="AG249" i="2"/>
  <c r="AG216" i="2"/>
  <c r="AG212" i="2"/>
  <c r="AG211" i="2"/>
  <c r="AF210" i="2"/>
  <c r="AH210" i="2"/>
  <c r="AF339" i="2"/>
  <c r="AH339" i="2" s="1"/>
  <c r="AF258" i="2"/>
  <c r="AH258" i="2" s="1"/>
  <c r="AF250" i="2"/>
  <c r="AH250" i="2" s="1"/>
  <c r="BD250" i="2" s="1" a="1"/>
  <c r="BD250" i="2" s="1"/>
  <c r="BM250" i="2" s="1" a="1"/>
  <c r="BM250" i="2" s="1"/>
  <c r="BW250" i="2" s="1"/>
  <c r="AF249" i="2"/>
  <c r="AH249" i="2" s="1"/>
  <c r="BD249" i="2" s="1" a="1"/>
  <c r="BD249" i="2" s="1"/>
  <c r="BM249" i="2" s="1" a="1"/>
  <c r="BM249" i="2" s="1"/>
  <c r="BW249" i="2" s="1"/>
  <c r="AF216" i="2"/>
  <c r="AH216" i="2" s="1"/>
  <c r="AF212" i="2"/>
  <c r="AH212" i="2" s="1"/>
  <c r="AF211" i="2"/>
  <c r="AH211" i="2" s="1"/>
  <c r="BD211" i="2" s="1" a="1"/>
  <c r="BD211" i="2" s="1"/>
  <c r="BM211" i="2" s="1" a="1"/>
  <c r="BM211" i="2" s="1"/>
  <c r="BW211" i="2" s="1"/>
  <c r="S376" i="2"/>
  <c r="S375" i="2"/>
  <c r="S374" i="2"/>
  <c r="S70" i="2"/>
  <c r="S69" i="2"/>
  <c r="S68" i="2"/>
  <c r="S67" i="2"/>
  <c r="S66" i="2"/>
  <c r="S65" i="2"/>
  <c r="S64" i="2"/>
  <c r="S63" i="2"/>
  <c r="S62" i="2"/>
  <c r="S61" i="2"/>
  <c r="S60" i="2"/>
  <c r="AK60" i="2"/>
  <c r="AK376" i="2"/>
  <c r="AK375" i="2"/>
  <c r="AK374" i="2"/>
  <c r="AK70" i="2"/>
  <c r="AK69" i="2"/>
  <c r="AK68" i="2"/>
  <c r="AK67" i="2"/>
  <c r="AK66" i="2"/>
  <c r="AK65" i="2"/>
  <c r="AK64" i="2"/>
  <c r="AK63" i="2"/>
  <c r="AK62" i="2"/>
  <c r="AK61" i="2"/>
  <c r="AJ60" i="2"/>
  <c r="AJ376" i="2"/>
  <c r="AJ375" i="2"/>
  <c r="AJ374" i="2"/>
  <c r="AJ70" i="2"/>
  <c r="AJ69" i="2"/>
  <c r="AJ68" i="2"/>
  <c r="AJ67" i="2"/>
  <c r="AJ66" i="2"/>
  <c r="AJ65" i="2"/>
  <c r="AJ64" i="2"/>
  <c r="AJ63" i="2"/>
  <c r="AJ62" i="2"/>
  <c r="AJ61" i="2"/>
  <c r="AI60" i="2"/>
  <c r="AI376" i="2"/>
  <c r="AI375" i="2"/>
  <c r="AI374" i="2"/>
  <c r="AI70" i="2"/>
  <c r="AI69" i="2"/>
  <c r="AI68" i="2"/>
  <c r="AI67" i="2"/>
  <c r="AI66" i="2"/>
  <c r="AI65" i="2"/>
  <c r="AI64" i="2"/>
  <c r="AI63" i="2"/>
  <c r="AI62" i="2"/>
  <c r="AI61" i="2"/>
  <c r="AG60" i="2"/>
  <c r="AG376" i="2"/>
  <c r="AG375" i="2"/>
  <c r="AG374" i="2"/>
  <c r="AG70" i="2"/>
  <c r="AG69" i="2"/>
  <c r="AG68" i="2"/>
  <c r="AG67" i="2"/>
  <c r="AG66" i="2"/>
  <c r="AG65" i="2"/>
  <c r="AG64" i="2"/>
  <c r="AG63" i="2"/>
  <c r="AG62" i="2"/>
  <c r="AG61" i="2"/>
  <c r="AF60" i="2"/>
  <c r="AH60" i="2"/>
  <c r="AF376" i="2"/>
  <c r="AH376" i="2"/>
  <c r="AF375" i="2"/>
  <c r="AH375" i="2"/>
  <c r="AF374" i="2"/>
  <c r="AH374" i="2"/>
  <c r="AF70" i="2"/>
  <c r="AH70" i="2"/>
  <c r="AF69" i="2"/>
  <c r="AH69" i="2"/>
  <c r="AF68" i="2"/>
  <c r="AH68" i="2"/>
  <c r="AF67" i="2"/>
  <c r="AH67" i="2"/>
  <c r="AF66" i="2"/>
  <c r="AH66" i="2"/>
  <c r="AF65" i="2"/>
  <c r="AH65" i="2"/>
  <c r="AF64" i="2"/>
  <c r="AH64" i="2"/>
  <c r="AF63" i="2"/>
  <c r="AH63" i="2"/>
  <c r="AF62" i="2"/>
  <c r="AH62" i="2"/>
  <c r="AF61" i="2"/>
  <c r="AH61" i="2"/>
  <c r="S202" i="2"/>
  <c r="S163" i="2"/>
  <c r="S162" i="2"/>
  <c r="S161" i="2"/>
  <c r="S160" i="2"/>
  <c r="S159" i="2"/>
  <c r="S156" i="2"/>
  <c r="AK156" i="2"/>
  <c r="AK202" i="2"/>
  <c r="AK163" i="2"/>
  <c r="AK162" i="2"/>
  <c r="AK161" i="2"/>
  <c r="AK160" i="2"/>
  <c r="AK159" i="2"/>
  <c r="AJ156" i="2"/>
  <c r="AJ202" i="2"/>
  <c r="AJ163" i="2"/>
  <c r="AJ162" i="2"/>
  <c r="AJ161" i="2"/>
  <c r="AJ160" i="2"/>
  <c r="AJ159" i="2"/>
  <c r="AI156" i="2"/>
  <c r="AI202" i="2"/>
  <c r="AI163" i="2"/>
  <c r="AI162" i="2"/>
  <c r="AI161" i="2"/>
  <c r="AI160" i="2"/>
  <c r="AI159" i="2"/>
  <c r="AG156" i="2"/>
  <c r="AG202" i="2"/>
  <c r="AG163" i="2"/>
  <c r="AG162" i="2"/>
  <c r="AG161" i="2"/>
  <c r="AG160" i="2"/>
  <c r="AG159" i="2"/>
  <c r="AF156" i="2"/>
  <c r="AH156" i="2" s="1"/>
  <c r="AF202" i="2"/>
  <c r="AH202" i="2" s="1"/>
  <c r="R202" i="2" s="1"/>
  <c r="AZ202" i="2" s="1"/>
  <c r="BK202" i="2" s="1"/>
  <c r="BR202" i="2" s="1"/>
  <c r="BX202" i="2" s="1"/>
  <c r="AF163" i="2"/>
  <c r="AH163" i="2" s="1"/>
  <c r="R163" i="2" s="1"/>
  <c r="AZ163" i="2" s="1"/>
  <c r="BK163" i="2" s="1"/>
  <c r="BR163" i="2" s="1"/>
  <c r="BX163" i="2" s="1"/>
  <c r="CA163" i="2" s="1"/>
  <c r="AF162" i="2"/>
  <c r="AH162" i="2" s="1"/>
  <c r="AF161" i="2"/>
  <c r="AH161" i="2" s="1"/>
  <c r="AF160" i="2"/>
  <c r="AH160" i="2" s="1"/>
  <c r="BD160" i="2" s="1" a="1"/>
  <c r="BD160" i="2" s="1"/>
  <c r="BM160" i="2" s="1" a="1"/>
  <c r="BM160" i="2" s="1"/>
  <c r="BW160" i="2" s="1"/>
  <c r="AF159" i="2"/>
  <c r="AH159" i="2" s="1"/>
  <c r="S382" i="2"/>
  <c r="S381" i="2"/>
  <c r="S380" i="2"/>
  <c r="S379" i="2"/>
  <c r="S377" i="2"/>
  <c r="S344" i="2"/>
  <c r="AF344" i="2"/>
  <c r="AH344" i="2" s="1"/>
  <c r="AK382" i="2"/>
  <c r="AK381" i="2"/>
  <c r="AK380" i="2"/>
  <c r="AK379" i="2"/>
  <c r="AK377" i="2"/>
  <c r="AK344" i="2"/>
  <c r="AJ344" i="2"/>
  <c r="AJ382" i="2"/>
  <c r="AJ381" i="2"/>
  <c r="AJ380" i="2"/>
  <c r="AJ379" i="2"/>
  <c r="AJ377" i="2"/>
  <c r="AI344" i="2"/>
  <c r="AI382" i="2"/>
  <c r="AI381" i="2"/>
  <c r="AI380" i="2"/>
  <c r="AI379" i="2"/>
  <c r="AI377" i="2"/>
  <c r="AG344" i="2"/>
  <c r="AG382" i="2"/>
  <c r="AG381" i="2"/>
  <c r="AG380" i="2"/>
  <c r="AG379" i="2"/>
  <c r="AG377" i="2"/>
  <c r="AH377" i="2" s="1"/>
  <c r="AF382" i="2"/>
  <c r="AH382" i="2" s="1"/>
  <c r="R382" i="2" s="1"/>
  <c r="AZ382" i="2" s="1"/>
  <c r="BK382" i="2" s="1"/>
  <c r="BR382" i="2" s="1"/>
  <c r="AF381" i="2"/>
  <c r="AH381" i="2" s="1"/>
  <c r="BD381" i="2" s="1" a="1"/>
  <c r="BD381" i="2" s="1"/>
  <c r="BM381" i="2" s="1" a="1"/>
  <c r="BM381" i="2" s="1"/>
  <c r="BW381" i="2" s="1"/>
  <c r="AF380" i="2"/>
  <c r="AH380" i="2" s="1"/>
  <c r="AF379" i="2"/>
  <c r="AH379" i="2" s="1"/>
  <c r="AF377" i="2"/>
  <c r="S450" i="2"/>
  <c r="S449" i="2"/>
  <c r="S448" i="2"/>
  <c r="S447" i="2"/>
  <c r="S446" i="2"/>
  <c r="S445" i="2"/>
  <c r="S444" i="2"/>
  <c r="S443" i="2"/>
  <c r="S442" i="2"/>
  <c r="S340" i="2"/>
  <c r="S227" i="2"/>
  <c r="S226" i="2"/>
  <c r="S225" i="2"/>
  <c r="S224" i="2"/>
  <c r="S223" i="2"/>
  <c r="S222" i="2"/>
  <c r="AK222" i="2"/>
  <c r="AK450" i="2"/>
  <c r="AK449" i="2"/>
  <c r="AK448" i="2"/>
  <c r="AK447" i="2"/>
  <c r="AK446" i="2"/>
  <c r="AK445" i="2"/>
  <c r="AK444" i="2"/>
  <c r="AK443" i="2"/>
  <c r="AK442" i="2"/>
  <c r="AK340" i="2"/>
  <c r="AK227" i="2"/>
  <c r="AK226" i="2"/>
  <c r="AK225" i="2"/>
  <c r="AK224" i="2"/>
  <c r="AK223" i="2"/>
  <c r="AJ222" i="2"/>
  <c r="AJ450" i="2"/>
  <c r="AJ449" i="2"/>
  <c r="AJ447" i="2"/>
  <c r="AJ446" i="2"/>
  <c r="AJ445" i="2"/>
  <c r="AJ227" i="2"/>
  <c r="AJ225" i="2"/>
  <c r="AJ223" i="2"/>
  <c r="AI222" i="2"/>
  <c r="AI450" i="2"/>
  <c r="AI449" i="2"/>
  <c r="AI448" i="2"/>
  <c r="AI447" i="2"/>
  <c r="AI446" i="2"/>
  <c r="AI445" i="2"/>
  <c r="AI444" i="2"/>
  <c r="AI443" i="2"/>
  <c r="AI442" i="2"/>
  <c r="AI340" i="2"/>
  <c r="AI227" i="2"/>
  <c r="AI226" i="2"/>
  <c r="AI225" i="2"/>
  <c r="AI224" i="2"/>
  <c r="AI223" i="2"/>
  <c r="AG222" i="2"/>
  <c r="AG450" i="2"/>
  <c r="AG449" i="2"/>
  <c r="AH449" i="2" s="1"/>
  <c r="AG448" i="2"/>
  <c r="AH448" i="2" s="1"/>
  <c r="AG447" i="2"/>
  <c r="AG446" i="2"/>
  <c r="AG445" i="2"/>
  <c r="AG444" i="2"/>
  <c r="AH444" i="2" s="1"/>
  <c r="AG443" i="2"/>
  <c r="AH443" i="2" s="1"/>
  <c r="AG442" i="2"/>
  <c r="AH442" i="2" s="1"/>
  <c r="AG340" i="2"/>
  <c r="AG227" i="2"/>
  <c r="AG226" i="2"/>
  <c r="AG225" i="2"/>
  <c r="AG224" i="2"/>
  <c r="AG223" i="2"/>
  <c r="AH223" i="2" s="1"/>
  <c r="BD223" i="2" s="1" a="1"/>
  <c r="BD223" i="2" s="1"/>
  <c r="AF222" i="2"/>
  <c r="AH222" i="2" s="1"/>
  <c r="AF450" i="2"/>
  <c r="AH450" i="2" s="1"/>
  <c r="AF449" i="2"/>
  <c r="AF448" i="2"/>
  <c r="AF447" i="2"/>
  <c r="AH447" i="2" s="1"/>
  <c r="AF446" i="2"/>
  <c r="AH446" i="2" s="1"/>
  <c r="AF445" i="2"/>
  <c r="AH445" i="2" s="1"/>
  <c r="AF444" i="2"/>
  <c r="AF443" i="2"/>
  <c r="AF442" i="2"/>
  <c r="AF340" i="2"/>
  <c r="AH340" i="2" s="1"/>
  <c r="AF227" i="2"/>
  <c r="AH227" i="2" s="1"/>
  <c r="AF226" i="2"/>
  <c r="AH226" i="2" s="1"/>
  <c r="R226" i="2" s="1"/>
  <c r="AZ226" i="2" s="1"/>
  <c r="BK226" i="2" s="1"/>
  <c r="BR226" i="2" s="1"/>
  <c r="AF225" i="2"/>
  <c r="AH225" i="2" s="1"/>
  <c r="BD225" i="2" s="1" a="1"/>
  <c r="BD225" i="2" s="1"/>
  <c r="BM225" i="2" s="1" a="1"/>
  <c r="BM225" i="2" s="1"/>
  <c r="BW225" i="2" s="1"/>
  <c r="AF224" i="2"/>
  <c r="AH224" i="2" s="1"/>
  <c r="BD224" i="2" s="1" a="1"/>
  <c r="BD224" i="2" s="1"/>
  <c r="BM224" i="2" s="1" a="1"/>
  <c r="BM224" i="2" s="1"/>
  <c r="BW224" i="2" s="1"/>
  <c r="AF223" i="2"/>
  <c r="AH15" i="26"/>
  <c r="R15" i="26" s="1"/>
  <c r="R14" i="26"/>
  <c r="R13" i="26"/>
  <c r="AH21" i="25"/>
  <c r="R21" i="25"/>
  <c r="AH20" i="25"/>
  <c r="R20" i="25"/>
  <c r="R19" i="25"/>
  <c r="AH18" i="25"/>
  <c r="R18" i="25"/>
  <c r="R17" i="25"/>
  <c r="R16" i="25"/>
  <c r="AH15" i="25"/>
  <c r="R15" i="25" s="1"/>
  <c r="AH14" i="25"/>
  <c r="R14" i="25" s="1"/>
  <c r="AH13" i="25"/>
  <c r="R13" i="25"/>
  <c r="AH16" i="23"/>
  <c r="R16" i="23"/>
  <c r="AH15" i="23"/>
  <c r="R15" i="23" s="1"/>
  <c r="AH14" i="23"/>
  <c r="R14" i="23"/>
  <c r="AH13" i="23"/>
  <c r="R13" i="23"/>
  <c r="AH15" i="22"/>
  <c r="R15" i="22"/>
  <c r="AH14" i="22"/>
  <c r="R14" i="22"/>
  <c r="AH13" i="22"/>
  <c r="R13" i="22"/>
  <c r="AH20" i="21"/>
  <c r="R20" i="21"/>
  <c r="AH19" i="21"/>
  <c r="R19" i="21"/>
  <c r="AH18" i="21"/>
  <c r="R18" i="21"/>
  <c r="AH17" i="21"/>
  <c r="R17" i="21"/>
  <c r="AH16" i="21"/>
  <c r="R16" i="21"/>
  <c r="AH15" i="21"/>
  <c r="R15" i="21"/>
  <c r="AH14" i="21"/>
  <c r="R14" i="21"/>
  <c r="AH13" i="21"/>
  <c r="R13" i="21" s="1"/>
  <c r="AH24" i="20"/>
  <c r="R24" i="20"/>
  <c r="AH23" i="20"/>
  <c r="R23" i="20"/>
  <c r="AH22" i="20"/>
  <c r="R22" i="20"/>
  <c r="AH21" i="20"/>
  <c r="R21" i="20"/>
  <c r="AH20" i="20"/>
  <c r="R20" i="20"/>
  <c r="AH19" i="20"/>
  <c r="R19" i="20"/>
  <c r="AH18" i="20"/>
  <c r="R18" i="20"/>
  <c r="AH17" i="20"/>
  <c r="R17" i="20"/>
  <c r="AH16" i="20"/>
  <c r="R16" i="20"/>
  <c r="AH15" i="20"/>
  <c r="R15" i="20"/>
  <c r="AH14" i="20"/>
  <c r="R14" i="20"/>
  <c r="AH13" i="20"/>
  <c r="R13" i="20"/>
  <c r="S232" i="2"/>
  <c r="S231" i="2"/>
  <c r="S230" i="2"/>
  <c r="S229" i="2"/>
  <c r="S228" i="2"/>
  <c r="S219" i="2"/>
  <c r="S218" i="2"/>
  <c r="S217" i="2"/>
  <c r="AK217" i="2"/>
  <c r="AK232" i="2"/>
  <c r="AK231" i="2"/>
  <c r="AK230" i="2"/>
  <c r="AK229" i="2"/>
  <c r="AK228" i="2"/>
  <c r="AK219" i="2"/>
  <c r="AK218" i="2"/>
  <c r="AJ217" i="2"/>
  <c r="AJ232" i="2"/>
  <c r="AJ231" i="2"/>
  <c r="AJ230" i="2"/>
  <c r="AJ229" i="2"/>
  <c r="AJ228" i="2"/>
  <c r="AJ219" i="2"/>
  <c r="AJ218" i="2"/>
  <c r="AI217" i="2"/>
  <c r="AI232" i="2"/>
  <c r="AI231" i="2"/>
  <c r="AI230" i="2"/>
  <c r="AI229" i="2"/>
  <c r="AI228" i="2"/>
  <c r="AI219" i="2"/>
  <c r="AI218" i="2"/>
  <c r="AG217" i="2"/>
  <c r="AG232" i="2"/>
  <c r="AG231" i="2"/>
  <c r="AG230" i="2"/>
  <c r="AG229" i="2"/>
  <c r="AG228" i="2"/>
  <c r="AG219" i="2"/>
  <c r="AG218" i="2"/>
  <c r="AF217" i="2"/>
  <c r="AH217" i="2" s="1"/>
  <c r="AF232" i="2"/>
  <c r="AH232" i="2" s="1"/>
  <c r="AF231" i="2"/>
  <c r="AH231" i="2" s="1"/>
  <c r="AF230" i="2"/>
  <c r="AH230" i="2" s="1"/>
  <c r="AF229" i="2"/>
  <c r="AH229" i="2" s="1"/>
  <c r="AF228" i="2"/>
  <c r="AH228" i="2" s="1"/>
  <c r="R228" i="2" s="1"/>
  <c r="AZ228" i="2" s="1"/>
  <c r="BK228" i="2" s="1"/>
  <c r="BR228" i="2" s="1"/>
  <c r="AF219" i="2"/>
  <c r="AH219" i="2" s="1"/>
  <c r="AF218" i="2"/>
  <c r="AH218" i="2" s="1"/>
  <c r="S341" i="2"/>
  <c r="S321" i="2"/>
  <c r="S309" i="2"/>
  <c r="S308" i="2"/>
  <c r="S298" i="2"/>
  <c r="S297" i="2"/>
  <c r="S296" i="2"/>
  <c r="S284" i="2"/>
  <c r="S281" i="2"/>
  <c r="S265" i="2"/>
  <c r="S206" i="2"/>
  <c r="S205" i="2"/>
  <c r="S204" i="2"/>
  <c r="S203" i="2"/>
  <c r="S200" i="2"/>
  <c r="AF200" i="2"/>
  <c r="AH200" i="2" s="1"/>
  <c r="BD200" i="2" s="1" a="1"/>
  <c r="BD200" i="2" s="1"/>
  <c r="BM200" i="2" s="1" a="1"/>
  <c r="BM200" i="2" s="1"/>
  <c r="BW200" i="2" s="1"/>
  <c r="AK341" i="2"/>
  <c r="AK321" i="2"/>
  <c r="AK298" i="2"/>
  <c r="AK297" i="2"/>
  <c r="AK296" i="2"/>
  <c r="AK284" i="2"/>
  <c r="AK281" i="2"/>
  <c r="AK265" i="2"/>
  <c r="AK206" i="2"/>
  <c r="AK205" i="2"/>
  <c r="AK204" i="2"/>
  <c r="AK203" i="2"/>
  <c r="AK200" i="2"/>
  <c r="AJ200" i="2"/>
  <c r="AJ341" i="2"/>
  <c r="AJ321" i="2"/>
  <c r="AJ298" i="2"/>
  <c r="AJ297" i="2"/>
  <c r="AJ296" i="2"/>
  <c r="AJ284" i="2"/>
  <c r="AJ281" i="2"/>
  <c r="AJ265" i="2"/>
  <c r="AJ206" i="2"/>
  <c r="AJ205" i="2"/>
  <c r="AJ204" i="2"/>
  <c r="AJ203" i="2"/>
  <c r="AI200" i="2"/>
  <c r="AI341" i="2"/>
  <c r="AI321" i="2"/>
  <c r="AI298" i="2"/>
  <c r="AI297" i="2"/>
  <c r="AI296" i="2"/>
  <c r="AI284" i="2"/>
  <c r="AI281" i="2"/>
  <c r="AI265" i="2"/>
  <c r="AI206" i="2"/>
  <c r="AI205" i="2"/>
  <c r="AI204" i="2"/>
  <c r="AI203" i="2"/>
  <c r="AG200" i="2"/>
  <c r="AG341" i="2"/>
  <c r="AG321" i="2"/>
  <c r="AG298" i="2"/>
  <c r="AG297" i="2"/>
  <c r="AG296" i="2"/>
  <c r="AG284" i="2"/>
  <c r="AG281" i="2"/>
  <c r="AG265" i="2"/>
  <c r="AG206" i="2"/>
  <c r="AG205" i="2"/>
  <c r="AG204" i="2"/>
  <c r="AG203" i="2"/>
  <c r="AF341" i="2"/>
  <c r="AH341" i="2" s="1"/>
  <c r="AF321" i="2"/>
  <c r="AH321" i="2" s="1"/>
  <c r="BD321" i="2" s="1" a="1"/>
  <c r="BD321" i="2" s="1"/>
  <c r="BM321" i="2" s="1" a="1"/>
  <c r="BM321" i="2" s="1"/>
  <c r="BW321" i="2" s="1"/>
  <c r="AF298" i="2"/>
  <c r="AH298" i="2" s="1"/>
  <c r="BD298" i="2" s="1" a="1"/>
  <c r="BD298" i="2" s="1"/>
  <c r="BM298" i="2" s="1" a="1"/>
  <c r="BM298" i="2" s="1"/>
  <c r="BW298" i="2" s="1"/>
  <c r="AF297" i="2"/>
  <c r="AH297" i="2" s="1"/>
  <c r="R297" i="2" s="1"/>
  <c r="AZ297" i="2" s="1"/>
  <c r="BK297" i="2" s="1"/>
  <c r="BR297" i="2" s="1"/>
  <c r="AF296" i="2"/>
  <c r="AH296" i="2" s="1"/>
  <c r="BD296" i="2" s="1" a="1"/>
  <c r="BD296" i="2" s="1"/>
  <c r="BM296" i="2" s="1" a="1"/>
  <c r="BM296" i="2" s="1"/>
  <c r="BW296" i="2" s="1"/>
  <c r="AF284" i="2"/>
  <c r="AH284" i="2" s="1"/>
  <c r="R284" i="2" s="1"/>
  <c r="AZ284" i="2" s="1"/>
  <c r="BK284" i="2" s="1"/>
  <c r="BR284" i="2" s="1"/>
  <c r="AF281" i="2"/>
  <c r="AH281" i="2" s="1"/>
  <c r="AF265" i="2"/>
  <c r="AH265" i="2" s="1"/>
  <c r="R265" i="2" s="1"/>
  <c r="AZ265" i="2" s="1"/>
  <c r="BK265" i="2" s="1"/>
  <c r="BR265" i="2" s="1"/>
  <c r="BX265" i="2" s="1"/>
  <c r="CA265" i="2" s="1"/>
  <c r="AF206" i="2"/>
  <c r="AH206" i="2" s="1"/>
  <c r="BD206" i="2" s="1" a="1"/>
  <c r="BD206" i="2" s="1"/>
  <c r="BM206" i="2" s="1" a="1"/>
  <c r="BM206" i="2" s="1"/>
  <c r="BW206" i="2" s="1"/>
  <c r="AF205" i="2"/>
  <c r="AH205" i="2" s="1"/>
  <c r="BD205" i="2" s="1" a="1"/>
  <c r="BD205" i="2" s="1"/>
  <c r="BM205" i="2" s="1" a="1"/>
  <c r="BM205" i="2" s="1"/>
  <c r="BW205" i="2" s="1"/>
  <c r="AF204" i="2"/>
  <c r="AH204" i="2" s="1"/>
  <c r="AF203" i="2"/>
  <c r="AH203" i="2" s="1"/>
  <c r="BD203" i="2" s="1" a="1"/>
  <c r="BD203" i="2" s="1"/>
  <c r="BM203" i="2" s="1" a="1"/>
  <c r="BM203" i="2" s="1"/>
  <c r="BW203" i="2" s="1"/>
  <c r="S396" i="2"/>
  <c r="S366" i="2"/>
  <c r="S365" i="2"/>
  <c r="S364" i="2"/>
  <c r="S363" i="2"/>
  <c r="S362" i="2"/>
  <c r="S361" i="2"/>
  <c r="S360" i="2"/>
  <c r="S288" i="2"/>
  <c r="S245" i="2"/>
  <c r="S51" i="2"/>
  <c r="AF51" i="2"/>
  <c r="AH51" i="2" s="1"/>
  <c r="R51" i="2" s="1"/>
  <c r="AZ51" i="2" s="1"/>
  <c r="BK51" i="2" s="1"/>
  <c r="BR51" i="2" s="1"/>
  <c r="AK396" i="2"/>
  <c r="AK366" i="2"/>
  <c r="AK365" i="2"/>
  <c r="AK364" i="2"/>
  <c r="AK363" i="2"/>
  <c r="AK362" i="2"/>
  <c r="AK361" i="2"/>
  <c r="AK360" i="2"/>
  <c r="AK288" i="2"/>
  <c r="AK245" i="2"/>
  <c r="AK51" i="2"/>
  <c r="AJ51" i="2"/>
  <c r="AJ396" i="2"/>
  <c r="AJ366" i="2"/>
  <c r="AJ365" i="2"/>
  <c r="AJ364" i="2"/>
  <c r="AJ363" i="2"/>
  <c r="AJ362" i="2"/>
  <c r="AJ361" i="2"/>
  <c r="AJ360" i="2"/>
  <c r="AJ288" i="2"/>
  <c r="AJ245" i="2"/>
  <c r="AI51" i="2"/>
  <c r="AI396" i="2"/>
  <c r="AI366" i="2"/>
  <c r="AI365" i="2"/>
  <c r="AI364" i="2"/>
  <c r="AI363" i="2"/>
  <c r="AI362" i="2"/>
  <c r="AI361" i="2"/>
  <c r="AI360" i="2"/>
  <c r="AI288" i="2"/>
  <c r="AI245" i="2"/>
  <c r="AG51" i="2"/>
  <c r="AG396" i="2"/>
  <c r="AG366" i="2"/>
  <c r="AG365" i="2"/>
  <c r="AG364" i="2"/>
  <c r="AH364" i="2" s="1"/>
  <c r="AG363" i="2"/>
  <c r="AG362" i="2"/>
  <c r="AG361" i="2"/>
  <c r="AG360" i="2"/>
  <c r="AG288" i="2"/>
  <c r="AG245" i="2"/>
  <c r="AF396" i="2"/>
  <c r="AH396" i="2" s="1"/>
  <c r="AF366" i="2"/>
  <c r="AH366" i="2" s="1"/>
  <c r="AF365" i="2"/>
  <c r="AH365" i="2" s="1"/>
  <c r="R365" i="2" s="1"/>
  <c r="AZ365" i="2" s="1"/>
  <c r="BK365" i="2" s="1"/>
  <c r="BR365" i="2" s="1"/>
  <c r="BX365" i="2" s="1"/>
  <c r="AF364" i="2"/>
  <c r="AF363" i="2"/>
  <c r="AH363" i="2"/>
  <c r="R363" i="2" s="1"/>
  <c r="AZ363" i="2" s="1"/>
  <c r="BK363" i="2" s="1"/>
  <c r="BR363" i="2" s="1"/>
  <c r="AF362" i="2"/>
  <c r="AH362" i="2" s="1"/>
  <c r="R362" i="2" s="1"/>
  <c r="AZ362" i="2" s="1"/>
  <c r="BK362" i="2" s="1"/>
  <c r="BR362" i="2" s="1"/>
  <c r="AF361" i="2"/>
  <c r="AH361" i="2" s="1"/>
  <c r="R361" i="2" s="1"/>
  <c r="AZ361" i="2" s="1"/>
  <c r="BK361" i="2" s="1"/>
  <c r="BR361" i="2" s="1"/>
  <c r="AF360" i="2"/>
  <c r="AH360" i="2" s="1"/>
  <c r="AF288" i="2"/>
  <c r="AH288" i="2" s="1"/>
  <c r="R288" i="2" s="1"/>
  <c r="AZ288" i="2" s="1"/>
  <c r="BK288" i="2" s="1"/>
  <c r="BR288" i="2" s="1"/>
  <c r="AF245" i="2"/>
  <c r="AH245" i="2" s="1"/>
  <c r="BD245" i="2" s="1" a="1"/>
  <c r="BD245" i="2" s="1"/>
  <c r="BM245" i="2" s="1" a="1"/>
  <c r="BM245" i="2" s="1"/>
  <c r="BW245" i="2" s="1"/>
  <c r="AH19" i="19"/>
  <c r="R19" i="19"/>
  <c r="AH18" i="19"/>
  <c r="R18" i="19" s="1"/>
  <c r="AH17" i="19"/>
  <c r="R17" i="19" s="1"/>
  <c r="AH16" i="19"/>
  <c r="R16" i="19"/>
  <c r="AH15" i="19"/>
  <c r="R15" i="19"/>
  <c r="AH14" i="19"/>
  <c r="R14" i="19"/>
  <c r="AH13" i="19"/>
  <c r="R13" i="19"/>
  <c r="AH18" i="18"/>
  <c r="R18" i="18"/>
  <c r="AH17" i="18"/>
  <c r="R17" i="18" s="1"/>
  <c r="AH16" i="18"/>
  <c r="R16" i="18"/>
  <c r="AH15" i="18"/>
  <c r="R15" i="18"/>
  <c r="AH14" i="18"/>
  <c r="R14" i="18" s="1"/>
  <c r="AH13" i="18"/>
  <c r="R13" i="18" s="1"/>
  <c r="S358" i="2"/>
  <c r="S357" i="2"/>
  <c r="S356" i="2"/>
  <c r="S355" i="2"/>
  <c r="S354" i="2"/>
  <c r="S338" i="2"/>
  <c r="S337" i="2"/>
  <c r="S336" i="2"/>
  <c r="S335" i="2"/>
  <c r="S333" i="2"/>
  <c r="S332" i="2"/>
  <c r="S330" i="2"/>
  <c r="S329" i="2"/>
  <c r="S316" i="2"/>
  <c r="S315" i="2"/>
  <c r="S314" i="2"/>
  <c r="S313" i="2"/>
  <c r="S312" i="2"/>
  <c r="S299" i="2"/>
  <c r="S295" i="2"/>
  <c r="S294" i="2"/>
  <c r="S293" i="2"/>
  <c r="S292" i="2"/>
  <c r="S291" i="2"/>
  <c r="S290" i="2"/>
  <c r="S289" i="2"/>
  <c r="AK289" i="2"/>
  <c r="AK358" i="2"/>
  <c r="AK357" i="2"/>
  <c r="AK356" i="2"/>
  <c r="AK355" i="2"/>
  <c r="AK354" i="2"/>
  <c r="AK338" i="2"/>
  <c r="AK337" i="2"/>
  <c r="AK336" i="2"/>
  <c r="AK335" i="2"/>
  <c r="AK333" i="2"/>
  <c r="AK332" i="2"/>
  <c r="AK330" i="2"/>
  <c r="AK329" i="2"/>
  <c r="AK316" i="2"/>
  <c r="AK315" i="2"/>
  <c r="AK314" i="2"/>
  <c r="AK313" i="2"/>
  <c r="AK312" i="2"/>
  <c r="AK299" i="2"/>
  <c r="AK295" i="2"/>
  <c r="AK294" i="2"/>
  <c r="AK293" i="2"/>
  <c r="AK292" i="2"/>
  <c r="AK291" i="2"/>
  <c r="AK290" i="2"/>
  <c r="AJ289" i="2"/>
  <c r="AJ358" i="2"/>
  <c r="AJ357" i="2"/>
  <c r="AJ356" i="2"/>
  <c r="AJ355" i="2"/>
  <c r="AJ354" i="2"/>
  <c r="AJ338" i="2"/>
  <c r="AJ337" i="2"/>
  <c r="AJ336" i="2"/>
  <c r="AJ335" i="2"/>
  <c r="AJ333" i="2"/>
  <c r="AJ332" i="2"/>
  <c r="AJ330" i="2"/>
  <c r="AJ329" i="2"/>
  <c r="AJ316" i="2"/>
  <c r="AJ315" i="2"/>
  <c r="AJ314" i="2"/>
  <c r="AJ313" i="2"/>
  <c r="AJ312" i="2"/>
  <c r="AJ299" i="2"/>
  <c r="AJ295" i="2"/>
  <c r="AJ294" i="2"/>
  <c r="AJ293" i="2"/>
  <c r="AJ292" i="2"/>
  <c r="AJ291" i="2"/>
  <c r="AJ290" i="2"/>
  <c r="AI289" i="2"/>
  <c r="AI358" i="2"/>
  <c r="AI357" i="2"/>
  <c r="AI356" i="2"/>
  <c r="AI355" i="2"/>
  <c r="AI354" i="2"/>
  <c r="AI338" i="2"/>
  <c r="AI337" i="2"/>
  <c r="AI336" i="2"/>
  <c r="AI335" i="2"/>
  <c r="AI333" i="2"/>
  <c r="AI332" i="2"/>
  <c r="AI330" i="2"/>
  <c r="AI329" i="2"/>
  <c r="AI316" i="2"/>
  <c r="AI315" i="2"/>
  <c r="AI314" i="2"/>
  <c r="AI313" i="2"/>
  <c r="AI312" i="2"/>
  <c r="AI299" i="2"/>
  <c r="AI295" i="2"/>
  <c r="AI294" i="2"/>
  <c r="AI293" i="2"/>
  <c r="AI292" i="2"/>
  <c r="AI291" i="2"/>
  <c r="AI290" i="2"/>
  <c r="AG289" i="2"/>
  <c r="AG358" i="2"/>
  <c r="AG357" i="2"/>
  <c r="AG356" i="2"/>
  <c r="AG355" i="2"/>
  <c r="AG354" i="2"/>
  <c r="AG338" i="2"/>
  <c r="AG337" i="2"/>
  <c r="AG336" i="2"/>
  <c r="AG335" i="2"/>
  <c r="AG333" i="2"/>
  <c r="AG332" i="2"/>
  <c r="AG330" i="2"/>
  <c r="AG329" i="2"/>
  <c r="AG316" i="2"/>
  <c r="AG315" i="2"/>
  <c r="AG314" i="2"/>
  <c r="AH314" i="2" s="1"/>
  <c r="R314" i="2" s="1"/>
  <c r="AG313" i="2"/>
  <c r="AG312" i="2"/>
  <c r="AG299" i="2"/>
  <c r="AH299" i="2" s="1"/>
  <c r="AG295" i="2"/>
  <c r="AG294" i="2"/>
  <c r="AG293" i="2"/>
  <c r="AG292" i="2"/>
  <c r="AG291" i="2"/>
  <c r="AG290" i="2"/>
  <c r="AF289" i="2"/>
  <c r="AH289" i="2" s="1"/>
  <c r="AF358" i="2"/>
  <c r="AH358" i="2" s="1"/>
  <c r="AF357" i="2"/>
  <c r="AH357" i="2" s="1"/>
  <c r="R357" i="2" s="1"/>
  <c r="AZ357" i="2" s="1"/>
  <c r="BK357" i="2" s="1"/>
  <c r="BR357" i="2" s="1"/>
  <c r="AF356" i="2"/>
  <c r="AH356" i="2" s="1"/>
  <c r="BD356" i="2" s="1" a="1"/>
  <c r="BD356" i="2" s="1"/>
  <c r="BM356" i="2" s="1" a="1"/>
  <c r="BM356" i="2" s="1"/>
  <c r="BW356" i="2" s="1"/>
  <c r="AF355" i="2"/>
  <c r="AH355" i="2" s="1"/>
  <c r="AF354" i="2"/>
  <c r="AH354" i="2" s="1"/>
  <c r="AF338" i="2"/>
  <c r="AH338" i="2" s="1"/>
  <c r="R338" i="2" s="1"/>
  <c r="AZ338" i="2" s="1"/>
  <c r="BK338" i="2" s="1"/>
  <c r="BR338" i="2" s="1"/>
  <c r="AF337" i="2"/>
  <c r="AH337" i="2" s="1"/>
  <c r="BD337" i="2" s="1" a="1"/>
  <c r="BD337" i="2" s="1"/>
  <c r="BM337" i="2" s="1" a="1"/>
  <c r="BM337" i="2" s="1"/>
  <c r="BW337" i="2" s="1"/>
  <c r="AF336" i="2"/>
  <c r="AH336" i="2" s="1"/>
  <c r="R336" i="2" s="1"/>
  <c r="AZ336" i="2" s="1"/>
  <c r="BK336" i="2" s="1"/>
  <c r="BR336" i="2" s="1"/>
  <c r="AF335" i="2"/>
  <c r="AH335" i="2" s="1"/>
  <c r="AF333" i="2"/>
  <c r="AH333" i="2" s="1"/>
  <c r="R333" i="2" s="1"/>
  <c r="AZ333" i="2" s="1"/>
  <c r="BK333" i="2" s="1"/>
  <c r="BR333" i="2" s="1"/>
  <c r="AF332" i="2"/>
  <c r="AH332" i="2" s="1"/>
  <c r="AF330" i="2"/>
  <c r="AH330" i="2" s="1"/>
  <c r="AF329" i="2"/>
  <c r="AH329" i="2" s="1"/>
  <c r="AF316" i="2"/>
  <c r="AH316" i="2" s="1"/>
  <c r="AF315" i="2"/>
  <c r="AH315" i="2" s="1"/>
  <c r="R315" i="2" s="1"/>
  <c r="AZ315" i="2" s="1"/>
  <c r="BK315" i="2" s="1"/>
  <c r="BR315" i="2" s="1"/>
  <c r="AF314" i="2"/>
  <c r="AF313" i="2"/>
  <c r="AH313" i="2" s="1"/>
  <c r="BD313" i="2" s="1" a="1"/>
  <c r="BD313" i="2" s="1"/>
  <c r="BM313" i="2" s="1" a="1"/>
  <c r="BM313" i="2" s="1"/>
  <c r="BW313" i="2" s="1"/>
  <c r="AF312" i="2"/>
  <c r="AH312" i="2" s="1"/>
  <c r="AF299" i="2"/>
  <c r="AF295" i="2"/>
  <c r="AH295" i="2" s="1"/>
  <c r="BD295" i="2" s="1" a="1"/>
  <c r="BD295" i="2" s="1"/>
  <c r="BM295" i="2" s="1" a="1"/>
  <c r="BM295" i="2" s="1"/>
  <c r="BW295" i="2" s="1"/>
  <c r="AF294" i="2"/>
  <c r="AH294" i="2" s="1"/>
  <c r="AF293" i="2"/>
  <c r="AH293" i="2" s="1"/>
  <c r="BD293" i="2" s="1" a="1"/>
  <c r="BD293" i="2" s="1"/>
  <c r="BM293" i="2" s="1" a="1"/>
  <c r="BM293" i="2" s="1"/>
  <c r="BW293" i="2" s="1"/>
  <c r="AF292" i="2"/>
  <c r="AH292" i="2" s="1"/>
  <c r="AF291" i="2"/>
  <c r="AH291" i="2" s="1"/>
  <c r="BD291" i="2" s="1" a="1"/>
  <c r="BD291" i="2" s="1"/>
  <c r="BM291" i="2" s="1" a="1"/>
  <c r="BM291" i="2" s="1"/>
  <c r="BW291" i="2" s="1"/>
  <c r="AF290" i="2"/>
  <c r="AH290" i="2" s="1"/>
  <c r="S390" i="2"/>
  <c r="S389" i="2"/>
  <c r="S388" i="2"/>
  <c r="S334" i="2"/>
  <c r="AK334" i="2"/>
  <c r="AK390" i="2"/>
  <c r="AK389" i="2"/>
  <c r="AK388" i="2"/>
  <c r="AJ334" i="2"/>
  <c r="AJ390" i="2"/>
  <c r="AJ389" i="2"/>
  <c r="AJ388" i="2"/>
  <c r="AI334" i="2"/>
  <c r="AI390" i="2"/>
  <c r="AI389" i="2"/>
  <c r="AI388" i="2"/>
  <c r="AG334" i="2"/>
  <c r="AG390" i="2"/>
  <c r="AG389" i="2"/>
  <c r="AH389" i="2" s="1"/>
  <c r="BD389" i="2" s="1" a="1"/>
  <c r="BD389" i="2" s="1"/>
  <c r="AG388" i="2"/>
  <c r="AF334" i="2"/>
  <c r="AH334" i="2" s="1"/>
  <c r="AF390" i="2"/>
  <c r="AH390" i="2" s="1"/>
  <c r="BD390" i="2" s="1" a="1"/>
  <c r="BD390" i="2" s="1"/>
  <c r="BM390" i="2" s="1" a="1"/>
  <c r="BM390" i="2" s="1"/>
  <c r="BW390" i="2" s="1"/>
  <c r="AF389" i="2"/>
  <c r="AF388" i="2"/>
  <c r="AH388" i="2" s="1"/>
  <c r="S433" i="2"/>
  <c r="S422" i="2"/>
  <c r="S421" i="2"/>
  <c r="S416" i="2"/>
  <c r="S403" i="2"/>
  <c r="S391" i="2"/>
  <c r="S385" i="2"/>
  <c r="S384" i="2"/>
  <c r="S383" i="2"/>
  <c r="S378" i="2"/>
  <c r="AK378" i="2"/>
  <c r="AK433" i="2"/>
  <c r="AK422" i="2"/>
  <c r="AK421" i="2"/>
  <c r="AK416" i="2"/>
  <c r="AK403" i="2"/>
  <c r="AK391" i="2"/>
  <c r="AK385" i="2"/>
  <c r="AK384" i="2"/>
  <c r="AK383" i="2"/>
  <c r="AJ378" i="2"/>
  <c r="AJ433" i="2"/>
  <c r="AJ422" i="2"/>
  <c r="AJ421" i="2"/>
  <c r="AJ416" i="2"/>
  <c r="AJ403" i="2"/>
  <c r="AJ391" i="2"/>
  <c r="AJ385" i="2"/>
  <c r="AJ384" i="2"/>
  <c r="AJ383" i="2"/>
  <c r="AI378" i="2"/>
  <c r="AI433" i="2"/>
  <c r="AI422" i="2"/>
  <c r="AI421" i="2"/>
  <c r="AI416" i="2"/>
  <c r="AI403" i="2"/>
  <c r="AI391" i="2"/>
  <c r="AI385" i="2"/>
  <c r="AI384" i="2"/>
  <c r="AI383" i="2"/>
  <c r="AG378" i="2"/>
  <c r="AG433" i="2"/>
  <c r="AH433" i="2" s="1"/>
  <c r="AG422" i="2"/>
  <c r="AG421" i="2"/>
  <c r="AG416" i="2"/>
  <c r="AH416" i="2" s="1"/>
  <c r="AG403" i="2"/>
  <c r="AH403" i="2" s="1"/>
  <c r="AG391" i="2"/>
  <c r="AG385" i="2"/>
  <c r="AG384" i="2"/>
  <c r="AG383" i="2"/>
  <c r="AF378" i="2"/>
  <c r="AH378" i="2" s="1"/>
  <c r="AF433" i="2"/>
  <c r="AF422" i="2"/>
  <c r="AH422" i="2" s="1"/>
  <c r="AF421" i="2"/>
  <c r="AH421" i="2" s="1"/>
  <c r="AF416" i="2"/>
  <c r="AF403" i="2"/>
  <c r="AF391" i="2"/>
  <c r="AH391" i="2" s="1"/>
  <c r="BD391" i="2" s="1" a="1"/>
  <c r="BD391" i="2" s="1"/>
  <c r="BM391" i="2" s="1" a="1"/>
  <c r="BM391" i="2" s="1"/>
  <c r="BW391" i="2" s="1"/>
  <c r="AF385" i="2"/>
  <c r="AH385" i="2" s="1"/>
  <c r="AF384" i="2"/>
  <c r="AH384" i="2" s="1"/>
  <c r="AF383" i="2"/>
  <c r="AH383" i="2" s="1"/>
  <c r="R383" i="2" s="1"/>
  <c r="AZ383" i="2" s="1"/>
  <c r="BK383" i="2" s="1"/>
  <c r="BR383" i="2" s="1"/>
  <c r="S387" i="2"/>
  <c r="S234" i="2"/>
  <c r="S233" i="2"/>
  <c r="S221" i="2"/>
  <c r="S220" i="2"/>
  <c r="S187" i="2"/>
  <c r="S150" i="2"/>
  <c r="S149" i="2"/>
  <c r="S126" i="2"/>
  <c r="S125" i="2"/>
  <c r="S124" i="2"/>
  <c r="S123" i="2"/>
  <c r="S115" i="2"/>
  <c r="S114" i="2"/>
  <c r="S113" i="2"/>
  <c r="S112" i="2"/>
  <c r="S111" i="2"/>
  <c r="S110" i="2"/>
  <c r="S109" i="2"/>
  <c r="S108" i="2"/>
  <c r="S107" i="2"/>
  <c r="S105" i="2"/>
  <c r="S104" i="2"/>
  <c r="S98" i="2"/>
  <c r="S97" i="2"/>
  <c r="S96" i="2"/>
  <c r="S95" i="2"/>
  <c r="S94" i="2"/>
  <c r="S93" i="2"/>
  <c r="S92" i="2"/>
  <c r="S91" i="2"/>
  <c r="S90" i="2"/>
  <c r="S89" i="2"/>
  <c r="S88" i="2"/>
  <c r="S87" i="2"/>
  <c r="S86" i="2"/>
  <c r="S85" i="2"/>
  <c r="S50" i="2"/>
  <c r="S49" i="2"/>
  <c r="S48" i="2"/>
  <c r="S47" i="2"/>
  <c r="S37" i="2"/>
  <c r="AK37" i="2"/>
  <c r="AK387" i="2"/>
  <c r="AK234" i="2"/>
  <c r="AK233" i="2"/>
  <c r="AK221" i="2"/>
  <c r="AK220" i="2"/>
  <c r="AK187" i="2"/>
  <c r="AK150" i="2"/>
  <c r="AK149" i="2"/>
  <c r="AK126" i="2"/>
  <c r="AK125" i="2"/>
  <c r="AK124" i="2"/>
  <c r="AK123" i="2"/>
  <c r="AK115" i="2"/>
  <c r="AK114" i="2"/>
  <c r="AK113" i="2"/>
  <c r="AK112" i="2"/>
  <c r="AK111" i="2"/>
  <c r="AK110" i="2"/>
  <c r="AK109" i="2"/>
  <c r="AK108" i="2"/>
  <c r="AK107" i="2"/>
  <c r="AK105" i="2"/>
  <c r="AK104" i="2"/>
  <c r="AK98" i="2"/>
  <c r="AK97" i="2"/>
  <c r="AK96" i="2"/>
  <c r="AK95" i="2"/>
  <c r="AK94" i="2"/>
  <c r="AK93" i="2"/>
  <c r="AK92" i="2"/>
  <c r="AK91" i="2"/>
  <c r="AK90" i="2"/>
  <c r="AK89" i="2"/>
  <c r="AK88" i="2"/>
  <c r="AK87" i="2"/>
  <c r="AK86" i="2"/>
  <c r="AK85" i="2"/>
  <c r="AK50" i="2"/>
  <c r="AK49" i="2"/>
  <c r="AK48" i="2"/>
  <c r="AK47" i="2"/>
  <c r="AJ37" i="2"/>
  <c r="AJ387" i="2"/>
  <c r="AJ234" i="2"/>
  <c r="AJ233" i="2"/>
  <c r="AJ221" i="2"/>
  <c r="AJ220" i="2"/>
  <c r="AJ187" i="2"/>
  <c r="AJ150" i="2"/>
  <c r="AJ149" i="2"/>
  <c r="AJ126" i="2"/>
  <c r="AJ125" i="2"/>
  <c r="AJ124" i="2"/>
  <c r="AJ123" i="2"/>
  <c r="AJ115" i="2"/>
  <c r="AJ114" i="2"/>
  <c r="AJ113" i="2"/>
  <c r="AJ112" i="2"/>
  <c r="AJ111" i="2"/>
  <c r="AJ110" i="2"/>
  <c r="AJ109" i="2"/>
  <c r="AJ108" i="2"/>
  <c r="AJ107" i="2"/>
  <c r="AJ105" i="2"/>
  <c r="AJ104" i="2"/>
  <c r="AJ98" i="2"/>
  <c r="AJ97" i="2"/>
  <c r="AJ96" i="2"/>
  <c r="AJ95" i="2"/>
  <c r="AJ94" i="2"/>
  <c r="AJ93" i="2"/>
  <c r="AJ92" i="2"/>
  <c r="AJ91" i="2"/>
  <c r="AJ90" i="2"/>
  <c r="AJ89" i="2"/>
  <c r="AJ88" i="2"/>
  <c r="AJ87" i="2"/>
  <c r="AJ86" i="2"/>
  <c r="AJ85" i="2"/>
  <c r="AJ50" i="2"/>
  <c r="AJ49" i="2"/>
  <c r="AJ48" i="2"/>
  <c r="AJ47" i="2"/>
  <c r="AI37" i="2"/>
  <c r="AI47" i="2"/>
  <c r="AI387" i="2"/>
  <c r="AI234" i="2"/>
  <c r="AI233" i="2"/>
  <c r="AI221" i="2"/>
  <c r="AI220" i="2"/>
  <c r="AI187" i="2"/>
  <c r="AI150" i="2"/>
  <c r="AI149" i="2"/>
  <c r="AI126" i="2"/>
  <c r="AI125" i="2"/>
  <c r="AI124" i="2"/>
  <c r="AI123" i="2"/>
  <c r="AI115" i="2"/>
  <c r="AI114" i="2"/>
  <c r="AI113" i="2"/>
  <c r="AI112" i="2"/>
  <c r="AI111" i="2"/>
  <c r="AI110" i="2"/>
  <c r="AI109" i="2"/>
  <c r="AI108" i="2"/>
  <c r="AI107" i="2"/>
  <c r="AI105" i="2"/>
  <c r="AI104" i="2"/>
  <c r="AI98" i="2"/>
  <c r="AI97" i="2"/>
  <c r="AI96" i="2"/>
  <c r="AI95" i="2"/>
  <c r="AI94" i="2"/>
  <c r="AI93" i="2"/>
  <c r="AI92" i="2"/>
  <c r="AI91" i="2"/>
  <c r="AI90" i="2"/>
  <c r="AI89" i="2"/>
  <c r="AI88" i="2"/>
  <c r="AI87" i="2"/>
  <c r="AI86" i="2"/>
  <c r="AI85" i="2"/>
  <c r="AI50" i="2"/>
  <c r="AI49" i="2"/>
  <c r="AI48" i="2"/>
  <c r="AG387" i="2"/>
  <c r="AH387" i="2" s="1"/>
  <c r="AG234" i="2"/>
  <c r="AG233" i="2"/>
  <c r="AG221" i="2"/>
  <c r="AG220" i="2"/>
  <c r="AG187" i="2"/>
  <c r="AH187" i="2" s="1"/>
  <c r="AG149" i="2"/>
  <c r="AH149" i="2" s="1"/>
  <c r="R149" i="2" s="1"/>
  <c r="AG126" i="2"/>
  <c r="AG125" i="2"/>
  <c r="AG124" i="2"/>
  <c r="AG123" i="2"/>
  <c r="AG114" i="2"/>
  <c r="AG113" i="2"/>
  <c r="AG112" i="2"/>
  <c r="AG111" i="2"/>
  <c r="AG110" i="2"/>
  <c r="AG109" i="2"/>
  <c r="AG108" i="2"/>
  <c r="AH108" i="2" s="1"/>
  <c r="AG105" i="2"/>
  <c r="AG104" i="2"/>
  <c r="AG98" i="2"/>
  <c r="AG97" i="2"/>
  <c r="AH97" i="2" s="1"/>
  <c r="AG96" i="2"/>
  <c r="AH96" i="2" s="1"/>
  <c r="AG95" i="2"/>
  <c r="AG94" i="2"/>
  <c r="AH94" i="2" s="1"/>
  <c r="BD94" i="2" s="1" a="1"/>
  <c r="BD94" i="2" s="1"/>
  <c r="AG93" i="2"/>
  <c r="AG92" i="2"/>
  <c r="AG91" i="2"/>
  <c r="AG90" i="2"/>
  <c r="AH90" i="2" s="1"/>
  <c r="R90" i="2" s="1"/>
  <c r="AG89" i="2"/>
  <c r="AG88" i="2"/>
  <c r="AG87" i="2"/>
  <c r="AG86" i="2"/>
  <c r="AG85" i="2"/>
  <c r="AG50" i="2"/>
  <c r="AH50" i="2" s="1"/>
  <c r="AG49" i="2"/>
  <c r="AH49" i="2" s="1"/>
  <c r="AG48" i="2"/>
  <c r="AG47" i="2"/>
  <c r="AH47" i="2" s="1"/>
  <c r="BD47" i="2" s="1" a="1"/>
  <c r="BD47" i="2" s="1"/>
  <c r="BM47" i="2" s="1" a="1"/>
  <c r="BM47" i="2" s="1"/>
  <c r="BW47" i="2" s="1"/>
  <c r="AF37" i="2"/>
  <c r="AF387" i="2"/>
  <c r="AF234" i="2"/>
  <c r="AH234" i="2" s="1"/>
  <c r="R234" i="2" s="1"/>
  <c r="AZ234" i="2" s="1"/>
  <c r="BK234" i="2" s="1"/>
  <c r="BR234" i="2" s="1"/>
  <c r="BX234" i="2" s="1"/>
  <c r="CA234" i="2" s="1"/>
  <c r="AF233" i="2"/>
  <c r="AH233" i="2" s="1"/>
  <c r="BD233" i="2" s="1" a="1"/>
  <c r="BD233" i="2" s="1"/>
  <c r="BM233" i="2" s="1" a="1"/>
  <c r="BM233" i="2" s="1"/>
  <c r="BW233" i="2" s="1"/>
  <c r="AF221" i="2"/>
  <c r="AH221" i="2" s="1"/>
  <c r="R221" i="2" s="1"/>
  <c r="AZ221" i="2" s="1"/>
  <c r="BK221" i="2" s="1"/>
  <c r="BR221" i="2" s="1"/>
  <c r="AF220" i="2"/>
  <c r="AH220" i="2" s="1"/>
  <c r="AF187" i="2"/>
  <c r="AF150" i="2"/>
  <c r="AF149" i="2"/>
  <c r="AF126" i="2"/>
  <c r="AH126" i="2" s="1"/>
  <c r="R126" i="2" s="1"/>
  <c r="AZ126" i="2" s="1"/>
  <c r="BK126" i="2" s="1"/>
  <c r="BR126" i="2" s="1"/>
  <c r="BX126" i="2" s="1"/>
  <c r="CA126" i="2" s="1"/>
  <c r="AF125" i="2"/>
  <c r="AH125" i="2" s="1"/>
  <c r="AF124" i="2"/>
  <c r="AH124" i="2" s="1"/>
  <c r="AF123" i="2"/>
  <c r="AH123" i="2" s="1"/>
  <c r="BD123" i="2" s="1" a="1"/>
  <c r="BD123" i="2" s="1"/>
  <c r="BM123" i="2" s="1" a="1"/>
  <c r="BM123" i="2" s="1"/>
  <c r="BW123" i="2" s="1"/>
  <c r="AF115" i="2"/>
  <c r="AF114" i="2"/>
  <c r="AH114" i="2" s="1"/>
  <c r="AF113" i="2"/>
  <c r="AH113" i="2" s="1"/>
  <c r="AF112" i="2"/>
  <c r="AH112" i="2" s="1"/>
  <c r="AF111" i="2"/>
  <c r="AH111" i="2" s="1"/>
  <c r="R111" i="2" s="1"/>
  <c r="AZ111" i="2" s="1"/>
  <c r="BK111" i="2" s="1"/>
  <c r="BR111" i="2" s="1"/>
  <c r="AF110" i="2"/>
  <c r="AH110" i="2" s="1"/>
  <c r="AF109" i="2"/>
  <c r="AH109" i="2" s="1"/>
  <c r="AF108" i="2"/>
  <c r="AF107" i="2"/>
  <c r="AF105" i="2"/>
  <c r="AH105" i="2" s="1"/>
  <c r="BD105" i="2" s="1" a="1"/>
  <c r="BD105" i="2" s="1"/>
  <c r="BM105" i="2" s="1" a="1"/>
  <c r="BM105" i="2" s="1"/>
  <c r="BW105" i="2" s="1"/>
  <c r="AF104" i="2"/>
  <c r="AH104" i="2" s="1"/>
  <c r="R104" i="2" s="1"/>
  <c r="AZ104" i="2" s="1"/>
  <c r="BK104" i="2" s="1"/>
  <c r="BR104" i="2" s="1"/>
  <c r="BX104" i="2" s="1"/>
  <c r="CA104" i="2" s="1"/>
  <c r="AF98" i="2"/>
  <c r="AH98" i="2" s="1"/>
  <c r="AF97" i="2"/>
  <c r="AF96" i="2"/>
  <c r="AF95" i="2"/>
  <c r="AH95" i="2" s="1"/>
  <c r="AF94" i="2"/>
  <c r="AF93" i="2"/>
  <c r="AH93" i="2" s="1"/>
  <c r="AF92" i="2"/>
  <c r="AH92" i="2" s="1"/>
  <c r="AF91" i="2"/>
  <c r="AH91" i="2" s="1"/>
  <c r="BD91" i="2" s="1" a="1"/>
  <c r="BD91" i="2" s="1"/>
  <c r="BM91" i="2" s="1" a="1"/>
  <c r="BM91" i="2" s="1"/>
  <c r="BW91" i="2" s="1"/>
  <c r="AF90" i="2"/>
  <c r="AF89" i="2"/>
  <c r="AH89" i="2" s="1"/>
  <c r="R89" i="2" s="1"/>
  <c r="AZ89" i="2" s="1"/>
  <c r="BK89" i="2" s="1"/>
  <c r="BR89" i="2" s="1"/>
  <c r="BX89" i="2" s="1"/>
  <c r="CA89" i="2" s="1"/>
  <c r="AF88" i="2"/>
  <c r="AH88" i="2" s="1"/>
  <c r="AF87" i="2"/>
  <c r="AH87" i="2" s="1"/>
  <c r="R87" i="2" s="1"/>
  <c r="AF86" i="2"/>
  <c r="AH86" i="2" s="1"/>
  <c r="AF85" i="2"/>
  <c r="AH85" i="2" s="1"/>
  <c r="R85" i="2" s="1"/>
  <c r="AZ85" i="2"/>
  <c r="BK85" i="2" s="1"/>
  <c r="BR85" i="2" s="1"/>
  <c r="BX85" i="2" s="1"/>
  <c r="CA85" i="2" s="1"/>
  <c r="AF50" i="2"/>
  <c r="AF49" i="2"/>
  <c r="AF48" i="2"/>
  <c r="AH48" i="2" s="1"/>
  <c r="BD48" i="2" s="1" a="1"/>
  <c r="BD48" i="2" s="1"/>
  <c r="BM48" i="2" s="1" a="1"/>
  <c r="BM48" i="2" s="1"/>
  <c r="BW48" i="2" s="1"/>
  <c r="AF47" i="2"/>
  <c r="AH27" i="17"/>
  <c r="R27" i="17"/>
  <c r="AH26" i="17"/>
  <c r="R26" i="17"/>
  <c r="AH25" i="17"/>
  <c r="R25" i="17"/>
  <c r="R24" i="17"/>
  <c r="R23" i="17"/>
  <c r="AH22" i="17"/>
  <c r="R22" i="17"/>
  <c r="AH21" i="17"/>
  <c r="R21" i="17"/>
  <c r="R20" i="17"/>
  <c r="AH19" i="17"/>
  <c r="R19" i="17" s="1"/>
  <c r="AH18" i="17"/>
  <c r="R18" i="17" s="1"/>
  <c r="AH17" i="17"/>
  <c r="R17" i="17"/>
  <c r="R16" i="17"/>
  <c r="R15" i="17"/>
  <c r="R14" i="17"/>
  <c r="R13" i="17"/>
  <c r="AH20" i="16"/>
  <c r="R20" i="16"/>
  <c r="AH19" i="16"/>
  <c r="R19" i="16"/>
  <c r="AH18" i="16"/>
  <c r="R18" i="16"/>
  <c r="AH17" i="16"/>
  <c r="R17" i="16"/>
  <c r="AH16" i="16"/>
  <c r="R16" i="16"/>
  <c r="AH15" i="16"/>
  <c r="R15" i="16"/>
  <c r="AH14" i="16"/>
  <c r="R14" i="16" s="1"/>
  <c r="AH13" i="16"/>
  <c r="R13" i="16"/>
  <c r="AH25" i="15"/>
  <c r="R25" i="15" s="1"/>
  <c r="AH24" i="15"/>
  <c r="R24" i="15" s="1"/>
  <c r="AH23" i="15"/>
  <c r="R23" i="15" s="1"/>
  <c r="AH22" i="15"/>
  <c r="R22" i="15" s="1"/>
  <c r="AH21" i="15"/>
  <c r="R21" i="15"/>
  <c r="AH20" i="15"/>
  <c r="R20" i="15" s="1"/>
  <c r="AH19" i="15"/>
  <c r="R19" i="15" s="1"/>
  <c r="AH18" i="15"/>
  <c r="R18" i="15" s="1"/>
  <c r="AH17" i="15"/>
  <c r="R17" i="15" s="1"/>
  <c r="AH16" i="15"/>
  <c r="R16" i="15" s="1"/>
  <c r="AH15" i="15"/>
  <c r="R15" i="15" s="1"/>
  <c r="AH14" i="15"/>
  <c r="R14" i="15" s="1"/>
  <c r="AH13" i="15"/>
  <c r="R13" i="15" s="1"/>
  <c r="S420" i="2"/>
  <c r="S419" i="2"/>
  <c r="S418" i="2"/>
  <c r="AI418" i="2"/>
  <c r="AK420" i="2"/>
  <c r="AK419" i="2"/>
  <c r="AK418" i="2"/>
  <c r="AJ418" i="2"/>
  <c r="AJ420" i="2"/>
  <c r="AJ419" i="2"/>
  <c r="AI420" i="2"/>
  <c r="AI419" i="2"/>
  <c r="AG418" i="2"/>
  <c r="AG420" i="2"/>
  <c r="AH420" i="2" s="1"/>
  <c r="AG419" i="2"/>
  <c r="AH419" i="2"/>
  <c r="AF418" i="2"/>
  <c r="AH418" i="2"/>
  <c r="AF420" i="2"/>
  <c r="AF419" i="2"/>
  <c r="S456" i="2"/>
  <c r="S455" i="2"/>
  <c r="S454" i="2"/>
  <c r="S453" i="2"/>
  <c r="S452" i="2"/>
  <c r="S451" i="2"/>
  <c r="S432" i="2"/>
  <c r="S431" i="2"/>
  <c r="S402" i="2"/>
  <c r="S401" i="2"/>
  <c r="S394" i="2"/>
  <c r="S369" i="2"/>
  <c r="S368" i="2"/>
  <c r="S367" i="2"/>
  <c r="S188" i="2"/>
  <c r="S174" i="2"/>
  <c r="S173" i="2"/>
  <c r="S172" i="2"/>
  <c r="S171" i="2"/>
  <c r="S170" i="2"/>
  <c r="S155" i="2"/>
  <c r="AK155" i="2"/>
  <c r="AK456" i="2"/>
  <c r="AK455" i="2"/>
  <c r="AK454" i="2"/>
  <c r="AK453" i="2"/>
  <c r="AK452" i="2"/>
  <c r="AK451" i="2"/>
  <c r="AK432" i="2"/>
  <c r="AK431" i="2"/>
  <c r="AK402" i="2"/>
  <c r="AK401" i="2"/>
  <c r="AK394" i="2"/>
  <c r="AK369" i="2"/>
  <c r="AK368" i="2"/>
  <c r="AK367" i="2"/>
  <c r="AK188" i="2"/>
  <c r="AK174" i="2"/>
  <c r="AK173" i="2"/>
  <c r="AK172" i="2"/>
  <c r="AK171" i="2"/>
  <c r="AK170" i="2"/>
  <c r="AJ155" i="2"/>
  <c r="AJ456" i="2"/>
  <c r="AJ455" i="2"/>
  <c r="AJ454" i="2"/>
  <c r="AJ453" i="2"/>
  <c r="AJ452" i="2"/>
  <c r="AJ451" i="2"/>
  <c r="AJ432" i="2"/>
  <c r="AJ431" i="2"/>
  <c r="AJ402" i="2"/>
  <c r="AJ401" i="2"/>
  <c r="AJ394" i="2"/>
  <c r="AJ369" i="2"/>
  <c r="AJ368" i="2"/>
  <c r="AJ367" i="2"/>
  <c r="AJ188" i="2"/>
  <c r="AJ174" i="2"/>
  <c r="AJ173" i="2"/>
  <c r="AJ172" i="2"/>
  <c r="AJ171" i="2"/>
  <c r="AJ170" i="2"/>
  <c r="AI155" i="2"/>
  <c r="AI456" i="2"/>
  <c r="AI455" i="2"/>
  <c r="AI454" i="2"/>
  <c r="AI453" i="2"/>
  <c r="AI452" i="2"/>
  <c r="AI451" i="2"/>
  <c r="AI432" i="2"/>
  <c r="AI431" i="2"/>
  <c r="AI402" i="2"/>
  <c r="AI401" i="2"/>
  <c r="AI394" i="2"/>
  <c r="AI369" i="2"/>
  <c r="AI368" i="2"/>
  <c r="AI367" i="2"/>
  <c r="AI188" i="2"/>
  <c r="AI174" i="2"/>
  <c r="AI173" i="2"/>
  <c r="AI172" i="2"/>
  <c r="AI171" i="2"/>
  <c r="AI170" i="2"/>
  <c r="AG155" i="2"/>
  <c r="AH155" i="2" s="1"/>
  <c r="AG456" i="2"/>
  <c r="AG455" i="2"/>
  <c r="AG454" i="2"/>
  <c r="AG453" i="2"/>
  <c r="AG452" i="2"/>
  <c r="AG451" i="2"/>
  <c r="AG432" i="2"/>
  <c r="AG431" i="2"/>
  <c r="AG402" i="2"/>
  <c r="AG401" i="2"/>
  <c r="AG394" i="2"/>
  <c r="AG369" i="2"/>
  <c r="AG368" i="2"/>
  <c r="AG367" i="2"/>
  <c r="AG188" i="2"/>
  <c r="AG174" i="2"/>
  <c r="AG173" i="2"/>
  <c r="AH173" i="2" s="1"/>
  <c r="AG172" i="2"/>
  <c r="AH172" i="2" s="1"/>
  <c r="R172" i="2" s="1"/>
  <c r="AG171" i="2"/>
  <c r="AH171" i="2" s="1"/>
  <c r="AG170" i="2"/>
  <c r="AF155" i="2"/>
  <c r="AF394" i="2"/>
  <c r="AH394" i="2" s="1"/>
  <c r="R394" i="2" s="1"/>
  <c r="AZ394" i="2" s="1"/>
  <c r="BK394" i="2" s="1"/>
  <c r="BR394" i="2" s="1"/>
  <c r="AF367" i="2"/>
  <c r="AH367" i="2" s="1"/>
  <c r="AF188" i="2"/>
  <c r="AH188" i="2" s="1"/>
  <c r="R188" i="2" s="1"/>
  <c r="AZ188" i="2" s="1"/>
  <c r="BK188" i="2" s="1"/>
  <c r="BR188" i="2" s="1"/>
  <c r="BX188" i="2" s="1"/>
  <c r="AF174" i="2"/>
  <c r="AH174" i="2" s="1"/>
  <c r="AF173" i="2"/>
  <c r="AF172" i="2"/>
  <c r="AF171" i="2"/>
  <c r="AF170" i="2"/>
  <c r="AH170" i="2" s="1"/>
  <c r="S417" i="2"/>
  <c r="AK417" i="2"/>
  <c r="AJ417" i="2"/>
  <c r="AI417" i="2"/>
  <c r="AG417" i="2"/>
  <c r="AF417" i="2"/>
  <c r="AH417" i="2" s="1"/>
  <c r="S413" i="2"/>
  <c r="S412" i="2"/>
  <c r="S411" i="2"/>
  <c r="S410" i="2"/>
  <c r="S409" i="2"/>
  <c r="S400" i="2"/>
  <c r="S399" i="2"/>
  <c r="S398" i="2"/>
  <c r="S397" i="2"/>
  <c r="AK413" i="2"/>
  <c r="AK412" i="2"/>
  <c r="AK411" i="2"/>
  <c r="AK410" i="2"/>
  <c r="AK409" i="2"/>
  <c r="AK400" i="2"/>
  <c r="AK399" i="2"/>
  <c r="AK398" i="2"/>
  <c r="AK397" i="2"/>
  <c r="AJ397" i="2"/>
  <c r="AJ413" i="2"/>
  <c r="AJ412" i="2"/>
  <c r="AJ411" i="2"/>
  <c r="AJ410" i="2"/>
  <c r="AJ409" i="2"/>
  <c r="AJ400" i="2"/>
  <c r="AJ399" i="2"/>
  <c r="AJ398" i="2"/>
  <c r="AI397" i="2"/>
  <c r="AI413" i="2"/>
  <c r="AI412" i="2"/>
  <c r="AI411" i="2"/>
  <c r="AI410" i="2"/>
  <c r="AI409" i="2"/>
  <c r="AI400" i="2"/>
  <c r="AI399" i="2"/>
  <c r="AI398" i="2"/>
  <c r="AG397" i="2"/>
  <c r="AG413" i="2"/>
  <c r="AG412" i="2"/>
  <c r="AG411" i="2"/>
  <c r="AH411" i="2" s="1"/>
  <c r="AG410" i="2"/>
  <c r="AG409" i="2"/>
  <c r="AG400" i="2"/>
  <c r="AG399" i="2"/>
  <c r="AG398" i="2"/>
  <c r="AH398" i="2" s="1"/>
  <c r="BD398" i="2" s="1" a="1"/>
  <c r="BD398" i="2" s="1"/>
  <c r="AF397" i="2"/>
  <c r="AH397" i="2" s="1"/>
  <c r="AF413" i="2"/>
  <c r="AH413" i="2" s="1"/>
  <c r="R413" i="2" s="1"/>
  <c r="AZ413" i="2" s="1"/>
  <c r="BK413" i="2" s="1"/>
  <c r="BR413" i="2" s="1"/>
  <c r="AF412" i="2"/>
  <c r="AH412" i="2" s="1"/>
  <c r="AF411" i="2"/>
  <c r="AF410" i="2"/>
  <c r="AH410" i="2" s="1"/>
  <c r="AF409" i="2"/>
  <c r="AH409" i="2" s="1"/>
  <c r="BD409" i="2" s="1" a="1"/>
  <c r="BD409" i="2" s="1"/>
  <c r="BM409" i="2" s="1" a="1"/>
  <c r="BM409" i="2" s="1"/>
  <c r="BW409" i="2" s="1"/>
  <c r="AF400" i="2"/>
  <c r="AH400" i="2" s="1"/>
  <c r="AF399" i="2"/>
  <c r="AH399" i="2" s="1"/>
  <c r="AF398" i="2"/>
  <c r="S430" i="2"/>
  <c r="S429" i="2"/>
  <c r="S428" i="2"/>
  <c r="S427" i="2"/>
  <c r="S426" i="2"/>
  <c r="S415" i="2"/>
  <c r="S197" i="2"/>
  <c r="S196" i="2"/>
  <c r="S195" i="2"/>
  <c r="S194" i="2"/>
  <c r="S193" i="2"/>
  <c r="S192" i="2"/>
  <c r="S191" i="2"/>
  <c r="S190" i="2"/>
  <c r="S186" i="2"/>
  <c r="S185" i="2"/>
  <c r="S184" i="2"/>
  <c r="S183" i="2"/>
  <c r="S182" i="2"/>
  <c r="S181" i="2"/>
  <c r="S180" i="2"/>
  <c r="S179" i="2"/>
  <c r="S165" i="2"/>
  <c r="S164" i="2"/>
  <c r="S148" i="2"/>
  <c r="S147" i="2"/>
  <c r="S146" i="2"/>
  <c r="S145" i="2"/>
  <c r="S144" i="2"/>
  <c r="S143" i="2"/>
  <c r="S135" i="2"/>
  <c r="S134" i="2"/>
  <c r="S133" i="2"/>
  <c r="S132" i="2"/>
  <c r="S131" i="2"/>
  <c r="S116" i="2"/>
  <c r="S103" i="2"/>
  <c r="S102" i="2"/>
  <c r="S101" i="2"/>
  <c r="S100" i="2"/>
  <c r="S99" i="2"/>
  <c r="S81" i="2"/>
  <c r="S74" i="2"/>
  <c r="S18" i="2"/>
  <c r="S17" i="2"/>
  <c r="S16" i="2"/>
  <c r="AK430" i="2"/>
  <c r="AK429" i="2"/>
  <c r="AK428" i="2"/>
  <c r="AK427" i="2"/>
  <c r="AK426" i="2"/>
  <c r="AK415" i="2"/>
  <c r="AK197" i="2"/>
  <c r="AK196" i="2"/>
  <c r="AK195" i="2"/>
  <c r="AK194" i="2"/>
  <c r="AK193" i="2"/>
  <c r="AK192" i="2"/>
  <c r="AK191" i="2"/>
  <c r="AK190" i="2"/>
  <c r="AK186" i="2"/>
  <c r="AK185" i="2"/>
  <c r="AK184" i="2"/>
  <c r="AK183" i="2"/>
  <c r="AK182" i="2"/>
  <c r="AK181" i="2"/>
  <c r="AK180" i="2"/>
  <c r="AK179" i="2"/>
  <c r="AK165" i="2"/>
  <c r="AK164" i="2"/>
  <c r="AK148" i="2"/>
  <c r="AK147" i="2"/>
  <c r="AK146" i="2"/>
  <c r="AK145" i="2"/>
  <c r="AK144" i="2"/>
  <c r="AK143" i="2"/>
  <c r="AK135" i="2"/>
  <c r="AK134" i="2"/>
  <c r="AK133" i="2"/>
  <c r="AK132" i="2"/>
  <c r="AK131" i="2"/>
  <c r="AK116" i="2"/>
  <c r="AK103" i="2"/>
  <c r="AK102" i="2"/>
  <c r="AK101" i="2"/>
  <c r="AK100" i="2"/>
  <c r="AK99" i="2"/>
  <c r="AK81" i="2"/>
  <c r="AK74" i="2"/>
  <c r="AK18" i="2"/>
  <c r="AK17" i="2"/>
  <c r="AK16" i="2"/>
  <c r="AJ16" i="2"/>
  <c r="AJ430" i="2"/>
  <c r="AJ429" i="2"/>
  <c r="AJ428" i="2"/>
  <c r="AJ427" i="2"/>
  <c r="AJ426" i="2"/>
  <c r="AJ415" i="2"/>
  <c r="AJ197" i="2"/>
  <c r="AJ196" i="2"/>
  <c r="AJ195" i="2"/>
  <c r="AJ194" i="2"/>
  <c r="AJ193" i="2"/>
  <c r="AJ192" i="2"/>
  <c r="AJ191" i="2"/>
  <c r="AJ190" i="2"/>
  <c r="AJ186" i="2"/>
  <c r="AJ185" i="2"/>
  <c r="AJ184" i="2"/>
  <c r="AJ183" i="2"/>
  <c r="AJ182" i="2"/>
  <c r="AJ181" i="2"/>
  <c r="AJ180" i="2"/>
  <c r="AJ179" i="2"/>
  <c r="AJ165" i="2"/>
  <c r="AJ164" i="2"/>
  <c r="AJ148" i="2"/>
  <c r="AJ147" i="2"/>
  <c r="AJ146" i="2"/>
  <c r="AJ145" i="2"/>
  <c r="AJ144" i="2"/>
  <c r="AJ143" i="2"/>
  <c r="AJ135" i="2"/>
  <c r="AJ134" i="2"/>
  <c r="AJ133" i="2"/>
  <c r="AJ132" i="2"/>
  <c r="AJ131" i="2"/>
  <c r="AJ116" i="2"/>
  <c r="AJ103" i="2"/>
  <c r="AJ102" i="2"/>
  <c r="AJ101" i="2"/>
  <c r="AJ100" i="2"/>
  <c r="AJ99" i="2"/>
  <c r="AJ81" i="2"/>
  <c r="AJ74" i="2"/>
  <c r="AJ18" i="2"/>
  <c r="AJ17" i="2"/>
  <c r="AI16" i="2"/>
  <c r="AI430" i="2"/>
  <c r="AI429" i="2"/>
  <c r="AI428" i="2"/>
  <c r="AI427" i="2"/>
  <c r="AI426" i="2"/>
  <c r="AI415" i="2"/>
  <c r="AI197" i="2"/>
  <c r="AI196" i="2"/>
  <c r="AI195" i="2"/>
  <c r="AI194" i="2"/>
  <c r="AI193" i="2"/>
  <c r="AI192" i="2"/>
  <c r="AI191" i="2"/>
  <c r="AI190" i="2"/>
  <c r="AI186" i="2"/>
  <c r="AI185" i="2"/>
  <c r="AI184" i="2"/>
  <c r="AI183" i="2"/>
  <c r="AI182" i="2"/>
  <c r="AI181" i="2"/>
  <c r="AI180" i="2"/>
  <c r="AI179" i="2"/>
  <c r="AI165" i="2"/>
  <c r="AI164" i="2"/>
  <c r="AI148" i="2"/>
  <c r="AI147" i="2"/>
  <c r="AI146" i="2"/>
  <c r="AI145" i="2"/>
  <c r="AI144" i="2"/>
  <c r="AI143" i="2"/>
  <c r="AI135" i="2"/>
  <c r="AI134" i="2"/>
  <c r="AI133" i="2"/>
  <c r="AI132" i="2"/>
  <c r="AI131" i="2"/>
  <c r="AI116" i="2"/>
  <c r="AI103" i="2"/>
  <c r="AI102" i="2"/>
  <c r="AI101" i="2"/>
  <c r="AI100" i="2"/>
  <c r="AI99" i="2"/>
  <c r="AI81" i="2"/>
  <c r="AI74" i="2"/>
  <c r="AI18" i="2"/>
  <c r="AI17" i="2"/>
  <c r="AG16" i="2"/>
  <c r="AG430" i="2"/>
  <c r="AH430" i="2" s="1"/>
  <c r="R430" i="2" s="1"/>
  <c r="AG429" i="2"/>
  <c r="AH429" i="2"/>
  <c r="R429" i="2" s="1"/>
  <c r="AG428" i="2"/>
  <c r="AG427" i="2"/>
  <c r="AG426" i="2"/>
  <c r="AG415" i="2"/>
  <c r="AG197" i="2"/>
  <c r="AG196" i="2"/>
  <c r="AG195" i="2"/>
  <c r="AG194" i="2"/>
  <c r="AH194" i="2" s="1"/>
  <c r="R194" i="2" s="1"/>
  <c r="AG193" i="2"/>
  <c r="AG192" i="2"/>
  <c r="AH192" i="2" s="1"/>
  <c r="R192" i="2" s="1"/>
  <c r="AG191" i="2"/>
  <c r="AH191" i="2" s="1"/>
  <c r="AG190" i="2"/>
  <c r="AG186" i="2"/>
  <c r="AG185" i="2"/>
  <c r="AG184" i="2"/>
  <c r="AH184" i="2" s="1"/>
  <c r="BD184" i="2" s="1" a="1"/>
  <c r="BD184" i="2" s="1"/>
  <c r="AZ184" i="2" s="1" a="1"/>
  <c r="AZ184" i="2" s="1"/>
  <c r="BK184" i="2" s="1"/>
  <c r="BR184" i="2" s="1"/>
  <c r="BX184" i="2" s="1"/>
  <c r="AG183" i="2"/>
  <c r="AG182" i="2"/>
  <c r="AG181" i="2"/>
  <c r="AG180" i="2"/>
  <c r="AH180" i="2" s="1"/>
  <c r="BD180" i="2" s="1" a="1"/>
  <c r="BD180" i="2" s="1"/>
  <c r="BM180" i="2" s="1" a="1"/>
  <c r="BM180" i="2" s="1"/>
  <c r="BW180" i="2" s="1"/>
  <c r="AG179" i="2"/>
  <c r="AH179" i="2" s="1"/>
  <c r="AG165" i="2"/>
  <c r="AG164" i="2"/>
  <c r="AG148" i="2"/>
  <c r="AG147" i="2"/>
  <c r="AG146" i="2"/>
  <c r="AH146" i="2" s="1"/>
  <c r="R146" i="2" s="1"/>
  <c r="AG145" i="2"/>
  <c r="AG144" i="2"/>
  <c r="AH144" i="2" s="1"/>
  <c r="R144" i="2" s="1"/>
  <c r="AG143" i="2"/>
  <c r="AH143" i="2" s="1"/>
  <c r="R143" i="2" s="1"/>
  <c r="BD143" i="2" a="1"/>
  <c r="BD143" i="2" s="1"/>
  <c r="AG135" i="2"/>
  <c r="AG134" i="2"/>
  <c r="AG133" i="2"/>
  <c r="AG132" i="2"/>
  <c r="AG131" i="2"/>
  <c r="AH131" i="2" s="1"/>
  <c r="R131" i="2" s="1"/>
  <c r="AG116" i="2"/>
  <c r="AG103" i="2"/>
  <c r="AG102" i="2"/>
  <c r="AG101" i="2"/>
  <c r="AG100" i="2"/>
  <c r="AG99" i="2"/>
  <c r="AG81" i="2"/>
  <c r="AG74" i="2"/>
  <c r="AG18" i="2"/>
  <c r="AH18" i="2" s="1"/>
  <c r="AG17" i="2"/>
  <c r="AF16" i="2"/>
  <c r="AH16" i="2" s="1"/>
  <c r="AF430" i="2"/>
  <c r="AF429" i="2"/>
  <c r="AF428" i="2"/>
  <c r="AH428" i="2"/>
  <c r="R428" i="2" s="1"/>
  <c r="AZ428" i="2" s="1"/>
  <c r="BK428" i="2" s="1"/>
  <c r="BR428" i="2" s="1"/>
  <c r="AF427" i="2"/>
  <c r="AH427" i="2" s="1"/>
  <c r="BD427" i="2" s="1" a="1"/>
  <c r="BD427" i="2"/>
  <c r="AZ427" i="2" s="1" a="1"/>
  <c r="AZ427" i="2" s="1"/>
  <c r="BK427" i="2" s="1"/>
  <c r="BR427" i="2" s="1"/>
  <c r="AF426" i="2"/>
  <c r="AH426" i="2" s="1"/>
  <c r="BD426" i="2" s="1" a="1"/>
  <c r="BD426" i="2" s="1"/>
  <c r="BM426" i="2" s="1" a="1"/>
  <c r="BM426" i="2" s="1"/>
  <c r="BW426" i="2" s="1"/>
  <c r="AF415" i="2"/>
  <c r="AH415" i="2" s="1"/>
  <c r="R415" i="2" s="1"/>
  <c r="AZ415" i="2" s="1"/>
  <c r="BK415" i="2" s="1"/>
  <c r="BR415" i="2" s="1"/>
  <c r="AF197" i="2"/>
  <c r="AH197" i="2" s="1"/>
  <c r="AF196" i="2"/>
  <c r="AH196" i="2" s="1"/>
  <c r="AF195" i="2"/>
  <c r="AH195" i="2" s="1"/>
  <c r="BD195" i="2" s="1" a="1"/>
  <c r="BD195" i="2" s="1"/>
  <c r="BM195" i="2" s="1" a="1"/>
  <c r="BM195" i="2" s="1"/>
  <c r="BW195" i="2" s="1"/>
  <c r="AF194" i="2"/>
  <c r="AF193" i="2"/>
  <c r="AH193" i="2" s="1"/>
  <c r="BD193" i="2" s="1" a="1"/>
  <c r="BD193" i="2" s="1"/>
  <c r="BM193" i="2" s="1" a="1"/>
  <c r="BM193" i="2" s="1"/>
  <c r="BW193" i="2" s="1"/>
  <c r="AF192" i="2"/>
  <c r="AF191" i="2"/>
  <c r="AF190" i="2"/>
  <c r="AH190" i="2" s="1"/>
  <c r="AF186" i="2"/>
  <c r="AH186" i="2" s="1"/>
  <c r="BD186" i="2" s="1" a="1"/>
  <c r="BD186" i="2" s="1"/>
  <c r="BM186" i="2" s="1" a="1"/>
  <c r="BM186" i="2" s="1"/>
  <c r="BW186" i="2" s="1"/>
  <c r="AF185" i="2"/>
  <c r="AH185" i="2" s="1"/>
  <c r="BD185" i="2" s="1" a="1"/>
  <c r="BD185" i="2" s="1"/>
  <c r="BM185" i="2" s="1" a="1"/>
  <c r="BM185" i="2" s="1"/>
  <c r="BW185" i="2" s="1"/>
  <c r="AF184" i="2"/>
  <c r="AF183" i="2"/>
  <c r="AH183" i="2" s="1"/>
  <c r="BD183" i="2" s="1" a="1"/>
  <c r="BD183" i="2" s="1"/>
  <c r="BM183" i="2" s="1" a="1"/>
  <c r="BM183" i="2" s="1"/>
  <c r="BW183" i="2" s="1"/>
  <c r="AF182" i="2"/>
  <c r="AH182" i="2" s="1"/>
  <c r="R182" i="2" s="1"/>
  <c r="AZ182" i="2" s="1"/>
  <c r="BK182" i="2" s="1"/>
  <c r="BR182" i="2" s="1"/>
  <c r="BX182" i="2" s="1"/>
  <c r="AF181" i="2"/>
  <c r="AH181" i="2" s="1"/>
  <c r="BD181" i="2" s="1" a="1"/>
  <c r="BD181" i="2" s="1"/>
  <c r="BM181" i="2" s="1" a="1"/>
  <c r="BM181" i="2" s="1"/>
  <c r="BW181" i="2" s="1"/>
  <c r="AF180" i="2"/>
  <c r="AF179" i="2"/>
  <c r="AF165" i="2"/>
  <c r="AH165" i="2" s="1"/>
  <c r="R165" i="2" s="1"/>
  <c r="AZ165" i="2" s="1"/>
  <c r="BK165" i="2" s="1"/>
  <c r="BR165" i="2" s="1"/>
  <c r="BX165" i="2" s="1"/>
  <c r="AF164" i="2"/>
  <c r="AH164" i="2" s="1"/>
  <c r="AF148" i="2"/>
  <c r="AH148" i="2" s="1"/>
  <c r="BD148" i="2" s="1" a="1"/>
  <c r="BD148" i="2" s="1"/>
  <c r="BM148" i="2" s="1" a="1"/>
  <c r="BM148" i="2" s="1"/>
  <c r="BW148" i="2" s="1"/>
  <c r="AF147" i="2"/>
  <c r="AH147" i="2" s="1"/>
  <c r="BD147" i="2" s="1" a="1"/>
  <c r="BD147" i="2" s="1"/>
  <c r="BM147" i="2" s="1" a="1"/>
  <c r="BM147" i="2" s="1"/>
  <c r="BW147" i="2" s="1"/>
  <c r="AF146" i="2"/>
  <c r="AF145" i="2"/>
  <c r="AH145" i="2" s="1"/>
  <c r="R145" i="2" s="1"/>
  <c r="AZ145" i="2" s="1"/>
  <c r="BK145" i="2" s="1"/>
  <c r="BR145" i="2" s="1"/>
  <c r="AF144" i="2"/>
  <c r="AF143" i="2"/>
  <c r="AF135" i="2"/>
  <c r="AH135" i="2"/>
  <c r="AF134" i="2"/>
  <c r="AH134" i="2" s="1"/>
  <c r="AF133" i="2"/>
  <c r="AH133" i="2" s="1"/>
  <c r="BD133" i="2" s="1" a="1"/>
  <c r="BD133" i="2" s="1"/>
  <c r="BM133" i="2" s="1" a="1"/>
  <c r="BM133" i="2" s="1"/>
  <c r="BW133" i="2" s="1"/>
  <c r="AF132" i="2"/>
  <c r="AH132" i="2" s="1"/>
  <c r="R132" i="2" s="1"/>
  <c r="AZ132" i="2" s="1"/>
  <c r="BK132" i="2" s="1"/>
  <c r="BR132" i="2" s="1"/>
  <c r="AF131" i="2"/>
  <c r="AF116" i="2"/>
  <c r="AH116" i="2" s="1"/>
  <c r="R116" i="2" s="1"/>
  <c r="AZ116" i="2" s="1"/>
  <c r="BK116" i="2" s="1"/>
  <c r="BR116" i="2" s="1"/>
  <c r="AF103" i="2"/>
  <c r="AH103" i="2" s="1"/>
  <c r="AF102" i="2"/>
  <c r="AH102" i="2" s="1"/>
  <c r="BD102" i="2" s="1" a="1"/>
  <c r="BD102" i="2" s="1"/>
  <c r="BM102" i="2" s="1" a="1"/>
  <c r="BM102" i="2" s="1"/>
  <c r="BW102" i="2" s="1"/>
  <c r="AF101" i="2"/>
  <c r="AH101" i="2" s="1"/>
  <c r="R101" i="2" s="1"/>
  <c r="AZ101" i="2" s="1"/>
  <c r="BK101" i="2" s="1"/>
  <c r="BR101" i="2" s="1"/>
  <c r="AF100" i="2"/>
  <c r="AH100" i="2" s="1"/>
  <c r="R100" i="2" s="1"/>
  <c r="AZ100" i="2" s="1"/>
  <c r="BK100" i="2" s="1"/>
  <c r="BR100" i="2" s="1"/>
  <c r="BX100" i="2" s="1"/>
  <c r="AF99" i="2"/>
  <c r="AH99" i="2" s="1"/>
  <c r="AF81" i="2"/>
  <c r="AH81" i="2" s="1"/>
  <c r="R81" i="2" s="1"/>
  <c r="AZ81" i="2" s="1"/>
  <c r="BK81" i="2" s="1"/>
  <c r="BR81" i="2" s="1"/>
  <c r="AF74" i="2"/>
  <c r="AH74" i="2" s="1"/>
  <c r="AF18" i="2"/>
  <c r="AF17" i="2"/>
  <c r="AH17" i="2" s="1"/>
  <c r="AK343" i="2"/>
  <c r="AK342" i="2"/>
  <c r="AK331" i="2"/>
  <c r="AK287" i="2"/>
  <c r="AK286" i="2"/>
  <c r="AK285" i="2"/>
  <c r="AK273" i="2"/>
  <c r="AK264" i="2"/>
  <c r="AK263" i="2"/>
  <c r="AK262" i="2"/>
  <c r="AK261" i="2"/>
  <c r="AK248" i="2"/>
  <c r="AK247" i="2"/>
  <c r="AK215" i="2"/>
  <c r="AK209" i="2"/>
  <c r="AK208" i="2"/>
  <c r="AK207" i="2"/>
  <c r="AK201" i="2"/>
  <c r="AK199" i="2"/>
  <c r="AJ199" i="2"/>
  <c r="AJ343" i="2"/>
  <c r="AJ342" i="2"/>
  <c r="AJ331" i="2"/>
  <c r="AJ287" i="2"/>
  <c r="AJ286" i="2"/>
  <c r="AJ285" i="2"/>
  <c r="AJ273" i="2"/>
  <c r="AJ264" i="2"/>
  <c r="AJ263" i="2"/>
  <c r="AJ262" i="2"/>
  <c r="AJ261" i="2"/>
  <c r="AJ248" i="2"/>
  <c r="AJ247" i="2"/>
  <c r="AJ215" i="2"/>
  <c r="AJ209" i="2"/>
  <c r="AJ208" i="2"/>
  <c r="AJ207" i="2"/>
  <c r="AJ201" i="2"/>
  <c r="AI199" i="2"/>
  <c r="AI343" i="2"/>
  <c r="AI342" i="2"/>
  <c r="AI331" i="2"/>
  <c r="AI287" i="2"/>
  <c r="AI286" i="2"/>
  <c r="AI285" i="2"/>
  <c r="AI273" i="2"/>
  <c r="AI264" i="2"/>
  <c r="AI263" i="2"/>
  <c r="AI262" i="2"/>
  <c r="AI261" i="2"/>
  <c r="AI248" i="2"/>
  <c r="AI247" i="2"/>
  <c r="AI215" i="2"/>
  <c r="AI209" i="2"/>
  <c r="AI208" i="2"/>
  <c r="AI207" i="2"/>
  <c r="AI201" i="2"/>
  <c r="AG199" i="2"/>
  <c r="AG343" i="2"/>
  <c r="AG342" i="2"/>
  <c r="AG331" i="2"/>
  <c r="AG287" i="2"/>
  <c r="AG286" i="2"/>
  <c r="AG285" i="2"/>
  <c r="AG273" i="2"/>
  <c r="AG264" i="2"/>
  <c r="AG263" i="2"/>
  <c r="AG262" i="2"/>
  <c r="AG261" i="2"/>
  <c r="AG248" i="2"/>
  <c r="AG247" i="2"/>
  <c r="AG215" i="2"/>
  <c r="AG209" i="2"/>
  <c r="AG208" i="2"/>
  <c r="AG207" i="2"/>
  <c r="AG201" i="2"/>
  <c r="AF343" i="2"/>
  <c r="AH343" i="2" s="1"/>
  <c r="BD343" i="2" s="1" a="1"/>
  <c r="BD343" i="2" s="1"/>
  <c r="BM343" i="2" s="1" a="1"/>
  <c r="BM343" i="2" s="1"/>
  <c r="BW343" i="2" s="1"/>
  <c r="AF342" i="2"/>
  <c r="AH342" i="2" s="1"/>
  <c r="R342" i="2" s="1"/>
  <c r="AZ342" i="2" s="1"/>
  <c r="BK342" i="2" s="1"/>
  <c r="BR342" i="2" s="1"/>
  <c r="BX342" i="2" s="1"/>
  <c r="AF331" i="2"/>
  <c r="AH331" i="2" s="1"/>
  <c r="R331" i="2" s="1"/>
  <c r="AZ331" i="2" s="1"/>
  <c r="BK331" i="2" s="1"/>
  <c r="BR331" i="2" s="1"/>
  <c r="AF287" i="2"/>
  <c r="AH287" i="2" s="1"/>
  <c r="AF286" i="2"/>
  <c r="AH286" i="2" s="1"/>
  <c r="AF285" i="2"/>
  <c r="AH285" i="2" s="1"/>
  <c r="BD285" i="2" s="1" a="1"/>
  <c r="BD285" i="2" s="1"/>
  <c r="BM285" i="2" s="1" a="1"/>
  <c r="BM285" i="2" s="1"/>
  <c r="BW285" i="2" s="1"/>
  <c r="AF273" i="2"/>
  <c r="AH273" i="2" s="1"/>
  <c r="BD273" i="2" s="1" a="1"/>
  <c r="BD273" i="2" s="1"/>
  <c r="BM273" i="2" s="1" a="1"/>
  <c r="BM273" i="2" s="1"/>
  <c r="BW273" i="2" s="1"/>
  <c r="AF264" i="2"/>
  <c r="AH264" i="2" s="1"/>
  <c r="BD264" i="2" s="1" a="1"/>
  <c r="BD264" i="2" s="1"/>
  <c r="BM264" i="2" s="1" a="1"/>
  <c r="BM264" i="2" s="1"/>
  <c r="BW264" i="2" s="1"/>
  <c r="AF263" i="2"/>
  <c r="AH263" i="2" s="1"/>
  <c r="BD263" i="2" s="1" a="1"/>
  <c r="BD263" i="2" s="1"/>
  <c r="BM263" i="2" s="1" a="1"/>
  <c r="BM263" i="2" s="1"/>
  <c r="BW263" i="2" s="1"/>
  <c r="AF262" i="2"/>
  <c r="AH262" i="2" s="1"/>
  <c r="R262" i="2" s="1"/>
  <c r="AZ262" i="2" s="1"/>
  <c r="BK262" i="2" s="1"/>
  <c r="BR262" i="2" s="1"/>
  <c r="AF261" i="2"/>
  <c r="AH261" i="2" s="1"/>
  <c r="R261" i="2" s="1"/>
  <c r="AZ261" i="2" s="1"/>
  <c r="BK261" i="2" s="1"/>
  <c r="BR261" i="2" s="1"/>
  <c r="AF248" i="2"/>
  <c r="AH248" i="2" s="1"/>
  <c r="R248" i="2" s="1"/>
  <c r="AZ248" i="2" s="1"/>
  <c r="BK248" i="2" s="1"/>
  <c r="BR248" i="2" s="1"/>
  <c r="BX248" i="2" s="1"/>
  <c r="AF247" i="2"/>
  <c r="AH247" i="2" s="1"/>
  <c r="BD247" i="2" s="1" a="1"/>
  <c r="BD247" i="2" s="1"/>
  <c r="BM247" i="2" s="1" a="1"/>
  <c r="BM247" i="2" s="1"/>
  <c r="BW247" i="2" s="1"/>
  <c r="AF215" i="2"/>
  <c r="AH215" i="2" s="1"/>
  <c r="R215" i="2" s="1"/>
  <c r="AZ215" i="2" s="1"/>
  <c r="BK215" i="2" s="1"/>
  <c r="BR215" i="2" s="1"/>
  <c r="AF209" i="2"/>
  <c r="AH209" i="2" s="1"/>
  <c r="AF208" i="2"/>
  <c r="AH208" i="2" s="1"/>
  <c r="R208" i="2" s="1"/>
  <c r="AZ208" i="2" s="1"/>
  <c r="BK208" i="2" s="1"/>
  <c r="BR208" i="2" s="1"/>
  <c r="AF207" i="2"/>
  <c r="AH207" i="2" s="1"/>
  <c r="AF201" i="2"/>
  <c r="AH201" i="2" s="1"/>
  <c r="AK441" i="2"/>
  <c r="AK434" i="2"/>
  <c r="AK408" i="2"/>
  <c r="AK407" i="2"/>
  <c r="AK406" i="2"/>
  <c r="AK405" i="2"/>
  <c r="AK404" i="2"/>
  <c r="AK395" i="2"/>
  <c r="AK393" i="2"/>
  <c r="AK392" i="2"/>
  <c r="AK310" i="2"/>
  <c r="AK301" i="2"/>
  <c r="AK300" i="2"/>
  <c r="AK189" i="2"/>
  <c r="AK175" i="2"/>
  <c r="AK154" i="2"/>
  <c r="AK153" i="2"/>
  <c r="AK151" i="2"/>
  <c r="AK140" i="2"/>
  <c r="AK139" i="2"/>
  <c r="AK127" i="2"/>
  <c r="AK84" i="2"/>
  <c r="AK83" i="2"/>
  <c r="AK82" i="2"/>
  <c r="AK80" i="2"/>
  <c r="AK79" i="2"/>
  <c r="AK78" i="2"/>
  <c r="AK77" i="2"/>
  <c r="AK76" i="2"/>
  <c r="AK75" i="2"/>
  <c r="AK42" i="2"/>
  <c r="AK41" i="2"/>
  <c r="AK40" i="2"/>
  <c r="AK39" i="2"/>
  <c r="AK38" i="2"/>
  <c r="AK36" i="2"/>
  <c r="AK20" i="2"/>
  <c r="AK19" i="2"/>
  <c r="AK15" i="2"/>
  <c r="AK14" i="2"/>
  <c r="AK13" i="2"/>
  <c r="AK12" i="2"/>
  <c r="AJ441" i="2"/>
  <c r="AJ434" i="2"/>
  <c r="AJ408" i="2"/>
  <c r="AJ407" i="2"/>
  <c r="AJ406" i="2"/>
  <c r="AJ405" i="2"/>
  <c r="AJ404" i="2"/>
  <c r="AJ395" i="2"/>
  <c r="AJ393" i="2"/>
  <c r="AJ392" i="2"/>
  <c r="AJ310" i="2"/>
  <c r="AJ301" i="2"/>
  <c r="AJ300" i="2"/>
  <c r="AJ189" i="2"/>
  <c r="AJ175" i="2"/>
  <c r="AJ154" i="2"/>
  <c r="AJ153" i="2"/>
  <c r="AJ151" i="2"/>
  <c r="AJ140" i="2"/>
  <c r="AJ139" i="2"/>
  <c r="AJ127" i="2"/>
  <c r="AJ84" i="2"/>
  <c r="AJ83" i="2"/>
  <c r="AJ82" i="2"/>
  <c r="AJ80" i="2"/>
  <c r="AJ79" i="2"/>
  <c r="AJ78" i="2"/>
  <c r="AJ77" i="2"/>
  <c r="AJ76" i="2"/>
  <c r="AJ75" i="2"/>
  <c r="AJ42" i="2"/>
  <c r="AJ41" i="2"/>
  <c r="AJ40" i="2"/>
  <c r="AJ39" i="2"/>
  <c r="AJ38" i="2"/>
  <c r="AJ36" i="2"/>
  <c r="AJ20" i="2"/>
  <c r="AJ19" i="2"/>
  <c r="AJ15" i="2"/>
  <c r="AJ14" i="2"/>
  <c r="AJ13" i="2"/>
  <c r="AJ12" i="2"/>
  <c r="AI441" i="2"/>
  <c r="AI434" i="2"/>
  <c r="AI408" i="2"/>
  <c r="AI407" i="2"/>
  <c r="AI406" i="2"/>
  <c r="AI405" i="2"/>
  <c r="AI404" i="2"/>
  <c r="AI395" i="2"/>
  <c r="AI393" i="2"/>
  <c r="AI392" i="2"/>
  <c r="AI310" i="2"/>
  <c r="AI301" i="2"/>
  <c r="AI300" i="2"/>
  <c r="AI189" i="2"/>
  <c r="AI175" i="2"/>
  <c r="AI154" i="2"/>
  <c r="AI153" i="2"/>
  <c r="AI151" i="2"/>
  <c r="AI140" i="2"/>
  <c r="AI139" i="2"/>
  <c r="AI127" i="2"/>
  <c r="AI84" i="2"/>
  <c r="AI83" i="2"/>
  <c r="AI82" i="2"/>
  <c r="AI80" i="2"/>
  <c r="AI79" i="2"/>
  <c r="AI78" i="2"/>
  <c r="AI77" i="2"/>
  <c r="AI76" i="2"/>
  <c r="AI75" i="2"/>
  <c r="AI42" i="2"/>
  <c r="AI41" i="2"/>
  <c r="AI40" i="2"/>
  <c r="AI39" i="2"/>
  <c r="AI38" i="2"/>
  <c r="AI36" i="2"/>
  <c r="AI20" i="2"/>
  <c r="AI19" i="2"/>
  <c r="AI15" i="2"/>
  <c r="AI14" i="2"/>
  <c r="AI13" i="2"/>
  <c r="AI12" i="2"/>
  <c r="AG12" i="2"/>
  <c r="AG441" i="2"/>
  <c r="AG434" i="2"/>
  <c r="AG408" i="2"/>
  <c r="AH408" i="2" s="1"/>
  <c r="BD408" i="2" s="1" a="1"/>
  <c r="BD408" i="2" s="1"/>
  <c r="AG407" i="2"/>
  <c r="AH407" i="2" s="1"/>
  <c r="AG406" i="2"/>
  <c r="AH406" i="2" s="1"/>
  <c r="BD406" i="2" s="1" a="1"/>
  <c r="BD406" i="2" s="1"/>
  <c r="BM406" i="2" s="1" a="1"/>
  <c r="BM406" i="2" s="1"/>
  <c r="BW406" i="2" s="1"/>
  <c r="AG405" i="2"/>
  <c r="AH405" i="2" s="1"/>
  <c r="AG404" i="2"/>
  <c r="AH404" i="2" s="1"/>
  <c r="BD404" i="2" s="1" a="1"/>
  <c r="BD404" i="2" s="1"/>
  <c r="AG395" i="2"/>
  <c r="AH395" i="2" s="1"/>
  <c r="AG393" i="2"/>
  <c r="AG392" i="2"/>
  <c r="AG310" i="2"/>
  <c r="AG301" i="2"/>
  <c r="AG300" i="2"/>
  <c r="AH300" i="2" s="1"/>
  <c r="BD300" i="2" s="1" a="1"/>
  <c r="BD300" i="2" s="1"/>
  <c r="AG189" i="2"/>
  <c r="AH189" i="2" s="1"/>
  <c r="AG175" i="2"/>
  <c r="AG154" i="2"/>
  <c r="AG153" i="2"/>
  <c r="AG151" i="2"/>
  <c r="AG140" i="2"/>
  <c r="AG139" i="2"/>
  <c r="AG127" i="2"/>
  <c r="AG84" i="2"/>
  <c r="AG83" i="2"/>
  <c r="AH83" i="2" s="1"/>
  <c r="BD83" i="2" s="1" a="1"/>
  <c r="BD83" i="2" s="1"/>
  <c r="AG82" i="2"/>
  <c r="AH82" i="2" s="1"/>
  <c r="BD82" i="2" s="1" a="1"/>
  <c r="BD82" i="2" s="1"/>
  <c r="AZ82" i="2" s="1" a="1"/>
  <c r="AZ82" i="2" s="1"/>
  <c r="BK82" i="2" s="1"/>
  <c r="BR82" i="2" s="1"/>
  <c r="BX82" i="2" s="1"/>
  <c r="AG80" i="2"/>
  <c r="AG79" i="2"/>
  <c r="AG78" i="2"/>
  <c r="AH78" i="2" s="1"/>
  <c r="AG77" i="2"/>
  <c r="AG76" i="2"/>
  <c r="AG75" i="2"/>
  <c r="AG42" i="2"/>
  <c r="AG41" i="2"/>
  <c r="AG40" i="2"/>
  <c r="AG39" i="2"/>
  <c r="AG38" i="2"/>
  <c r="AG36" i="2"/>
  <c r="AG20" i="2"/>
  <c r="AG19" i="2"/>
  <c r="AG15" i="2"/>
  <c r="AG14" i="2"/>
  <c r="AG13" i="2"/>
  <c r="AH13" i="2" s="1"/>
  <c r="BD13" i="2" s="1" a="1"/>
  <c r="BD13" i="2" s="1"/>
  <c r="AF441" i="2"/>
  <c r="AH441" i="2" s="1"/>
  <c r="AF434" i="2"/>
  <c r="AH434" i="2" s="1"/>
  <c r="AF408" i="2"/>
  <c r="AF407" i="2"/>
  <c r="AF406" i="2"/>
  <c r="AF405" i="2"/>
  <c r="AF404" i="2"/>
  <c r="AF395" i="2"/>
  <c r="AF393" i="2"/>
  <c r="AH393" i="2" s="1"/>
  <c r="BD393" i="2" s="1" a="1"/>
  <c r="BD393" i="2" s="1"/>
  <c r="BM393" i="2" s="1" a="1"/>
  <c r="BM393" i="2" s="1"/>
  <c r="BW393" i="2" s="1"/>
  <c r="AF392" i="2"/>
  <c r="AH392" i="2" s="1"/>
  <c r="BD392" i="2" s="1" a="1"/>
  <c r="BD392" i="2" s="1"/>
  <c r="BM392" i="2" s="1" a="1"/>
  <c r="BM392" i="2" s="1"/>
  <c r="BW392" i="2" s="1"/>
  <c r="AF310" i="2"/>
  <c r="AH310" i="2" s="1"/>
  <c r="BD310" i="2" s="1" a="1"/>
  <c r="BD310" i="2" s="1"/>
  <c r="BM310" i="2" s="1" a="1"/>
  <c r="BM310" i="2" s="1"/>
  <c r="BW310" i="2" s="1"/>
  <c r="AF301" i="2"/>
  <c r="AH301" i="2" s="1"/>
  <c r="AF300" i="2"/>
  <c r="AF189" i="2"/>
  <c r="AF175" i="2"/>
  <c r="AH175" i="2" s="1"/>
  <c r="BD175" i="2" s="1" a="1"/>
  <c r="BD175" i="2" s="1"/>
  <c r="BM175" i="2" s="1" a="1"/>
  <c r="BM175" i="2" s="1"/>
  <c r="BW175" i="2" s="1"/>
  <c r="AF154" i="2"/>
  <c r="AH154" i="2" s="1"/>
  <c r="AF153" i="2"/>
  <c r="AH153" i="2" s="1"/>
  <c r="BD153" i="2" s="1" a="1"/>
  <c r="BD153" i="2" s="1"/>
  <c r="BM153" i="2" s="1" a="1"/>
  <c r="BM153" i="2" s="1"/>
  <c r="BW153" i="2" s="1"/>
  <c r="AF151" i="2"/>
  <c r="AH151" i="2" s="1"/>
  <c r="AF140" i="2"/>
  <c r="AH140" i="2" s="1"/>
  <c r="AF139" i="2"/>
  <c r="AH139" i="2" s="1"/>
  <c r="AF127" i="2"/>
  <c r="AH127" i="2" s="1"/>
  <c r="R127" i="2" s="1"/>
  <c r="AZ127" i="2" s="1"/>
  <c r="BK127" i="2" s="1"/>
  <c r="BR127" i="2" s="1"/>
  <c r="AF84" i="2"/>
  <c r="AH84" i="2" s="1"/>
  <c r="BD84" i="2" s="1" a="1"/>
  <c r="BD84" i="2" s="1"/>
  <c r="BM84" i="2" s="1" a="1"/>
  <c r="BM84" i="2" s="1"/>
  <c r="BW84" i="2" s="1"/>
  <c r="AF83" i="2"/>
  <c r="AF82" i="2"/>
  <c r="AF80" i="2"/>
  <c r="AH80" i="2" s="1"/>
  <c r="AF79" i="2"/>
  <c r="AH79" i="2" s="1"/>
  <c r="BD79" i="2" s="1" a="1"/>
  <c r="BD79" i="2" s="1"/>
  <c r="BM79" i="2" s="1" a="1"/>
  <c r="BM79" i="2" s="1"/>
  <c r="BW79" i="2" s="1"/>
  <c r="AF78" i="2"/>
  <c r="AF77" i="2"/>
  <c r="AH77" i="2" s="1"/>
  <c r="AF76" i="2"/>
  <c r="AH76" i="2" s="1"/>
  <c r="BD76" i="2" s="1" a="1"/>
  <c r="BD76" i="2" s="1"/>
  <c r="BM76" i="2" s="1" a="1"/>
  <c r="BM76" i="2" s="1"/>
  <c r="BW76" i="2" s="1"/>
  <c r="AF75" i="2"/>
  <c r="AH75" i="2" s="1"/>
  <c r="AF42" i="2"/>
  <c r="AH42" i="2" s="1"/>
  <c r="AF41" i="2"/>
  <c r="AH41" i="2" s="1"/>
  <c r="AF40" i="2"/>
  <c r="AH40" i="2" s="1"/>
  <c r="BD40" i="2" s="1" a="1"/>
  <c r="BD40" i="2" s="1"/>
  <c r="BM40" i="2" s="1" a="1"/>
  <c r="BM40" i="2" s="1"/>
  <c r="BW40" i="2" s="1"/>
  <c r="AF39" i="2"/>
  <c r="AH39" i="2" s="1"/>
  <c r="BD39" i="2" s="1" a="1"/>
  <c r="BD39" i="2" s="1"/>
  <c r="BM39" i="2" s="1" a="1"/>
  <c r="BM39" i="2" s="1"/>
  <c r="BW39" i="2" s="1"/>
  <c r="AF38" i="2"/>
  <c r="AH38" i="2" s="1"/>
  <c r="AF36" i="2"/>
  <c r="AH36" i="2" s="1"/>
  <c r="AF20" i="2"/>
  <c r="AH20" i="2" s="1"/>
  <c r="BD20" i="2" s="1" a="1"/>
  <c r="BD20" i="2" s="1"/>
  <c r="BM20" i="2" s="1" a="1"/>
  <c r="BM20" i="2" s="1"/>
  <c r="BW20" i="2" s="1"/>
  <c r="AF19" i="2"/>
  <c r="AH19" i="2" s="1"/>
  <c r="BD19" i="2" s="1" a="1"/>
  <c r="BD19" i="2" s="1"/>
  <c r="BM19" i="2" s="1" a="1"/>
  <c r="BM19" i="2" s="1"/>
  <c r="BW19" i="2" s="1"/>
  <c r="AF15" i="2"/>
  <c r="AH15" i="2" s="1"/>
  <c r="AF14" i="2"/>
  <c r="AH14" i="2" s="1"/>
  <c r="AF13" i="2"/>
  <c r="AH23" i="13"/>
  <c r="R23" i="13"/>
  <c r="AH22" i="13"/>
  <c r="R22" i="13" s="1"/>
  <c r="AH21" i="13"/>
  <c r="R21" i="13" s="1"/>
  <c r="AH20" i="13"/>
  <c r="R20" i="13" s="1"/>
  <c r="AH19" i="13"/>
  <c r="R19" i="13"/>
  <c r="AH18" i="13"/>
  <c r="R18" i="13"/>
  <c r="AH17" i="13"/>
  <c r="R17" i="13" s="1"/>
  <c r="AH16" i="13"/>
  <c r="R16" i="13" s="1"/>
  <c r="AH15" i="13"/>
  <c r="R15" i="13"/>
  <c r="AH14" i="13"/>
  <c r="R14" i="13" s="1"/>
  <c r="AH13" i="13"/>
  <c r="R13" i="13" s="1"/>
  <c r="AH38" i="12"/>
  <c r="R38" i="12"/>
  <c r="AH37" i="12"/>
  <c r="R37" i="12"/>
  <c r="AH36" i="12"/>
  <c r="R36" i="12" s="1"/>
  <c r="AH35" i="12"/>
  <c r="R35" i="12" s="1"/>
  <c r="AH34" i="12"/>
  <c r="R34" i="12"/>
  <c r="AH33" i="12"/>
  <c r="R33" i="12"/>
  <c r="AH32" i="12"/>
  <c r="R32" i="12" s="1"/>
  <c r="AH31" i="12"/>
  <c r="R31" i="12" s="1"/>
  <c r="AH30" i="12"/>
  <c r="R30" i="12"/>
  <c r="AH29" i="12"/>
  <c r="R29" i="12"/>
  <c r="AH28" i="12"/>
  <c r="R28" i="12" s="1"/>
  <c r="AH27" i="12"/>
  <c r="R27" i="12" s="1"/>
  <c r="AH26" i="12"/>
  <c r="R26" i="12" s="1"/>
  <c r="AH25" i="12"/>
  <c r="R25" i="12"/>
  <c r="AH24" i="12"/>
  <c r="R24" i="12"/>
  <c r="AH23" i="12"/>
  <c r="R23" i="12" s="1"/>
  <c r="AH22" i="12"/>
  <c r="R22" i="12" s="1"/>
  <c r="AH21" i="12"/>
  <c r="R21" i="12"/>
  <c r="AH20" i="12"/>
  <c r="R20" i="12"/>
  <c r="AH19" i="12"/>
  <c r="R19" i="12" s="1"/>
  <c r="AH18" i="12"/>
  <c r="R18" i="12" s="1"/>
  <c r="AH17" i="12"/>
  <c r="R17" i="12" s="1"/>
  <c r="AH16" i="12"/>
  <c r="R16" i="12" s="1"/>
  <c r="AH15" i="12"/>
  <c r="R15" i="12"/>
  <c r="AH14" i="12"/>
  <c r="R14" i="12" s="1"/>
  <c r="AH13" i="12"/>
  <c r="R13" i="12" s="1"/>
  <c r="AH16" i="10"/>
  <c r="R16" i="10"/>
  <c r="AH15" i="10"/>
  <c r="R15" i="10" s="1"/>
  <c r="AH14" i="10"/>
  <c r="R14" i="10" s="1"/>
  <c r="AH13" i="10"/>
  <c r="R13" i="10" s="1"/>
  <c r="R19" i="9"/>
  <c r="AH18" i="9"/>
  <c r="R18" i="9"/>
  <c r="R17" i="9"/>
  <c r="AH16" i="9"/>
  <c r="R16" i="9" s="1"/>
  <c r="AH15" i="9"/>
  <c r="R15" i="9" s="1"/>
  <c r="AH14" i="9"/>
  <c r="R14" i="9" s="1"/>
  <c r="AH13" i="9"/>
  <c r="R13" i="9"/>
  <c r="AH40" i="8"/>
  <c r="AH39" i="8"/>
  <c r="AH38" i="8"/>
  <c r="AH36" i="8"/>
  <c r="AH35" i="8"/>
  <c r="AH33" i="8"/>
  <c r="AH32" i="8"/>
  <c r="AH31" i="8"/>
  <c r="AH30" i="8"/>
  <c r="AH29" i="8"/>
  <c r="AH26" i="8"/>
  <c r="AH25" i="8"/>
  <c r="AH24" i="8"/>
  <c r="AH23" i="8"/>
  <c r="AH21" i="8"/>
  <c r="AH20" i="8"/>
  <c r="AH19" i="8"/>
  <c r="AH18" i="8"/>
  <c r="AH17" i="8"/>
  <c r="AH16" i="8"/>
  <c r="AH14" i="8"/>
  <c r="AH15" i="7"/>
  <c r="AH13" i="7"/>
  <c r="R31" i="6"/>
  <c r="AH30" i="6"/>
  <c r="R30" i="6"/>
  <c r="R29" i="6"/>
  <c r="AH28" i="6"/>
  <c r="R28" i="6"/>
  <c r="AH27" i="6"/>
  <c r="R27" i="6"/>
  <c r="R26" i="6"/>
  <c r="AH25" i="6"/>
  <c r="R25" i="6"/>
  <c r="AH24" i="6"/>
  <c r="R24" i="6"/>
  <c r="AH22" i="6"/>
  <c r="R22" i="6"/>
  <c r="AH21" i="6"/>
  <c r="R21" i="6" s="1"/>
  <c r="AH20" i="6"/>
  <c r="R20" i="6" s="1"/>
  <c r="AH19" i="6"/>
  <c r="R19" i="6"/>
  <c r="R18" i="6"/>
  <c r="R17" i="6"/>
  <c r="AH16" i="6"/>
  <c r="R16" i="6"/>
  <c r="AH15" i="6"/>
  <c r="R15" i="6"/>
  <c r="AH12" i="6"/>
  <c r="R12" i="6"/>
  <c r="AH13" i="5"/>
  <c r="R13" i="5"/>
  <c r="AH20" i="4"/>
  <c r="R20" i="4"/>
  <c r="AH19" i="4"/>
  <c r="R19" i="4" s="1"/>
  <c r="AH18" i="4"/>
  <c r="R18" i="4"/>
  <c r="AH17" i="4"/>
  <c r="R17" i="4"/>
  <c r="R16" i="4"/>
  <c r="AH14" i="4"/>
  <c r="R14" i="4"/>
  <c r="AH13" i="4"/>
  <c r="R13" i="4"/>
  <c r="R24" i="11"/>
  <c r="R23" i="11"/>
  <c r="R22" i="11"/>
  <c r="R21" i="11"/>
  <c r="R19" i="11"/>
  <c r="AA19" i="11"/>
  <c r="R18" i="11"/>
  <c r="R17" i="11"/>
  <c r="R16" i="11"/>
  <c r="R14" i="11"/>
  <c r="R13" i="11"/>
  <c r="AH58" i="14"/>
  <c r="R58" i="14" s="1"/>
  <c r="AH57" i="14"/>
  <c r="R57" i="14" s="1"/>
  <c r="AH56" i="14"/>
  <c r="R56" i="14" s="1"/>
  <c r="AH55" i="14"/>
  <c r="R55" i="14" s="1"/>
  <c r="AH54" i="14"/>
  <c r="R54" i="14" s="1"/>
  <c r="AH53" i="14"/>
  <c r="R53" i="14" s="1"/>
  <c r="AH52" i="14"/>
  <c r="R52" i="14"/>
  <c r="AH51" i="14"/>
  <c r="R51" i="14" s="1"/>
  <c r="AH50" i="14"/>
  <c r="R50" i="14" s="1"/>
  <c r="AH49" i="14"/>
  <c r="R49" i="14" s="1"/>
  <c r="AH48" i="14"/>
  <c r="R48" i="14" s="1"/>
  <c r="AH47" i="14"/>
  <c r="R47" i="14" s="1"/>
  <c r="AH46" i="14"/>
  <c r="R46" i="14" s="1"/>
  <c r="AH45" i="14"/>
  <c r="R45" i="14" s="1"/>
  <c r="AH44" i="14"/>
  <c r="R44" i="14"/>
  <c r="AH43" i="14"/>
  <c r="R43" i="14" s="1"/>
  <c r="AH42" i="14"/>
  <c r="R42" i="14"/>
  <c r="AH41" i="14"/>
  <c r="R41" i="14" s="1"/>
  <c r="AH40" i="14"/>
  <c r="R40" i="14"/>
  <c r="R39" i="14"/>
  <c r="AH38" i="14"/>
  <c r="R38" i="14"/>
  <c r="AH37" i="14"/>
  <c r="R37" i="14"/>
  <c r="AH36" i="14"/>
  <c r="R36" i="14" s="1"/>
  <c r="AH35" i="14"/>
  <c r="R35" i="14" s="1"/>
  <c r="AH34" i="14"/>
  <c r="R34" i="14" s="1"/>
  <c r="R33" i="14"/>
  <c r="AH32" i="14"/>
  <c r="R32" i="14" s="1"/>
  <c r="AH31" i="14"/>
  <c r="R31" i="14" s="1"/>
  <c r="AH30" i="14"/>
  <c r="R30" i="14" s="1"/>
  <c r="AH29" i="14"/>
  <c r="R29" i="14"/>
  <c r="AH28" i="14"/>
  <c r="R28" i="14" s="1"/>
  <c r="AH27" i="14"/>
  <c r="R27" i="14" s="1"/>
  <c r="AH26" i="14"/>
  <c r="R26" i="14" s="1"/>
  <c r="AH25" i="14"/>
  <c r="R25" i="14" s="1"/>
  <c r="R24" i="14"/>
  <c r="R23" i="14"/>
  <c r="AH22" i="14"/>
  <c r="R22" i="14" s="1"/>
  <c r="R21" i="14"/>
  <c r="AH20" i="14"/>
  <c r="R20" i="14" s="1"/>
  <c r="AH19" i="14"/>
  <c r="R19" i="14" s="1"/>
  <c r="AH18" i="14"/>
  <c r="R18" i="14" s="1"/>
  <c r="AH17" i="14"/>
  <c r="R17" i="14"/>
  <c r="AH16" i="14"/>
  <c r="R16" i="14" s="1"/>
  <c r="AH15" i="14"/>
  <c r="R15" i="14" s="1"/>
  <c r="AH14" i="14"/>
  <c r="R14" i="14" s="1"/>
  <c r="AH13" i="14"/>
  <c r="R13" i="14" s="1"/>
  <c r="AH54" i="27"/>
  <c r="R54" i="27" s="1"/>
  <c r="AH53" i="27"/>
  <c r="R53" i="27"/>
  <c r="AH52" i="27"/>
  <c r="R52" i="27"/>
  <c r="AH51" i="27"/>
  <c r="R51" i="27"/>
  <c r="AH50" i="27"/>
  <c r="R50" i="27" s="1"/>
  <c r="AH49" i="27"/>
  <c r="R49" i="27"/>
  <c r="AH48" i="27"/>
  <c r="R48" i="27"/>
  <c r="AH47" i="27"/>
  <c r="R47" i="27"/>
  <c r="AH46" i="27"/>
  <c r="R46" i="27" s="1"/>
  <c r="AH45" i="27"/>
  <c r="R45" i="27" s="1"/>
  <c r="AH44" i="27"/>
  <c r="R44" i="27"/>
  <c r="AH43" i="27"/>
  <c r="R43" i="27" s="1"/>
  <c r="AH42" i="27"/>
  <c r="R42" i="27"/>
  <c r="AH41" i="27"/>
  <c r="R41" i="27"/>
  <c r="AH40" i="27"/>
  <c r="R40" i="27"/>
  <c r="AH39" i="27"/>
  <c r="R39" i="27" s="1"/>
  <c r="AH38" i="27"/>
  <c r="R38" i="27"/>
  <c r="AH37" i="27"/>
  <c r="R37" i="27"/>
  <c r="AH36" i="27"/>
  <c r="R36" i="27"/>
  <c r="AH35" i="27"/>
  <c r="R35" i="27" s="1"/>
  <c r="AH34" i="27"/>
  <c r="R34" i="27"/>
  <c r="AH33" i="27"/>
  <c r="R33" i="27"/>
  <c r="AH32" i="27"/>
  <c r="R32" i="27"/>
  <c r="AH31" i="27"/>
  <c r="R31" i="27"/>
  <c r="AH30" i="27"/>
  <c r="R30" i="27"/>
  <c r="AH29" i="27"/>
  <c r="R29" i="27" s="1"/>
  <c r="AH28" i="27"/>
  <c r="R28" i="27" s="1"/>
  <c r="AH27" i="27"/>
  <c r="R27" i="27" s="1"/>
  <c r="AH26" i="27"/>
  <c r="R26" i="27"/>
  <c r="AH25" i="27"/>
  <c r="R25" i="27"/>
  <c r="AH24" i="27"/>
  <c r="R24" i="27"/>
  <c r="AH23" i="27"/>
  <c r="R23" i="27"/>
  <c r="AH22" i="27"/>
  <c r="R22" i="27" s="1"/>
  <c r="AH21" i="27"/>
  <c r="R21" i="27"/>
  <c r="AH20" i="27"/>
  <c r="R20" i="27" s="1"/>
  <c r="AH19" i="27"/>
  <c r="R19" i="27"/>
  <c r="AH18" i="27"/>
  <c r="R18" i="27"/>
  <c r="AH17" i="27"/>
  <c r="R17" i="27" s="1"/>
  <c r="AH16" i="27"/>
  <c r="R16" i="27" s="1"/>
  <c r="AH15" i="27"/>
  <c r="R15" i="27"/>
  <c r="AH14" i="27"/>
  <c r="R14" i="27" s="1"/>
  <c r="AH13" i="27"/>
  <c r="R13" i="27" s="1"/>
  <c r="R236" i="2"/>
  <c r="AZ236" i="2"/>
  <c r="BK236" i="2"/>
  <c r="BR236" i="2"/>
  <c r="BD240" i="2" a="1"/>
  <c r="BD240" i="2"/>
  <c r="BM240" i="2" a="1"/>
  <c r="BM240" i="2"/>
  <c r="BW240" i="2"/>
  <c r="BD359" i="2" a="1"/>
  <c r="BD359" i="2"/>
  <c r="BM359" i="2" a="1"/>
  <c r="BM359" i="2"/>
  <c r="BW359" i="2"/>
  <c r="R359" i="2"/>
  <c r="AZ359" i="2"/>
  <c r="BK359" i="2"/>
  <c r="BR359" i="2"/>
  <c r="R21" i="2"/>
  <c r="AZ21" i="2"/>
  <c r="BK21" i="2"/>
  <c r="BR21" i="2"/>
  <c r="BD238" i="2" a="1"/>
  <c r="BD238" i="2"/>
  <c r="BM238" i="2" a="1"/>
  <c r="BM238" i="2"/>
  <c r="BW238" i="2"/>
  <c r="R238" i="2"/>
  <c r="AZ238" i="2"/>
  <c r="BK238" i="2"/>
  <c r="BR238" i="2"/>
  <c r="BR58" i="2"/>
  <c r="BX58" i="2"/>
  <c r="AJ448" i="2"/>
  <c r="AJ421" i="1"/>
  <c r="AJ419" i="1"/>
  <c r="AJ340" i="2"/>
  <c r="AJ443" i="2"/>
  <c r="BD396" i="1" a="1"/>
  <c r="BD396" i="1" s="1"/>
  <c r="BM396" i="1" s="1" a="1"/>
  <c r="BM396" i="1" s="1"/>
  <c r="R396" i="1"/>
  <c r="AZ396" i="1" s="1"/>
  <c r="BK396" i="1" s="1"/>
  <c r="BR396" i="1" s="1"/>
  <c r="AJ65" i="8"/>
  <c r="AH34" i="8"/>
  <c r="AG34" i="8"/>
  <c r="AG115" i="2" s="1"/>
  <c r="AH115" i="2" s="1"/>
  <c r="R418" i="2"/>
  <c r="AZ418" i="2" s="1"/>
  <c r="BK418" i="2" s="1"/>
  <c r="BR418" i="2" s="1"/>
  <c r="BD418" i="2" a="1"/>
  <c r="BD418" i="2" s="1"/>
  <c r="BM418" i="2" s="1" a="1"/>
  <c r="BM418" i="2" s="1"/>
  <c r="BW418" i="2" s="1"/>
  <c r="R419" i="2"/>
  <c r="BD419" i="2" a="1"/>
  <c r="BD419" i="2" s="1"/>
  <c r="BX240" i="2"/>
  <c r="CA240" i="2"/>
  <c r="BX238" i="2"/>
  <c r="CA238" i="2"/>
  <c r="BX359" i="2"/>
  <c r="CA359" i="2"/>
  <c r="BX236" i="2"/>
  <c r="CA236" i="2"/>
  <c r="BG192" i="2"/>
  <c r="BC192" i="2"/>
  <c r="BE192" i="2"/>
  <c r="BE328" i="2"/>
  <c r="BG328" i="2"/>
  <c r="BC328" i="2"/>
  <c r="BE404" i="2"/>
  <c r="BC404" i="2"/>
  <c r="BG404" i="2"/>
  <c r="BC194" i="2"/>
  <c r="BG194" i="2"/>
  <c r="BE194" i="2"/>
  <c r="BG176" i="2"/>
  <c r="BC176" i="2"/>
  <c r="BE176" i="2"/>
  <c r="BC314" i="2"/>
  <c r="BG314" i="2"/>
  <c r="BE314" i="2"/>
  <c r="CA58" i="2"/>
  <c r="BE49" i="2"/>
  <c r="BG49" i="2"/>
  <c r="BC49" i="2"/>
  <c r="BC443" i="2"/>
  <c r="BE443" i="2"/>
  <c r="BG443" i="2"/>
  <c r="BG408" i="2"/>
  <c r="BE408" i="2"/>
  <c r="BG448" i="2"/>
  <c r="BE448" i="2"/>
  <c r="BC448" i="2"/>
  <c r="BV457" i="2"/>
  <c r="BG320" i="2"/>
  <c r="BE320" i="2"/>
  <c r="BE364" i="2"/>
  <c r="BC364" i="2"/>
  <c r="BG364" i="2"/>
  <c r="BC27" i="2"/>
  <c r="BG27" i="2"/>
  <c r="BE27" i="2"/>
  <c r="BG47" i="2"/>
  <c r="BC47" i="2"/>
  <c r="BG50" i="2"/>
  <c r="BC50" i="2"/>
  <c r="BE50" i="2"/>
  <c r="BE78" i="2"/>
  <c r="BC78" i="2"/>
  <c r="BG83" i="2"/>
  <c r="BC83" i="2"/>
  <c r="BE83" i="2"/>
  <c r="BG94" i="2"/>
  <c r="BE94" i="2"/>
  <c r="BC94" i="2"/>
  <c r="BC97" i="2"/>
  <c r="BE97" i="2"/>
  <c r="BG97" i="2"/>
  <c r="BC108" i="2"/>
  <c r="BG108" i="2"/>
  <c r="BE108" i="2"/>
  <c r="BC129" i="2"/>
  <c r="BE129" i="2"/>
  <c r="BC138" i="2"/>
  <c r="BG138" i="2"/>
  <c r="BE143" i="2"/>
  <c r="BG143" i="2"/>
  <c r="BC143" i="2"/>
  <c r="BE146" i="2"/>
  <c r="BC146" i="2"/>
  <c r="BG146" i="2"/>
  <c r="BE157" i="2"/>
  <c r="BC157" i="2"/>
  <c r="BE172" i="2"/>
  <c r="BG172" i="2"/>
  <c r="BG180" i="2"/>
  <c r="BC180" i="2"/>
  <c r="BG187" i="2"/>
  <c r="BC187" i="2"/>
  <c r="BC191" i="2"/>
  <c r="BG191" i="2"/>
  <c r="BE191" i="2"/>
  <c r="BE239" i="2"/>
  <c r="BC239" i="2"/>
  <c r="BE266" i="2"/>
  <c r="BG266" i="2"/>
  <c r="BC266" i="2"/>
  <c r="BC387" i="2"/>
  <c r="BG387" i="2"/>
  <c r="BE387" i="2"/>
  <c r="BC395" i="2"/>
  <c r="BG395" i="2"/>
  <c r="BE395" i="2"/>
  <c r="BG403" i="2"/>
  <c r="BC403" i="2"/>
  <c r="BE403" i="2"/>
  <c r="BC405" i="2"/>
  <c r="BE405" i="2"/>
  <c r="BG405" i="2"/>
  <c r="BC407" i="2"/>
  <c r="BG407" i="2"/>
  <c r="BE407" i="2"/>
  <c r="BE425" i="2"/>
  <c r="BC425" i="2"/>
  <c r="BG425" i="2"/>
  <c r="BG429" i="2"/>
  <c r="BC429" i="2"/>
  <c r="BE429" i="2"/>
  <c r="BC433" i="2"/>
  <c r="BG433" i="2"/>
  <c r="BE433" i="2"/>
  <c r="CC19" i="2"/>
  <c r="CC36" i="2"/>
  <c r="CC57" i="2"/>
  <c r="CC73" i="2"/>
  <c r="CC93" i="2"/>
  <c r="CC114" i="2"/>
  <c r="CC178" i="2"/>
  <c r="CC426" i="2"/>
  <c r="BE47" i="2"/>
  <c r="BC324" i="2"/>
  <c r="BZ265" i="2"/>
  <c r="BZ366" i="2"/>
  <c r="CC14" i="2"/>
  <c r="CC28" i="2"/>
  <c r="CC32" i="2"/>
  <c r="CC45" i="2"/>
  <c r="CC52" i="2"/>
  <c r="CC65" i="2"/>
  <c r="CC69" i="2"/>
  <c r="CC84" i="2"/>
  <c r="CC88" i="2"/>
  <c r="CC104" i="2"/>
  <c r="CC110" i="2"/>
  <c r="CC249" i="2"/>
  <c r="BG78" i="2"/>
  <c r="BC320" i="2"/>
  <c r="BG324" i="2"/>
  <c r="BE138" i="2"/>
  <c r="BZ409" i="2"/>
  <c r="CC145" i="2"/>
  <c r="CC162" i="2"/>
  <c r="CC170" i="2"/>
  <c r="BE299" i="2"/>
  <c r="BC13" i="2"/>
  <c r="BG129" i="2"/>
  <c r="BZ388" i="2"/>
  <c r="BZ454" i="2"/>
  <c r="CC158" i="2"/>
  <c r="BC299" i="2"/>
  <c r="BC411" i="2"/>
  <c r="CL18" i="2"/>
  <c r="CL54" i="2"/>
  <c r="CL82" i="2"/>
  <c r="CL90" i="2"/>
  <c r="CL96" i="2"/>
  <c r="CL107" i="2"/>
  <c r="CL115" i="2"/>
  <c r="CL131" i="2"/>
  <c r="CL141" i="2"/>
  <c r="CL144" i="2"/>
  <c r="CL149" i="2"/>
  <c r="CL155" i="2"/>
  <c r="CL171" i="2"/>
  <c r="CL173" i="2"/>
  <c r="CL179" i="2"/>
  <c r="CL184" i="2"/>
  <c r="CL189" i="2"/>
  <c r="CL223" i="2"/>
  <c r="CL242" i="2"/>
  <c r="CL283" i="2"/>
  <c r="CL300" i="2"/>
  <c r="CL377" i="2"/>
  <c r="CL389" i="2"/>
  <c r="CL398" i="2"/>
  <c r="CL406" i="2"/>
  <c r="CL416" i="2"/>
  <c r="CL420" i="2"/>
  <c r="CL427" i="2"/>
  <c r="CL430" i="2"/>
  <c r="CL442" i="2"/>
  <c r="CL444" i="2"/>
  <c r="CL449" i="2"/>
  <c r="AH14" i="7"/>
  <c r="AG398" i="1"/>
  <c r="AH398" i="1" s="1"/>
  <c r="BD398" i="1" s="1" a="1"/>
  <c r="BD398" i="1" s="1"/>
  <c r="CC331" i="2"/>
  <c r="CC133" i="2"/>
  <c r="CC188" i="2"/>
  <c r="CC214" i="2"/>
  <c r="CC233" i="2"/>
  <c r="CC259" i="2"/>
  <c r="CC303" i="2"/>
  <c r="CC326" i="2"/>
  <c r="CC345" i="2"/>
  <c r="CC388" i="2"/>
  <c r="CC428" i="2"/>
  <c r="CC450" i="2"/>
  <c r="CC229" i="2"/>
  <c r="CC381" i="2"/>
  <c r="CC251" i="2"/>
  <c r="CC285" i="2"/>
  <c r="CC321" i="2"/>
  <c r="CC339" i="2"/>
  <c r="CC372" i="2"/>
  <c r="CC391" i="2"/>
  <c r="CC417" i="2"/>
  <c r="CC439" i="2"/>
  <c r="BD58" i="2" a="1"/>
  <c r="BD58" i="2"/>
  <c r="BM58" i="2" a="1"/>
  <c r="BM58" i="2"/>
  <c r="BW58" i="2"/>
  <c r="R386" i="2"/>
  <c r="AZ386" i="2"/>
  <c r="BK386" i="2"/>
  <c r="BR386" i="2"/>
  <c r="BD386" i="2" a="1"/>
  <c r="BD386" i="2"/>
  <c r="BM386" i="2" a="1"/>
  <c r="BM386" i="2"/>
  <c r="BW386" i="2"/>
  <c r="R157" i="2"/>
  <c r="R440" i="2"/>
  <c r="AZ440" i="2" s="1"/>
  <c r="BK440" i="2" s="1"/>
  <c r="BR440" i="2" s="1"/>
  <c r="BD440" i="2" a="1"/>
  <c r="BD440" i="2" s="1"/>
  <c r="BM440" i="2" s="1" a="1"/>
  <c r="BM440" i="2" s="1"/>
  <c r="BW440" i="2" s="1"/>
  <c r="R168" i="2"/>
  <c r="AZ168" i="2"/>
  <c r="BK168" i="2" s="1"/>
  <c r="BR168" i="2" s="1"/>
  <c r="BD168" i="2" a="1"/>
  <c r="BD168" i="2"/>
  <c r="BM168" i="2" s="1" a="1"/>
  <c r="BM168" i="2" s="1"/>
  <c r="BW168" i="2" s="1"/>
  <c r="R22" i="2"/>
  <c r="AZ22" i="2"/>
  <c r="BK22" i="2"/>
  <c r="BR22" i="2"/>
  <c r="BD22" i="2" a="1"/>
  <c r="BD22" i="2"/>
  <c r="BM22" i="2" a="1"/>
  <c r="BM22" i="2"/>
  <c r="BW22" i="2"/>
  <c r="R23" i="2"/>
  <c r="AZ23" i="2"/>
  <c r="BK23" i="2"/>
  <c r="BR23" i="2"/>
  <c r="BD23" i="2" a="1"/>
  <c r="BD23" i="2"/>
  <c r="BM23" i="2" a="1"/>
  <c r="BM23" i="2"/>
  <c r="BW23" i="2"/>
  <c r="BX21" i="2"/>
  <c r="CA21" i="2"/>
  <c r="AJ211" i="1"/>
  <c r="AJ226" i="2"/>
  <c r="BX386" i="2"/>
  <c r="CA386" i="2"/>
  <c r="R414" i="2"/>
  <c r="AZ414" i="2"/>
  <c r="BK414" i="2"/>
  <c r="BR414" i="2"/>
  <c r="BD414" i="2" a="1"/>
  <c r="BD414" i="2"/>
  <c r="BM414" i="2" a="1"/>
  <c r="BM414" i="2"/>
  <c r="BW414" i="2"/>
  <c r="AH37" i="8"/>
  <c r="AG37" i="8"/>
  <c r="AG150" i="2" s="1"/>
  <c r="AH150" i="2" s="1"/>
  <c r="R150" i="2" s="1"/>
  <c r="AH27" i="8"/>
  <c r="AG27" i="8" s="1"/>
  <c r="AG37" i="1"/>
  <c r="AH37" i="1" s="1"/>
  <c r="BD210" i="2" a="1"/>
  <c r="BD210" i="2" s="1"/>
  <c r="BM210" i="2" s="1" a="1"/>
  <c r="BM210" i="2" s="1"/>
  <c r="BW210" i="2" s="1"/>
  <c r="R210" i="2"/>
  <c r="AZ210" i="2" s="1"/>
  <c r="BK210" i="2" s="1"/>
  <c r="BR210" i="2" s="1"/>
  <c r="BD63" i="2" a="1"/>
  <c r="BD63" i="2"/>
  <c r="BM63" i="2" a="1"/>
  <c r="BM63" i="2"/>
  <c r="BW63" i="2"/>
  <c r="R63" i="2"/>
  <c r="AZ63" i="2"/>
  <c r="BK63" i="2"/>
  <c r="BR63" i="2"/>
  <c r="R374" i="2"/>
  <c r="AZ374" i="2"/>
  <c r="BK374" i="2"/>
  <c r="BR374" i="2"/>
  <c r="BD374" i="2" a="1"/>
  <c r="BD374" i="2"/>
  <c r="BM374" i="2" a="1"/>
  <c r="BM374" i="2"/>
  <c r="BW374" i="2"/>
  <c r="BD64" i="2" a="1"/>
  <c r="BD64" i="2"/>
  <c r="BM64" i="2" a="1"/>
  <c r="BM64" i="2"/>
  <c r="BW64" i="2"/>
  <c r="R64" i="2"/>
  <c r="AZ64" i="2"/>
  <c r="BK64" i="2"/>
  <c r="BR64" i="2"/>
  <c r="R375" i="2"/>
  <c r="AZ375" i="2"/>
  <c r="BK375" i="2"/>
  <c r="BR375" i="2"/>
  <c r="BD375" i="2" a="1"/>
  <c r="BD375" i="2"/>
  <c r="BM375" i="2" a="1"/>
  <c r="BM375" i="2"/>
  <c r="BW375" i="2"/>
  <c r="BD62" i="2" a="1"/>
  <c r="BD62" i="2"/>
  <c r="BM62" i="2" a="1"/>
  <c r="BM62" i="2"/>
  <c r="BW62" i="2"/>
  <c r="R62" i="2"/>
  <c r="AZ62" i="2"/>
  <c r="BK62" i="2"/>
  <c r="BR62" i="2"/>
  <c r="BD65" i="2" a="1"/>
  <c r="BD65" i="2"/>
  <c r="BM65" i="2" a="1"/>
  <c r="BM65" i="2"/>
  <c r="BW65" i="2"/>
  <c r="R65" i="2"/>
  <c r="AZ65" i="2"/>
  <c r="BK65" i="2"/>
  <c r="BR65" i="2"/>
  <c r="BD376" i="2" a="1"/>
  <c r="BD376" i="2"/>
  <c r="BM376" i="2" a="1"/>
  <c r="BM376" i="2"/>
  <c r="BW376" i="2"/>
  <c r="R376" i="2"/>
  <c r="AZ376" i="2"/>
  <c r="BK376" i="2"/>
  <c r="BR376" i="2"/>
  <c r="BD66" i="2" a="1"/>
  <c r="BD66" i="2"/>
  <c r="BM66" i="2" a="1"/>
  <c r="BM66" i="2"/>
  <c r="BW66" i="2"/>
  <c r="R66" i="2"/>
  <c r="AZ66" i="2"/>
  <c r="BK66" i="2"/>
  <c r="BR66" i="2"/>
  <c r="R60" i="2"/>
  <c r="AZ60" i="2"/>
  <c r="BK60" i="2"/>
  <c r="BR60" i="2"/>
  <c r="BD60" i="2" a="1"/>
  <c r="BD60" i="2"/>
  <c r="BM60" i="2" a="1"/>
  <c r="BM60" i="2"/>
  <c r="BW60" i="2"/>
  <c r="BD67" i="2" a="1"/>
  <c r="BD67" i="2"/>
  <c r="BM67" i="2" a="1"/>
  <c r="BM67" i="2"/>
  <c r="BW67" i="2"/>
  <c r="R67" i="2"/>
  <c r="AZ67" i="2"/>
  <c r="BK67" i="2"/>
  <c r="BR67" i="2"/>
  <c r="R68" i="2"/>
  <c r="AZ68" i="2"/>
  <c r="BK68" i="2"/>
  <c r="BR68" i="2"/>
  <c r="BD68" i="2" a="1"/>
  <c r="BD68" i="2"/>
  <c r="BM68" i="2" a="1"/>
  <c r="BM68" i="2"/>
  <c r="BW68" i="2"/>
  <c r="R70" i="2"/>
  <c r="AZ70" i="2"/>
  <c r="BK70" i="2"/>
  <c r="BR70" i="2"/>
  <c r="BD70" i="2" a="1"/>
  <c r="BD70" i="2"/>
  <c r="BM70" i="2" a="1"/>
  <c r="BM70" i="2"/>
  <c r="BW70" i="2"/>
  <c r="BD61" i="2" a="1"/>
  <c r="BD61" i="2"/>
  <c r="BM61" i="2" a="1"/>
  <c r="BM61" i="2"/>
  <c r="BW61" i="2"/>
  <c r="R61" i="2"/>
  <c r="AZ61" i="2"/>
  <c r="BK61" i="2"/>
  <c r="BR61" i="2"/>
  <c r="R69" i="2"/>
  <c r="AZ69" i="2"/>
  <c r="BK69" i="2"/>
  <c r="BR69" i="2"/>
  <c r="BD69" i="2" a="1"/>
  <c r="BD69" i="2"/>
  <c r="BM69" i="2" a="1"/>
  <c r="BM69" i="2"/>
  <c r="BW69" i="2"/>
  <c r="R161" i="2"/>
  <c r="AZ161" i="2" s="1"/>
  <c r="BK161" i="2" s="1"/>
  <c r="BR161" i="2" s="1"/>
  <c r="BD161" i="2" a="1"/>
  <c r="BD161" i="2" s="1"/>
  <c r="BM161" i="2" s="1" a="1"/>
  <c r="BM161" i="2" s="1"/>
  <c r="BW161" i="2" s="1"/>
  <c r="R223" i="2"/>
  <c r="R321" i="2"/>
  <c r="AZ321" i="2" s="1"/>
  <c r="BK321" i="2" s="1"/>
  <c r="BR321" i="2" s="1"/>
  <c r="BD265" i="2" a="1"/>
  <c r="BD265" i="2" s="1"/>
  <c r="BM265" i="2" s="1" a="1"/>
  <c r="BM265" i="2" s="1"/>
  <c r="BW265" i="2" s="1"/>
  <c r="BD317" i="2" a="1"/>
  <c r="BD317" i="2"/>
  <c r="BM317" i="2" a="1"/>
  <c r="BM317" i="2" s="1"/>
  <c r="BW317" i="2" s="1"/>
  <c r="R317" i="2"/>
  <c r="AZ317" i="2" s="1"/>
  <c r="BK317" i="2" s="1"/>
  <c r="BR317" i="2" s="1"/>
  <c r="R302" i="2"/>
  <c r="AZ302" i="2"/>
  <c r="BK302" i="2"/>
  <c r="BR302" i="2" s="1"/>
  <c r="BD304" i="2" a="1"/>
  <c r="BD304" i="2" s="1"/>
  <c r="BM304" i="2" s="1" a="1"/>
  <c r="BM304" i="2" s="1"/>
  <c r="BW304" i="2" s="1"/>
  <c r="R373" i="2"/>
  <c r="AZ373" i="2" s="1"/>
  <c r="BK373" i="2" s="1"/>
  <c r="BR373" i="2" s="1"/>
  <c r="R370" i="2"/>
  <c r="AZ370" i="2" s="1"/>
  <c r="BK370" i="2" s="1"/>
  <c r="BR370" i="2" s="1"/>
  <c r="R213" i="2"/>
  <c r="AZ213" i="2"/>
  <c r="BK213" i="2" s="1"/>
  <c r="BR213" i="2" s="1"/>
  <c r="R303" i="2"/>
  <c r="AZ303" i="2"/>
  <c r="BK303" i="2"/>
  <c r="BR303" i="2" s="1"/>
  <c r="R305" i="2"/>
  <c r="AZ305" i="2" s="1"/>
  <c r="BK305" i="2" s="1"/>
  <c r="BR305" i="2" s="1"/>
  <c r="BD305" i="2" a="1"/>
  <c r="BD305" i="2" s="1"/>
  <c r="BM305" i="2" s="1" a="1"/>
  <c r="BM305" i="2" s="1"/>
  <c r="BW305" i="2" s="1"/>
  <c r="R307" i="2"/>
  <c r="AZ307" i="2"/>
  <c r="BK307" i="2"/>
  <c r="BR307" i="2" s="1"/>
  <c r="BD371" i="2" a="1"/>
  <c r="BD371" i="2" s="1"/>
  <c r="BM371" i="2" s="1" a="1"/>
  <c r="BM371" i="2" s="1"/>
  <c r="BW371" i="2" s="1"/>
  <c r="R371" i="2"/>
  <c r="AZ371" i="2"/>
  <c r="BK371" i="2"/>
  <c r="BR371" i="2" s="1"/>
  <c r="R254" i="2"/>
  <c r="AZ254" i="2"/>
  <c r="BK254" i="2" s="1"/>
  <c r="BR254" i="2" s="1"/>
  <c r="BD306" i="2" a="1"/>
  <c r="BD306" i="2" s="1"/>
  <c r="BM306" i="2" s="1" a="1"/>
  <c r="BM306" i="2" s="1"/>
  <c r="BW306" i="2" s="1"/>
  <c r="BD253" i="2" a="1"/>
  <c r="BD253" i="2" s="1"/>
  <c r="BM253" i="2" s="1" a="1"/>
  <c r="BM253" i="2" s="1"/>
  <c r="BW253" i="2" s="1"/>
  <c r="R360" i="2"/>
  <c r="AZ360" i="2" s="1"/>
  <c r="BK360" i="2" s="1"/>
  <c r="BR360" i="2" s="1"/>
  <c r="BD360" i="2" a="1"/>
  <c r="BD360" i="2" s="1"/>
  <c r="BM360" i="2" s="1" a="1"/>
  <c r="BM360" i="2" s="1"/>
  <c r="BW360" i="2" s="1"/>
  <c r="BD51" i="2" a="1"/>
  <c r="BD51" i="2" s="1"/>
  <c r="BM51" i="2" s="1" a="1"/>
  <c r="BM51" i="2" s="1"/>
  <c r="BW51" i="2" s="1"/>
  <c r="BD146" i="2" a="1"/>
  <c r="BD146" i="2" s="1"/>
  <c r="BD190" i="2" a="1"/>
  <c r="BD190" i="2" s="1"/>
  <c r="BM190" i="2" s="1" a="1"/>
  <c r="BM190" i="2" s="1"/>
  <c r="BW190" i="2" s="1"/>
  <c r="R190" i="2"/>
  <c r="AZ190" i="2" s="1"/>
  <c r="BK190" i="2" s="1"/>
  <c r="BR190" i="2" s="1"/>
  <c r="R186" i="2"/>
  <c r="AZ186" i="2" s="1"/>
  <c r="BK186" i="2" s="1"/>
  <c r="BR186" i="2" s="1"/>
  <c r="BX186" i="2" s="1"/>
  <c r="BD119" i="2"/>
  <c r="BM119" i="2" s="1" a="1"/>
  <c r="BM119" i="2" s="1"/>
  <c r="BW119" i="2" s="1"/>
  <c r="BD149" i="2" a="1"/>
  <c r="BD149" i="2" s="1"/>
  <c r="R105" i="2"/>
  <c r="AZ105" i="2" s="1"/>
  <c r="BK105" i="2" s="1"/>
  <c r="BR105" i="2" s="1"/>
  <c r="BD111" i="2" a="1"/>
  <c r="BD111" i="2" s="1"/>
  <c r="BM111" i="2" s="1" a="1"/>
  <c r="BM111" i="2" s="1"/>
  <c r="BW111" i="2" s="1"/>
  <c r="R233" i="2"/>
  <c r="AZ233" i="2" s="1"/>
  <c r="BK233" i="2" s="1"/>
  <c r="BR233" i="2" s="1"/>
  <c r="BX233" i="2" s="1"/>
  <c r="CA233" i="2" s="1"/>
  <c r="R49" i="2"/>
  <c r="BD49" i="2" a="1"/>
  <c r="BD49" i="2" s="1"/>
  <c r="BM49" i="2" s="1" a="1"/>
  <c r="BM49" i="2" s="1"/>
  <c r="BW49" i="2" s="1"/>
  <c r="AZ87" i="2"/>
  <c r="BK87" i="2" s="1"/>
  <c r="BR87" i="2" s="1"/>
  <c r="BM427" i="1" a="1"/>
  <c r="BM427" i="1" s="1"/>
  <c r="AG138" i="1"/>
  <c r="AH138" i="1" s="1"/>
  <c r="BD138" i="1" s="1" a="1"/>
  <c r="BD138" i="1" s="1"/>
  <c r="BE430" i="2"/>
  <c r="BG430" i="2"/>
  <c r="BC430" i="2"/>
  <c r="BE300" i="2"/>
  <c r="BC300" i="2"/>
  <c r="BG300" i="2"/>
  <c r="BC171" i="2"/>
  <c r="BG171" i="2"/>
  <c r="BE171" i="2"/>
  <c r="BC96" i="2"/>
  <c r="BG96" i="2"/>
  <c r="BE96" i="2"/>
  <c r="BC179" i="2"/>
  <c r="BE179" i="2"/>
  <c r="BG179" i="2"/>
  <c r="BG442" i="2"/>
  <c r="BC442" i="2"/>
  <c r="BE442" i="2"/>
  <c r="BC173" i="2"/>
  <c r="BG173" i="2"/>
  <c r="BE173" i="2"/>
  <c r="BC427" i="2"/>
  <c r="BG427" i="2"/>
  <c r="BE427" i="2"/>
  <c r="BE283" i="2"/>
  <c r="BC283" i="2"/>
  <c r="BG283" i="2"/>
  <c r="BC155" i="2"/>
  <c r="BG155" i="2"/>
  <c r="BE155" i="2"/>
  <c r="BC90" i="2"/>
  <c r="BG90" i="2"/>
  <c r="BE90" i="2"/>
  <c r="BC389" i="2"/>
  <c r="BG389" i="2"/>
  <c r="BE389" i="2"/>
  <c r="BE420" i="2"/>
  <c r="BC420" i="2"/>
  <c r="BG420" i="2"/>
  <c r="BG242" i="2"/>
  <c r="BC242" i="2"/>
  <c r="BE242" i="2"/>
  <c r="BC149" i="2"/>
  <c r="BG149" i="2"/>
  <c r="BE149" i="2"/>
  <c r="BE82" i="2"/>
  <c r="BG82" i="2"/>
  <c r="BC82" i="2"/>
  <c r="BG444" i="2"/>
  <c r="BC444" i="2"/>
  <c r="BE444" i="2"/>
  <c r="BG416" i="2"/>
  <c r="BC416" i="2"/>
  <c r="BE416" i="2"/>
  <c r="BE223" i="2"/>
  <c r="BG223" i="2"/>
  <c r="BC223" i="2"/>
  <c r="BG144" i="2"/>
  <c r="BE144" i="2"/>
  <c r="BC144" i="2"/>
  <c r="BE54" i="2"/>
  <c r="BG54" i="2"/>
  <c r="BC54" i="2"/>
  <c r="BG406" i="2"/>
  <c r="BC406" i="2"/>
  <c r="BE406" i="2"/>
  <c r="BE189" i="2"/>
  <c r="BC189" i="2"/>
  <c r="BG189" i="2"/>
  <c r="BG141" i="2"/>
  <c r="BC141" i="2"/>
  <c r="BE141" i="2"/>
  <c r="BG18" i="2"/>
  <c r="BE18" i="2"/>
  <c r="BC18" i="2"/>
  <c r="BC377" i="2"/>
  <c r="BG377" i="2"/>
  <c r="BE377" i="2"/>
  <c r="BE449" i="2"/>
  <c r="BG449" i="2"/>
  <c r="BC449" i="2"/>
  <c r="BC398" i="2"/>
  <c r="BE398" i="2"/>
  <c r="BG398" i="2"/>
  <c r="BE184" i="2"/>
  <c r="BG184" i="2"/>
  <c r="BC184" i="2"/>
  <c r="BG131" i="2"/>
  <c r="BE131" i="2"/>
  <c r="BC131" i="2"/>
  <c r="BX23" i="2"/>
  <c r="CA23" i="2"/>
  <c r="BX22" i="2"/>
  <c r="CA22" i="2"/>
  <c r="BX414" i="2"/>
  <c r="CA414" i="2"/>
  <c r="BX70" i="2"/>
  <c r="CA70" i="2"/>
  <c r="BX375" i="2"/>
  <c r="CA375" i="2"/>
  <c r="BX376" i="2"/>
  <c r="CA376" i="2"/>
  <c r="BX64" i="2"/>
  <c r="CA64" i="2"/>
  <c r="BX68" i="2"/>
  <c r="CA68" i="2"/>
  <c r="BX66" i="2"/>
  <c r="CA66" i="2"/>
  <c r="BX67" i="2"/>
  <c r="CA67" i="2"/>
  <c r="BX65" i="2"/>
  <c r="CA65" i="2"/>
  <c r="BX69" i="2"/>
  <c r="CA69" i="2"/>
  <c r="BX374" i="2"/>
  <c r="CA374" i="2"/>
  <c r="BX61" i="2"/>
  <c r="CA61" i="2"/>
  <c r="BX62" i="2"/>
  <c r="CA62" i="2"/>
  <c r="BX63" i="2"/>
  <c r="CA63" i="2"/>
  <c r="BX60" i="2"/>
  <c r="CA60" i="2"/>
  <c r="AZ223" i="2" a="1"/>
  <c r="AZ223" i="2" s="1"/>
  <c r="BK223" i="2" s="1"/>
  <c r="BR223" i="2" s="1"/>
  <c r="BM223" i="2" a="1"/>
  <c r="BM223" i="2" s="1"/>
  <c r="BW223" i="2" s="1"/>
  <c r="R377" i="2" l="1"/>
  <c r="BD377" i="2" a="1"/>
  <c r="BD377" i="2" s="1"/>
  <c r="AZ377" i="2" s="1" a="1"/>
  <c r="AZ377" i="2" s="1"/>
  <c r="BK377" i="2" s="1"/>
  <c r="BR377" i="2" s="1"/>
  <c r="BX377" i="2" s="1"/>
  <c r="CA377" i="2" s="1"/>
  <c r="BV443" i="1"/>
  <c r="BW121" i="1"/>
  <c r="CC123" i="1"/>
  <c r="BZ140" i="1"/>
  <c r="BZ194" i="1"/>
  <c r="CC221" i="1"/>
  <c r="BZ225" i="1"/>
  <c r="BZ250" i="1"/>
  <c r="CB443" i="1"/>
  <c r="BY443" i="1"/>
  <c r="CC176" i="1"/>
  <c r="BW294" i="1"/>
  <c r="CC296" i="1"/>
  <c r="CM143" i="1"/>
  <c r="BD143" i="1" a="1"/>
  <c r="BD143" i="1" s="1"/>
  <c r="R181" i="2"/>
  <c r="AZ181" i="2" s="1"/>
  <c r="BK181" i="2" s="1"/>
  <c r="BR181" i="2" s="1"/>
  <c r="BD145" i="2" a="1"/>
  <c r="BD145" i="2" s="1"/>
  <c r="BM145" i="2" s="1" a="1"/>
  <c r="BM145" i="2" s="1"/>
  <c r="BW145" i="2" s="1"/>
  <c r="BD132" i="2" a="1"/>
  <c r="BD132" i="2" s="1"/>
  <c r="BM132" i="2" s="1" a="1"/>
  <c r="BM132" i="2" s="1"/>
  <c r="BW132" i="2" s="1"/>
  <c r="R183" i="2"/>
  <c r="AZ183" i="2" s="1"/>
  <c r="BK183" i="2" s="1"/>
  <c r="BR183" i="2" s="1"/>
  <c r="R381" i="2"/>
  <c r="AZ381" i="2" s="1"/>
  <c r="BK381" i="2" s="1"/>
  <c r="BR381" i="2" s="1"/>
  <c r="BX381" i="2" s="1"/>
  <c r="CA381" i="2" s="1"/>
  <c r="R379" i="2"/>
  <c r="AZ379" i="2" s="1"/>
  <c r="BK379" i="2" s="1"/>
  <c r="BR379" i="2" s="1"/>
  <c r="BX379" i="2" s="1"/>
  <c r="CA379" i="2" s="1"/>
  <c r="BD379" i="2" a="1"/>
  <c r="BD379" i="2" s="1"/>
  <c r="BM379" i="2" s="1" a="1"/>
  <c r="BM379" i="2" s="1"/>
  <c r="BW379" i="2" s="1"/>
  <c r="R344" i="2"/>
  <c r="AZ344" i="2" s="1"/>
  <c r="BK344" i="2" s="1"/>
  <c r="BR344" i="2" s="1"/>
  <c r="BD344" i="2" a="1"/>
  <c r="BD344" i="2" s="1"/>
  <c r="BM344" i="2" s="1" a="1"/>
  <c r="BM344" i="2" s="1"/>
  <c r="BW344" i="2" s="1"/>
  <c r="BD380" i="2" a="1"/>
  <c r="BD380" i="2" s="1"/>
  <c r="BM380" i="2" s="1" a="1"/>
  <c r="BM380" i="2" s="1"/>
  <c r="BW380" i="2" s="1"/>
  <c r="R380" i="2"/>
  <c r="AZ380" i="2" s="1"/>
  <c r="BK380" i="2" s="1"/>
  <c r="BR380" i="2" s="1"/>
  <c r="BX382" i="2"/>
  <c r="CA382" i="2" s="1"/>
  <c r="BD382" i="2" a="1"/>
  <c r="BD382" i="2" s="1"/>
  <c r="BM382" i="2" s="1" a="1"/>
  <c r="BM382" i="2" s="1"/>
  <c r="BW382" i="2" s="1"/>
  <c r="BM377" i="2" a="1"/>
  <c r="BM377" i="2" s="1"/>
  <c r="BW377" i="2" s="1"/>
  <c r="R86" i="2"/>
  <c r="AZ86" i="2" s="1"/>
  <c r="BK86" i="2" s="1"/>
  <c r="BR86" i="2" s="1"/>
  <c r="BD86" i="2" a="1"/>
  <c r="BD86" i="2" s="1"/>
  <c r="BM86" i="2" s="1" a="1"/>
  <c r="BM86" i="2" s="1"/>
  <c r="BW86" i="2" s="1"/>
  <c r="R108" i="2"/>
  <c r="BD108" i="2" a="1"/>
  <c r="BD108" i="2" s="1"/>
  <c r="BD85" i="2" a="1"/>
  <c r="BD85" i="2" s="1"/>
  <c r="BM85" i="2" s="1" a="1"/>
  <c r="BM85" i="2" s="1"/>
  <c r="BW85" i="2" s="1"/>
  <c r="R91" i="2"/>
  <c r="AZ91" i="2" s="1"/>
  <c r="BK91" i="2" s="1"/>
  <c r="BR91" i="2" s="1"/>
  <c r="BX91" i="2" s="1"/>
  <c r="BD104" i="2" a="1"/>
  <c r="BD104" i="2" s="1"/>
  <c r="BM104" i="2" s="1" a="1"/>
  <c r="BM104" i="2" s="1"/>
  <c r="BW104" i="2" s="1"/>
  <c r="R47" i="2"/>
  <c r="R48" i="2"/>
  <c r="AZ48" i="2" s="1"/>
  <c r="BK48" i="2" s="1"/>
  <c r="BR48" i="2" s="1"/>
  <c r="R393" i="2"/>
  <c r="AZ393" i="2" s="1"/>
  <c r="BK393" i="2" s="1"/>
  <c r="BR393" i="2" s="1"/>
  <c r="R12" i="2"/>
  <c r="AZ12" i="2" s="1"/>
  <c r="BK12" i="2" s="1"/>
  <c r="BR12" i="2" s="1"/>
  <c r="BX12" i="2" s="1"/>
  <c r="BD12" i="2" a="1"/>
  <c r="BD12" i="2" s="1"/>
  <c r="BM12" i="2" s="1" a="1"/>
  <c r="BM12" i="2" s="1"/>
  <c r="BW12" i="2" s="1"/>
  <c r="BD80" i="2" a="1"/>
  <c r="BD80" i="2" s="1"/>
  <c r="BM80" i="2" s="1" a="1"/>
  <c r="BM80" i="2" s="1"/>
  <c r="BW80" i="2" s="1"/>
  <c r="R80" i="2"/>
  <c r="AZ80" i="2" s="1"/>
  <c r="BK80" i="2" s="1"/>
  <c r="BR80" i="2" s="1"/>
  <c r="BX80" i="2" s="1"/>
  <c r="R392" i="2"/>
  <c r="AZ392" i="2" s="1"/>
  <c r="BK392" i="2" s="1"/>
  <c r="BR392" i="2" s="1"/>
  <c r="BX392" i="2" s="1"/>
  <c r="BM83" i="2" a="1"/>
  <c r="BM83" i="2" s="1"/>
  <c r="BW83" i="2" s="1"/>
  <c r="AZ83" i="2" a="1"/>
  <c r="AZ83" i="2" s="1"/>
  <c r="BK83" i="2" s="1"/>
  <c r="BR83" i="2" s="1"/>
  <c r="BX83" i="2" s="1"/>
  <c r="CA83" i="2" s="1"/>
  <c r="BD38" i="2" a="1"/>
  <c r="BD38" i="2" s="1"/>
  <c r="BM38" i="2" s="1" a="1"/>
  <c r="BM38" i="2" s="1"/>
  <c r="BW38" i="2" s="1"/>
  <c r="R38" i="2"/>
  <c r="AZ38" i="2" s="1"/>
  <c r="BK38" i="2" s="1"/>
  <c r="BR38" i="2" s="1"/>
  <c r="BX38" i="2" s="1"/>
  <c r="R300" i="2"/>
  <c r="R19" i="2"/>
  <c r="AZ19" i="2" s="1"/>
  <c r="BK19" i="2" s="1"/>
  <c r="BR19" i="2" s="1"/>
  <c r="BX19" i="2" s="1"/>
  <c r="R310" i="2"/>
  <c r="AZ310" i="2" s="1"/>
  <c r="BK310" i="2" s="1"/>
  <c r="BR310" i="2" s="1"/>
  <c r="BX310" i="2" s="1"/>
  <c r="CA310" i="2" s="1"/>
  <c r="R404" i="2"/>
  <c r="R153" i="2"/>
  <c r="AZ153" i="2" s="1"/>
  <c r="BK153" i="2" s="1"/>
  <c r="BR153" i="2" s="1"/>
  <c r="BX153" i="2" s="1"/>
  <c r="R160" i="2"/>
  <c r="AZ160" i="2" s="1"/>
  <c r="BK160" i="2" s="1"/>
  <c r="BR160" i="2" s="1"/>
  <c r="BX160" i="2" s="1"/>
  <c r="CA160" i="2" s="1"/>
  <c r="BD163" i="2" a="1"/>
  <c r="BD163" i="2" s="1"/>
  <c r="BM163" i="2" s="1" a="1"/>
  <c r="BM163" i="2" s="1"/>
  <c r="BW163" i="2" s="1"/>
  <c r="BD202" i="2" a="1"/>
  <c r="BD202" i="2" s="1"/>
  <c r="BM202" i="2" s="1" a="1"/>
  <c r="BM202" i="2" s="1"/>
  <c r="BW202" i="2" s="1"/>
  <c r="R156" i="2"/>
  <c r="AZ156" i="2" s="1"/>
  <c r="BK156" i="2" s="1"/>
  <c r="BR156" i="2" s="1"/>
  <c r="BX156" i="2" s="1"/>
  <c r="CA156" i="2" s="1"/>
  <c r="BD156" i="2" a="1"/>
  <c r="BD156" i="2" s="1"/>
  <c r="BM156" i="2" s="1" a="1"/>
  <c r="BM156" i="2" s="1"/>
  <c r="BW156" i="2" s="1"/>
  <c r="BD159" i="2" a="1"/>
  <c r="BD159" i="2" s="1"/>
  <c r="BM159" i="2" s="1" a="1"/>
  <c r="BM159" i="2" s="1"/>
  <c r="BW159" i="2" s="1"/>
  <c r="R159" i="2"/>
  <c r="AZ159" i="2" s="1"/>
  <c r="BK159" i="2" s="1"/>
  <c r="BR159" i="2" s="1"/>
  <c r="BX159" i="2" s="1"/>
  <c r="BD162" i="2" a="1"/>
  <c r="BD162" i="2" s="1"/>
  <c r="BM162" i="2" s="1" a="1"/>
  <c r="BM162" i="2" s="1"/>
  <c r="BW162" i="2" s="1"/>
  <c r="R162" i="2"/>
  <c r="AZ162" i="2" s="1"/>
  <c r="BK162" i="2" s="1"/>
  <c r="BR162" i="2" s="1"/>
  <c r="BD361" i="2" a="1"/>
  <c r="BD361" i="2" s="1"/>
  <c r="BM361" i="2" s="1" a="1"/>
  <c r="BM361" i="2" s="1"/>
  <c r="BW361" i="2" s="1"/>
  <c r="R245" i="2"/>
  <c r="AZ245" i="2" s="1"/>
  <c r="BK245" i="2" s="1"/>
  <c r="BR245" i="2" s="1"/>
  <c r="BD363" i="2" a="1"/>
  <c r="BD363" i="2" s="1"/>
  <c r="BM363" i="2" s="1" a="1"/>
  <c r="BM363" i="2" s="1"/>
  <c r="BW363" i="2" s="1"/>
  <c r="BD362" i="2" a="1"/>
  <c r="BD362" i="2" s="1"/>
  <c r="BM362" i="2" s="1" a="1"/>
  <c r="BM362" i="2" s="1"/>
  <c r="BW362" i="2" s="1"/>
  <c r="R366" i="2"/>
  <c r="AZ366" i="2" s="1"/>
  <c r="BK366" i="2" s="1"/>
  <c r="BR366" i="2" s="1"/>
  <c r="BD366" i="2" a="1"/>
  <c r="BD366" i="2" s="1"/>
  <c r="BM366" i="2" s="1" a="1"/>
  <c r="BM366" i="2" s="1"/>
  <c r="BW366" i="2" s="1"/>
  <c r="BD365" i="2" a="1"/>
  <c r="BD365" i="2" s="1"/>
  <c r="BM365" i="2" s="1" a="1"/>
  <c r="BM365" i="2" s="1"/>
  <c r="BW365" i="2" s="1"/>
  <c r="BD288" i="2" a="1"/>
  <c r="BD288" i="2" s="1"/>
  <c r="BM288" i="2" s="1" a="1"/>
  <c r="BM288" i="2" s="1"/>
  <c r="BW288" i="2" s="1"/>
  <c r="BD303" i="1" a="1"/>
  <c r="BD303" i="1" s="1"/>
  <c r="BM303" i="1" s="1" a="1"/>
  <c r="BM303" i="1" s="1"/>
  <c r="BW303" i="1" s="1"/>
  <c r="BX251" i="2"/>
  <c r="CA251" i="2"/>
  <c r="BX302" i="2"/>
  <c r="CA302" i="2"/>
  <c r="BD259" i="2" a="1"/>
  <c r="BD259" i="2" s="1"/>
  <c r="BM259" i="2" s="1" a="1"/>
  <c r="BM259" i="2" s="1"/>
  <c r="BW259" i="2" s="1"/>
  <c r="R259" i="2"/>
  <c r="AZ259" i="2" s="1"/>
  <c r="BK259" i="2" s="1"/>
  <c r="BR259" i="2" s="1"/>
  <c r="BD255" i="2" a="1"/>
  <c r="BD255" i="2" s="1"/>
  <c r="BM255" i="2" s="1" a="1"/>
  <c r="BM255" i="2" s="1"/>
  <c r="BW255" i="2" s="1"/>
  <c r="R255" i="2"/>
  <c r="AZ255" i="2" s="1"/>
  <c r="BK255" i="2" s="1"/>
  <c r="BR255" i="2" s="1"/>
  <c r="BX307" i="2"/>
  <c r="CA307" i="2"/>
  <c r="BX213" i="2"/>
  <c r="CA213" i="2"/>
  <c r="BX317" i="2"/>
  <c r="CA317" i="2" s="1"/>
  <c r="BD252" i="2" a="1"/>
  <c r="BD252" i="2" s="1"/>
  <c r="BM252" i="2" s="1" a="1"/>
  <c r="BM252" i="2" s="1"/>
  <c r="BW252" i="2" s="1"/>
  <c r="R252" i="2"/>
  <c r="AZ252" i="2" s="1"/>
  <c r="BK252" i="2" s="1"/>
  <c r="BR252" i="2" s="1"/>
  <c r="BX253" i="2"/>
  <c r="CA253" i="2"/>
  <c r="BD324" i="2" a="1"/>
  <c r="BD324" i="2" s="1"/>
  <c r="R324" i="2"/>
  <c r="BX254" i="2"/>
  <c r="CA254" i="2"/>
  <c r="BX373" i="2"/>
  <c r="CA373" i="2" s="1"/>
  <c r="R257" i="2"/>
  <c r="AZ257" i="2" s="1"/>
  <c r="BK257" i="2" s="1"/>
  <c r="BR257" i="2" s="1"/>
  <c r="BD257" i="2" a="1"/>
  <c r="BD257" i="2" s="1"/>
  <c r="BM257" i="2" s="1" a="1"/>
  <c r="BM257" i="2" s="1"/>
  <c r="BW257" i="2" s="1"/>
  <c r="BX306" i="2"/>
  <c r="CA306" i="2"/>
  <c r="BX311" i="2"/>
  <c r="CA311" i="2"/>
  <c r="BX353" i="2"/>
  <c r="CA353" i="2"/>
  <c r="BX303" i="2"/>
  <c r="CA303" i="2"/>
  <c r="BX304" i="2"/>
  <c r="CA304" i="2"/>
  <c r="BX370" i="2"/>
  <c r="CA370" i="2"/>
  <c r="BX371" i="2"/>
  <c r="CA371" i="2"/>
  <c r="BX305" i="2"/>
  <c r="CA305" i="2" s="1"/>
  <c r="BX372" i="2"/>
  <c r="CA372" i="2"/>
  <c r="BD311" i="2" a="1"/>
  <c r="BD311" i="2" s="1"/>
  <c r="BM311" i="2" s="1" a="1"/>
  <c r="BM311" i="2" s="1"/>
  <c r="BW311" i="2" s="1"/>
  <c r="R256" i="2"/>
  <c r="AZ256" i="2" s="1"/>
  <c r="BK256" i="2" s="1"/>
  <c r="BR256" i="2" s="1"/>
  <c r="BD353" i="2" a="1"/>
  <c r="BD353" i="2" s="1"/>
  <c r="BM353" i="2" s="1" a="1"/>
  <c r="BM353" i="2" s="1"/>
  <c r="BW353" i="2" s="1"/>
  <c r="BZ104" i="1"/>
  <c r="BZ191" i="1"/>
  <c r="BW339" i="1"/>
  <c r="CC341" i="1"/>
  <c r="R37" i="1"/>
  <c r="BD37" i="1" a="1"/>
  <c r="BD37" i="1" s="1"/>
  <c r="R187" i="2"/>
  <c r="BD187" i="2" a="1"/>
  <c r="BD187" i="2" s="1"/>
  <c r="AZ187" i="2" s="1" a="1"/>
  <c r="AZ187" i="2" s="1"/>
  <c r="BK187" i="2" s="1"/>
  <c r="BR187" i="2" s="1"/>
  <c r="BD97" i="2" a="1"/>
  <c r="BD97" i="2" s="1"/>
  <c r="BM97" i="2" s="1" a="1"/>
  <c r="BM97" i="2" s="1"/>
  <c r="BW97" i="2" s="1"/>
  <c r="R97" i="2"/>
  <c r="BX221" i="2"/>
  <c r="CA221" i="2"/>
  <c r="R124" i="2"/>
  <c r="AZ124" i="2" s="1"/>
  <c r="BK124" i="2" s="1"/>
  <c r="BR124" i="2" s="1"/>
  <c r="BD124" i="2" a="1"/>
  <c r="BD124" i="2" s="1"/>
  <c r="BM124" i="2" s="1" a="1"/>
  <c r="BM124" i="2" s="1"/>
  <c r="BW124" i="2" s="1"/>
  <c r="R88" i="2"/>
  <c r="AZ88" i="2" s="1"/>
  <c r="BK88" i="2" s="1"/>
  <c r="BR88" i="2" s="1"/>
  <c r="BX88" i="2" s="1"/>
  <c r="CA88" i="2" s="1"/>
  <c r="BD88" i="2" a="1"/>
  <c r="BD88" i="2" s="1"/>
  <c r="BM88" i="2" s="1" a="1"/>
  <c r="BM88" i="2" s="1"/>
  <c r="BW88" i="2" s="1"/>
  <c r="BD87" i="2" a="1"/>
  <c r="BD87" i="2" s="1"/>
  <c r="BM87" i="2" s="1" a="1"/>
  <c r="BM87" i="2" s="1"/>
  <c r="BW87" i="2" s="1"/>
  <c r="BD89" i="2" a="1"/>
  <c r="BD89" i="2" s="1"/>
  <c r="BM89" i="2" s="1" a="1"/>
  <c r="BM89" i="2" s="1"/>
  <c r="BW89" i="2" s="1"/>
  <c r="BD150" i="2" a="1"/>
  <c r="BD150" i="2" s="1"/>
  <c r="AZ150" i="2" s="1" a="1"/>
  <c r="AZ150" i="2" s="1"/>
  <c r="BK150" i="2" s="1"/>
  <c r="BR150" i="2" s="1"/>
  <c r="BD126" i="2" a="1"/>
  <c r="BD126" i="2" s="1"/>
  <c r="BM126" i="2" s="1" a="1"/>
  <c r="BM126" i="2" s="1"/>
  <c r="BW126" i="2" s="1"/>
  <c r="BD90" i="2" a="1"/>
  <c r="BD90" i="2" s="1"/>
  <c r="AZ90" i="2" s="1" a="1"/>
  <c r="AZ90" i="2" s="1"/>
  <c r="BK90" i="2" s="1"/>
  <c r="BR90" i="2" s="1"/>
  <c r="BD221" i="2" a="1"/>
  <c r="BD221" i="2" s="1"/>
  <c r="BM221" i="2" s="1" a="1"/>
  <c r="BM221" i="2" s="1"/>
  <c r="BW221" i="2" s="1"/>
  <c r="R123" i="2"/>
  <c r="AZ123" i="2" s="1"/>
  <c r="BK123" i="2" s="1"/>
  <c r="BR123" i="2" s="1"/>
  <c r="BX123" i="2" s="1"/>
  <c r="CA123" i="2" s="1"/>
  <c r="BD234" i="2" a="1"/>
  <c r="BD234" i="2" s="1"/>
  <c r="BM234" i="2" s="1" a="1"/>
  <c r="BM234" i="2" s="1"/>
  <c r="BW234" i="2" s="1"/>
  <c r="R94" i="2"/>
  <c r="AG106" i="1"/>
  <c r="AH106" i="1" s="1"/>
  <c r="BW183" i="1"/>
  <c r="BZ183" i="1"/>
  <c r="BW267" i="1"/>
  <c r="CC317" i="1"/>
  <c r="BZ264" i="1"/>
  <c r="BZ231" i="1"/>
  <c r="BZ311" i="1"/>
  <c r="CC350" i="1"/>
  <c r="BZ239" i="1"/>
  <c r="BZ95" i="1"/>
  <c r="BZ169" i="1"/>
  <c r="BZ199" i="1"/>
  <c r="BZ360" i="1"/>
  <c r="BZ403" i="1"/>
  <c r="BW439" i="1"/>
  <c r="BZ108" i="1"/>
  <c r="BD77" i="2" a="1"/>
  <c r="BD77" i="2" s="1"/>
  <c r="BM77" i="2" s="1" a="1"/>
  <c r="BM77" i="2" s="1"/>
  <c r="BW77" i="2" s="1"/>
  <c r="R77" i="2"/>
  <c r="AZ77" i="2" s="1"/>
  <c r="BK77" i="2" s="1"/>
  <c r="BR77" i="2" s="1"/>
  <c r="BX77" i="2" s="1"/>
  <c r="CA77" i="2" s="1"/>
  <c r="BD395" i="2" a="1"/>
  <c r="BD395" i="2" s="1"/>
  <c r="R395" i="2"/>
  <c r="R189" i="2"/>
  <c r="BD189" i="2" a="1"/>
  <c r="BD189" i="2" s="1"/>
  <c r="AZ189" i="2" s="1" a="1"/>
  <c r="AZ189" i="2" s="1"/>
  <c r="BK189" i="2" s="1"/>
  <c r="BR189" i="2" s="1"/>
  <c r="BM404" i="2" a="1"/>
  <c r="BM404" i="2" s="1"/>
  <c r="BW404" i="2" s="1"/>
  <c r="AZ404" i="2" a="1"/>
  <c r="AZ404" i="2" s="1"/>
  <c r="BK404" i="2" s="1"/>
  <c r="BR404" i="2" s="1"/>
  <c r="BX404" i="2" s="1"/>
  <c r="R407" i="2"/>
  <c r="BD407" i="2" a="1"/>
  <c r="BD407" i="2" s="1"/>
  <c r="BM407" i="2" s="1" a="1"/>
  <c r="BM407" i="2" s="1"/>
  <c r="BW407" i="2" s="1"/>
  <c r="BX127" i="2"/>
  <c r="CA127" i="2" s="1"/>
  <c r="AZ300" i="2" a="1"/>
  <c r="AZ300" i="2" s="1"/>
  <c r="BK300" i="2" s="1"/>
  <c r="BR300" i="2" s="1"/>
  <c r="BX300" i="2" s="1"/>
  <c r="CA300" i="2" s="1"/>
  <c r="BM300" i="2" a="1"/>
  <c r="BM300" i="2" s="1"/>
  <c r="BW300" i="2" s="1"/>
  <c r="R42" i="2"/>
  <c r="AZ42" i="2" s="1"/>
  <c r="BK42" i="2" s="1"/>
  <c r="BR42" i="2" s="1"/>
  <c r="BX42" i="2" s="1"/>
  <c r="BD42" i="2" a="1"/>
  <c r="BD42" i="2" s="1"/>
  <c r="BM42" i="2" s="1" a="1"/>
  <c r="BM42" i="2" s="1"/>
  <c r="BW42" i="2" s="1"/>
  <c r="AZ13" i="2" a="1"/>
  <c r="AZ13" i="2" s="1"/>
  <c r="BK13" i="2" s="1"/>
  <c r="BR13" i="2" s="1"/>
  <c r="BM13" i="2" a="1"/>
  <c r="BM13" i="2" s="1"/>
  <c r="BW13" i="2" s="1"/>
  <c r="R13" i="2"/>
  <c r="R79" i="2"/>
  <c r="AZ79" i="2" s="1"/>
  <c r="BK79" i="2" s="1"/>
  <c r="BR79" i="2" s="1"/>
  <c r="R175" i="2"/>
  <c r="AZ175" i="2" s="1"/>
  <c r="BK175" i="2" s="1"/>
  <c r="BR175" i="2" s="1"/>
  <c r="BX175" i="2" s="1"/>
  <c r="CA175" i="2" s="1"/>
  <c r="R83" i="2"/>
  <c r="BD127" i="2" a="1"/>
  <c r="BD127" i="2" s="1"/>
  <c r="BM127" i="2" s="1" a="1"/>
  <c r="BM127" i="2" s="1"/>
  <c r="BW127" i="2" s="1"/>
  <c r="R39" i="2"/>
  <c r="AZ39" i="2" s="1"/>
  <c r="BK39" i="2" s="1"/>
  <c r="BR39" i="2" s="1"/>
  <c r="BX39" i="2" s="1"/>
  <c r="BM82" i="2" a="1"/>
  <c r="BM82" i="2" s="1"/>
  <c r="BW82" i="2" s="1"/>
  <c r="BZ186" i="1"/>
  <c r="BZ276" i="1"/>
  <c r="CC300" i="1"/>
  <c r="CC320" i="1"/>
  <c r="BW297" i="1"/>
  <c r="BZ394" i="1"/>
  <c r="CC136" i="1"/>
  <c r="CC147" i="1"/>
  <c r="CC155" i="1"/>
  <c r="CC231" i="1"/>
  <c r="CC239" i="1"/>
  <c r="CC311" i="1"/>
  <c r="BZ339" i="1"/>
  <c r="BZ126" i="1"/>
  <c r="BW93" i="1"/>
  <c r="CC95" i="1"/>
  <c r="CC113" i="1"/>
  <c r="CC169" i="1"/>
  <c r="CC199" i="1"/>
  <c r="BW289" i="1"/>
  <c r="CC291" i="1"/>
  <c r="BZ303" i="1"/>
  <c r="BZ315" i="1"/>
  <c r="BZ323" i="1"/>
  <c r="CC264" i="1"/>
  <c r="CC104" i="1"/>
  <c r="CC191" i="1"/>
  <c r="BZ98" i="1"/>
  <c r="BZ116" i="1"/>
  <c r="BZ150" i="1"/>
  <c r="BZ158" i="1"/>
  <c r="BZ173" i="1"/>
  <c r="CC183" i="1"/>
  <c r="CC403" i="1"/>
  <c r="BZ294" i="1"/>
  <c r="CC353" i="1"/>
  <c r="BZ202" i="1"/>
  <c r="CC208" i="1"/>
  <c r="BZ234" i="1"/>
  <c r="CC273" i="1"/>
  <c r="CC281" i="1"/>
  <c r="CC373" i="1"/>
  <c r="CC256" i="1"/>
  <c r="BZ286" i="1"/>
  <c r="CC344" i="1"/>
  <c r="BZ331" i="1"/>
  <c r="CC336" i="1"/>
  <c r="BW342" i="1"/>
  <c r="BZ356" i="1"/>
  <c r="CC363" i="1"/>
  <c r="BZ214" i="1"/>
  <c r="BD447" i="2" a="1"/>
  <c r="BD447" i="2" s="1"/>
  <c r="BM447" i="2" s="1" a="1"/>
  <c r="BM447" i="2" s="1"/>
  <c r="BW447" i="2" s="1"/>
  <c r="R447" i="2"/>
  <c r="AZ447" i="2" s="1"/>
  <c r="BK447" i="2" s="1"/>
  <c r="BR447" i="2" s="1"/>
  <c r="BX447" i="2" s="1"/>
  <c r="CA447" i="2" s="1"/>
  <c r="BD227" i="2" a="1"/>
  <c r="BD227" i="2" s="1"/>
  <c r="BM227" i="2" s="1" a="1"/>
  <c r="BM227" i="2" s="1"/>
  <c r="BW227" i="2" s="1"/>
  <c r="R227" i="2"/>
  <c r="AZ227" i="2" s="1"/>
  <c r="BK227" i="2" s="1"/>
  <c r="BR227" i="2" s="1"/>
  <c r="BX227" i="2" s="1"/>
  <c r="CA227" i="2" s="1"/>
  <c r="R340" i="2"/>
  <c r="AZ340" i="2" s="1"/>
  <c r="BK340" i="2" s="1"/>
  <c r="BR340" i="2" s="1"/>
  <c r="BX340" i="2" s="1"/>
  <c r="CA340" i="2" s="1"/>
  <c r="BD340" i="2" a="1"/>
  <c r="BD340" i="2" s="1"/>
  <c r="BM340" i="2" s="1" a="1"/>
  <c r="BM340" i="2" s="1"/>
  <c r="BW340" i="2" s="1"/>
  <c r="R225" i="2"/>
  <c r="AZ225" i="2" s="1"/>
  <c r="BK225" i="2" s="1"/>
  <c r="BR225" i="2" s="1"/>
  <c r="BX225" i="2" s="1"/>
  <c r="CA225" i="2" s="1"/>
  <c r="BD222" i="2" a="1"/>
  <c r="BD222" i="2" s="1"/>
  <c r="BM222" i="2" s="1" a="1"/>
  <c r="BM222" i="2" s="1"/>
  <c r="BW222" i="2" s="1"/>
  <c r="R222" i="2"/>
  <c r="AZ222" i="2" s="1"/>
  <c r="BK222" i="2" s="1"/>
  <c r="BR222" i="2" s="1"/>
  <c r="BX222" i="2" s="1"/>
  <c r="CA222" i="2" s="1"/>
  <c r="BD445" i="2" a="1"/>
  <c r="BD445" i="2" s="1"/>
  <c r="BM445" i="2" s="1" a="1"/>
  <c r="BM445" i="2" s="1"/>
  <c r="BW445" i="2" s="1"/>
  <c r="R445" i="2"/>
  <c r="AZ445" i="2" s="1"/>
  <c r="BK445" i="2" s="1"/>
  <c r="BR445" i="2" s="1"/>
  <c r="BX445" i="2" s="1"/>
  <c r="R442" i="2"/>
  <c r="BD442" i="2" a="1"/>
  <c r="BD442" i="2" s="1"/>
  <c r="BD449" i="2" a="1"/>
  <c r="BD449" i="2" s="1"/>
  <c r="R449" i="2"/>
  <c r="CL360" i="1"/>
  <c r="CL384" i="1"/>
  <c r="BC384" i="1" s="1"/>
  <c r="CL386" i="1"/>
  <c r="BE386" i="1" s="1"/>
  <c r="CL393" i="1"/>
  <c r="BC393" i="1" s="1"/>
  <c r="CL399" i="1"/>
  <c r="BE399" i="1" s="1"/>
  <c r="BX450" i="1"/>
  <c r="CL18" i="1"/>
  <c r="R18" i="1" s="1"/>
  <c r="CL47" i="1"/>
  <c r="BE47" i="1" s="1"/>
  <c r="CL53" i="1"/>
  <c r="BG53" i="1" s="1"/>
  <c r="CL80" i="1"/>
  <c r="BC80" i="1" s="1"/>
  <c r="CL87" i="1"/>
  <c r="R87" i="1" s="1"/>
  <c r="CL90" i="1"/>
  <c r="BC90" i="1" s="1"/>
  <c r="CL120" i="1"/>
  <c r="BE120" i="1" s="1"/>
  <c r="CL130" i="1"/>
  <c r="BC130" i="1" s="1"/>
  <c r="CL133" i="1"/>
  <c r="BC133" i="1" s="1"/>
  <c r="CL143" i="1"/>
  <c r="BE143" i="1" s="1"/>
  <c r="CL159" i="1"/>
  <c r="BG159" i="1" s="1"/>
  <c r="CL161" i="1"/>
  <c r="BE161" i="1" s="1"/>
  <c r="CL167" i="1"/>
  <c r="BE167" i="1" s="1"/>
  <c r="CL172" i="1"/>
  <c r="BE172" i="1" s="1"/>
  <c r="CL177" i="1"/>
  <c r="BG177" i="1" s="1"/>
  <c r="CL180" i="1"/>
  <c r="BE180" i="1" s="1"/>
  <c r="CL227" i="1"/>
  <c r="BE227" i="1" s="1"/>
  <c r="CL284" i="1"/>
  <c r="BG284" i="1" s="1"/>
  <c r="BZ418" i="1"/>
  <c r="CC430" i="1"/>
  <c r="CC439" i="1"/>
  <c r="CL76" i="1"/>
  <c r="BC76" i="1" s="1"/>
  <c r="CL81" i="1"/>
  <c r="BE81" i="1" s="1"/>
  <c r="CL118" i="1"/>
  <c r="BC118" i="1" s="1"/>
  <c r="CL127" i="1"/>
  <c r="BC127" i="1" s="1"/>
  <c r="CL145" i="1"/>
  <c r="BG145" i="1" s="1"/>
  <c r="CL160" i="1"/>
  <c r="BC160" i="1" s="1"/>
  <c r="CL168" i="1"/>
  <c r="BG168" i="1" s="1"/>
  <c r="CL179" i="1"/>
  <c r="BE179" i="1" s="1"/>
  <c r="CL224" i="1"/>
  <c r="BG224" i="1" s="1"/>
  <c r="CL251" i="1"/>
  <c r="R251" i="1" s="1"/>
  <c r="CL307" i="1"/>
  <c r="R307" i="1" s="1"/>
  <c r="CL367" i="1"/>
  <c r="BC367" i="1" s="1"/>
  <c r="CL375" i="1"/>
  <c r="R375" i="1" s="1"/>
  <c r="CL387" i="1"/>
  <c r="BC387" i="1" s="1"/>
  <c r="CL391" i="1"/>
  <c r="BE391" i="1" s="1"/>
  <c r="CL395" i="1"/>
  <c r="BG395" i="1" s="1"/>
  <c r="CL402" i="1"/>
  <c r="R402" i="1" s="1"/>
  <c r="CL420" i="1"/>
  <c r="BE420" i="1" s="1"/>
  <c r="CL422" i="1"/>
  <c r="BG422" i="1" s="1"/>
  <c r="CL425" i="1"/>
  <c r="R425" i="1" s="1"/>
  <c r="R184" i="2"/>
  <c r="R426" i="2"/>
  <c r="AZ426" i="2" s="1"/>
  <c r="BK426" i="2" s="1"/>
  <c r="BR426" i="2" s="1"/>
  <c r="BX426" i="2" s="1"/>
  <c r="BD99" i="2" a="1"/>
  <c r="BD99" i="2" s="1"/>
  <c r="BM99" i="2" s="1" a="1"/>
  <c r="BM99" i="2" s="1"/>
  <c r="BW99" i="2" s="1"/>
  <c r="R99" i="2"/>
  <c r="AZ99" i="2" s="1"/>
  <c r="BK99" i="2" s="1"/>
  <c r="BR99" i="2" s="1"/>
  <c r="BX99" i="2" s="1"/>
  <c r="BX145" i="2"/>
  <c r="CA145" i="2" s="1"/>
  <c r="BD131" i="2" a="1"/>
  <c r="BD131" i="2" s="1"/>
  <c r="AZ131" i="2" s="1" a="1"/>
  <c r="AZ131" i="2" s="1"/>
  <c r="BK131" i="2" s="1"/>
  <c r="BR131" i="2" s="1"/>
  <c r="BX131" i="2" s="1"/>
  <c r="BX183" i="2"/>
  <c r="CA183" i="2"/>
  <c r="BX132" i="2"/>
  <c r="CA132" i="2" s="1"/>
  <c r="CA165" i="2"/>
  <c r="CA184" i="2"/>
  <c r="BD165" i="2" a="1"/>
  <c r="BD165" i="2" s="1"/>
  <c r="BM165" i="2" s="1" a="1"/>
  <c r="BM165" i="2" s="1"/>
  <c r="BW165" i="2" s="1"/>
  <c r="BX81" i="2"/>
  <c r="CA81" i="2" s="1"/>
  <c r="BD74" i="2" a="1"/>
  <c r="BD74" i="2" s="1"/>
  <c r="BM74" i="2" s="1" a="1"/>
  <c r="BM74" i="2" s="1"/>
  <c r="BW74" i="2" s="1"/>
  <c r="R74" i="2"/>
  <c r="AZ74" i="2" s="1"/>
  <c r="BK74" i="2" s="1"/>
  <c r="BR74" i="2" s="1"/>
  <c r="BX74" i="2" s="1"/>
  <c r="BM427" i="2" a="1"/>
  <c r="BM427" i="2" s="1"/>
  <c r="BW427" i="2" s="1"/>
  <c r="BD194" i="2" a="1"/>
  <c r="BD194" i="2" s="1"/>
  <c r="R148" i="2"/>
  <c r="AZ148" i="2" s="1"/>
  <c r="BK148" i="2" s="1"/>
  <c r="BR148" i="2" s="1"/>
  <c r="BX148" i="2" s="1"/>
  <c r="CA148" i="2" s="1"/>
  <c r="BD428" i="2" a="1"/>
  <c r="BD428" i="2" s="1"/>
  <c r="BM428" i="2" s="1" a="1"/>
  <c r="BM428" i="2" s="1"/>
  <c r="BW428" i="2" s="1"/>
  <c r="R180" i="2"/>
  <c r="R195" i="2"/>
  <c r="AZ195" i="2" s="1"/>
  <c r="BK195" i="2" s="1"/>
  <c r="BR195" i="2" s="1"/>
  <c r="BX195" i="2" s="1"/>
  <c r="CA195" i="2" s="1"/>
  <c r="R147" i="2"/>
  <c r="AZ147" i="2" s="1"/>
  <c r="BK147" i="2" s="1"/>
  <c r="BR147" i="2" s="1"/>
  <c r="BX147" i="2" s="1"/>
  <c r="BD182" i="2" a="1"/>
  <c r="BD182" i="2" s="1"/>
  <c r="BM182" i="2" s="1" a="1"/>
  <c r="BM182" i="2" s="1"/>
  <c r="BW182" i="2" s="1"/>
  <c r="BD101" i="2" a="1"/>
  <c r="BD101" i="2" s="1"/>
  <c r="BM101" i="2" s="1" a="1"/>
  <c r="BM101" i="2" s="1"/>
  <c r="BW101" i="2" s="1"/>
  <c r="BD144" i="2" a="1"/>
  <c r="BD144" i="2" s="1"/>
  <c r="BM144" i="2" s="1" a="1"/>
  <c r="BM144" i="2" s="1"/>
  <c r="BW144" i="2" s="1"/>
  <c r="BD429" i="2" a="1"/>
  <c r="BD429" i="2" s="1"/>
  <c r="BD100" i="2" a="1"/>
  <c r="BD100" i="2" s="1"/>
  <c r="BM100" i="2" s="1" a="1"/>
  <c r="BM100" i="2" s="1"/>
  <c r="BW100" i="2" s="1"/>
  <c r="BM184" i="2" a="1"/>
  <c r="BM184" i="2" s="1"/>
  <c r="BW184" i="2" s="1"/>
  <c r="R133" i="2"/>
  <c r="AZ133" i="2" s="1"/>
  <c r="BK133" i="2" s="1"/>
  <c r="BR133" i="2" s="1"/>
  <c r="BX133" i="2" s="1"/>
  <c r="CA133" i="2" s="1"/>
  <c r="R102" i="2"/>
  <c r="AZ102" i="2" s="1"/>
  <c r="BK102" i="2" s="1"/>
  <c r="BR102" i="2" s="1"/>
  <c r="BX102" i="2" s="1"/>
  <c r="CA102" i="2" s="1"/>
  <c r="R193" i="2"/>
  <c r="AZ193" i="2" s="1"/>
  <c r="BK193" i="2" s="1"/>
  <c r="BR193" i="2" s="1"/>
  <c r="BD81" i="2" a="1"/>
  <c r="BD81" i="2" s="1"/>
  <c r="BM81" i="2" s="1" a="1"/>
  <c r="BM81" i="2" s="1"/>
  <c r="BW81" i="2" s="1"/>
  <c r="R427" i="2"/>
  <c r="R185" i="2"/>
  <c r="AZ185" i="2" s="1"/>
  <c r="BK185" i="2" s="1"/>
  <c r="BR185" i="2" s="1"/>
  <c r="BX185" i="2" s="1"/>
  <c r="CA185" i="2" s="1"/>
  <c r="BZ437" i="1"/>
  <c r="BD182" i="1" a="1"/>
  <c r="BD182" i="1" s="1"/>
  <c r="BM182" i="1" s="1" a="1"/>
  <c r="BM182" i="1" s="1"/>
  <c r="BW182" i="1" s="1"/>
  <c r="BZ59" i="1"/>
  <c r="R174" i="1"/>
  <c r="AZ174" i="1" s="1"/>
  <c r="BK174" i="1" s="1"/>
  <c r="BR174" i="1" s="1"/>
  <c r="BX174" i="1" s="1"/>
  <c r="CA174" i="1" s="1"/>
  <c r="BD78" i="1" a="1"/>
  <c r="BD78" i="1" s="1"/>
  <c r="BM78" i="1" s="1" a="1"/>
  <c r="BM78" i="1" s="1"/>
  <c r="BW78" i="1" s="1"/>
  <c r="BD282" i="1" a="1"/>
  <c r="BD282" i="1" s="1"/>
  <c r="BM282" i="1" s="1" a="1"/>
  <c r="BM282" i="1" s="1"/>
  <c r="BW282" i="1" s="1"/>
  <c r="R280" i="1"/>
  <c r="AZ280" i="1" s="1"/>
  <c r="BK280" i="1" s="1"/>
  <c r="BR280" i="1" s="1"/>
  <c r="BX280" i="1" s="1"/>
  <c r="CC126" i="1"/>
  <c r="BZ124" i="1"/>
  <c r="CC262" i="1"/>
  <c r="R74" i="1"/>
  <c r="AZ74" i="1" s="1"/>
  <c r="BK74" i="1" s="1"/>
  <c r="BR74" i="1" s="1"/>
  <c r="BX74" i="1" s="1"/>
  <c r="CA74" i="1" s="1"/>
  <c r="CC82" i="1"/>
  <c r="BZ342" i="1"/>
  <c r="BZ38" i="1"/>
  <c r="R353" i="1"/>
  <c r="AZ353" i="1" s="1"/>
  <c r="BK353" i="1" s="1"/>
  <c r="BR353" i="1" s="1"/>
  <c r="BX353" i="1" s="1"/>
  <c r="CC16" i="1"/>
  <c r="BZ46" i="1"/>
  <c r="BZ57" i="1"/>
  <c r="BZ245" i="1"/>
  <c r="BZ254" i="1"/>
  <c r="R132" i="1"/>
  <c r="CC98" i="1"/>
  <c r="CC108" i="1"/>
  <c r="CC116" i="1"/>
  <c r="CC394" i="1"/>
  <c r="BD412" i="1" a="1"/>
  <c r="BD412" i="1" s="1"/>
  <c r="BM412" i="1" s="1" a="1"/>
  <c r="BM412" i="1" s="1"/>
  <c r="BW412" i="1" s="1"/>
  <c r="BZ197" i="1"/>
  <c r="CC418" i="1"/>
  <c r="BZ326" i="1"/>
  <c r="BZ16" i="1"/>
  <c r="CC31" i="1"/>
  <c r="CC50" i="1"/>
  <c r="BZ232" i="1"/>
  <c r="BZ58" i="1"/>
  <c r="R328" i="1"/>
  <c r="AZ328" i="1" s="1"/>
  <c r="BK328" i="1" s="1"/>
  <c r="BR328" i="1" s="1"/>
  <c r="BX328" i="1" s="1"/>
  <c r="CA328" i="1" s="1"/>
  <c r="BW74" i="1"/>
  <c r="BZ121" i="1"/>
  <c r="CM162" i="1"/>
  <c r="BD162" i="1" a="1"/>
  <c r="BD162" i="1" s="1"/>
  <c r="AZ162" i="1" s="1" a="1"/>
  <c r="AZ162" i="1" s="1"/>
  <c r="BK162" i="1" s="1"/>
  <c r="BR162" i="1" s="1"/>
  <c r="CC250" i="1"/>
  <c r="BZ361" i="1"/>
  <c r="CC54" i="1"/>
  <c r="BZ85" i="1"/>
  <c r="CC34" i="1"/>
  <c r="CC59" i="1"/>
  <c r="BZ262" i="1"/>
  <c r="BZ20" i="1"/>
  <c r="BZ29" i="1"/>
  <c r="BZ111" i="1"/>
  <c r="CC43" i="1"/>
  <c r="BZ165" i="1"/>
  <c r="CC186" i="1"/>
  <c r="CC194" i="1"/>
  <c r="CC267" i="1"/>
  <c r="CC289" i="1"/>
  <c r="CC297" i="1"/>
  <c r="CC339" i="1"/>
  <c r="BZ397" i="1"/>
  <c r="BZ25" i="1"/>
  <c r="CC40" i="1"/>
  <c r="BZ229" i="1"/>
  <c r="CC259" i="1"/>
  <c r="CC286" i="1"/>
  <c r="CC303" i="1"/>
  <c r="BZ413" i="1"/>
  <c r="CC25" i="1"/>
  <c r="BZ71" i="1"/>
  <c r="BZ102" i="1"/>
  <c r="BZ237" i="1"/>
  <c r="CC331" i="1"/>
  <c r="CC315" i="1"/>
  <c r="CC356" i="1"/>
  <c r="CC377" i="1"/>
  <c r="BZ381" i="1"/>
  <c r="BZ431" i="1"/>
  <c r="CC368" i="1"/>
  <c r="BD308" i="1" a="1"/>
  <c r="BD308" i="1" s="1"/>
  <c r="BM308" i="1" s="1" a="1"/>
  <c r="BM308" i="1" s="1"/>
  <c r="BW308" i="1" s="1"/>
  <c r="BZ289" i="1"/>
  <c r="BZ321" i="1"/>
  <c r="CC22" i="1"/>
  <c r="BD346" i="1" a="1"/>
  <c r="BD346" i="1" s="1"/>
  <c r="BM346" i="1" s="1" a="1"/>
  <c r="BM346" i="1" s="1"/>
  <c r="BW346" i="1" s="1"/>
  <c r="BD169" i="1" a="1"/>
  <c r="BD169" i="1" s="1"/>
  <c r="BM169" i="1" s="1" a="1"/>
  <c r="BM169" i="1" s="1"/>
  <c r="BW169" i="1" s="1"/>
  <c r="CC29" i="1"/>
  <c r="BZ60" i="1"/>
  <c r="BZ62" i="1"/>
  <c r="BZ74" i="1"/>
  <c r="CC77" i="1"/>
  <c r="BZ96" i="1"/>
  <c r="BZ105" i="1"/>
  <c r="CC140" i="1"/>
  <c r="CC150" i="1"/>
  <c r="BZ156" i="1"/>
  <c r="CC165" i="1"/>
  <c r="BZ240" i="1"/>
  <c r="BZ271" i="1"/>
  <c r="BZ279" i="1"/>
  <c r="CC323" i="1"/>
  <c r="BW364" i="1"/>
  <c r="CC366" i="1"/>
  <c r="CC409" i="1"/>
  <c r="BZ416" i="1"/>
  <c r="BZ373" i="1"/>
  <c r="BZ54" i="1"/>
  <c r="BW114" i="1"/>
  <c r="BZ131" i="1"/>
  <c r="BZ144" i="1"/>
  <c r="BZ153" i="1"/>
  <c r="CC173" i="1"/>
  <c r="BW301" i="1"/>
  <c r="BZ400" i="1"/>
  <c r="BZ34" i="1"/>
  <c r="BZ65" i="1"/>
  <c r="BZ93" i="1"/>
  <c r="BZ334" i="1"/>
  <c r="BD375" i="1" a="1"/>
  <c r="BD375" i="1" s="1"/>
  <c r="BM375" i="1" s="1" a="1"/>
  <c r="BM375" i="1" s="1"/>
  <c r="BW375" i="1" s="1"/>
  <c r="CC67" i="1"/>
  <c r="CC71" i="1"/>
  <c r="BW85" i="1"/>
  <c r="BZ178" i="1"/>
  <c r="CC202" i="1"/>
  <c r="BZ206" i="1"/>
  <c r="CC276" i="1"/>
  <c r="BZ43" i="1"/>
  <c r="BW51" i="1"/>
  <c r="CC214" i="1"/>
  <c r="BZ297" i="1"/>
  <c r="BZ337" i="1"/>
  <c r="CC347" i="1"/>
  <c r="BD171" i="1" a="1"/>
  <c r="BD171" i="1" s="1"/>
  <c r="BM171" i="1" s="1" a="1"/>
  <c r="BM171" i="1" s="1"/>
  <c r="BW171" i="1" s="1"/>
  <c r="BD361" i="1" a="1"/>
  <c r="BD361" i="1" s="1"/>
  <c r="BM361" i="1" s="1" a="1"/>
  <c r="BM361" i="1" s="1"/>
  <c r="BW361" i="1" s="1"/>
  <c r="BW20" i="1"/>
  <c r="BW29" i="1"/>
  <c r="R344" i="1"/>
  <c r="AZ344" i="1" s="1"/>
  <c r="BK344" i="1" s="1"/>
  <c r="BR344" i="1" s="1"/>
  <c r="BX344" i="1" s="1"/>
  <c r="BD178" i="1" a="1"/>
  <c r="BD178" i="1" s="1"/>
  <c r="BM178" i="1" s="1" a="1"/>
  <c r="BM178" i="1" s="1"/>
  <c r="BW178" i="1" s="1"/>
  <c r="CM423" i="1"/>
  <c r="CC62" i="1"/>
  <c r="BZ82" i="1"/>
  <c r="BW96" i="1"/>
  <c r="CC158" i="1"/>
  <c r="BZ189" i="1"/>
  <c r="BZ219" i="1"/>
  <c r="CC225" i="1"/>
  <c r="CC234" i="1"/>
  <c r="BW240" i="1"/>
  <c r="CC242" i="1"/>
  <c r="CC294" i="1"/>
  <c r="BZ309" i="1"/>
  <c r="BZ318" i="1"/>
  <c r="BZ351" i="1"/>
  <c r="BZ371" i="1"/>
  <c r="BZ390" i="1"/>
  <c r="BZ428" i="1"/>
  <c r="CC441" i="1"/>
  <c r="BZ23" i="1"/>
  <c r="BW72" i="1"/>
  <c r="BZ170" i="1"/>
  <c r="CC271" i="1"/>
  <c r="BW411" i="1"/>
  <c r="CC309" i="1"/>
  <c r="BW357" i="1"/>
  <c r="BZ364" i="1"/>
  <c r="BZ374" i="1"/>
  <c r="CC400" i="1"/>
  <c r="CC413" i="1"/>
  <c r="CC121" i="1"/>
  <c r="BW151" i="1"/>
  <c r="BW316" i="1"/>
  <c r="CC318" i="1"/>
  <c r="CC93" i="1"/>
  <c r="BZ137" i="1"/>
  <c r="BZ200" i="1"/>
  <c r="CC237" i="1"/>
  <c r="BZ274" i="1"/>
  <c r="BZ282" i="1"/>
  <c r="BZ313" i="1"/>
  <c r="CC326" i="1"/>
  <c r="BZ329" i="1"/>
  <c r="BW340" i="1"/>
  <c r="CC342" i="1"/>
  <c r="BZ14" i="1"/>
  <c r="CC74" i="1"/>
  <c r="BZ209" i="1"/>
  <c r="CC279" i="1"/>
  <c r="BD287" i="1" a="1"/>
  <c r="BD287" i="1" s="1"/>
  <c r="BM287" i="1" s="1" a="1"/>
  <c r="BM287" i="1" s="1"/>
  <c r="BW287" i="1" s="1"/>
  <c r="BD244" i="1" a="1"/>
  <c r="BD244" i="1" s="1"/>
  <c r="BM244" i="1" s="1" a="1"/>
  <c r="BM244" i="1" s="1"/>
  <c r="BW244" i="1" s="1"/>
  <c r="BZ78" i="1"/>
  <c r="CC197" i="1"/>
  <c r="BZ248" i="1"/>
  <c r="CC254" i="1"/>
  <c r="BZ257" i="1"/>
  <c r="CC131" i="1"/>
  <c r="BW141" i="1"/>
  <c r="CC381" i="1"/>
  <c r="BZ440" i="1"/>
  <c r="R372" i="1"/>
  <c r="AZ372" i="1" s="1"/>
  <c r="BK372" i="1" s="1"/>
  <c r="BR372" i="1" s="1"/>
  <c r="BX372" i="1" s="1"/>
  <c r="CC85" i="1"/>
  <c r="CC153" i="1"/>
  <c r="BD407" i="1" a="1"/>
  <c r="BD407" i="1" s="1"/>
  <c r="BM407" i="1" s="1" a="1"/>
  <c r="BM407" i="1" s="1"/>
  <c r="BW407" i="1" s="1"/>
  <c r="R301" i="1"/>
  <c r="AZ301" i="1" s="1"/>
  <c r="BK301" i="1" s="1"/>
  <c r="BR301" i="1" s="1"/>
  <c r="BX301" i="1" s="1"/>
  <c r="R403" i="1"/>
  <c r="AZ403" i="1" s="1"/>
  <c r="BK403" i="1" s="1"/>
  <c r="BR403" i="1" s="1"/>
  <c r="BX403" i="1" s="1"/>
  <c r="CA403" i="1" s="1"/>
  <c r="BD129" i="1" a="1"/>
  <c r="BD129" i="1" s="1"/>
  <c r="BM129" i="1" s="1" a="1"/>
  <c r="BM129" i="1" s="1"/>
  <c r="BW129" i="1" s="1"/>
  <c r="BW12" i="1"/>
  <c r="CC20" i="1"/>
  <c r="BZ41" i="1"/>
  <c r="CC178" i="1"/>
  <c r="BZ184" i="1"/>
  <c r="BZ192" i="1"/>
  <c r="CC206" i="1"/>
  <c r="BZ354" i="1"/>
  <c r="BZ363" i="1"/>
  <c r="CC371" i="1"/>
  <c r="CC433" i="1"/>
  <c r="R72" i="1"/>
  <c r="AZ72" i="1" s="1"/>
  <c r="BK72" i="1" s="1"/>
  <c r="BR72" i="1" s="1"/>
  <c r="BX72" i="1" s="1"/>
  <c r="CA72" i="1" s="1"/>
  <c r="BZ114" i="1"/>
  <c r="CC189" i="1"/>
  <c r="CC219" i="1"/>
  <c r="BZ292" i="1"/>
  <c r="BD388" i="1" a="1"/>
  <c r="BD388" i="1" s="1"/>
  <c r="BM388" i="1" s="1" a="1"/>
  <c r="BM388" i="1" s="1"/>
  <c r="BW388" i="1" s="1"/>
  <c r="CC38" i="1"/>
  <c r="BZ222" i="1"/>
  <c r="CC245" i="1"/>
  <c r="BZ301" i="1"/>
  <c r="CC428" i="1"/>
  <c r="CC46" i="1"/>
  <c r="CC57" i="1"/>
  <c r="BZ69" i="1"/>
  <c r="CC144" i="1"/>
  <c r="CC229" i="1"/>
  <c r="CC351" i="1"/>
  <c r="BD89" i="1" a="1"/>
  <c r="BD89" i="1" s="1"/>
  <c r="BM89" i="1" s="1" a="1"/>
  <c r="BM89" i="1" s="1"/>
  <c r="BW89" i="1" s="1"/>
  <c r="BZ32" i="1"/>
  <c r="BZ51" i="1"/>
  <c r="CC65" i="1"/>
  <c r="CC102" i="1"/>
  <c r="BD175" i="1" a="1"/>
  <c r="BD175" i="1" s="1"/>
  <c r="BM175" i="1" s="1" a="1"/>
  <c r="BM175" i="1" s="1"/>
  <c r="BW175" i="1" s="1"/>
  <c r="BD355" i="1" a="1"/>
  <c r="BD355" i="1" s="1"/>
  <c r="BM355" i="1" s="1" a="1"/>
  <c r="BM355" i="1" s="1"/>
  <c r="BW355" i="1" s="1"/>
  <c r="CC111" i="1"/>
  <c r="BZ148" i="1"/>
  <c r="BW174" i="1"/>
  <c r="BZ265" i="1"/>
  <c r="BW295" i="1"/>
  <c r="CC334" i="1"/>
  <c r="BZ345" i="1"/>
  <c r="BW356" i="1"/>
  <c r="CC361" i="1"/>
  <c r="BZ405" i="1"/>
  <c r="CC437" i="1"/>
  <c r="R242" i="1"/>
  <c r="AZ242" i="1" s="1"/>
  <c r="BK242" i="1" s="1"/>
  <c r="BR242" i="1" s="1"/>
  <c r="BX242" i="1" s="1"/>
  <c r="CC360" i="1"/>
  <c r="BD426" i="1" a="1"/>
  <c r="BD426" i="1" s="1"/>
  <c r="R357" i="1"/>
  <c r="AZ357" i="1" s="1"/>
  <c r="BK357" i="1" s="1"/>
  <c r="BR357" i="1" s="1"/>
  <c r="BX357" i="1" s="1"/>
  <c r="BD290" i="1" a="1"/>
  <c r="BD290" i="1" s="1"/>
  <c r="BM290" i="1" s="1" a="1"/>
  <c r="BM290" i="1" s="1"/>
  <c r="BW290" i="1" s="1"/>
  <c r="CC333" i="1"/>
  <c r="BZ336" i="1"/>
  <c r="BZ344" i="1"/>
  <c r="CC358" i="1"/>
  <c r="BD418" i="1" a="1"/>
  <c r="BD418" i="1" s="1"/>
  <c r="BM418" i="1" s="1" a="1"/>
  <c r="BM418" i="1" s="1"/>
  <c r="BW418" i="1" s="1"/>
  <c r="CL88" i="1"/>
  <c r="BW62" i="1"/>
  <c r="BZ136" i="1"/>
  <c r="CC412" i="1"/>
  <c r="R285" i="1"/>
  <c r="AZ285" i="1" s="1"/>
  <c r="BK285" i="1" s="1"/>
  <c r="BR285" i="1" s="1"/>
  <c r="BX285" i="1" s="1"/>
  <c r="CA285" i="1" s="1"/>
  <c r="BD421" i="1" a="1"/>
  <c r="BD421" i="1" s="1"/>
  <c r="BM421" i="1" s="1" a="1"/>
  <c r="BM421" i="1" s="1"/>
  <c r="BW421" i="1" s="1"/>
  <c r="CL106" i="1"/>
  <c r="BD67" i="1" a="1"/>
  <c r="BD67" i="1" s="1"/>
  <c r="BM67" i="1" s="1" a="1"/>
  <c r="BM67" i="1" s="1"/>
  <c r="BW67" i="1" s="1"/>
  <c r="R288" i="1"/>
  <c r="AZ288" i="1" s="1"/>
  <c r="BK288" i="1" s="1"/>
  <c r="BR288" i="1" s="1"/>
  <c r="BX288" i="1" s="1"/>
  <c r="CA288" i="1" s="1"/>
  <c r="BZ40" i="1"/>
  <c r="R62" i="1"/>
  <c r="AZ62" i="1" s="1"/>
  <c r="BK62" i="1" s="1"/>
  <c r="BR62" i="1" s="1"/>
  <c r="BX62" i="1" s="1"/>
  <c r="CA62" i="1" s="1"/>
  <c r="BD88" i="1" a="1"/>
  <c r="BD88" i="1" s="1"/>
  <c r="BM88" i="1" s="1" a="1"/>
  <c r="BM88" i="1" s="1"/>
  <c r="BW88" i="1" s="1"/>
  <c r="BZ22" i="1"/>
  <c r="CC84" i="1"/>
  <c r="CC92" i="1"/>
  <c r="BZ221" i="1"/>
  <c r="BW440" i="1"/>
  <c r="BD65" i="1" a="1"/>
  <c r="BD65" i="1" s="1"/>
  <c r="BM65" i="1" s="1" a="1"/>
  <c r="BM65" i="1" s="1"/>
  <c r="BW65" i="1" s="1"/>
  <c r="R65" i="1"/>
  <c r="AZ65" i="1" s="1"/>
  <c r="BK65" i="1" s="1"/>
  <c r="BR65" i="1" s="1"/>
  <c r="BX65" i="1" s="1"/>
  <c r="CA65" i="1" s="1"/>
  <c r="R337" i="1"/>
  <c r="AZ337" i="1" s="1"/>
  <c r="BK337" i="1" s="1"/>
  <c r="BR337" i="1" s="1"/>
  <c r="BX337" i="1" s="1"/>
  <c r="CA337" i="1" s="1"/>
  <c r="BD337" i="1" a="1"/>
  <c r="BD337" i="1" s="1"/>
  <c r="BM337" i="1" s="1" a="1"/>
  <c r="BM337" i="1" s="1"/>
  <c r="BW337" i="1" s="1"/>
  <c r="R85" i="1"/>
  <c r="AZ85" i="1" s="1"/>
  <c r="BK85" i="1" s="1"/>
  <c r="BR85" i="1" s="1"/>
  <c r="BX85" i="1" s="1"/>
  <c r="BW190" i="1"/>
  <c r="BZ285" i="1"/>
  <c r="R12" i="1"/>
  <c r="AZ12" i="1" s="1"/>
  <c r="BK12" i="1" s="1"/>
  <c r="BR12" i="1" s="1"/>
  <c r="BX12" i="1" s="1"/>
  <c r="R90" i="1"/>
  <c r="BD144" i="1" a="1"/>
  <c r="BD144" i="1" s="1"/>
  <c r="BM144" i="1" s="1" a="1"/>
  <c r="BM144" i="1" s="1"/>
  <c r="BW144" i="1" s="1"/>
  <c r="R373" i="1"/>
  <c r="AZ373" i="1" s="1"/>
  <c r="BK373" i="1" s="1"/>
  <c r="BR373" i="1" s="1"/>
  <c r="BX373" i="1" s="1"/>
  <c r="CA373" i="1" s="1"/>
  <c r="BD185" i="1" a="1"/>
  <c r="BD185" i="1" s="1"/>
  <c r="BM185" i="1" s="1" a="1"/>
  <c r="BM185" i="1" s="1"/>
  <c r="BW185" i="1" s="1"/>
  <c r="R66" i="1"/>
  <c r="AZ66" i="1" s="1"/>
  <c r="BK66" i="1" s="1"/>
  <c r="BR66" i="1" s="1"/>
  <c r="BX66" i="1" s="1"/>
  <c r="CA66" i="1" s="1"/>
  <c r="R289" i="1"/>
  <c r="AZ289" i="1" s="1"/>
  <c r="BK289" i="1" s="1"/>
  <c r="BR289" i="1" s="1"/>
  <c r="BX289" i="1" s="1"/>
  <c r="R121" i="1"/>
  <c r="AZ121" i="1" s="1"/>
  <c r="BK121" i="1" s="1"/>
  <c r="BR121" i="1" s="1"/>
  <c r="BX121" i="1" s="1"/>
  <c r="R295" i="1"/>
  <c r="AZ295" i="1" s="1"/>
  <c r="BK295" i="1" s="1"/>
  <c r="BR295" i="1" s="1"/>
  <c r="BX295" i="1" s="1"/>
  <c r="CA295" i="1" s="1"/>
  <c r="R42" i="1"/>
  <c r="AZ42" i="1" s="1"/>
  <c r="BK42" i="1" s="1"/>
  <c r="BR42" i="1" s="1"/>
  <c r="BX42" i="1" s="1"/>
  <c r="BD134" i="1" a="1"/>
  <c r="BD134" i="1" s="1"/>
  <c r="BM134" i="1" s="1" a="1"/>
  <c r="BM134" i="1" s="1"/>
  <c r="BW134" i="1" s="1"/>
  <c r="CC33" i="1"/>
  <c r="CC48" i="1"/>
  <c r="BZ61" i="1"/>
  <c r="CC63" i="1"/>
  <c r="BW82" i="1"/>
  <c r="CC119" i="1"/>
  <c r="CC163" i="1"/>
  <c r="CC236" i="1"/>
  <c r="BW242" i="1"/>
  <c r="BZ256" i="1"/>
  <c r="CC288" i="1"/>
  <c r="CC306" i="1"/>
  <c r="CC325" i="1"/>
  <c r="BW433" i="1"/>
  <c r="BD91" i="1" a="1"/>
  <c r="BD91" i="1" s="1"/>
  <c r="BM91" i="1" s="1" a="1"/>
  <c r="BM91" i="1" s="1"/>
  <c r="BW91" i="1" s="1"/>
  <c r="BD422" i="1" a="1"/>
  <c r="BD422" i="1" s="1"/>
  <c r="BM422" i="1" s="1" a="1"/>
  <c r="BM422" i="1" s="1"/>
  <c r="BW422" i="1" s="1"/>
  <c r="BD394" i="1" a="1"/>
  <c r="BD394" i="1" s="1"/>
  <c r="BM394" i="1" s="1" a="1"/>
  <c r="BM394" i="1" s="1"/>
  <c r="BW394" i="1" s="1"/>
  <c r="BD291" i="1" a="1"/>
  <c r="BD291" i="1" s="1"/>
  <c r="BM291" i="1" s="1" a="1"/>
  <c r="BM291" i="1" s="1"/>
  <c r="BW291" i="1" s="1"/>
  <c r="R183" i="1"/>
  <c r="AZ183" i="1" s="1"/>
  <c r="BK183" i="1" s="1"/>
  <c r="BR183" i="1" s="1"/>
  <c r="BX183" i="1" s="1"/>
  <c r="CA183" i="1" s="1"/>
  <c r="R64" i="1"/>
  <c r="AZ64" i="1" s="1"/>
  <c r="BK64" i="1" s="1"/>
  <c r="BR64" i="1" s="1"/>
  <c r="BX64" i="1" s="1"/>
  <c r="CA64" i="1" s="1"/>
  <c r="R411" i="1"/>
  <c r="AZ411" i="1" s="1"/>
  <c r="BK411" i="1" s="1"/>
  <c r="BR411" i="1" s="1"/>
  <c r="BX411" i="1" s="1"/>
  <c r="CA411" i="1" s="1"/>
  <c r="BD40" i="1" a="1"/>
  <c r="BD40" i="1" s="1"/>
  <c r="BM40" i="1" s="1" a="1"/>
  <c r="BM40" i="1" s="1"/>
  <c r="BW40" i="1" s="1"/>
  <c r="BD184" i="1" a="1"/>
  <c r="BD184" i="1" s="1"/>
  <c r="BM184" i="1" s="1" a="1"/>
  <c r="BM184" i="1" s="1"/>
  <c r="BW184" i="1" s="1"/>
  <c r="BW25" i="1"/>
  <c r="CC28" i="1"/>
  <c r="CC45" i="1"/>
  <c r="CC61" i="1"/>
  <c r="CC101" i="1"/>
  <c r="R77" i="1"/>
  <c r="AZ77" i="1" s="1"/>
  <c r="BK77" i="1" s="1"/>
  <c r="BR77" i="1" s="1"/>
  <c r="BX77" i="1" s="1"/>
  <c r="CA77" i="1" s="1"/>
  <c r="BZ122" i="1"/>
  <c r="R68" i="1"/>
  <c r="AZ68" i="1" s="1"/>
  <c r="BK68" i="1" s="1"/>
  <c r="BR68" i="1" s="1"/>
  <c r="BX68" i="1" s="1"/>
  <c r="CA68" i="1" s="1"/>
  <c r="R190" i="1"/>
  <c r="AZ190" i="1" s="1"/>
  <c r="BK190" i="1" s="1"/>
  <c r="BR190" i="1" s="1"/>
  <c r="BX190" i="1" s="1"/>
  <c r="CA190" i="1" s="1"/>
  <c r="R36" i="1"/>
  <c r="AZ36" i="1" s="1"/>
  <c r="BK36" i="1" s="1"/>
  <c r="BR36" i="1" s="1"/>
  <c r="BX36" i="1" s="1"/>
  <c r="BW59" i="1"/>
  <c r="BZ63" i="1"/>
  <c r="BZ86" i="1"/>
  <c r="CC94" i="1"/>
  <c r="BZ103" i="1"/>
  <c r="BD359" i="1" a="1"/>
  <c r="BD359" i="1" s="1"/>
  <c r="BM359" i="1" s="1" a="1"/>
  <c r="BM359" i="1" s="1"/>
  <c r="BW359" i="1" s="1"/>
  <c r="BD15" i="1" a="1"/>
  <c r="BD15" i="1" s="1"/>
  <c r="BM15" i="1" s="1" a="1"/>
  <c r="BM15" i="1" s="1"/>
  <c r="BW15" i="1" s="1"/>
  <c r="BD363" i="1" a="1"/>
  <c r="BD363" i="1" s="1"/>
  <c r="BM363" i="1" s="1" a="1"/>
  <c r="BM363" i="1" s="1"/>
  <c r="BW363" i="1" s="1"/>
  <c r="BW288" i="1"/>
  <c r="BZ50" i="1"/>
  <c r="CC73" i="1"/>
  <c r="CC110" i="1"/>
  <c r="CC218" i="1"/>
  <c r="CC278" i="1"/>
  <c r="CC404" i="1"/>
  <c r="R362" i="1"/>
  <c r="AZ362" i="1" s="1"/>
  <c r="BK362" i="1" s="1"/>
  <c r="BR362" i="1" s="1"/>
  <c r="BX362" i="1" s="1"/>
  <c r="BD362" i="1" a="1"/>
  <c r="BD362" i="1" s="1"/>
  <c r="BM362" i="1" s="1" a="1"/>
  <c r="BM362" i="1" s="1"/>
  <c r="BW362" i="1" s="1"/>
  <c r="BD406" i="1" a="1"/>
  <c r="BD406" i="1" s="1"/>
  <c r="BM406" i="1" s="1" a="1"/>
  <c r="BM406" i="1" s="1"/>
  <c r="BW406" i="1" s="1"/>
  <c r="BZ55" i="1"/>
  <c r="R364" i="1"/>
  <c r="AZ364" i="1" s="1"/>
  <c r="BK364" i="1" s="1"/>
  <c r="BR364" i="1" s="1"/>
  <c r="BX364" i="1" s="1"/>
  <c r="CA364" i="1" s="1"/>
  <c r="BW285" i="1"/>
  <c r="R240" i="1"/>
  <c r="AZ240" i="1" s="1"/>
  <c r="BK240" i="1" s="1"/>
  <c r="BR240" i="1" s="1"/>
  <c r="BX240" i="1" s="1"/>
  <c r="CA240" i="1" s="1"/>
  <c r="R141" i="1"/>
  <c r="AZ141" i="1" s="1"/>
  <c r="BK141" i="1" s="1"/>
  <c r="BR141" i="1" s="1"/>
  <c r="BX141" i="1" s="1"/>
  <c r="BZ30" i="1"/>
  <c r="CC424" i="1"/>
  <c r="R151" i="1"/>
  <c r="AZ151" i="1" s="1"/>
  <c r="BK151" i="1" s="1"/>
  <c r="BR151" i="1" s="1"/>
  <c r="BX151" i="1" s="1"/>
  <c r="CA151" i="1" s="1"/>
  <c r="BZ252" i="1"/>
  <c r="BZ129" i="1"/>
  <c r="BW22" i="1"/>
  <c r="BZ36" i="1"/>
  <c r="CC36" i="1"/>
  <c r="CC64" i="1"/>
  <c r="BZ77" i="1"/>
  <c r="CC148" i="1"/>
  <c r="CC152" i="1"/>
  <c r="BZ154" i="1"/>
  <c r="CC171" i="1"/>
  <c r="BZ174" i="1"/>
  <c r="CC204" i="1"/>
  <c r="BZ208" i="1"/>
  <c r="CC215" i="1"/>
  <c r="CC228" i="1"/>
  <c r="CC230" i="1"/>
  <c r="CC246" i="1"/>
  <c r="BZ249" i="1"/>
  <c r="BZ320" i="1"/>
  <c r="BZ353" i="1"/>
  <c r="BD348" i="1" a="1"/>
  <c r="BD348" i="1" s="1"/>
  <c r="BM348" i="1" s="1" a="1"/>
  <c r="BM348" i="1" s="1"/>
  <c r="BW348" i="1" s="1"/>
  <c r="BD31" i="1" a="1"/>
  <c r="BD31" i="1" s="1"/>
  <c r="BM31" i="1" s="1" a="1"/>
  <c r="BM31" i="1" s="1"/>
  <c r="BW31" i="1" s="1"/>
  <c r="BD212" i="1" a="1"/>
  <c r="BD212" i="1" s="1"/>
  <c r="BM212" i="1" s="1" a="1"/>
  <c r="BM212" i="1" s="1"/>
  <c r="BW212" i="1" s="1"/>
  <c r="BD153" i="1" a="1"/>
  <c r="BD153" i="1" s="1"/>
  <c r="BM153" i="1" s="1" a="1"/>
  <c r="BM153" i="1" s="1"/>
  <c r="BW153" i="1" s="1"/>
  <c r="CC55" i="1"/>
  <c r="R59" i="1"/>
  <c r="AZ59" i="1" s="1"/>
  <c r="BK59" i="1" s="1"/>
  <c r="BR59" i="1" s="1"/>
  <c r="BX59" i="1" s="1"/>
  <c r="CA59" i="1" s="1"/>
  <c r="BZ52" i="1"/>
  <c r="CC327" i="1"/>
  <c r="CC414" i="1"/>
  <c r="BZ317" i="1"/>
  <c r="BD137" i="1" a="1"/>
  <c r="BD137" i="1" s="1"/>
  <c r="BM137" i="1" s="1" a="1"/>
  <c r="BM137" i="1" s="1"/>
  <c r="BW137" i="1" s="1"/>
  <c r="BZ228" i="1"/>
  <c r="CC241" i="1"/>
  <c r="BZ246" i="1"/>
  <c r="CL398" i="1"/>
  <c r="AZ398" i="1" s="1" a="1"/>
  <c r="AZ398" i="1" s="1"/>
  <c r="BK398" i="1" s="1"/>
  <c r="BR398" i="1" s="1"/>
  <c r="BD284" i="1" a="1"/>
  <c r="BD284" i="1" s="1"/>
  <c r="BM284" i="1" s="1" a="1"/>
  <c r="BM284" i="1" s="1"/>
  <c r="BW284" i="1" s="1"/>
  <c r="R236" i="1"/>
  <c r="AZ236" i="1" s="1"/>
  <c r="BK236" i="1" s="1"/>
  <c r="BR236" i="1" s="1"/>
  <c r="BX236" i="1" s="1"/>
  <c r="CA236" i="1" s="1"/>
  <c r="R103" i="1"/>
  <c r="AZ103" i="1" s="1"/>
  <c r="BK103" i="1" s="1"/>
  <c r="BR103" i="1" s="1"/>
  <c r="BX103" i="1" s="1"/>
  <c r="BD173" i="1" a="1"/>
  <c r="BD173" i="1" s="1"/>
  <c r="BM173" i="1" s="1" a="1"/>
  <c r="BM173" i="1" s="1"/>
  <c r="BW173" i="1" s="1"/>
  <c r="BD75" i="1" a="1"/>
  <c r="BD75" i="1" s="1"/>
  <c r="BM75" i="1" s="1" a="1"/>
  <c r="BM75" i="1" s="1"/>
  <c r="BW75" i="1" s="1"/>
  <c r="R376" i="1"/>
  <c r="AZ376" i="1" s="1"/>
  <c r="BK376" i="1" s="1"/>
  <c r="BR376" i="1" s="1"/>
  <c r="BX376" i="1" s="1"/>
  <c r="CA376" i="1" s="1"/>
  <c r="BD95" i="1" a="1"/>
  <c r="BD95" i="1" s="1"/>
  <c r="BM95" i="1" s="1" a="1"/>
  <c r="BM95" i="1" s="1"/>
  <c r="BW95" i="1" s="1"/>
  <c r="BD358" i="1" a="1"/>
  <c r="BD358" i="1" s="1"/>
  <c r="BM358" i="1" s="1" a="1"/>
  <c r="BM358" i="1" s="1"/>
  <c r="BW358" i="1" s="1"/>
  <c r="R201" i="1"/>
  <c r="AZ201" i="1" s="1"/>
  <c r="BK201" i="1" s="1"/>
  <c r="BR201" i="1" s="1"/>
  <c r="BX201" i="1" s="1"/>
  <c r="CA201" i="1" s="1"/>
  <c r="R50" i="1"/>
  <c r="AZ50" i="1" s="1"/>
  <c r="BK50" i="1" s="1"/>
  <c r="BR50" i="1" s="1"/>
  <c r="BX50" i="1" s="1"/>
  <c r="CA50" i="1" s="1"/>
  <c r="R82" i="1"/>
  <c r="AZ82" i="1" s="1"/>
  <c r="BK82" i="1" s="1"/>
  <c r="BR82" i="1" s="1"/>
  <c r="BX82" i="1" s="1"/>
  <c r="CA82" i="1" s="1"/>
  <c r="R136" i="1"/>
  <c r="AZ136" i="1" s="1"/>
  <c r="BK136" i="1" s="1"/>
  <c r="BR136" i="1" s="1"/>
  <c r="BX136" i="1" s="1"/>
  <c r="CA136" i="1" s="1"/>
  <c r="R73" i="1"/>
  <c r="AZ73" i="1" s="1"/>
  <c r="BK73" i="1" s="1"/>
  <c r="BR73" i="1" s="1"/>
  <c r="BX73" i="1" s="1"/>
  <c r="R93" i="1"/>
  <c r="AZ93" i="1" s="1"/>
  <c r="BK93" i="1" s="1"/>
  <c r="BR93" i="1" s="1"/>
  <c r="BX93" i="1" s="1"/>
  <c r="CA93" i="1" s="1"/>
  <c r="R356" i="1"/>
  <c r="AZ356" i="1" s="1"/>
  <c r="BK356" i="1" s="1"/>
  <c r="BR356" i="1" s="1"/>
  <c r="BX356" i="1" s="1"/>
  <c r="CA356" i="1" s="1"/>
  <c r="BZ113" i="1"/>
  <c r="BZ125" i="1"/>
  <c r="CC128" i="1"/>
  <c r="BZ134" i="1"/>
  <c r="CC139" i="1"/>
  <c r="CC142" i="1"/>
  <c r="CC261" i="1"/>
  <c r="BZ273" i="1"/>
  <c r="BZ291" i="1"/>
  <c r="BZ328" i="1"/>
  <c r="BZ377" i="1"/>
  <c r="BZ415" i="1"/>
  <c r="BZ433" i="1"/>
  <c r="R101" i="1"/>
  <c r="AZ101" i="1" s="1"/>
  <c r="BK101" i="1" s="1"/>
  <c r="BR101" i="1" s="1"/>
  <c r="BX101" i="1" s="1"/>
  <c r="CA101" i="1" s="1"/>
  <c r="CC329" i="1"/>
  <c r="BD76" i="1" a="1"/>
  <c r="BD76" i="1" s="1"/>
  <c r="BM76" i="1" s="1" a="1"/>
  <c r="BM76" i="1" s="1"/>
  <c r="BW76" i="1" s="1"/>
  <c r="R238" i="1"/>
  <c r="AZ238" i="1" s="1"/>
  <c r="BK238" i="1" s="1"/>
  <c r="BR238" i="1" s="1"/>
  <c r="BX238" i="1" s="1"/>
  <c r="BD105" i="1" a="1"/>
  <c r="BD105" i="1" s="1"/>
  <c r="BM105" i="1" s="1" a="1"/>
  <c r="BM105" i="1" s="1"/>
  <c r="BW105" i="1" s="1"/>
  <c r="BD21" i="1" a="1"/>
  <c r="BD21" i="1" s="1"/>
  <c r="BM21" i="1" s="1" a="1"/>
  <c r="BM21" i="1" s="1"/>
  <c r="BW21" i="1" s="1"/>
  <c r="CC15" i="1"/>
  <c r="BZ230" i="1"/>
  <c r="CC233" i="1"/>
  <c r="CC235" i="1"/>
  <c r="BW241" i="1"/>
  <c r="CC280" i="1"/>
  <c r="R114" i="1"/>
  <c r="AZ114" i="1" s="1"/>
  <c r="BK114" i="1" s="1"/>
  <c r="BR114" i="1" s="1"/>
  <c r="BX114" i="1" s="1"/>
  <c r="CA114" i="1" s="1"/>
  <c r="BW403" i="1"/>
  <c r="R147" i="1"/>
  <c r="AZ147" i="1" s="1"/>
  <c r="BK147" i="1" s="1"/>
  <c r="BR147" i="1" s="1"/>
  <c r="BX147" i="1" s="1"/>
  <c r="CA147" i="1" s="1"/>
  <c r="BD80" i="1" a="1"/>
  <c r="BD80" i="1" s="1"/>
  <c r="BM80" i="1" s="1" a="1"/>
  <c r="BM80" i="1" s="1"/>
  <c r="BW80" i="1" s="1"/>
  <c r="R86" i="1"/>
  <c r="AZ86" i="1" s="1"/>
  <c r="BK86" i="1" s="1"/>
  <c r="BR86" i="1" s="1"/>
  <c r="BX86" i="1" s="1"/>
  <c r="BD181" i="1" a="1"/>
  <c r="BD181" i="1" s="1"/>
  <c r="BM181" i="1" s="1" a="1"/>
  <c r="BM181" i="1" s="1"/>
  <c r="BW181" i="1" s="1"/>
  <c r="BD309" i="1" a="1"/>
  <c r="BD309" i="1" s="1"/>
  <c r="BM309" i="1" s="1" a="1"/>
  <c r="BM309" i="1" s="1"/>
  <c r="BW309" i="1" s="1"/>
  <c r="R241" i="1"/>
  <c r="AZ241" i="1" s="1"/>
  <c r="BK241" i="1" s="1"/>
  <c r="BR241" i="1" s="1"/>
  <c r="BX241" i="1" s="1"/>
  <c r="CA241" i="1" s="1"/>
  <c r="CC12" i="1"/>
  <c r="CC19" i="1"/>
  <c r="BZ31" i="1"/>
  <c r="CC107" i="1"/>
  <c r="CC109" i="1"/>
  <c r="CC117" i="1"/>
  <c r="CC125" i="1"/>
  <c r="BZ147" i="1"/>
  <c r="BW158" i="1"/>
  <c r="CC188" i="1"/>
  <c r="CC196" i="1"/>
  <c r="CC253" i="1"/>
  <c r="BZ300" i="1"/>
  <c r="CC370" i="1"/>
  <c r="BZ404" i="1"/>
  <c r="BZ430" i="1"/>
  <c r="CC436" i="1"/>
  <c r="CM387" i="1"/>
  <c r="BD387" i="1" a="1"/>
  <c r="BD387" i="1" s="1"/>
  <c r="BD148" i="1" a="1"/>
  <c r="BD148" i="1" s="1"/>
  <c r="BM148" i="1" s="1" a="1"/>
  <c r="BM148" i="1" s="1"/>
  <c r="BW148" i="1" s="1"/>
  <c r="R148" i="1"/>
  <c r="AZ148" i="1" s="1"/>
  <c r="BK148" i="1" s="1"/>
  <c r="BR148" i="1" s="1"/>
  <c r="BX148" i="1" s="1"/>
  <c r="CA148" i="1" s="1"/>
  <c r="BD139" i="1" a="1"/>
  <c r="BD139" i="1" s="1"/>
  <c r="BM139" i="1" s="1" a="1"/>
  <c r="BM139" i="1" s="1"/>
  <c r="BW139" i="1" s="1"/>
  <c r="R139" i="1"/>
  <c r="AZ139" i="1" s="1"/>
  <c r="BK139" i="1" s="1"/>
  <c r="BR139" i="1" s="1"/>
  <c r="BX139" i="1" s="1"/>
  <c r="CA139" i="1" s="1"/>
  <c r="BD84" i="1" a="1"/>
  <c r="BD84" i="1" s="1"/>
  <c r="BM84" i="1" s="1" a="1"/>
  <c r="BM84" i="1" s="1"/>
  <c r="BW84" i="1" s="1"/>
  <c r="R84" i="1"/>
  <c r="AZ84" i="1" s="1"/>
  <c r="BK84" i="1" s="1"/>
  <c r="BR84" i="1" s="1"/>
  <c r="BX84" i="1" s="1"/>
  <c r="CA84" i="1" s="1"/>
  <c r="BD230" i="1" a="1"/>
  <c r="BD230" i="1" s="1"/>
  <c r="BM230" i="1" s="1" a="1"/>
  <c r="BM230" i="1" s="1"/>
  <c r="BW230" i="1" s="1"/>
  <c r="R230" i="1"/>
  <c r="AZ230" i="1" s="1"/>
  <c r="BK230" i="1" s="1"/>
  <c r="BR230" i="1" s="1"/>
  <c r="BX230" i="1" s="1"/>
  <c r="CA230" i="1" s="1"/>
  <c r="CC321" i="1"/>
  <c r="BD424" i="1" a="1"/>
  <c r="BD424" i="1" s="1"/>
  <c r="BM424" i="1" s="1" a="1"/>
  <c r="BM424" i="1" s="1"/>
  <c r="BW424" i="1" s="1"/>
  <c r="R424" i="1"/>
  <c r="BD128" i="1" a="1"/>
  <c r="BD128" i="1" s="1"/>
  <c r="BM128" i="1" s="1" a="1"/>
  <c r="BM128" i="1" s="1"/>
  <c r="BW128" i="1" s="1"/>
  <c r="BD252" i="1" a="1"/>
  <c r="BD252" i="1" s="1"/>
  <c r="BM252" i="1" s="1" a="1"/>
  <c r="BM252" i="1" s="1"/>
  <c r="BW252" i="1" s="1"/>
  <c r="BW86" i="1"/>
  <c r="BK214" i="1"/>
  <c r="BR214" i="1" s="1"/>
  <c r="BD214" i="1" a="1"/>
  <c r="BD214" i="1" s="1"/>
  <c r="BM214" i="1" s="1" a="1"/>
  <c r="BM214" i="1" s="1"/>
  <c r="BW214" i="1" s="1"/>
  <c r="CL89" i="1"/>
  <c r="CL135" i="1"/>
  <c r="BE135" i="1" s="1"/>
  <c r="CL283" i="1"/>
  <c r="BC283" i="1" s="1"/>
  <c r="CL426" i="1"/>
  <c r="R426" i="1" s="1"/>
  <c r="CC17" i="1"/>
  <c r="CC32" i="1"/>
  <c r="CC203" i="1"/>
  <c r="BZ305" i="1"/>
  <c r="CC382" i="1"/>
  <c r="BZ411" i="1"/>
  <c r="BZ438" i="1"/>
  <c r="BW344" i="1"/>
  <c r="BD92" i="1" a="1"/>
  <c r="BD92" i="1" s="1"/>
  <c r="BM92" i="1" s="1" a="1"/>
  <c r="BM92" i="1" s="1"/>
  <c r="BW92" i="1" s="1"/>
  <c r="BD237" i="1" a="1"/>
  <c r="BD237" i="1" s="1"/>
  <c r="BM237" i="1" s="1" a="1"/>
  <c r="BM237" i="1" s="1"/>
  <c r="BW237" i="1" s="1"/>
  <c r="CC24" i="1"/>
  <c r="CC26" i="1"/>
  <c r="BW36" i="1"/>
  <c r="BZ176" i="1"/>
  <c r="BZ266" i="1"/>
  <c r="BW273" i="1"/>
  <c r="BZ275" i="1"/>
  <c r="BZ277" i="1"/>
  <c r="CC305" i="1"/>
  <c r="CC310" i="1"/>
  <c r="BZ324" i="1"/>
  <c r="CC372" i="1"/>
  <c r="BZ379" i="1"/>
  <c r="BW408" i="1"/>
  <c r="CC408" i="1"/>
  <c r="CC416" i="1"/>
  <c r="R22" i="1"/>
  <c r="AZ22" i="1" s="1"/>
  <c r="BK22" i="1" s="1"/>
  <c r="BR22" i="1" s="1"/>
  <c r="BX22" i="1" s="1"/>
  <c r="CA22" i="1" s="1"/>
  <c r="BW42" i="1"/>
  <c r="BW373" i="1"/>
  <c r="BZ19" i="1"/>
  <c r="BW176" i="1"/>
  <c r="BZ185" i="1"/>
  <c r="BZ193" i="1"/>
  <c r="CC195" i="1"/>
  <c r="CC258" i="1"/>
  <c r="CC266" i="1"/>
  <c r="CC269" i="1"/>
  <c r="CC302" i="1"/>
  <c r="CC313" i="1"/>
  <c r="BZ341" i="1"/>
  <c r="CC379" i="1"/>
  <c r="CC411" i="1"/>
  <c r="CM120" i="1"/>
  <c r="BZ42" i="1"/>
  <c r="BZ44" i="1"/>
  <c r="BZ310" i="1"/>
  <c r="BZ258" i="1"/>
  <c r="BZ70" i="1"/>
  <c r="CC83" i="1"/>
  <c r="R97" i="1"/>
  <c r="AZ97" i="1" s="1"/>
  <c r="BK97" i="1" s="1"/>
  <c r="BR97" i="1" s="1"/>
  <c r="BX97" i="1" s="1"/>
  <c r="CA97" i="1" s="1"/>
  <c r="BD97" i="1" a="1"/>
  <c r="BD97" i="1" s="1"/>
  <c r="BM97" i="1" s="1" a="1"/>
  <c r="BM97" i="1" s="1"/>
  <c r="BW97" i="1" s="1"/>
  <c r="CC97" i="1"/>
  <c r="CL100" i="1"/>
  <c r="BD102" i="1" a="1"/>
  <c r="BD102" i="1" s="1"/>
  <c r="BM102" i="1" s="1" a="1"/>
  <c r="BM102" i="1" s="1"/>
  <c r="BW102" i="1" s="1"/>
  <c r="R102" i="1"/>
  <c r="AZ102" i="1" s="1"/>
  <c r="BK102" i="1" s="1"/>
  <c r="BR102" i="1" s="1"/>
  <c r="BX102" i="1" s="1"/>
  <c r="CA102" i="1" s="1"/>
  <c r="R104" i="1"/>
  <c r="AZ104" i="1" s="1"/>
  <c r="BK104" i="1" s="1"/>
  <c r="BR104" i="1" s="1"/>
  <c r="BX104" i="1" s="1"/>
  <c r="BD104" i="1" a="1"/>
  <c r="BD104" i="1" s="1"/>
  <c r="BM104" i="1" s="1" a="1"/>
  <c r="BM104" i="1" s="1"/>
  <c r="BW104" i="1" s="1"/>
  <c r="BD146" i="1" a="1"/>
  <c r="BD146" i="1" s="1"/>
  <c r="BM146" i="1" s="1" a="1"/>
  <c r="BM146" i="1" s="1"/>
  <c r="BW146" i="1" s="1"/>
  <c r="R146" i="1"/>
  <c r="AZ146" i="1" s="1"/>
  <c r="BK146" i="1" s="1"/>
  <c r="BR146" i="1" s="1"/>
  <c r="BX146" i="1" s="1"/>
  <c r="CC146" i="1"/>
  <c r="BD157" i="1" a="1"/>
  <c r="BD157" i="1" s="1"/>
  <c r="BM157" i="1" s="1" a="1"/>
  <c r="BM157" i="1" s="1"/>
  <c r="BW157" i="1" s="1"/>
  <c r="R157" i="1"/>
  <c r="AZ157" i="1" s="1"/>
  <c r="BK157" i="1" s="1"/>
  <c r="BR157" i="1" s="1"/>
  <c r="BX157" i="1" s="1"/>
  <c r="CC157" i="1"/>
  <c r="BZ163" i="1"/>
  <c r="BZ171" i="1"/>
  <c r="CC185" i="1"/>
  <c r="BZ187" i="1"/>
  <c r="CC193" i="1"/>
  <c r="BZ223" i="1"/>
  <c r="BZ235" i="1"/>
  <c r="BZ243" i="1"/>
  <c r="BZ260" i="1"/>
  <c r="BZ272" i="1"/>
  <c r="BW341" i="1"/>
  <c r="CC374" i="1"/>
  <c r="CM386" i="1"/>
  <c r="CC390" i="1"/>
  <c r="BD63" i="1" a="1"/>
  <c r="BD63" i="1" s="1"/>
  <c r="BM63" i="1" s="1" a="1"/>
  <c r="BM63" i="1" s="1"/>
  <c r="BW63" i="1" s="1"/>
  <c r="BZ203" i="1"/>
  <c r="BZ220" i="1"/>
  <c r="CC405" i="1"/>
  <c r="CL27" i="1"/>
  <c r="BG27" i="1" s="1"/>
  <c r="CL182" i="1"/>
  <c r="R182" i="1" s="1"/>
  <c r="BD120" i="1" a="1"/>
  <c r="BD120" i="1" s="1"/>
  <c r="BD142" i="1" a="1"/>
  <c r="BD142" i="1" s="1"/>
  <c r="BM142" i="1" s="1" a="1"/>
  <c r="BM142" i="1" s="1"/>
  <c r="BW142" i="1" s="1"/>
  <c r="BD239" i="1" a="1"/>
  <c r="BD239" i="1" s="1"/>
  <c r="BM239" i="1" s="1" a="1"/>
  <c r="BM239" i="1" s="1"/>
  <c r="BW239" i="1" s="1"/>
  <c r="BZ269" i="1"/>
  <c r="CC316" i="1"/>
  <c r="BZ408" i="1"/>
  <c r="BW353" i="1"/>
  <c r="BZ195" i="1"/>
  <c r="BZ201" i="1"/>
  <c r="BD269" i="1" a="1"/>
  <c r="BD269" i="1" s="1"/>
  <c r="BM269" i="1" s="1" a="1"/>
  <c r="BM269" i="1" s="1"/>
  <c r="BW269" i="1" s="1"/>
  <c r="R269" i="1"/>
  <c r="AZ269" i="1" s="1"/>
  <c r="BK269" i="1" s="1"/>
  <c r="BR269" i="1" s="1"/>
  <c r="BX269" i="1" s="1"/>
  <c r="CA269" i="1" s="1"/>
  <c r="BZ302" i="1"/>
  <c r="BW372" i="1"/>
  <c r="BW328" i="1"/>
  <c r="R19" i="1"/>
  <c r="AZ19" i="1" s="1"/>
  <c r="BK19" i="1" s="1"/>
  <c r="BR19" i="1" s="1"/>
  <c r="BX19" i="1" s="1"/>
  <c r="CA19" i="1" s="1"/>
  <c r="BD19" i="1" a="1"/>
  <c r="BD19" i="1" s="1"/>
  <c r="BM19" i="1" s="1" a="1"/>
  <c r="BM19" i="1" s="1"/>
  <c r="BW19" i="1" s="1"/>
  <c r="BZ21" i="1"/>
  <c r="BW66" i="1"/>
  <c r="CC66" i="1"/>
  <c r="BZ72" i="1"/>
  <c r="BW50" i="1"/>
  <c r="BW103" i="1"/>
  <c r="BD83" i="1" a="1"/>
  <c r="BD83" i="1" s="1"/>
  <c r="BM83" i="1" s="1" a="1"/>
  <c r="BM83" i="1" s="1"/>
  <c r="BW83" i="1" s="1"/>
  <c r="BD14" i="1" a="1"/>
  <c r="BD14" i="1" s="1"/>
  <c r="BM14" i="1" s="1" a="1"/>
  <c r="BM14" i="1" s="1"/>
  <c r="BW14" i="1" s="1"/>
  <c r="R14" i="1"/>
  <c r="AZ14" i="1" s="1"/>
  <c r="BK14" i="1" s="1"/>
  <c r="BR14" i="1" s="1"/>
  <c r="BX14" i="1" s="1"/>
  <c r="CA14" i="1" s="1"/>
  <c r="CC14" i="1"/>
  <c r="CC21" i="1"/>
  <c r="BZ35" i="1"/>
  <c r="BZ39" i="1"/>
  <c r="BZ45" i="1"/>
  <c r="BZ48" i="1"/>
  <c r="CC51" i="1"/>
  <c r="CC70" i="1"/>
  <c r="BW77" i="1"/>
  <c r="BZ79" i="1"/>
  <c r="BZ107" i="1"/>
  <c r="BZ109" i="1"/>
  <c r="CC115" i="1"/>
  <c r="BZ117" i="1"/>
  <c r="BZ128" i="1"/>
  <c r="BZ139" i="1"/>
  <c r="BZ142" i="1"/>
  <c r="BZ152" i="1"/>
  <c r="BD163" i="1" a="1"/>
  <c r="BD163" i="1" s="1"/>
  <c r="BM163" i="1" s="1" a="1"/>
  <c r="BM163" i="1" s="1"/>
  <c r="BW163" i="1" s="1"/>
  <c r="R163" i="1"/>
  <c r="AZ163" i="1" s="1"/>
  <c r="BK163" i="1" s="1"/>
  <c r="BR163" i="1" s="1"/>
  <c r="BX163" i="1" s="1"/>
  <c r="CC223" i="1"/>
  <c r="BZ233" i="1"/>
  <c r="BZ241" i="1"/>
  <c r="CC243" i="1"/>
  <c r="CC248" i="1"/>
  <c r="CC260" i="1"/>
  <c r="BZ327" i="1"/>
  <c r="CC345" i="1"/>
  <c r="BZ350" i="1"/>
  <c r="CC352" i="1"/>
  <c r="CM425" i="1"/>
  <c r="BD425" i="1" a="1"/>
  <c r="BD425" i="1" s="1"/>
  <c r="BM425" i="1" s="1" a="1"/>
  <c r="BM425" i="1" s="1"/>
  <c r="BW425" i="1" s="1"/>
  <c r="CC52" i="1"/>
  <c r="BZ101" i="1"/>
  <c r="CC103" i="1"/>
  <c r="CC122" i="1"/>
  <c r="CC134" i="1"/>
  <c r="CC249" i="1"/>
  <c r="CC252" i="1"/>
  <c r="CC272" i="1"/>
  <c r="BZ28" i="1"/>
  <c r="CC44" i="1"/>
  <c r="CC58" i="1"/>
  <c r="CC69" i="1"/>
  <c r="BZ73" i="1"/>
  <c r="BZ75" i="1"/>
  <c r="CC78" i="1"/>
  <c r="CL99" i="1"/>
  <c r="BZ110" i="1"/>
  <c r="BZ112" i="1"/>
  <c r="BW119" i="1"/>
  <c r="CC137" i="1"/>
  <c r="BW147" i="1"/>
  <c r="CC156" i="1"/>
  <c r="BZ162" i="1"/>
  <c r="CC174" i="1"/>
  <c r="BZ188" i="1"/>
  <c r="BZ190" i="1"/>
  <c r="BZ196" i="1"/>
  <c r="BZ198" i="1"/>
  <c r="BZ204" i="1"/>
  <c r="CC209" i="1"/>
  <c r="BZ213" i="1"/>
  <c r="CC222" i="1"/>
  <c r="BZ236" i="1"/>
  <c r="BZ278" i="1"/>
  <c r="BZ280" i="1"/>
  <c r="BZ288" i="1"/>
  <c r="BZ290" i="1"/>
  <c r="CC292" i="1"/>
  <c r="BZ306" i="1"/>
  <c r="BZ319" i="1"/>
  <c r="CC322" i="1"/>
  <c r="CC330" i="1"/>
  <c r="BZ333" i="1"/>
  <c r="CC337" i="1"/>
  <c r="BZ365" i="1"/>
  <c r="CC440" i="1"/>
  <c r="BW52" i="1"/>
  <c r="CC86" i="1"/>
  <c r="CC105" i="1"/>
  <c r="BZ119" i="1"/>
  <c r="BZ141" i="1"/>
  <c r="BZ218" i="1"/>
  <c r="CC220" i="1"/>
  <c r="BZ296" i="1"/>
  <c r="CC324" i="1"/>
  <c r="CC335" i="1"/>
  <c r="CC340" i="1"/>
  <c r="CC354" i="1"/>
  <c r="BZ358" i="1"/>
  <c r="BZ368" i="1"/>
  <c r="BX441" i="1"/>
  <c r="CA441" i="1" s="1"/>
  <c r="BW101" i="1"/>
  <c r="BW236" i="1"/>
  <c r="CC23" i="1"/>
  <c r="CC42" i="1"/>
  <c r="BW136" i="1"/>
  <c r="R354" i="1"/>
  <c r="AZ354" i="1" s="1"/>
  <c r="BK354" i="1" s="1"/>
  <c r="BR354" i="1" s="1"/>
  <c r="BX354" i="1" s="1"/>
  <c r="CA354" i="1" s="1"/>
  <c r="BD154" i="1" a="1"/>
  <c r="BD154" i="1" s="1"/>
  <c r="BM154" i="1" s="1" a="1"/>
  <c r="BM154" i="1" s="1"/>
  <c r="BW154" i="1" s="1"/>
  <c r="BW73" i="1"/>
  <c r="CC75" i="1"/>
  <c r="BZ91" i="1"/>
  <c r="CC112" i="1"/>
  <c r="CC114" i="1"/>
  <c r="CC124" i="1"/>
  <c r="CC141" i="1"/>
  <c r="BZ149" i="1"/>
  <c r="BZ151" i="1"/>
  <c r="CC162" i="1"/>
  <c r="CC170" i="1"/>
  <c r="BZ181" i="1"/>
  <c r="CC184" i="1"/>
  <c r="CC190" i="1"/>
  <c r="CC192" i="1"/>
  <c r="BW198" i="1"/>
  <c r="CC198" i="1"/>
  <c r="CC200" i="1"/>
  <c r="CC213" i="1"/>
  <c r="BZ226" i="1"/>
  <c r="CC274" i="1"/>
  <c r="BW280" i="1"/>
  <c r="CC290" i="1"/>
  <c r="BZ299" i="1"/>
  <c r="CC319" i="1"/>
  <c r="BZ346" i="1"/>
  <c r="BZ349" i="1"/>
  <c r="CC365" i="1"/>
  <c r="BW417" i="1"/>
  <c r="CC417" i="1"/>
  <c r="CC96" i="1"/>
  <c r="CC154" i="1"/>
  <c r="BZ244" i="1"/>
  <c r="BZ322" i="1"/>
  <c r="BD168" i="1" a="1"/>
  <c r="BD168" i="1" s="1"/>
  <c r="BM168" i="1" s="1" a="1"/>
  <c r="BM168" i="1" s="1"/>
  <c r="BW168" i="1" s="1"/>
  <c r="BZ33" i="1"/>
  <c r="BZ56" i="1"/>
  <c r="BW201" i="1"/>
  <c r="R96" i="1"/>
  <c r="AZ96" i="1" s="1"/>
  <c r="BK96" i="1" s="1"/>
  <c r="BR96" i="1" s="1"/>
  <c r="BX96" i="1" s="1"/>
  <c r="BW64" i="1"/>
  <c r="R294" i="1"/>
  <c r="AZ294" i="1" s="1"/>
  <c r="BK294" i="1" s="1"/>
  <c r="BR294" i="1" s="1"/>
  <c r="BX294" i="1" s="1"/>
  <c r="CA294" i="1" s="1"/>
  <c r="BW376" i="1"/>
  <c r="BZ15" i="1"/>
  <c r="BZ17" i="1"/>
  <c r="BZ66" i="1"/>
  <c r="BZ83" i="1"/>
  <c r="CC91" i="1"/>
  <c r="BZ97" i="1"/>
  <c r="CC181" i="1"/>
  <c r="BZ215" i="1"/>
  <c r="CC226" i="1"/>
  <c r="CC255" i="1"/>
  <c r="CC263" i="1"/>
  <c r="CC282" i="1"/>
  <c r="BZ293" i="1"/>
  <c r="CC299" i="1"/>
  <c r="BZ325" i="1"/>
  <c r="CC346" i="1"/>
  <c r="CC349" i="1"/>
  <c r="BZ355" i="1"/>
  <c r="BZ357" i="1"/>
  <c r="CC396" i="1"/>
  <c r="BZ414" i="1"/>
  <c r="BZ424" i="1"/>
  <c r="CC434" i="1"/>
  <c r="BZ332" i="1"/>
  <c r="BZ343" i="1"/>
  <c r="CC355" i="1"/>
  <c r="CC357" i="1"/>
  <c r="BZ362" i="1"/>
  <c r="BZ370" i="1"/>
  <c r="BZ376" i="1"/>
  <c r="BZ380" i="1"/>
  <c r="BZ392" i="1"/>
  <c r="CC397" i="1"/>
  <c r="BZ439" i="1"/>
  <c r="BW233" i="1"/>
  <c r="BW441" i="1"/>
  <c r="CC56" i="1"/>
  <c r="CC60" i="1"/>
  <c r="BZ64" i="1"/>
  <c r="BZ67" i="1"/>
  <c r="CC72" i="1"/>
  <c r="CC79" i="1"/>
  <c r="CC129" i="1"/>
  <c r="CC149" i="1"/>
  <c r="CC151" i="1"/>
  <c r="BZ166" i="1"/>
  <c r="CC187" i="1"/>
  <c r="CC201" i="1"/>
  <c r="BZ207" i="1"/>
  <c r="CC232" i="1"/>
  <c r="BZ238" i="1"/>
  <c r="BZ242" i="1"/>
  <c r="CC244" i="1"/>
  <c r="BZ247" i="1"/>
  <c r="CC265" i="1"/>
  <c r="BZ270" i="1"/>
  <c r="CC275" i="1"/>
  <c r="CC277" i="1"/>
  <c r="BZ281" i="1"/>
  <c r="BZ287" i="1"/>
  <c r="CC293" i="1"/>
  <c r="BZ295" i="1"/>
  <c r="CC301" i="1"/>
  <c r="BZ314" i="1"/>
  <c r="BZ330" i="1"/>
  <c r="CC332" i="1"/>
  <c r="BZ335" i="1"/>
  <c r="BZ338" i="1"/>
  <c r="CC343" i="1"/>
  <c r="CC362" i="1"/>
  <c r="BZ366" i="1"/>
  <c r="BZ372" i="1"/>
  <c r="CC376" i="1"/>
  <c r="BZ389" i="1"/>
  <c r="BZ396" i="1"/>
  <c r="BZ401" i="1"/>
  <c r="CC415" i="1"/>
  <c r="BZ429" i="1"/>
  <c r="BZ432" i="1"/>
  <c r="BW326" i="1"/>
  <c r="BZ12" i="1"/>
  <c r="BZ24" i="1"/>
  <c r="BZ26" i="1"/>
  <c r="CC30" i="1"/>
  <c r="CC35" i="1"/>
  <c r="CL37" i="1"/>
  <c r="CC39" i="1"/>
  <c r="CC41" i="1"/>
  <c r="BW45" i="1"/>
  <c r="BZ84" i="1"/>
  <c r="BZ92" i="1"/>
  <c r="BZ94" i="1"/>
  <c r="BZ115" i="1"/>
  <c r="BZ123" i="1"/>
  <c r="BZ146" i="1"/>
  <c r="BZ155" i="1"/>
  <c r="BZ157" i="1"/>
  <c r="CC166" i="1"/>
  <c r="CC207" i="1"/>
  <c r="BW238" i="1"/>
  <c r="CC238" i="1"/>
  <c r="CC240" i="1"/>
  <c r="CC247" i="1"/>
  <c r="BZ253" i="1"/>
  <c r="BZ255" i="1"/>
  <c r="CC257" i="1"/>
  <c r="BZ259" i="1"/>
  <c r="BZ261" i="1"/>
  <c r="BZ263" i="1"/>
  <c r="BZ267" i="1"/>
  <c r="CC270" i="1"/>
  <c r="CC285" i="1"/>
  <c r="CC287" i="1"/>
  <c r="CC295" i="1"/>
  <c r="CC314" i="1"/>
  <c r="BZ316" i="1"/>
  <c r="CC328" i="1"/>
  <c r="CC338" i="1"/>
  <c r="BZ340" i="1"/>
  <c r="BZ347" i="1"/>
  <c r="BZ352" i="1"/>
  <c r="CC364" i="1"/>
  <c r="CC380" i="1"/>
  <c r="BZ382" i="1"/>
  <c r="CC389" i="1"/>
  <c r="BZ409" i="1"/>
  <c r="BZ412" i="1"/>
  <c r="BZ417" i="1"/>
  <c r="BW429" i="1"/>
  <c r="CC429" i="1"/>
  <c r="CC432" i="1"/>
  <c r="BW437" i="1"/>
  <c r="CM177" i="1"/>
  <c r="BD177" i="1" a="1"/>
  <c r="BD177" i="1" s="1"/>
  <c r="BM177" i="1" s="1" a="1"/>
  <c r="BM177" i="1" s="1"/>
  <c r="BW177" i="1" s="1"/>
  <c r="BE402" i="1"/>
  <c r="BD38" i="1" a="1"/>
  <c r="BD38" i="1" s="1"/>
  <c r="BM38" i="1" s="1" a="1"/>
  <c r="BM38" i="1" s="1"/>
  <c r="BW38" i="1" s="1"/>
  <c r="R38" i="1"/>
  <c r="AZ38" i="1" s="1"/>
  <c r="BK38" i="1" s="1"/>
  <c r="BR38" i="1" s="1"/>
  <c r="BX38" i="1" s="1"/>
  <c r="CA38" i="1" s="1"/>
  <c r="BD150" i="1" a="1"/>
  <c r="BD150" i="1" s="1"/>
  <c r="BM150" i="1" s="1" a="1"/>
  <c r="BM150" i="1" s="1"/>
  <c r="BW150" i="1" s="1"/>
  <c r="R150" i="1"/>
  <c r="AZ150" i="1" s="1"/>
  <c r="BK150" i="1" s="1"/>
  <c r="BR150" i="1" s="1"/>
  <c r="BX150" i="1" s="1"/>
  <c r="CA150" i="1" s="1"/>
  <c r="R152" i="1"/>
  <c r="AZ152" i="1" s="1"/>
  <c r="BK152" i="1" s="1"/>
  <c r="BR152" i="1" s="1"/>
  <c r="BX152" i="1" s="1"/>
  <c r="CA152" i="1" s="1"/>
  <c r="BD152" i="1" a="1"/>
  <c r="BD152" i="1" s="1"/>
  <c r="BM152" i="1" s="1" a="1"/>
  <c r="BM152" i="1" s="1"/>
  <c r="BW152" i="1" s="1"/>
  <c r="BD213" i="1" a="1"/>
  <c r="BD213" i="1" s="1"/>
  <c r="BM213" i="1" s="1" a="1"/>
  <c r="BM213" i="1" s="1"/>
  <c r="BW213" i="1" s="1"/>
  <c r="R213" i="1"/>
  <c r="AZ213" i="1" s="1"/>
  <c r="BK213" i="1" s="1"/>
  <c r="BR213" i="1" s="1"/>
  <c r="BX213" i="1" s="1"/>
  <c r="CA213" i="1" s="1"/>
  <c r="BD61" i="1" a="1"/>
  <c r="BD61" i="1" s="1"/>
  <c r="BM61" i="1" s="1" a="1"/>
  <c r="BM61" i="1" s="1"/>
  <c r="BW61" i="1" s="1"/>
  <c r="R61" i="1"/>
  <c r="AZ61" i="1" s="1"/>
  <c r="BK61" i="1" s="1"/>
  <c r="BR61" i="1" s="1"/>
  <c r="BX61" i="1" s="1"/>
  <c r="CA61" i="1" s="1"/>
  <c r="BD122" i="1" a="1"/>
  <c r="BD122" i="1" s="1"/>
  <c r="BM122" i="1" s="1" a="1"/>
  <c r="BM122" i="1" s="1"/>
  <c r="BW122" i="1" s="1"/>
  <c r="R122" i="1"/>
  <c r="AZ122" i="1" s="1"/>
  <c r="BK122" i="1" s="1"/>
  <c r="BR122" i="1" s="1"/>
  <c r="BX122" i="1" s="1"/>
  <c r="CA122" i="1" s="1"/>
  <c r="BD286" i="1" a="1"/>
  <c r="BD286" i="1" s="1"/>
  <c r="BM286" i="1" s="1" a="1"/>
  <c r="BM286" i="1" s="1"/>
  <c r="BW286" i="1" s="1"/>
  <c r="R286" i="1"/>
  <c r="AZ286" i="1" s="1"/>
  <c r="BK286" i="1" s="1"/>
  <c r="BR286" i="1" s="1"/>
  <c r="BX286" i="1" s="1"/>
  <c r="CA286" i="1" s="1"/>
  <c r="BD94" i="1" a="1"/>
  <c r="BD94" i="1" s="1"/>
  <c r="BM94" i="1" s="1" a="1"/>
  <c r="BM94" i="1" s="1"/>
  <c r="BW94" i="1" s="1"/>
  <c r="R94" i="1"/>
  <c r="AZ94" i="1" s="1"/>
  <c r="BK94" i="1" s="1"/>
  <c r="BR94" i="1" s="1"/>
  <c r="BX94" i="1" s="1"/>
  <c r="CM172" i="1"/>
  <c r="CM13" i="1"/>
  <c r="BD13" i="1" a="1"/>
  <c r="BD13" i="1" s="1"/>
  <c r="BM13" i="1" s="1" a="1"/>
  <c r="BM13" i="1" s="1"/>
  <c r="BW13" i="1" s="1"/>
  <c r="CL13" i="1"/>
  <c r="CM133" i="1"/>
  <c r="BD133" i="1" a="1"/>
  <c r="BD133" i="1" s="1"/>
  <c r="CL138" i="1"/>
  <c r="BD170" i="1" a="1"/>
  <c r="BD170" i="1" s="1"/>
  <c r="BM170" i="1" s="1" a="1"/>
  <c r="BM170" i="1" s="1"/>
  <c r="BW170" i="1" s="1"/>
  <c r="R170" i="1"/>
  <c r="AZ170" i="1" s="1"/>
  <c r="BK170" i="1" s="1"/>
  <c r="BR170" i="1" s="1"/>
  <c r="BX170" i="1" s="1"/>
  <c r="CA170" i="1" s="1"/>
  <c r="CM135" i="1"/>
  <c r="BD135" i="1" a="1"/>
  <c r="BD135" i="1" s="1"/>
  <c r="R60" i="1"/>
  <c r="AZ60" i="1" s="1"/>
  <c r="BK60" i="1" s="1"/>
  <c r="BR60" i="1" s="1"/>
  <c r="BX60" i="1" s="1"/>
  <c r="BD60" i="1" a="1"/>
  <c r="BD60" i="1" s="1"/>
  <c r="BM60" i="1" s="1" a="1"/>
  <c r="BM60" i="1" s="1"/>
  <c r="BW60" i="1" s="1"/>
  <c r="CM132" i="1"/>
  <c r="BD132" i="1" a="1"/>
  <c r="BD132" i="1" s="1"/>
  <c r="BM132" i="1" s="1" a="1"/>
  <c r="BM132" i="1" s="1"/>
  <c r="BW132" i="1" s="1"/>
  <c r="BD149" i="1" a="1"/>
  <c r="BD149" i="1" s="1"/>
  <c r="BM149" i="1" s="1" a="1"/>
  <c r="BM149" i="1" s="1"/>
  <c r="BW149" i="1" s="1"/>
  <c r="R149" i="1"/>
  <c r="AZ149" i="1" s="1"/>
  <c r="BK149" i="1" s="1"/>
  <c r="BR149" i="1" s="1"/>
  <c r="BX149" i="1" s="1"/>
  <c r="CA149" i="1" s="1"/>
  <c r="CM210" i="1"/>
  <c r="BD210" i="1" a="1"/>
  <c r="BD210" i="1" s="1"/>
  <c r="BM210" i="1" s="1" a="1"/>
  <c r="BM210" i="1" s="1"/>
  <c r="BW210" i="1" s="1"/>
  <c r="BD347" i="1" a="1"/>
  <c r="BD347" i="1" s="1"/>
  <c r="BM347" i="1" s="1" a="1"/>
  <c r="BM347" i="1" s="1"/>
  <c r="BW347" i="1" s="1"/>
  <c r="R39" i="1"/>
  <c r="AZ39" i="1" s="1"/>
  <c r="BK39" i="1" s="1"/>
  <c r="BR39" i="1" s="1"/>
  <c r="BX39" i="1" s="1"/>
  <c r="CA39" i="1" s="1"/>
  <c r="BD39" i="1" a="1"/>
  <c r="BD39" i="1" s="1"/>
  <c r="BM39" i="1" s="1" a="1"/>
  <c r="BM39" i="1" s="1"/>
  <c r="BW39" i="1" s="1"/>
  <c r="R20" i="1"/>
  <c r="AZ20" i="1" s="1"/>
  <c r="BK20" i="1" s="1"/>
  <c r="BR20" i="1" s="1"/>
  <c r="BX20" i="1" s="1"/>
  <c r="CA20" i="1" s="1"/>
  <c r="BD81" i="1" a="1"/>
  <c r="BD81" i="1" s="1"/>
  <c r="BM81" i="1" s="1" a="1"/>
  <c r="BM81" i="1" s="1"/>
  <c r="BW81" i="1" s="1"/>
  <c r="BD167" i="1" a="1"/>
  <c r="BD167" i="1" s="1"/>
  <c r="BM167" i="1" s="1" a="1"/>
  <c r="BM167" i="1" s="1"/>
  <c r="BW167" i="1" s="1"/>
  <c r="BW438" i="1"/>
  <c r="CL210" i="1"/>
  <c r="BE210" i="1" s="1"/>
  <c r="CL212" i="1"/>
  <c r="R212" i="1" s="1"/>
  <c r="CL268" i="1"/>
  <c r="R268" i="1" s="1"/>
  <c r="CL304" i="1"/>
  <c r="BC304" i="1" s="1"/>
  <c r="CC401" i="1"/>
  <c r="CC431" i="1"/>
  <c r="BW220" i="1"/>
  <c r="BZ434" i="1"/>
  <c r="BZ441" i="1"/>
  <c r="CL312" i="1"/>
  <c r="R312" i="1" s="1"/>
  <c r="CL383" i="1"/>
  <c r="BC383" i="1" s="1"/>
  <c r="CL406" i="1"/>
  <c r="BE406" i="1" s="1"/>
  <c r="CL435" i="1"/>
  <c r="R435" i="1" s="1"/>
  <c r="R79" i="1"/>
  <c r="AZ79" i="1" s="1"/>
  <c r="BK79" i="1" s="1"/>
  <c r="BR79" i="1" s="1"/>
  <c r="BX79" i="1" s="1"/>
  <c r="BD79" i="1" a="1"/>
  <c r="BD79" i="1" s="1"/>
  <c r="BM79" i="1" s="1" a="1"/>
  <c r="BM79" i="1" s="1"/>
  <c r="BW79" i="1" s="1"/>
  <c r="BX153" i="1"/>
  <c r="CA153" i="1" s="1"/>
  <c r="BD16" i="1" a="1"/>
  <c r="BD16" i="1" s="1"/>
  <c r="BM16" i="1" s="1" a="1"/>
  <c r="BM16" i="1" s="1"/>
  <c r="BW16" i="1" s="1"/>
  <c r="R16" i="1"/>
  <c r="AZ16" i="1" s="1"/>
  <c r="BK16" i="1" s="1"/>
  <c r="BR16" i="1" s="1"/>
  <c r="BX16" i="1" s="1"/>
  <c r="CA16" i="1" s="1"/>
  <c r="CM18" i="1"/>
  <c r="BD18" i="1" a="1"/>
  <c r="BD18" i="1" s="1"/>
  <c r="BM18" i="1" s="1" a="1"/>
  <c r="BM18" i="1" s="1"/>
  <c r="BW18" i="1" s="1"/>
  <c r="BX239" i="1"/>
  <c r="CA239" i="1" s="1"/>
  <c r="R116" i="1"/>
  <c r="AZ116" i="1" s="1"/>
  <c r="BK116" i="1" s="1"/>
  <c r="BR116" i="1" s="1"/>
  <c r="BX116" i="1" s="1"/>
  <c r="BD116" i="1" a="1"/>
  <c r="BD116" i="1" s="1"/>
  <c r="BM116" i="1" s="1" a="1"/>
  <c r="BM116" i="1" s="1"/>
  <c r="BW116" i="1" s="1"/>
  <c r="R123" i="1"/>
  <c r="AZ123" i="1" s="1"/>
  <c r="BK123" i="1" s="1"/>
  <c r="BR123" i="1" s="1"/>
  <c r="BX123" i="1" s="1"/>
  <c r="CA123" i="1" s="1"/>
  <c r="BD123" i="1" a="1"/>
  <c r="BD123" i="1" s="1"/>
  <c r="BM123" i="1" s="1" a="1"/>
  <c r="BM123" i="1" s="1"/>
  <c r="BW123" i="1" s="1"/>
  <c r="BD41" i="1" a="1"/>
  <c r="BD41" i="1" s="1"/>
  <c r="BM41" i="1" s="1" a="1"/>
  <c r="BM41" i="1" s="1"/>
  <c r="BW41" i="1" s="1"/>
  <c r="R41" i="1"/>
  <c r="AZ41" i="1" s="1"/>
  <c r="BK41" i="1" s="1"/>
  <c r="BR41" i="1" s="1"/>
  <c r="BX41" i="1" s="1"/>
  <c r="CA41" i="1" s="1"/>
  <c r="BX237" i="1"/>
  <c r="CA237" i="1" s="1"/>
  <c r="BW436" i="1"/>
  <c r="CC438" i="1"/>
  <c r="CC392" i="1"/>
  <c r="BZ436" i="1"/>
  <c r="CL308" i="1"/>
  <c r="R308" i="1" s="1"/>
  <c r="CL348" i="1"/>
  <c r="BE348" i="1" s="1"/>
  <c r="CL369" i="1"/>
  <c r="BC369" i="1" s="1"/>
  <c r="CL378" i="1"/>
  <c r="CL388" i="1"/>
  <c r="CL404" i="1"/>
  <c r="CL407" i="1"/>
  <c r="CL419" i="1"/>
  <c r="BC419" i="1" s="1"/>
  <c r="CL421" i="1"/>
  <c r="R421" i="1" s="1"/>
  <c r="CL423" i="1"/>
  <c r="CL359" i="1"/>
  <c r="CL385" i="1"/>
  <c r="CL410" i="1"/>
  <c r="R410" i="1" s="1"/>
  <c r="CL49" i="1"/>
  <c r="CL132" i="1"/>
  <c r="CL164" i="1"/>
  <c r="BG164" i="1" s="1"/>
  <c r="CL175" i="1"/>
  <c r="CL211" i="1"/>
  <c r="CL298" i="1"/>
  <c r="BX291" i="1"/>
  <c r="CA291" i="1" s="1"/>
  <c r="CM47" i="1"/>
  <c r="BD47" i="1" a="1"/>
  <c r="BD47" i="1" s="1"/>
  <c r="BX67" i="1"/>
  <c r="CA67" i="1" s="1"/>
  <c r="BD107" i="1" a="1"/>
  <c r="BD107" i="1" s="1"/>
  <c r="BM107" i="1" s="1" a="1"/>
  <c r="BM107" i="1" s="1"/>
  <c r="BW107" i="1" s="1"/>
  <c r="R107" i="1"/>
  <c r="AZ107" i="1" s="1"/>
  <c r="BK107" i="1" s="1"/>
  <c r="BR107" i="1" s="1"/>
  <c r="BX361" i="1"/>
  <c r="CA361" i="1" s="1"/>
  <c r="BM172" i="1" a="1"/>
  <c r="BM172" i="1" s="1"/>
  <c r="BW172" i="1" s="1"/>
  <c r="BX15" i="1"/>
  <c r="CA15" i="1" s="1"/>
  <c r="R398" i="1"/>
  <c r="CM211" i="1"/>
  <c r="BD211" i="1" a="1"/>
  <c r="BD211" i="1" s="1"/>
  <c r="CA244" i="1"/>
  <c r="CA363" i="1"/>
  <c r="R23" i="1"/>
  <c r="AZ23" i="1" s="1"/>
  <c r="BK23" i="1" s="1"/>
  <c r="BR23" i="1" s="1"/>
  <c r="BD23" i="1" a="1"/>
  <c r="BD23" i="1" s="1"/>
  <c r="BM23" i="1" s="1" a="1"/>
  <c r="BM23" i="1" s="1"/>
  <c r="BW23" i="1" s="1"/>
  <c r="BX287" i="1"/>
  <c r="CA287" i="1" s="1"/>
  <c r="CA63" i="1"/>
  <c r="BX358" i="1"/>
  <c r="CA358" i="1" s="1"/>
  <c r="BX355" i="1"/>
  <c r="CA355" i="1" s="1"/>
  <c r="BX290" i="1"/>
  <c r="CA290" i="1" s="1"/>
  <c r="R17" i="1"/>
  <c r="AZ17" i="1" s="1"/>
  <c r="BK17" i="1" s="1"/>
  <c r="BR17" i="1" s="1"/>
  <c r="BX17" i="1" s="1"/>
  <c r="BD17" i="1" a="1"/>
  <c r="BD17" i="1" s="1"/>
  <c r="BM17" i="1" s="1" a="1"/>
  <c r="BM17" i="1" s="1"/>
  <c r="BW17" i="1" s="1"/>
  <c r="BD367" i="1" a="1"/>
  <c r="BD367" i="1" s="1"/>
  <c r="BM367" i="1" s="1" a="1"/>
  <c r="BM367" i="1" s="1"/>
  <c r="BW367" i="1" s="1"/>
  <c r="BX436" i="1"/>
  <c r="CA436" i="1" s="1"/>
  <c r="BX433" i="1"/>
  <c r="CA433" i="1" s="1"/>
  <c r="BX440" i="1"/>
  <c r="CA440" i="1" s="1"/>
  <c r="BZ427" i="1"/>
  <c r="CA439" i="1"/>
  <c r="CC427" i="1"/>
  <c r="CA438" i="1"/>
  <c r="BW232" i="1"/>
  <c r="BW409" i="1"/>
  <c r="R263" i="2"/>
  <c r="AZ263" i="2" s="1"/>
  <c r="BK263" i="2" s="1"/>
  <c r="BR263" i="2" s="1"/>
  <c r="BX263" i="2" s="1"/>
  <c r="BD208" i="2" a="1"/>
  <c r="BD208" i="2" s="1"/>
  <c r="BM208" i="2" s="1" a="1"/>
  <c r="BM208" i="2" s="1"/>
  <c r="BW208" i="2" s="1"/>
  <c r="BX427" i="2"/>
  <c r="CA427" i="2" s="1"/>
  <c r="R196" i="2"/>
  <c r="AZ196" i="2" s="1"/>
  <c r="BK196" i="2" s="1"/>
  <c r="BR196" i="2" s="1"/>
  <c r="BD196" i="2" a="1"/>
  <c r="BD196" i="2" s="1"/>
  <c r="BM196" i="2" s="1" a="1"/>
  <c r="BM196" i="2" s="1"/>
  <c r="BW196" i="2" s="1"/>
  <c r="BX181" i="2"/>
  <c r="CA181" i="2"/>
  <c r="BM146" i="2" a="1"/>
  <c r="BM146" i="2" s="1"/>
  <c r="BW146" i="2" s="1"/>
  <c r="AZ146" i="2" a="1"/>
  <c r="AZ146" i="2" s="1"/>
  <c r="BK146" i="2" s="1"/>
  <c r="BR146" i="2" s="1"/>
  <c r="BX171" i="1"/>
  <c r="CA171" i="1" s="1"/>
  <c r="AZ143" i="2" a="1"/>
  <c r="AZ143" i="2" s="1"/>
  <c r="BK143" i="2" s="1"/>
  <c r="BR143" i="2" s="1"/>
  <c r="BM143" i="2" a="1"/>
  <c r="BM143" i="2" s="1"/>
  <c r="BW143" i="2" s="1"/>
  <c r="BX116" i="2"/>
  <c r="CA116" i="2" s="1"/>
  <c r="BX190" i="2"/>
  <c r="CA190" i="2" s="1"/>
  <c r="CA137" i="1"/>
  <c r="BD103" i="2" a="1"/>
  <c r="BD103" i="2" s="1"/>
  <c r="BM103" i="2" s="1" a="1"/>
  <c r="BM103" i="2" s="1"/>
  <c r="BW103" i="2" s="1"/>
  <c r="R103" i="2"/>
  <c r="AZ103" i="2" s="1"/>
  <c r="BK103" i="2" s="1"/>
  <c r="BR103" i="2" s="1"/>
  <c r="CA182" i="2"/>
  <c r="R191" i="2"/>
  <c r="BD191" i="2" a="1"/>
  <c r="BD191" i="2" s="1"/>
  <c r="BD164" i="2" a="1"/>
  <c r="BD164" i="2" s="1"/>
  <c r="BM164" i="2" s="1" a="1"/>
  <c r="BM164" i="2" s="1"/>
  <c r="BW164" i="2" s="1"/>
  <c r="R164" i="2"/>
  <c r="AZ164" i="2" s="1"/>
  <c r="BK164" i="2" s="1"/>
  <c r="BR164" i="2" s="1"/>
  <c r="CA426" i="2"/>
  <c r="BX415" i="2"/>
  <c r="CA415" i="2" s="1"/>
  <c r="CA173" i="1"/>
  <c r="CA100" i="2"/>
  <c r="BX169" i="1"/>
  <c r="CA169" i="1" s="1"/>
  <c r="BD192" i="2" a="1"/>
  <c r="BD192" i="2" s="1"/>
  <c r="BD415" i="2" a="1"/>
  <c r="BD415" i="2" s="1"/>
  <c r="BM415" i="2" s="1" a="1"/>
  <c r="BM415" i="2" s="1"/>
  <c r="BW415" i="2" s="1"/>
  <c r="CA185" i="1"/>
  <c r="BX394" i="1"/>
  <c r="CA394" i="1" s="1"/>
  <c r="BD18" i="2" a="1"/>
  <c r="BD18" i="2" s="1"/>
  <c r="R18" i="2"/>
  <c r="BD17" i="2" a="1"/>
  <c r="BD17" i="2" s="1"/>
  <c r="BM17" i="2" s="1" a="1"/>
  <c r="BM17" i="2" s="1"/>
  <c r="BW17" i="2" s="1"/>
  <c r="R17" i="2"/>
  <c r="AZ17" i="2" s="1"/>
  <c r="BK17" i="2" s="1"/>
  <c r="BR17" i="2" s="1"/>
  <c r="BD16" i="2" a="1"/>
  <c r="BD16" i="2" s="1"/>
  <c r="BM16" i="2" s="1" a="1"/>
  <c r="BM16" i="2" s="1"/>
  <c r="BW16" i="2" s="1"/>
  <c r="R16" i="2"/>
  <c r="AZ16" i="2" s="1"/>
  <c r="BK16" i="2" s="1"/>
  <c r="BR16" i="2" s="1"/>
  <c r="BX181" i="1"/>
  <c r="CA181" i="1" s="1"/>
  <c r="BX428" i="2"/>
  <c r="CA428" i="2" s="1"/>
  <c r="BM179" i="1" a="1"/>
  <c r="BM179" i="1" s="1"/>
  <c r="BW179" i="1" s="1"/>
  <c r="BD124" i="1" a="1"/>
  <c r="BD124" i="1" s="1"/>
  <c r="BM124" i="1" s="1" a="1"/>
  <c r="BM124" i="1" s="1"/>
  <c r="BW124" i="1" s="1"/>
  <c r="R124" i="1"/>
  <c r="AZ124" i="1" s="1"/>
  <c r="BK124" i="1" s="1"/>
  <c r="BR124" i="1" s="1"/>
  <c r="CA186" i="2"/>
  <c r="BX101" i="2"/>
  <c r="CA101" i="2" s="1"/>
  <c r="BD135" i="2" a="1"/>
  <c r="BD135" i="2" s="1"/>
  <c r="BM135" i="2" s="1" a="1"/>
  <c r="BM135" i="2" s="1"/>
  <c r="BW135" i="2" s="1"/>
  <c r="R135" i="2"/>
  <c r="AZ135" i="2" s="1"/>
  <c r="BK135" i="2" s="1"/>
  <c r="BR135" i="2" s="1"/>
  <c r="BD180" i="1" a="1"/>
  <c r="BD180" i="1" s="1"/>
  <c r="CM180" i="1"/>
  <c r="CM179" i="1"/>
  <c r="BD116" i="2" a="1"/>
  <c r="BD116" i="2" s="1"/>
  <c r="BM116" i="2" s="1" a="1"/>
  <c r="BM116" i="2" s="1"/>
  <c r="BW116" i="2" s="1"/>
  <c r="R134" i="2"/>
  <c r="AZ134" i="2" s="1"/>
  <c r="BK134" i="2" s="1"/>
  <c r="BR134" i="2" s="1"/>
  <c r="BD134" i="2" a="1"/>
  <c r="BD134" i="2" s="1"/>
  <c r="BM134" i="2" s="1" a="1"/>
  <c r="BM134" i="2" s="1"/>
  <c r="BW134" i="2" s="1"/>
  <c r="BD430" i="2" a="1"/>
  <c r="BD430" i="2" s="1"/>
  <c r="BD179" i="2" a="1"/>
  <c r="BD179" i="2" s="1"/>
  <c r="R179" i="2"/>
  <c r="AZ180" i="2" a="1"/>
  <c r="AZ180" i="2" s="1"/>
  <c r="BK180" i="2" s="1"/>
  <c r="BR180" i="2" s="1"/>
  <c r="CA178" i="1"/>
  <c r="BD405" i="1" a="1"/>
  <c r="BD405" i="1" s="1"/>
  <c r="BM405" i="1" s="1" a="1"/>
  <c r="BM405" i="1" s="1"/>
  <c r="BW405" i="1" s="1"/>
  <c r="R405" i="1"/>
  <c r="AZ405" i="1" s="1"/>
  <c r="BK405" i="1" s="1"/>
  <c r="BR405" i="1" s="1"/>
  <c r="BD404" i="1" a="1"/>
  <c r="BD404" i="1" s="1"/>
  <c r="BM404" i="1" s="1" a="1"/>
  <c r="BM404" i="1" s="1"/>
  <c r="BW404" i="1" s="1"/>
  <c r="R404" i="1"/>
  <c r="AZ404" i="1" s="1"/>
  <c r="BK404" i="1" s="1"/>
  <c r="BR404" i="1" s="1"/>
  <c r="R197" i="2"/>
  <c r="AZ197" i="2" s="1"/>
  <c r="BK197" i="2" s="1"/>
  <c r="BR197" i="2" s="1"/>
  <c r="BD197" i="2" a="1"/>
  <c r="BD197" i="2" s="1"/>
  <c r="BM197" i="2" s="1" a="1"/>
  <c r="BM197" i="2" s="1"/>
  <c r="BW197" i="2" s="1"/>
  <c r="R244" i="2"/>
  <c r="AZ244" i="2" s="1"/>
  <c r="BK244" i="2" s="1"/>
  <c r="BR244" i="2" s="1"/>
  <c r="BD244" i="2" a="1"/>
  <c r="BD244" i="2" s="1"/>
  <c r="BM244" i="2" s="1" a="1"/>
  <c r="BM244" i="2" s="1"/>
  <c r="BW244" i="2" s="1"/>
  <c r="BD237" i="2" a="1"/>
  <c r="BD237" i="2" s="1"/>
  <c r="BM237" i="2" s="1" a="1"/>
  <c r="BM237" i="2" s="1"/>
  <c r="BW237" i="2" s="1"/>
  <c r="R237" i="2"/>
  <c r="AZ237" i="2" s="1"/>
  <c r="BK237" i="2" s="1"/>
  <c r="BR237" i="2" s="1"/>
  <c r="BX237" i="2" s="1"/>
  <c r="CA237" i="2" s="1"/>
  <c r="BD239" i="2" a="1"/>
  <c r="BD239" i="2" s="1"/>
  <c r="R239" i="2"/>
  <c r="BD58" i="1" a="1"/>
  <c r="BD58" i="1" s="1"/>
  <c r="BM58" i="1" s="1" a="1"/>
  <c r="BM58" i="1" s="1"/>
  <c r="BW58" i="1" s="1"/>
  <c r="R58" i="1"/>
  <c r="AZ58" i="1" s="1"/>
  <c r="BK58" i="1" s="1"/>
  <c r="BR58" i="1" s="1"/>
  <c r="BX58" i="1" s="1"/>
  <c r="CA58" i="1" s="1"/>
  <c r="R228" i="1"/>
  <c r="AZ228" i="1" s="1"/>
  <c r="BK228" i="1" s="1"/>
  <c r="BR228" i="1" s="1"/>
  <c r="BX228" i="1" s="1"/>
  <c r="CA228" i="1" s="1"/>
  <c r="BD228" i="1" a="1"/>
  <c r="BD228" i="1" s="1"/>
  <c r="BM228" i="1" s="1" a="1"/>
  <c r="BM228" i="1" s="1"/>
  <c r="BW228" i="1" s="1"/>
  <c r="R229" i="1"/>
  <c r="AZ229" i="1" s="1"/>
  <c r="BK229" i="1" s="1"/>
  <c r="BR229" i="1" s="1"/>
  <c r="BX229" i="1" s="1"/>
  <c r="BD229" i="1" a="1"/>
  <c r="BD229" i="1" s="1"/>
  <c r="BM229" i="1" s="1" a="1"/>
  <c r="BM229" i="1" s="1"/>
  <c r="BW229" i="1" s="1"/>
  <c r="BD235" i="2" a="1"/>
  <c r="BD235" i="2" s="1"/>
  <c r="BM235" i="2" s="1" a="1"/>
  <c r="BM235" i="2" s="1"/>
  <c r="BW235" i="2" s="1"/>
  <c r="R243" i="2"/>
  <c r="AZ243" i="2" s="1"/>
  <c r="BK243" i="2" s="1"/>
  <c r="BR243" i="2" s="1"/>
  <c r="BD243" i="2" a="1"/>
  <c r="BD243" i="2" s="1"/>
  <c r="BM243" i="2" s="1" a="1"/>
  <c r="BM243" i="2" s="1"/>
  <c r="BW243" i="2" s="1"/>
  <c r="BX235" i="2"/>
  <c r="CA235" i="2" s="1"/>
  <c r="R226" i="1"/>
  <c r="AZ226" i="1" s="1"/>
  <c r="BK226" i="1" s="1"/>
  <c r="BR226" i="1" s="1"/>
  <c r="BD226" i="1" a="1"/>
  <c r="BD226" i="1" s="1"/>
  <c r="BM226" i="1" s="1" a="1"/>
  <c r="BM226" i="1" s="1"/>
  <c r="BW226" i="1" s="1"/>
  <c r="CM224" i="1"/>
  <c r="BD224" i="1" a="1"/>
  <c r="BD224" i="1" s="1"/>
  <c r="BD221" i="1" a="1"/>
  <c r="BD221" i="1" s="1"/>
  <c r="BM221" i="1" s="1" a="1"/>
  <c r="BM221" i="1" s="1"/>
  <c r="BW221" i="1" s="1"/>
  <c r="R221" i="1"/>
  <c r="AZ221" i="1" s="1"/>
  <c r="BK221" i="1" s="1"/>
  <c r="BR221" i="1" s="1"/>
  <c r="BD223" i="1" a="1"/>
  <c r="BD223" i="1" s="1"/>
  <c r="BM223" i="1" s="1" a="1"/>
  <c r="BM223" i="1" s="1"/>
  <c r="BW223" i="1" s="1"/>
  <c r="R223" i="1"/>
  <c r="AZ223" i="1" s="1"/>
  <c r="BK223" i="1" s="1"/>
  <c r="BR223" i="1" s="1"/>
  <c r="BD227" i="1" a="1"/>
  <c r="BD227" i="1" s="1"/>
  <c r="CM227" i="1"/>
  <c r="BD225" i="1" a="1"/>
  <c r="BD225" i="1" s="1"/>
  <c r="BM225" i="1" s="1" a="1"/>
  <c r="BM225" i="1" s="1"/>
  <c r="BW225" i="1" s="1"/>
  <c r="R225" i="1"/>
  <c r="AZ225" i="1" s="1"/>
  <c r="BK225" i="1" s="1"/>
  <c r="BR225" i="1" s="1"/>
  <c r="BD59" i="2" a="1"/>
  <c r="BD59" i="2" s="1"/>
  <c r="BM59" i="2" s="1" a="1"/>
  <c r="BM59" i="2" s="1"/>
  <c r="BW59" i="2" s="1"/>
  <c r="R59" i="2"/>
  <c r="AZ59" i="2" s="1"/>
  <c r="BK59" i="2" s="1"/>
  <c r="BR59" i="2" s="1"/>
  <c r="BD241" i="2" a="1"/>
  <c r="BD241" i="2" s="1"/>
  <c r="BM241" i="2" s="1" a="1"/>
  <c r="BM241" i="2" s="1"/>
  <c r="BW241" i="2" s="1"/>
  <c r="R241" i="2"/>
  <c r="AZ241" i="2" s="1"/>
  <c r="BK241" i="2" s="1"/>
  <c r="BR241" i="2" s="1"/>
  <c r="BX343" i="1"/>
  <c r="CA343" i="1" s="1"/>
  <c r="BD222" i="1" a="1"/>
  <c r="BD222" i="1" s="1"/>
  <c r="BM222" i="1" s="1" a="1"/>
  <c r="BM222" i="1" s="1"/>
  <c r="BW222" i="1" s="1"/>
  <c r="R222" i="1"/>
  <c r="AZ222" i="1" s="1"/>
  <c r="BK222" i="1" s="1"/>
  <c r="BR222" i="1" s="1"/>
  <c r="BD57" i="1" a="1"/>
  <c r="BD57" i="1" s="1"/>
  <c r="BM57" i="1" s="1" a="1"/>
  <c r="BM57" i="1" s="1"/>
  <c r="BW57" i="1" s="1"/>
  <c r="R57" i="1"/>
  <c r="AZ57" i="1" s="1"/>
  <c r="BK57" i="1" s="1"/>
  <c r="BR57" i="1" s="1"/>
  <c r="BX244" i="2"/>
  <c r="CA244" i="2" s="1"/>
  <c r="R242" i="2"/>
  <c r="BD242" i="2" a="1"/>
  <c r="BD242" i="2" s="1"/>
  <c r="R220" i="1"/>
  <c r="AZ220" i="1" s="1"/>
  <c r="BK220" i="1" s="1"/>
  <c r="BR220" i="1" s="1"/>
  <c r="BD343" i="1" a="1"/>
  <c r="BD343" i="1" s="1"/>
  <c r="BM343" i="1" s="1" a="1"/>
  <c r="BM343" i="1" s="1"/>
  <c r="BW343" i="1" s="1"/>
  <c r="BX198" i="2"/>
  <c r="CA198" i="2" s="1"/>
  <c r="BX24" i="1"/>
  <c r="CA24" i="1" s="1"/>
  <c r="R186" i="1"/>
  <c r="AZ186" i="1" s="1"/>
  <c r="BK186" i="1" s="1"/>
  <c r="BR186" i="1" s="1"/>
  <c r="BD186" i="1" a="1"/>
  <c r="BD186" i="1" s="1"/>
  <c r="BM186" i="1" s="1" a="1"/>
  <c r="BM186" i="1" s="1"/>
  <c r="BW186" i="1" s="1"/>
  <c r="R24" i="2"/>
  <c r="AZ24" i="2" s="1"/>
  <c r="BK24" i="2" s="1"/>
  <c r="BR24" i="2" s="1"/>
  <c r="BD24" i="2" a="1"/>
  <c r="BD24" i="2" s="1"/>
  <c r="BM24" i="2" s="1" a="1"/>
  <c r="BM24" i="2" s="1"/>
  <c r="BW24" i="2" s="1"/>
  <c r="BD198" i="2" a="1"/>
  <c r="BD198" i="2" s="1"/>
  <c r="BM198" i="2" s="1" a="1"/>
  <c r="BM198" i="2" s="1"/>
  <c r="BW198" i="2" s="1"/>
  <c r="BD24" i="1" a="1"/>
  <c r="BD24" i="1" s="1"/>
  <c r="BM24" i="1" s="1" a="1"/>
  <c r="BM24" i="1" s="1"/>
  <c r="BW24" i="1" s="1"/>
  <c r="BD262" i="2" a="1"/>
  <c r="BD262" i="2" s="1"/>
  <c r="BM262" i="2" s="1" a="1"/>
  <c r="BM262" i="2" s="1"/>
  <c r="BW262" i="2" s="1"/>
  <c r="R216" i="1"/>
  <c r="AZ216" i="1" s="1"/>
  <c r="BK216" i="1" s="1"/>
  <c r="BR216" i="1" s="1"/>
  <c r="BX216" i="1" s="1"/>
  <c r="CA216" i="1" s="1"/>
  <c r="BD216" i="1" a="1"/>
  <c r="BD216" i="1" s="1"/>
  <c r="BM216" i="1" s="1" a="1"/>
  <c r="BM216" i="1" s="1"/>
  <c r="BW216" i="1" s="1"/>
  <c r="R230" i="2"/>
  <c r="AZ230" i="2" s="1"/>
  <c r="BK230" i="2" s="1"/>
  <c r="BR230" i="2" s="1"/>
  <c r="BX230" i="2" s="1"/>
  <c r="CA230" i="2" s="1"/>
  <c r="BD230" i="2" a="1"/>
  <c r="BD230" i="2" s="1"/>
  <c r="BM230" i="2" s="1" a="1"/>
  <c r="BM230" i="2" s="1"/>
  <c r="BW230" i="2" s="1"/>
  <c r="BD215" i="1" a="1"/>
  <c r="BD215" i="1" s="1"/>
  <c r="BM215" i="1" s="1" a="1"/>
  <c r="BM215" i="1" s="1"/>
  <c r="BW215" i="1" s="1"/>
  <c r="R215" i="1"/>
  <c r="AZ215" i="1" s="1"/>
  <c r="BK215" i="1" s="1"/>
  <c r="BR215" i="1" s="1"/>
  <c r="BX215" i="1" s="1"/>
  <c r="CA215" i="1" s="1"/>
  <c r="BD206" i="1" a="1"/>
  <c r="BD206" i="1" s="1"/>
  <c r="BM206" i="1" s="1" a="1"/>
  <c r="BM206" i="1" s="1"/>
  <c r="BW206" i="1" s="1"/>
  <c r="R206" i="1"/>
  <c r="AZ206" i="1" s="1"/>
  <c r="BK206" i="1" s="1"/>
  <c r="BR206" i="1" s="1"/>
  <c r="BX206" i="1" s="1"/>
  <c r="R229" i="2"/>
  <c r="AZ229" i="2" s="1"/>
  <c r="BK229" i="2" s="1"/>
  <c r="BR229" i="2" s="1"/>
  <c r="BX229" i="2" s="1"/>
  <c r="CA229" i="2" s="1"/>
  <c r="BD229" i="2" a="1"/>
  <c r="BD229" i="2" s="1"/>
  <c r="BM229" i="2" s="1" a="1"/>
  <c r="BM229" i="2" s="1"/>
  <c r="BW229" i="2" s="1"/>
  <c r="BD217" i="1" a="1"/>
  <c r="BD217" i="1" s="1"/>
  <c r="BM217" i="1" s="1" a="1"/>
  <c r="BM217" i="1" s="1"/>
  <c r="BW217" i="1" s="1"/>
  <c r="R217" i="1"/>
  <c r="AZ217" i="1" s="1"/>
  <c r="BK217" i="1" s="1"/>
  <c r="BR217" i="1" s="1"/>
  <c r="BX217" i="1" s="1"/>
  <c r="CA217" i="1" s="1"/>
  <c r="BD218" i="2" a="1"/>
  <c r="BD218" i="2" s="1"/>
  <c r="BM218" i="2" s="1" a="1"/>
  <c r="BM218" i="2" s="1"/>
  <c r="BW218" i="2" s="1"/>
  <c r="R218" i="2"/>
  <c r="AZ218" i="2" s="1"/>
  <c r="BK218" i="2" s="1"/>
  <c r="BR218" i="2" s="1"/>
  <c r="BX218" i="2" s="1"/>
  <c r="R205" i="1"/>
  <c r="AZ205" i="1" s="1"/>
  <c r="BK205" i="1" s="1"/>
  <c r="BR205" i="1" s="1"/>
  <c r="BX205" i="1" s="1"/>
  <c r="CA205" i="1" s="1"/>
  <c r="BD205" i="1" a="1"/>
  <c r="BD205" i="1" s="1"/>
  <c r="BM205" i="1" s="1" a="1"/>
  <c r="BM205" i="1" s="1"/>
  <c r="BW205" i="1" s="1"/>
  <c r="BD231" i="2" a="1"/>
  <c r="BD231" i="2" s="1"/>
  <c r="BM231" i="2" s="1" a="1"/>
  <c r="BM231" i="2" s="1"/>
  <c r="BW231" i="2" s="1"/>
  <c r="R231" i="2"/>
  <c r="AZ231" i="2" s="1"/>
  <c r="BK231" i="2" s="1"/>
  <c r="BR231" i="2" s="1"/>
  <c r="R219" i="2"/>
  <c r="AZ219" i="2" s="1"/>
  <c r="BK219" i="2" s="1"/>
  <c r="BR219" i="2" s="1"/>
  <c r="BD219" i="2" a="1"/>
  <c r="BD219" i="2" s="1"/>
  <c r="BM219" i="2" s="1" a="1"/>
  <c r="BM219" i="2" s="1"/>
  <c r="BW219" i="2" s="1"/>
  <c r="R232" i="2"/>
  <c r="AZ232" i="2" s="1"/>
  <c r="BK232" i="2" s="1"/>
  <c r="BR232" i="2" s="1"/>
  <c r="BD232" i="2" a="1"/>
  <c r="BD232" i="2" s="1"/>
  <c r="BM232" i="2" s="1" a="1"/>
  <c r="BM232" i="2" s="1"/>
  <c r="BW232" i="2" s="1"/>
  <c r="BX228" i="2"/>
  <c r="CA228" i="2" s="1"/>
  <c r="R217" i="2"/>
  <c r="AZ217" i="2" s="1"/>
  <c r="BK217" i="2" s="1"/>
  <c r="BR217" i="2" s="1"/>
  <c r="BD217" i="2" a="1"/>
  <c r="BD217" i="2" s="1"/>
  <c r="BM217" i="2" s="1" a="1"/>
  <c r="BM217" i="2" s="1"/>
  <c r="BW217" i="2" s="1"/>
  <c r="R218" i="1"/>
  <c r="AZ218" i="1" s="1"/>
  <c r="BK218" i="1" s="1"/>
  <c r="BR218" i="1" s="1"/>
  <c r="BD218" i="1" a="1"/>
  <c r="BD218" i="1" s="1"/>
  <c r="BM218" i="1" s="1" a="1"/>
  <c r="BM218" i="1" s="1"/>
  <c r="BW218" i="1" s="1"/>
  <c r="BD207" i="1" a="1"/>
  <c r="BD207" i="1" s="1"/>
  <c r="BM207" i="1" s="1" a="1"/>
  <c r="BM207" i="1" s="1"/>
  <c r="BW207" i="1" s="1"/>
  <c r="R207" i="1"/>
  <c r="AZ207" i="1" s="1"/>
  <c r="BK207" i="1" s="1"/>
  <c r="BR207" i="1" s="1"/>
  <c r="R219" i="1"/>
  <c r="AZ219" i="1" s="1"/>
  <c r="BK219" i="1" s="1"/>
  <c r="BR219" i="1" s="1"/>
  <c r="BD219" i="1" a="1"/>
  <c r="BD219" i="1" s="1"/>
  <c r="BM219" i="1" s="1" a="1"/>
  <c r="BM219" i="1" s="1"/>
  <c r="BW219" i="1" s="1"/>
  <c r="BD228" i="2" a="1"/>
  <c r="BD228" i="2" s="1"/>
  <c r="BM228" i="2" s="1" a="1"/>
  <c r="BM228" i="2" s="1"/>
  <c r="BW228" i="2" s="1"/>
  <c r="BX226" i="2"/>
  <c r="CA226" i="2" s="1"/>
  <c r="BX223" i="2"/>
  <c r="CA223" i="2" s="1"/>
  <c r="BD444" i="2" a="1"/>
  <c r="BD444" i="2" s="1"/>
  <c r="R444" i="2"/>
  <c r="BM423" i="1" a="1"/>
  <c r="BM423" i="1" s="1"/>
  <c r="BW423" i="1" s="1"/>
  <c r="AZ449" i="2" a="1"/>
  <c r="AZ449" i="2" s="1"/>
  <c r="BK449" i="2" s="1"/>
  <c r="BR449" i="2" s="1"/>
  <c r="BM449" i="2" a="1"/>
  <c r="BM449" i="2" s="1"/>
  <c r="BW449" i="2" s="1"/>
  <c r="R324" i="1"/>
  <c r="AZ324" i="1" s="1"/>
  <c r="BK324" i="1" s="1"/>
  <c r="BR324" i="1" s="1"/>
  <c r="BD324" i="1" a="1"/>
  <c r="BD324" i="1" s="1"/>
  <c r="BM324" i="1" s="1" a="1"/>
  <c r="BM324" i="1" s="1"/>
  <c r="BW324" i="1" s="1"/>
  <c r="R155" i="1"/>
  <c r="AZ155" i="1" s="1"/>
  <c r="BK155" i="1" s="1"/>
  <c r="BR155" i="1" s="1"/>
  <c r="BD155" i="1" a="1"/>
  <c r="BD155" i="1" s="1"/>
  <c r="BM155" i="1" s="1" a="1"/>
  <c r="BM155" i="1" s="1"/>
  <c r="BW155" i="1" s="1"/>
  <c r="BX168" i="2"/>
  <c r="CA168" i="2"/>
  <c r="BX154" i="1"/>
  <c r="CA154" i="1" s="1"/>
  <c r="BD450" i="2" a="1"/>
  <c r="BD450" i="2" s="1"/>
  <c r="BM450" i="2" s="1" a="1"/>
  <c r="BM450" i="2" s="1"/>
  <c r="BW450" i="2" s="1"/>
  <c r="R450" i="2"/>
  <c r="AZ450" i="2" s="1"/>
  <c r="BK450" i="2" s="1"/>
  <c r="BR450" i="2" s="1"/>
  <c r="BD448" i="2" a="1"/>
  <c r="BD448" i="2" s="1"/>
  <c r="R448" i="2"/>
  <c r="R167" i="2"/>
  <c r="AZ167" i="2" s="1"/>
  <c r="BK167" i="2" s="1"/>
  <c r="BR167" i="2" s="1"/>
  <c r="BD167" i="2" a="1"/>
  <c r="BD167" i="2" s="1"/>
  <c r="BM167" i="2" s="1" a="1"/>
  <c r="BM167" i="2" s="1"/>
  <c r="BW167" i="2" s="1"/>
  <c r="CM420" i="1"/>
  <c r="BD420" i="1" a="1"/>
  <c r="BD420" i="1" s="1"/>
  <c r="CM419" i="1"/>
  <c r="BD419" i="1" a="1"/>
  <c r="BD419" i="1" s="1"/>
  <c r="R209" i="1"/>
  <c r="AZ209" i="1" s="1"/>
  <c r="BK209" i="1" s="1"/>
  <c r="BR209" i="1" s="1"/>
  <c r="BD209" i="1" a="1"/>
  <c r="BD209" i="1" s="1"/>
  <c r="BM209" i="1" s="1" a="1"/>
  <c r="BM209" i="1" s="1"/>
  <c r="BW209" i="1" s="1"/>
  <c r="R156" i="1"/>
  <c r="AZ156" i="1" s="1"/>
  <c r="BK156" i="1" s="1"/>
  <c r="BR156" i="1" s="1"/>
  <c r="BD156" i="1" a="1"/>
  <c r="BD156" i="1" s="1"/>
  <c r="BM156" i="1" s="1" a="1"/>
  <c r="BM156" i="1" s="1"/>
  <c r="BW156" i="1" s="1"/>
  <c r="CA445" i="2"/>
  <c r="BD226" i="2" a="1"/>
  <c r="BD226" i="2" s="1"/>
  <c r="BM226" i="2" s="1" a="1"/>
  <c r="BM226" i="2" s="1"/>
  <c r="BW226" i="2" s="1"/>
  <c r="R446" i="2"/>
  <c r="AZ446" i="2" s="1"/>
  <c r="BK446" i="2" s="1"/>
  <c r="BR446" i="2" s="1"/>
  <c r="BD446" i="2" a="1"/>
  <c r="BD446" i="2" s="1"/>
  <c r="BM446" i="2" s="1" a="1"/>
  <c r="BM446" i="2" s="1"/>
  <c r="BW446" i="2" s="1"/>
  <c r="BD443" i="2" a="1"/>
  <c r="BD443" i="2" s="1"/>
  <c r="R443" i="2"/>
  <c r="BD166" i="2" a="1"/>
  <c r="BD166" i="2" s="1"/>
  <c r="BM166" i="2" s="1" a="1"/>
  <c r="BM166" i="2" s="1"/>
  <c r="BW166" i="2" s="1"/>
  <c r="R166" i="2"/>
  <c r="AZ166" i="2" s="1"/>
  <c r="BK166" i="2" s="1"/>
  <c r="BR166" i="2" s="1"/>
  <c r="R224" i="2"/>
  <c r="AZ224" i="2" s="1"/>
  <c r="BK224" i="2" s="1"/>
  <c r="BR224" i="2" s="1"/>
  <c r="BD389" i="1" a="1"/>
  <c r="BD389" i="1" s="1"/>
  <c r="BM389" i="1" s="1" a="1"/>
  <c r="BM389" i="1" s="1"/>
  <c r="BW389" i="1" s="1"/>
  <c r="R389" i="1"/>
  <c r="AZ389" i="1" s="1"/>
  <c r="BK389" i="1" s="1"/>
  <c r="BR389" i="1" s="1"/>
  <c r="BX389" i="1" s="1"/>
  <c r="CA389" i="1" s="1"/>
  <c r="R380" i="1"/>
  <c r="AZ380" i="1" s="1"/>
  <c r="BK380" i="1" s="1"/>
  <c r="BR380" i="1" s="1"/>
  <c r="BX380" i="1" s="1"/>
  <c r="CA380" i="1" s="1"/>
  <c r="BD380" i="1" a="1"/>
  <c r="BD380" i="1" s="1"/>
  <c r="BM380" i="1" s="1" a="1"/>
  <c r="BM380" i="1" s="1"/>
  <c r="BW380" i="1" s="1"/>
  <c r="BD378" i="1" a="1"/>
  <c r="BD378" i="1" s="1"/>
  <c r="BM378" i="1" s="1" a="1"/>
  <c r="BM378" i="1" s="1"/>
  <c r="BW378" i="1" s="1"/>
  <c r="CM378" i="1"/>
  <c r="R392" i="1"/>
  <c r="AZ392" i="1" s="1"/>
  <c r="BK392" i="1" s="1"/>
  <c r="BR392" i="1" s="1"/>
  <c r="BX392" i="1" s="1"/>
  <c r="CA392" i="1" s="1"/>
  <c r="BD392" i="1" a="1"/>
  <c r="BD392" i="1" s="1"/>
  <c r="BM392" i="1" s="1" a="1"/>
  <c r="BM392" i="1" s="1"/>
  <c r="BW392" i="1" s="1"/>
  <c r="R399" i="2"/>
  <c r="AZ399" i="2" s="1"/>
  <c r="BK399" i="2" s="1"/>
  <c r="BR399" i="2" s="1"/>
  <c r="BX399" i="2" s="1"/>
  <c r="CA399" i="2" s="1"/>
  <c r="BD399" i="2" a="1"/>
  <c r="BD399" i="2" s="1"/>
  <c r="BM399" i="2" s="1" a="1"/>
  <c r="BM399" i="2" s="1"/>
  <c r="BW399" i="2" s="1"/>
  <c r="BD413" i="2" a="1"/>
  <c r="BD413" i="2" s="1"/>
  <c r="BM413" i="2" s="1" a="1"/>
  <c r="BM413" i="2" s="1"/>
  <c r="BW413" i="2" s="1"/>
  <c r="R409" i="2"/>
  <c r="AZ409" i="2" s="1"/>
  <c r="BK409" i="2" s="1"/>
  <c r="BR409" i="2" s="1"/>
  <c r="BX409" i="2" s="1"/>
  <c r="BD397" i="2" a="1"/>
  <c r="BD397" i="2" s="1"/>
  <c r="BM397" i="2" s="1" a="1"/>
  <c r="BM397" i="2" s="1"/>
  <c r="BW397" i="2" s="1"/>
  <c r="R397" i="2"/>
  <c r="AZ397" i="2" s="1"/>
  <c r="BK397" i="2" s="1"/>
  <c r="BR397" i="2" s="1"/>
  <c r="BX413" i="2"/>
  <c r="CA413" i="2" s="1"/>
  <c r="BD400" i="2" a="1"/>
  <c r="BD400" i="2" s="1"/>
  <c r="BM400" i="2" s="1" a="1"/>
  <c r="BM400" i="2" s="1"/>
  <c r="BW400" i="2" s="1"/>
  <c r="R400" i="2"/>
  <c r="AZ400" i="2" s="1"/>
  <c r="BK400" i="2" s="1"/>
  <c r="BR400" i="2" s="1"/>
  <c r="R411" i="2"/>
  <c r="BD411" i="2" a="1"/>
  <c r="BD411" i="2" s="1"/>
  <c r="R377" i="1"/>
  <c r="AZ377" i="1" s="1"/>
  <c r="BK377" i="1" s="1"/>
  <c r="BR377" i="1" s="1"/>
  <c r="BD377" i="1" a="1"/>
  <c r="BD377" i="1" s="1"/>
  <c r="BM377" i="1" s="1" a="1"/>
  <c r="BM377" i="1" s="1"/>
  <c r="BW377" i="1" s="1"/>
  <c r="BD390" i="1" a="1"/>
  <c r="BD390" i="1" s="1"/>
  <c r="BM390" i="1" s="1" a="1"/>
  <c r="BM390" i="1" s="1"/>
  <c r="BW390" i="1" s="1"/>
  <c r="R390" i="1"/>
  <c r="AZ390" i="1" s="1"/>
  <c r="BK390" i="1" s="1"/>
  <c r="BR390" i="1" s="1"/>
  <c r="BM398" i="2" a="1"/>
  <c r="BM398" i="2" s="1"/>
  <c r="BW398" i="2" s="1"/>
  <c r="AZ398" i="2" a="1"/>
  <c r="AZ398" i="2" s="1"/>
  <c r="BK398" i="2" s="1"/>
  <c r="BR398" i="2" s="1"/>
  <c r="BD393" i="1" a="1"/>
  <c r="BD393" i="1" s="1"/>
  <c r="CM393" i="1"/>
  <c r="BD410" i="2" a="1"/>
  <c r="BD410" i="2" s="1"/>
  <c r="BM410" i="2" s="1" a="1"/>
  <c r="BM410" i="2" s="1"/>
  <c r="BW410" i="2" s="1"/>
  <c r="R410" i="2"/>
  <c r="AZ410" i="2" s="1"/>
  <c r="BK410" i="2" s="1"/>
  <c r="BR410" i="2" s="1"/>
  <c r="BX379" i="1"/>
  <c r="CA379" i="1" s="1"/>
  <c r="BD391" i="1" a="1"/>
  <c r="BD391" i="1" s="1"/>
  <c r="CM391" i="1"/>
  <c r="R412" i="2"/>
  <c r="AZ412" i="2" s="1"/>
  <c r="BK412" i="2" s="1"/>
  <c r="BR412" i="2" s="1"/>
  <c r="BD412" i="2" a="1"/>
  <c r="BD412" i="2" s="1"/>
  <c r="BM412" i="2" s="1" a="1"/>
  <c r="BM412" i="2" s="1"/>
  <c r="BW412" i="2" s="1"/>
  <c r="R398" i="2"/>
  <c r="BD379" i="1" a="1"/>
  <c r="BD379" i="1" s="1"/>
  <c r="BM379" i="1" s="1" a="1"/>
  <c r="BM379" i="1" s="1"/>
  <c r="BW379" i="1" s="1"/>
  <c r="BM419" i="2" a="1"/>
  <c r="BM419" i="2" s="1"/>
  <c r="BW419" i="2" s="1"/>
  <c r="AZ419" i="2" a="1"/>
  <c r="AZ419" i="2" s="1"/>
  <c r="BK419" i="2" s="1"/>
  <c r="BR419" i="2" s="1"/>
  <c r="R397" i="1"/>
  <c r="AZ397" i="1" s="1"/>
  <c r="BK397" i="1" s="1"/>
  <c r="BR397" i="1" s="1"/>
  <c r="BD397" i="1" a="1"/>
  <c r="BD397" i="1" s="1"/>
  <c r="BM397" i="1" s="1" a="1"/>
  <c r="BM397" i="1" s="1"/>
  <c r="BW397" i="1" s="1"/>
  <c r="BX418" i="2"/>
  <c r="CA418" i="2" s="1"/>
  <c r="CM399" i="1"/>
  <c r="BD399" i="1" a="1"/>
  <c r="BD399" i="1" s="1"/>
  <c r="BM398" i="1" a="1"/>
  <c r="BM398" i="1" s="1"/>
  <c r="BW398" i="1" s="1"/>
  <c r="BD420" i="2" a="1"/>
  <c r="BD420" i="2" s="1"/>
  <c r="R420" i="2"/>
  <c r="R432" i="2"/>
  <c r="AZ432" i="2" s="1"/>
  <c r="BK432" i="2" s="1"/>
  <c r="BR432" i="2" s="1"/>
  <c r="BX432" i="2" s="1"/>
  <c r="R451" i="2"/>
  <c r="AZ451" i="2" s="1"/>
  <c r="BK451" i="2" s="1"/>
  <c r="BR451" i="2" s="1"/>
  <c r="BX451" i="2" s="1"/>
  <c r="CA451" i="2" s="1"/>
  <c r="R176" i="1"/>
  <c r="AZ176" i="1" s="1"/>
  <c r="BK176" i="1" s="1"/>
  <c r="BR176" i="1" s="1"/>
  <c r="BX176" i="1" s="1"/>
  <c r="CA176" i="1" s="1"/>
  <c r="R429" i="1"/>
  <c r="AZ429" i="1" s="1"/>
  <c r="BK429" i="1" s="1"/>
  <c r="BR429" i="1" s="1"/>
  <c r="BX429" i="1" s="1"/>
  <c r="BD382" i="1" a="1"/>
  <c r="BD382" i="1" s="1"/>
  <c r="BM382" i="1" s="1" a="1"/>
  <c r="BM382" i="1" s="1"/>
  <c r="BW382" i="1" s="1"/>
  <c r="BD161" i="1" a="1"/>
  <c r="BD161" i="1" s="1"/>
  <c r="BD454" i="2" a="1"/>
  <c r="BD454" i="2" s="1"/>
  <c r="BM454" i="2" s="1" a="1"/>
  <c r="BM454" i="2" s="1"/>
  <c r="BW454" i="2" s="1"/>
  <c r="BD381" i="1" a="1"/>
  <c r="BD381" i="1" s="1"/>
  <c r="BM381" i="1" s="1" a="1"/>
  <c r="BM381" i="1" s="1"/>
  <c r="BW381" i="1" s="1"/>
  <c r="R368" i="2"/>
  <c r="AZ368" i="2" s="1"/>
  <c r="BK368" i="2" s="1"/>
  <c r="BR368" i="2" s="1"/>
  <c r="BX368" i="2" s="1"/>
  <c r="CA368" i="2" s="1"/>
  <c r="BD368" i="2" a="1"/>
  <c r="BD368" i="2" s="1"/>
  <c r="BM368" i="2" s="1" a="1"/>
  <c r="BM368" i="2" s="1"/>
  <c r="BW368" i="2" s="1"/>
  <c r="R351" i="1"/>
  <c r="AZ351" i="1" s="1"/>
  <c r="BK351" i="1" s="1"/>
  <c r="BR351" i="1" s="1"/>
  <c r="BX351" i="1" s="1"/>
  <c r="CA351" i="1" s="1"/>
  <c r="BD351" i="1" a="1"/>
  <c r="BD351" i="1" s="1"/>
  <c r="BM351" i="1" s="1" a="1"/>
  <c r="BM351" i="1" s="1"/>
  <c r="BW351" i="1" s="1"/>
  <c r="BD453" i="2" a="1"/>
  <c r="BD453" i="2" s="1"/>
  <c r="BM453" i="2" s="1" a="1"/>
  <c r="BM453" i="2" s="1"/>
  <c r="BW453" i="2" s="1"/>
  <c r="R453" i="2"/>
  <c r="AZ453" i="2" s="1"/>
  <c r="BK453" i="2" s="1"/>
  <c r="BR453" i="2" s="1"/>
  <c r="BX453" i="2" s="1"/>
  <c r="R431" i="2"/>
  <c r="AZ431" i="2" s="1"/>
  <c r="BK431" i="2" s="1"/>
  <c r="BR431" i="2" s="1"/>
  <c r="BX431" i="2" s="1"/>
  <c r="BD159" i="1" a="1"/>
  <c r="BD159" i="1" s="1"/>
  <c r="BD172" i="2" a="1"/>
  <c r="BD172" i="2" s="1"/>
  <c r="BD188" i="2" a="1"/>
  <c r="BD188" i="2" s="1"/>
  <c r="BM188" i="2" s="1" a="1"/>
  <c r="BM188" i="2" s="1"/>
  <c r="BW188" i="2" s="1"/>
  <c r="R408" i="1"/>
  <c r="AZ408" i="1" s="1"/>
  <c r="BK408" i="1" s="1"/>
  <c r="BR408" i="1" s="1"/>
  <c r="BX408" i="1" s="1"/>
  <c r="BD455" i="2" a="1"/>
  <c r="BD455" i="2" s="1"/>
  <c r="BM455" i="2" s="1" a="1"/>
  <c r="BM455" i="2" s="1"/>
  <c r="BW455" i="2" s="1"/>
  <c r="R455" i="2"/>
  <c r="AZ455" i="2" s="1"/>
  <c r="BK455" i="2" s="1"/>
  <c r="BR455" i="2" s="1"/>
  <c r="BX455" i="2" s="1"/>
  <c r="BD352" i="1" a="1"/>
  <c r="BD352" i="1" s="1"/>
  <c r="BM352" i="1" s="1" a="1"/>
  <c r="BM352" i="1" s="1"/>
  <c r="BW352" i="1" s="1"/>
  <c r="R352" i="1"/>
  <c r="AZ352" i="1" s="1"/>
  <c r="BK352" i="1" s="1"/>
  <c r="BR352" i="1" s="1"/>
  <c r="BX352" i="1" s="1"/>
  <c r="CA352" i="1" s="1"/>
  <c r="BD431" i="1" a="1"/>
  <c r="BD431" i="1" s="1"/>
  <c r="BM431" i="1" s="1" a="1"/>
  <c r="BM431" i="1" s="1"/>
  <c r="BW431" i="1" s="1"/>
  <c r="R431" i="1"/>
  <c r="AZ431" i="1" s="1"/>
  <c r="BK431" i="1" s="1"/>
  <c r="BR431" i="1" s="1"/>
  <c r="BX431" i="1" s="1"/>
  <c r="BD428" i="1" a="1"/>
  <c r="BD428" i="1" s="1"/>
  <c r="BM428" i="1" s="1" a="1"/>
  <c r="BM428" i="1" s="1"/>
  <c r="BW428" i="1" s="1"/>
  <c r="R428" i="1"/>
  <c r="AZ428" i="1" s="1"/>
  <c r="BK428" i="1" s="1"/>
  <c r="BR428" i="1" s="1"/>
  <c r="BX428" i="1" s="1"/>
  <c r="CM160" i="1"/>
  <c r="BD160" i="1" a="1"/>
  <c r="BD160" i="1" s="1"/>
  <c r="BD402" i="2" a="1"/>
  <c r="BD402" i="2" s="1"/>
  <c r="BM402" i="2" s="1" a="1"/>
  <c r="BM402" i="2" s="1"/>
  <c r="BW402" i="2" s="1"/>
  <c r="R158" i="1"/>
  <c r="AZ158" i="1" s="1"/>
  <c r="BK158" i="1" s="1"/>
  <c r="BR158" i="1" s="1"/>
  <c r="BX158" i="1" s="1"/>
  <c r="R409" i="1"/>
  <c r="AZ409" i="1" s="1"/>
  <c r="BK409" i="1" s="1"/>
  <c r="BR409" i="1" s="1"/>
  <c r="BX409" i="1" s="1"/>
  <c r="CA409" i="1" s="1"/>
  <c r="CA381" i="1"/>
  <c r="BM251" i="1" a="1"/>
  <c r="BM251" i="1" s="1"/>
  <c r="BW251" i="1" s="1"/>
  <c r="CM251" i="1"/>
  <c r="BD108" i="1" a="1"/>
  <c r="BD108" i="1" s="1"/>
  <c r="BM108" i="1" s="1" a="1"/>
  <c r="BM108" i="1" s="1"/>
  <c r="BW108" i="1" s="1"/>
  <c r="BD204" i="1" a="1"/>
  <c r="BD204" i="1" s="1"/>
  <c r="BM204" i="1" s="1" a="1"/>
  <c r="BM204" i="1" s="1"/>
  <c r="BW204" i="1" s="1"/>
  <c r="R204" i="1"/>
  <c r="AZ204" i="1" s="1"/>
  <c r="BK204" i="1" s="1"/>
  <c r="BR204" i="1" s="1"/>
  <c r="BX204" i="1" s="1"/>
  <c r="CA204" i="1" s="1"/>
  <c r="R200" i="1"/>
  <c r="AZ200" i="1" s="1"/>
  <c r="BK200" i="1" s="1"/>
  <c r="BR200" i="1" s="1"/>
  <c r="BX200" i="1" s="1"/>
  <c r="CA200" i="1" s="1"/>
  <c r="BD200" i="1" a="1"/>
  <c r="BD200" i="1" s="1"/>
  <c r="BM200" i="1" s="1" a="1"/>
  <c r="BM200" i="1" s="1"/>
  <c r="BW200" i="1" s="1"/>
  <c r="R198" i="1"/>
  <c r="AZ198" i="1" s="1"/>
  <c r="BK198" i="1" s="1"/>
  <c r="BR198" i="1" s="1"/>
  <c r="BX198" i="1" s="1"/>
  <c r="CA198" i="1" s="1"/>
  <c r="BD234" i="1" a="1"/>
  <c r="BD234" i="1" s="1"/>
  <c r="BM234" i="1" s="1" a="1"/>
  <c r="BM234" i="1" s="1"/>
  <c r="BW234" i="1" s="1"/>
  <c r="R234" i="1"/>
  <c r="AZ234" i="1" s="1"/>
  <c r="BK234" i="1" s="1"/>
  <c r="BR234" i="1" s="1"/>
  <c r="BX234" i="1" s="1"/>
  <c r="CA234" i="1" s="1"/>
  <c r="BD323" i="1" a="1"/>
  <c r="BD323" i="1" s="1"/>
  <c r="BM323" i="1" s="1" a="1"/>
  <c r="BM323" i="1" s="1"/>
  <c r="BW323" i="1" s="1"/>
  <c r="R323" i="1"/>
  <c r="AZ323" i="1" s="1"/>
  <c r="BK323" i="1" s="1"/>
  <c r="BR323" i="1" s="1"/>
  <c r="BX323" i="1" s="1"/>
  <c r="CA323" i="1" s="1"/>
  <c r="R249" i="2"/>
  <c r="AZ249" i="2" s="1"/>
  <c r="BK249" i="2" s="1"/>
  <c r="BR249" i="2" s="1"/>
  <c r="BD212" i="2" a="1"/>
  <c r="BD212" i="2" s="1"/>
  <c r="BM212" i="2" s="1" a="1"/>
  <c r="BM212" i="2" s="1"/>
  <c r="BW212" i="2" s="1"/>
  <c r="R212" i="2"/>
  <c r="AZ212" i="2" s="1"/>
  <c r="BK212" i="2" s="1"/>
  <c r="BR212" i="2" s="1"/>
  <c r="R199" i="1"/>
  <c r="AZ199" i="1" s="1"/>
  <c r="BK199" i="1" s="1"/>
  <c r="BR199" i="1" s="1"/>
  <c r="BD199" i="1" a="1"/>
  <c r="BD199" i="1" s="1"/>
  <c r="BM199" i="1" s="1" a="1"/>
  <c r="BM199" i="1" s="1"/>
  <c r="BW199" i="1" s="1"/>
  <c r="R339" i="2"/>
  <c r="AZ339" i="2" s="1"/>
  <c r="BK339" i="2" s="1"/>
  <c r="BR339" i="2" s="1"/>
  <c r="BD339" i="2" a="1"/>
  <c r="BD339" i="2" s="1"/>
  <c r="BM339" i="2" s="1" a="1"/>
  <c r="BM339" i="2" s="1"/>
  <c r="BW339" i="2" s="1"/>
  <c r="R216" i="2"/>
  <c r="AZ216" i="2" s="1"/>
  <c r="BK216" i="2" s="1"/>
  <c r="BR216" i="2" s="1"/>
  <c r="BD216" i="2" a="1"/>
  <c r="BD216" i="2" s="1"/>
  <c r="BM216" i="2" s="1" a="1"/>
  <c r="BM216" i="2" s="1"/>
  <c r="BW216" i="2" s="1"/>
  <c r="R235" i="1"/>
  <c r="AZ235" i="1" s="1"/>
  <c r="BK235" i="1" s="1"/>
  <c r="BR235" i="1" s="1"/>
  <c r="BD235" i="1" a="1"/>
  <c r="BD235" i="1" s="1"/>
  <c r="BM235" i="1" s="1" a="1"/>
  <c r="BM235" i="1" s="1"/>
  <c r="BW235" i="1" s="1"/>
  <c r="BX249" i="2"/>
  <c r="CA249" i="2" s="1"/>
  <c r="BD243" i="1" a="1"/>
  <c r="BD243" i="1" s="1"/>
  <c r="BM243" i="1" s="1" a="1"/>
  <c r="BM243" i="1" s="1"/>
  <c r="BW243" i="1" s="1"/>
  <c r="R243" i="1"/>
  <c r="AZ243" i="1" s="1"/>
  <c r="BK243" i="1" s="1"/>
  <c r="BR243" i="1" s="1"/>
  <c r="BX210" i="2"/>
  <c r="CA210" i="2" s="1"/>
  <c r="BD258" i="2" a="1"/>
  <c r="BD258" i="2" s="1"/>
  <c r="BM258" i="2" s="1" a="1"/>
  <c r="BM258" i="2" s="1"/>
  <c r="BW258" i="2" s="1"/>
  <c r="R258" i="2"/>
  <c r="AZ258" i="2" s="1"/>
  <c r="BK258" i="2" s="1"/>
  <c r="BR258" i="2" s="1"/>
  <c r="R250" i="2"/>
  <c r="AZ250" i="2" s="1"/>
  <c r="BK250" i="2" s="1"/>
  <c r="BR250" i="2" s="1"/>
  <c r="R211" i="2"/>
  <c r="AZ211" i="2" s="1"/>
  <c r="BK211" i="2" s="1"/>
  <c r="BR211" i="2" s="1"/>
  <c r="BD414" i="1" a="1"/>
  <c r="BD414" i="1" s="1"/>
  <c r="BM414" i="1" s="1" a="1"/>
  <c r="BM414" i="1" s="1"/>
  <c r="BW414" i="1" s="1"/>
  <c r="BD254" i="1" a="1"/>
  <c r="BD254" i="1" s="1"/>
  <c r="BM254" i="1" s="1" a="1"/>
  <c r="BM254" i="1" s="1"/>
  <c r="BW254" i="1" s="1"/>
  <c r="BD334" i="1" a="1"/>
  <c r="BD334" i="1" s="1"/>
  <c r="BM334" i="1" s="1" a="1"/>
  <c r="BM334" i="1" s="1"/>
  <c r="BW334" i="1" s="1"/>
  <c r="R437" i="2"/>
  <c r="AZ437" i="2" s="1"/>
  <c r="BK437" i="2" s="1"/>
  <c r="BR437" i="2" s="1"/>
  <c r="BX437" i="2" s="1"/>
  <c r="BD400" i="1" a="1"/>
  <c r="BD400" i="1" s="1"/>
  <c r="BM400" i="1" s="1" a="1"/>
  <c r="BM400" i="1" s="1"/>
  <c r="BW400" i="1" s="1"/>
  <c r="R400" i="1"/>
  <c r="AZ400" i="1" s="1"/>
  <c r="BK400" i="1" s="1"/>
  <c r="BR400" i="1" s="1"/>
  <c r="BX400" i="1" s="1"/>
  <c r="CA400" i="1" s="1"/>
  <c r="CM402" i="1"/>
  <c r="BD402" i="1" a="1"/>
  <c r="BD402" i="1" s="1"/>
  <c r="R425" i="2"/>
  <c r="R401" i="1"/>
  <c r="AZ401" i="1" s="1"/>
  <c r="BK401" i="1" s="1"/>
  <c r="BR401" i="1" s="1"/>
  <c r="BD401" i="1" a="1"/>
  <c r="BD401" i="1" s="1"/>
  <c r="BM401" i="1" s="1" a="1"/>
  <c r="BM401" i="1" s="1"/>
  <c r="BW401" i="1" s="1"/>
  <c r="BD424" i="2" a="1"/>
  <c r="BD424" i="2" s="1"/>
  <c r="BM424" i="2" s="1" a="1"/>
  <c r="BM424" i="2" s="1"/>
  <c r="BW424" i="2" s="1"/>
  <c r="R424" i="2"/>
  <c r="AZ424" i="2" s="1"/>
  <c r="BK424" i="2" s="1"/>
  <c r="BR424" i="2" s="1"/>
  <c r="R423" i="2"/>
  <c r="AZ423" i="2" s="1"/>
  <c r="BK423" i="2" s="1"/>
  <c r="BR423" i="2" s="1"/>
  <c r="BD423" i="2" a="1"/>
  <c r="BD423" i="2" s="1"/>
  <c r="BM423" i="2" s="1" a="1"/>
  <c r="BM423" i="2" s="1"/>
  <c r="BW423" i="2" s="1"/>
  <c r="BX425" i="2"/>
  <c r="CA425" i="2" s="1"/>
  <c r="BM425" i="2" a="1"/>
  <c r="BM425" i="2" s="1"/>
  <c r="BW425" i="2" s="1"/>
  <c r="BD347" i="2" a="1"/>
  <c r="BD347" i="2" s="1"/>
  <c r="BM347" i="2" s="1" a="1"/>
  <c r="BM347" i="2" s="1"/>
  <c r="BW347" i="2" s="1"/>
  <c r="BD26" i="2" a="1"/>
  <c r="BD26" i="2" s="1"/>
  <c r="BM26" i="2" s="1" a="1"/>
  <c r="BM26" i="2" s="1"/>
  <c r="BW26" i="2" s="1"/>
  <c r="BD272" i="2" a="1"/>
  <c r="BD272" i="2" s="1"/>
  <c r="BM272" i="2" s="1" a="1"/>
  <c r="BM272" i="2" s="1"/>
  <c r="BW272" i="2" s="1"/>
  <c r="R351" i="2"/>
  <c r="AZ351" i="2" s="1"/>
  <c r="BK351" i="2" s="1"/>
  <c r="BR351" i="2" s="1"/>
  <c r="BX351" i="2" s="1"/>
  <c r="CA351" i="2" s="1"/>
  <c r="R267" i="2"/>
  <c r="AZ267" i="2" s="1"/>
  <c r="BK267" i="2" s="1"/>
  <c r="BR267" i="2" s="1"/>
  <c r="BX267" i="2" s="1"/>
  <c r="CA267" i="2" s="1"/>
  <c r="R54" i="2"/>
  <c r="BD54" i="1" a="1"/>
  <c r="BD54" i="1" s="1"/>
  <c r="BM54" i="1" s="1" a="1"/>
  <c r="BM54" i="1" s="1"/>
  <c r="BW54" i="1" s="1"/>
  <c r="R253" i="1"/>
  <c r="AZ253" i="1" s="1"/>
  <c r="BK253" i="1" s="1"/>
  <c r="BR253" i="1" s="1"/>
  <c r="BX253" i="1" s="1"/>
  <c r="CA253" i="1" s="1"/>
  <c r="BD253" i="1" a="1"/>
  <c r="BD253" i="1" s="1"/>
  <c r="BM253" i="1" s="1" a="1"/>
  <c r="BM253" i="1" s="1"/>
  <c r="BW253" i="1" s="1"/>
  <c r="CA57" i="2"/>
  <c r="BD57" i="2" a="1"/>
  <c r="BD57" i="2" s="1"/>
  <c r="BM57" i="2" s="1" a="1"/>
  <c r="BM57" i="2" s="1"/>
  <c r="BW57" i="2" s="1"/>
  <c r="BD28" i="1" a="1"/>
  <c r="BD28" i="1" s="1"/>
  <c r="BM28" i="1" s="1" a="1"/>
  <c r="BM28" i="1" s="1"/>
  <c r="BW28" i="1" s="1"/>
  <c r="BD56" i="2" a="1"/>
  <c r="BD56" i="2" s="1"/>
  <c r="BM56" i="2" s="1" a="1"/>
  <c r="BM56" i="2" s="1"/>
  <c r="BW56" i="2" s="1"/>
  <c r="R25" i="1"/>
  <c r="AZ25" i="1" s="1"/>
  <c r="BK25" i="1" s="1"/>
  <c r="BR25" i="1" s="1"/>
  <c r="BX25" i="1" s="1"/>
  <c r="CA25" i="1" s="1"/>
  <c r="R52" i="1"/>
  <c r="AZ52" i="1" s="1"/>
  <c r="BK52" i="1" s="1"/>
  <c r="BR52" i="1" s="1"/>
  <c r="BX52" i="1" s="1"/>
  <c r="BD335" i="1" a="1"/>
  <c r="BD335" i="1" s="1"/>
  <c r="BM335" i="1" s="1" a="1"/>
  <c r="BM335" i="1" s="1"/>
  <c r="BW335" i="1" s="1"/>
  <c r="BD256" i="1" a="1"/>
  <c r="BD256" i="1" s="1"/>
  <c r="BM256" i="1" s="1" a="1"/>
  <c r="BM256" i="1" s="1"/>
  <c r="BW256" i="1" s="1"/>
  <c r="CA276" i="2"/>
  <c r="BD336" i="1" a="1"/>
  <c r="BD336" i="1" s="1"/>
  <c r="BM336" i="1" s="1" a="1"/>
  <c r="BM336" i="1" s="1"/>
  <c r="BW336" i="1" s="1"/>
  <c r="BD276" i="2" a="1"/>
  <c r="BD276" i="2" s="1"/>
  <c r="BM276" i="2" s="1" a="1"/>
  <c r="BM276" i="2" s="1"/>
  <c r="BW276" i="2" s="1"/>
  <c r="BD28" i="2" a="1"/>
  <c r="BD28" i="2" s="1"/>
  <c r="BM28" i="2" s="1" a="1"/>
  <c r="BM28" i="2" s="1"/>
  <c r="BW28" i="2" s="1"/>
  <c r="BD53" i="1" a="1"/>
  <c r="BD53" i="1" s="1"/>
  <c r="R260" i="2"/>
  <c r="AZ260" i="2" s="1"/>
  <c r="BK260" i="2" s="1"/>
  <c r="BR260" i="2" s="1"/>
  <c r="BX260" i="2" s="1"/>
  <c r="CA260" i="2" s="1"/>
  <c r="BD260" i="2" a="1"/>
  <c r="BD260" i="2" s="1"/>
  <c r="BM260" i="2" s="1" a="1"/>
  <c r="BM260" i="2" s="1"/>
  <c r="BW260" i="2" s="1"/>
  <c r="BD246" i="2" a="1"/>
  <c r="BD246" i="2" s="1"/>
  <c r="BM246" i="2" s="1" a="1"/>
  <c r="BM246" i="2" s="1"/>
  <c r="BW246" i="2" s="1"/>
  <c r="R350" i="2"/>
  <c r="AZ350" i="2" s="1"/>
  <c r="BK350" i="2" s="1"/>
  <c r="BR350" i="2" s="1"/>
  <c r="BX350" i="2" s="1"/>
  <c r="CA350" i="2" s="1"/>
  <c r="BD413" i="1" a="1"/>
  <c r="BD413" i="1" s="1"/>
  <c r="BM413" i="1" s="1" a="1"/>
  <c r="BM413" i="1" s="1"/>
  <c r="BW413" i="1" s="1"/>
  <c r="R435" i="2"/>
  <c r="AZ435" i="2" s="1"/>
  <c r="BK435" i="2" s="1"/>
  <c r="BR435" i="2" s="1"/>
  <c r="BX435" i="2" s="1"/>
  <c r="BD415" i="1" a="1"/>
  <c r="BD415" i="1" s="1"/>
  <c r="BM415" i="1" s="1" a="1"/>
  <c r="BM415" i="1" s="1"/>
  <c r="BW415" i="1" s="1"/>
  <c r="R415" i="1"/>
  <c r="AZ415" i="1" s="1"/>
  <c r="BK415" i="1" s="1"/>
  <c r="BR415" i="1" s="1"/>
  <c r="BX415" i="1" s="1"/>
  <c r="CA415" i="1" s="1"/>
  <c r="CA412" i="1"/>
  <c r="R439" i="2"/>
  <c r="AZ439" i="2" s="1"/>
  <c r="BK439" i="2" s="1"/>
  <c r="BR439" i="2" s="1"/>
  <c r="BD439" i="2" a="1"/>
  <c r="BD439" i="2" s="1"/>
  <c r="BM439" i="2" s="1" a="1"/>
  <c r="BM439" i="2" s="1"/>
  <c r="BW439" i="2" s="1"/>
  <c r="BD416" i="1" a="1"/>
  <c r="BD416" i="1" s="1"/>
  <c r="BM416" i="1" s="1" a="1"/>
  <c r="BM416" i="1" s="1"/>
  <c r="BW416" i="1" s="1"/>
  <c r="R416" i="1"/>
  <c r="AZ416" i="1" s="1"/>
  <c r="BK416" i="1" s="1"/>
  <c r="BR416" i="1" s="1"/>
  <c r="BX416" i="1" s="1"/>
  <c r="R417" i="1"/>
  <c r="AZ417" i="1" s="1"/>
  <c r="BK417" i="1" s="1"/>
  <c r="BR417" i="1" s="1"/>
  <c r="BX417" i="1" s="1"/>
  <c r="CA417" i="1" s="1"/>
  <c r="R438" i="2"/>
  <c r="AZ438" i="2" s="1"/>
  <c r="BK438" i="2" s="1"/>
  <c r="BR438" i="2" s="1"/>
  <c r="BX438" i="2" s="1"/>
  <c r="R436" i="2"/>
  <c r="AZ436" i="2" s="1"/>
  <c r="BK436" i="2" s="1"/>
  <c r="BR436" i="2" s="1"/>
  <c r="BX436" i="2" s="1"/>
  <c r="CA436" i="2" s="1"/>
  <c r="R340" i="1"/>
  <c r="AZ340" i="1" s="1"/>
  <c r="BK340" i="1" s="1"/>
  <c r="BR340" i="1" s="1"/>
  <c r="BX340" i="1" s="1"/>
  <c r="CA340" i="1" s="1"/>
  <c r="BD319" i="1" a="1"/>
  <c r="BD319" i="1" s="1"/>
  <c r="BM319" i="1" s="1" a="1"/>
  <c r="BM319" i="1" s="1"/>
  <c r="BW319" i="1" s="1"/>
  <c r="BD422" i="2" a="1"/>
  <c r="BD422" i="2" s="1"/>
  <c r="BM422" i="2" s="1" a="1"/>
  <c r="BM422" i="2" s="1"/>
  <c r="BW422" i="2" s="1"/>
  <c r="R422" i="2"/>
  <c r="AZ422" i="2" s="1"/>
  <c r="BK422" i="2" s="1"/>
  <c r="BR422" i="2" s="1"/>
  <c r="BX422" i="2" s="1"/>
  <c r="CA422" i="2" s="1"/>
  <c r="CM395" i="1"/>
  <c r="BD395" i="1" a="1"/>
  <c r="BD395" i="1" s="1"/>
  <c r="BM395" i="1" s="1" a="1"/>
  <c r="BM395" i="1" s="1"/>
  <c r="BW395" i="1" s="1"/>
  <c r="BD384" i="2" a="1"/>
  <c r="BD384" i="2" s="1"/>
  <c r="BM384" i="2" s="1" a="1"/>
  <c r="BM384" i="2" s="1"/>
  <c r="BW384" i="2" s="1"/>
  <c r="R384" i="2"/>
  <c r="AZ384" i="2" s="1"/>
  <c r="BK384" i="2" s="1"/>
  <c r="BR384" i="2" s="1"/>
  <c r="BX384" i="2" s="1"/>
  <c r="CA384" i="2" s="1"/>
  <c r="BD385" i="2" a="1"/>
  <c r="BD385" i="2" s="1"/>
  <c r="BM385" i="2" s="1" a="1"/>
  <c r="BM385" i="2" s="1"/>
  <c r="BW385" i="2" s="1"/>
  <c r="R385" i="2"/>
  <c r="AZ385" i="2" s="1"/>
  <c r="BK385" i="2" s="1"/>
  <c r="BR385" i="2" s="1"/>
  <c r="BX385" i="2" s="1"/>
  <c r="CA385" i="2" s="1"/>
  <c r="R421" i="2"/>
  <c r="AZ421" i="2" s="1"/>
  <c r="BK421" i="2" s="1"/>
  <c r="BR421" i="2" s="1"/>
  <c r="BX421" i="2" s="1"/>
  <c r="CA421" i="2" s="1"/>
  <c r="BD421" i="2" a="1"/>
  <c r="BD421" i="2" s="1"/>
  <c r="BM421" i="2" s="1" a="1"/>
  <c r="BM421" i="2" s="1"/>
  <c r="BW421" i="2" s="1"/>
  <c r="R391" i="2"/>
  <c r="AZ391" i="2" s="1"/>
  <c r="BK391" i="2" s="1"/>
  <c r="BR391" i="2" s="1"/>
  <c r="BX391" i="2" s="1"/>
  <c r="CA391" i="2" s="1"/>
  <c r="R255" i="1"/>
  <c r="AZ255" i="1" s="1"/>
  <c r="BK255" i="1" s="1"/>
  <c r="BR255" i="1" s="1"/>
  <c r="BX255" i="1" s="1"/>
  <c r="CA255" i="1" s="1"/>
  <c r="BD255" i="1" a="1"/>
  <c r="BD255" i="1" s="1"/>
  <c r="BM255" i="1" s="1" a="1"/>
  <c r="BM255" i="1" s="1"/>
  <c r="BW255" i="1" s="1"/>
  <c r="BD55" i="2" a="1"/>
  <c r="BD55" i="2" s="1"/>
  <c r="BM55" i="2" s="1" a="1"/>
  <c r="BM55" i="2" s="1"/>
  <c r="BW55" i="2" s="1"/>
  <c r="R55" i="2"/>
  <c r="AZ55" i="2" s="1"/>
  <c r="BK55" i="2" s="1"/>
  <c r="BR55" i="2" s="1"/>
  <c r="R346" i="2"/>
  <c r="AZ346" i="2" s="1"/>
  <c r="BK346" i="2" s="1"/>
  <c r="BR346" i="2" s="1"/>
  <c r="BX346" i="2" s="1"/>
  <c r="CA346" i="2" s="1"/>
  <c r="BD346" i="2" a="1"/>
  <c r="BD346" i="2" s="1"/>
  <c r="BM346" i="2" s="1" a="1"/>
  <c r="BM346" i="2" s="1"/>
  <c r="BW346" i="2" s="1"/>
  <c r="BM27" i="2" a="1"/>
  <c r="BM27" i="2" s="1"/>
  <c r="BW27" i="2" s="1"/>
  <c r="AZ27" i="2" a="1"/>
  <c r="AZ27" i="2" s="1"/>
  <c r="BK27" i="2" s="1"/>
  <c r="BR27" i="2" s="1"/>
  <c r="BX27" i="2" s="1"/>
  <c r="CA27" i="2" s="1"/>
  <c r="R331" i="1"/>
  <c r="AZ331" i="1" s="1"/>
  <c r="BK331" i="1" s="1"/>
  <c r="BR331" i="1" s="1"/>
  <c r="BX331" i="1" s="1"/>
  <c r="CA331" i="1" s="1"/>
  <c r="BD331" i="1" a="1"/>
  <c r="BD331" i="1" s="1"/>
  <c r="BM331" i="1" s="1" a="1"/>
  <c r="BM331" i="1" s="1"/>
  <c r="BW331" i="1" s="1"/>
  <c r="R330" i="1"/>
  <c r="AZ330" i="1" s="1"/>
  <c r="BK330" i="1" s="1"/>
  <c r="BR330" i="1" s="1"/>
  <c r="BX330" i="1" s="1"/>
  <c r="CA330" i="1" s="1"/>
  <c r="BD330" i="1" a="1"/>
  <c r="BD330" i="1" s="1"/>
  <c r="BM330" i="1" s="1" a="1"/>
  <c r="BM330" i="1" s="1"/>
  <c r="BW330" i="1" s="1"/>
  <c r="R231" i="1"/>
  <c r="AZ231" i="1" s="1"/>
  <c r="BK231" i="1" s="1"/>
  <c r="BR231" i="1" s="1"/>
  <c r="BX231" i="1" s="1"/>
  <c r="BD231" i="1" a="1"/>
  <c r="BD231" i="1" s="1"/>
  <c r="BM231" i="1" s="1" a="1"/>
  <c r="BM231" i="1" s="1"/>
  <c r="BW231" i="1" s="1"/>
  <c r="R27" i="2"/>
  <c r="BD352" i="2" a="1"/>
  <c r="BD352" i="2" s="1"/>
  <c r="BM352" i="2" s="1" a="1"/>
  <c r="BM352" i="2" s="1"/>
  <c r="BW352" i="2" s="1"/>
  <c r="R266" i="2"/>
  <c r="R349" i="2"/>
  <c r="AZ349" i="2" s="1"/>
  <c r="BK349" i="2" s="1"/>
  <c r="BR349" i="2" s="1"/>
  <c r="BX349" i="2" s="1"/>
  <c r="BD117" i="2" a="1"/>
  <c r="BD117" i="2" s="1"/>
  <c r="BM117" i="2" s="1" a="1"/>
  <c r="BM117" i="2" s="1"/>
  <c r="BW117" i="2" s="1"/>
  <c r="BD27" i="1" a="1"/>
  <c r="BD27" i="1" s="1"/>
  <c r="R264" i="2"/>
  <c r="AZ264" i="2" s="1"/>
  <c r="BK264" i="2" s="1"/>
  <c r="BR264" i="2" s="1"/>
  <c r="BX264" i="2" s="1"/>
  <c r="CA264" i="2" s="1"/>
  <c r="BD214" i="2" a="1"/>
  <c r="BD214" i="2" s="1"/>
  <c r="BM214" i="2" s="1" a="1"/>
  <c r="BM214" i="2" s="1"/>
  <c r="BW214" i="2" s="1"/>
  <c r="R51" i="1"/>
  <c r="AZ51" i="1" s="1"/>
  <c r="BK51" i="1" s="1"/>
  <c r="BR51" i="1" s="1"/>
  <c r="BX51" i="1" s="1"/>
  <c r="CA51" i="1" s="1"/>
  <c r="BD277" i="2" a="1"/>
  <c r="BD277" i="2" s="1"/>
  <c r="BM277" i="2" s="1" a="1"/>
  <c r="BM277" i="2" s="1"/>
  <c r="BW277" i="2" s="1"/>
  <c r="BD345" i="2" a="1"/>
  <c r="BD345" i="2" s="1"/>
  <c r="BM345" i="2" s="1" a="1"/>
  <c r="BM345" i="2" s="1"/>
  <c r="BW345" i="2" s="1"/>
  <c r="R378" i="2"/>
  <c r="AZ378" i="2" s="1"/>
  <c r="BK378" i="2" s="1"/>
  <c r="BR378" i="2" s="1"/>
  <c r="BD378" i="2" a="1"/>
  <c r="BD378" i="2" s="1"/>
  <c r="BM378" i="2" s="1" a="1"/>
  <c r="BM378" i="2" s="1"/>
  <c r="BW378" i="2" s="1"/>
  <c r="R365" i="1"/>
  <c r="AZ365" i="1" s="1"/>
  <c r="BK365" i="1" s="1"/>
  <c r="BR365" i="1" s="1"/>
  <c r="BD365" i="1" a="1"/>
  <c r="BD365" i="1" s="1"/>
  <c r="BM365" i="1" s="1" a="1"/>
  <c r="BM365" i="1" s="1"/>
  <c r="BW365" i="1" s="1"/>
  <c r="CM410" i="1"/>
  <c r="BD410" i="1" a="1"/>
  <c r="BD410" i="1" s="1"/>
  <c r="BX383" i="2"/>
  <c r="CA383" i="2" s="1"/>
  <c r="BD433" i="2" a="1"/>
  <c r="BD433" i="2" s="1"/>
  <c r="R433" i="2"/>
  <c r="BD366" i="1" a="1"/>
  <c r="BD366" i="1" s="1"/>
  <c r="BM366" i="1" s="1" a="1"/>
  <c r="BM366" i="1" s="1"/>
  <c r="BW366" i="1" s="1"/>
  <c r="R366" i="1"/>
  <c r="AZ366" i="1" s="1"/>
  <c r="BK366" i="1" s="1"/>
  <c r="BR366" i="1" s="1"/>
  <c r="R360" i="1"/>
  <c r="AZ360" i="1" s="1"/>
  <c r="BK360" i="1" s="1"/>
  <c r="BR360" i="1" s="1"/>
  <c r="BD360" i="1" a="1"/>
  <c r="BD360" i="1" s="1"/>
  <c r="BM360" i="1" s="1" a="1"/>
  <c r="BM360" i="1" s="1"/>
  <c r="BW360" i="1" s="1"/>
  <c r="BD383" i="1" a="1"/>
  <c r="BD383" i="1" s="1"/>
  <c r="CM383" i="1"/>
  <c r="BD403" i="2" a="1"/>
  <c r="BD403" i="2" s="1"/>
  <c r="R403" i="2"/>
  <c r="R416" i="2"/>
  <c r="BD416" i="2" a="1"/>
  <c r="BD416" i="2" s="1"/>
  <c r="BD371" i="1" a="1"/>
  <c r="BD371" i="1" s="1"/>
  <c r="BM371" i="1" s="1" a="1"/>
  <c r="BM371" i="1" s="1"/>
  <c r="BW371" i="1" s="1"/>
  <c r="R371" i="1"/>
  <c r="AZ371" i="1" s="1"/>
  <c r="BK371" i="1" s="1"/>
  <c r="BR371" i="1" s="1"/>
  <c r="BD383" i="2" a="1"/>
  <c r="BD383" i="2" s="1"/>
  <c r="BM383" i="2" s="1" a="1"/>
  <c r="BM383" i="2" s="1"/>
  <c r="BW383" i="2" s="1"/>
  <c r="BD176" i="2" a="1"/>
  <c r="BD176" i="2" s="1"/>
  <c r="BM176" i="2" s="1" a="1"/>
  <c r="BM176" i="2" s="1"/>
  <c r="BW176" i="2" s="1"/>
  <c r="R176" i="2"/>
  <c r="R130" i="1"/>
  <c r="CM130" i="1"/>
  <c r="BD130" i="1" a="1"/>
  <c r="BD130" i="1" s="1"/>
  <c r="R141" i="2"/>
  <c r="BD141" i="2" a="1"/>
  <c r="BD141" i="2" s="1"/>
  <c r="CM164" i="1"/>
  <c r="BD164" i="1" a="1"/>
  <c r="BD164" i="1" s="1"/>
  <c r="BD152" i="2" a="1"/>
  <c r="BD152" i="2" s="1"/>
  <c r="BM152" i="2" s="1" a="1"/>
  <c r="BM152" i="2" s="1"/>
  <c r="BW152" i="2" s="1"/>
  <c r="R152" i="2"/>
  <c r="AZ152" i="2" s="1"/>
  <c r="BK152" i="2" s="1"/>
  <c r="BR152" i="2" s="1"/>
  <c r="BD140" i="1" a="1"/>
  <c r="BD140" i="1" s="1"/>
  <c r="BM140" i="1" s="1" a="1"/>
  <c r="BM140" i="1" s="1"/>
  <c r="BW140" i="1" s="1"/>
  <c r="R140" i="1"/>
  <c r="AZ140" i="1" s="1"/>
  <c r="BK140" i="1" s="1"/>
  <c r="BR140" i="1" s="1"/>
  <c r="BD298" i="1" a="1"/>
  <c r="BD298" i="1" s="1"/>
  <c r="BX352" i="2"/>
  <c r="CA352" i="2" s="1"/>
  <c r="BM266" i="2" a="1"/>
  <c r="BM266" i="2" s="1"/>
  <c r="BW266" i="2" s="1"/>
  <c r="AZ266" i="2" a="1"/>
  <c r="AZ266" i="2" s="1"/>
  <c r="BK266" i="2" s="1"/>
  <c r="BR266" i="2" s="1"/>
  <c r="R52" i="2"/>
  <c r="AZ52" i="2" s="1"/>
  <c r="BK52" i="2" s="1"/>
  <c r="BR52" i="2" s="1"/>
  <c r="BX52" i="2" s="1"/>
  <c r="CA52" i="2" s="1"/>
  <c r="BD52" i="2" a="1"/>
  <c r="BD52" i="2" s="1"/>
  <c r="BM52" i="2" s="1" a="1"/>
  <c r="BM52" i="2" s="1"/>
  <c r="BW52" i="2" s="1"/>
  <c r="BD279" i="2" a="1"/>
  <c r="BD279" i="2" s="1"/>
  <c r="BM279" i="2" s="1" a="1"/>
  <c r="BM279" i="2" s="1"/>
  <c r="BW279" i="2" s="1"/>
  <c r="R279" i="2"/>
  <c r="AZ279" i="2" s="1"/>
  <c r="BK279" i="2" s="1"/>
  <c r="BR279" i="2" s="1"/>
  <c r="BX279" i="2" s="1"/>
  <c r="CA279" i="2" s="1"/>
  <c r="BD329" i="1" a="1"/>
  <c r="BD329" i="1" s="1"/>
  <c r="BM329" i="1" s="1" a="1"/>
  <c r="BM329" i="1" s="1"/>
  <c r="BW329" i="1" s="1"/>
  <c r="R329" i="1"/>
  <c r="AZ329" i="1" s="1"/>
  <c r="BK329" i="1" s="1"/>
  <c r="BR329" i="1" s="1"/>
  <c r="BX329" i="1" s="1"/>
  <c r="CA329" i="1" s="1"/>
  <c r="BX56" i="2"/>
  <c r="CA56" i="2" s="1"/>
  <c r="BD25" i="2" a="1"/>
  <c r="BD25" i="2" s="1"/>
  <c r="BM25" i="2" s="1" a="1"/>
  <c r="BM25" i="2" s="1"/>
  <c r="BW25" i="2" s="1"/>
  <c r="R25" i="2"/>
  <c r="AZ25" i="2" s="1"/>
  <c r="BK25" i="2" s="1"/>
  <c r="BR25" i="2" s="1"/>
  <c r="BX25" i="2" s="1"/>
  <c r="R53" i="2"/>
  <c r="AZ53" i="2" s="1"/>
  <c r="BK53" i="2" s="1"/>
  <c r="BR53" i="2" s="1"/>
  <c r="BD53" i="2" a="1"/>
  <c r="BD53" i="2" s="1"/>
  <c r="BM53" i="2" s="1" a="1"/>
  <c r="BM53" i="2" s="1"/>
  <c r="BW53" i="2" s="1"/>
  <c r="BD269" i="2" a="1"/>
  <c r="BD269" i="2" s="1"/>
  <c r="BM269" i="2" s="1" a="1"/>
  <c r="BM269" i="2" s="1"/>
  <c r="BW269" i="2" s="1"/>
  <c r="R269" i="2"/>
  <c r="AZ269" i="2" s="1"/>
  <c r="BK269" i="2" s="1"/>
  <c r="BR269" i="2" s="1"/>
  <c r="BX269" i="2" s="1"/>
  <c r="R332" i="1"/>
  <c r="AZ332" i="1" s="1"/>
  <c r="BK332" i="1" s="1"/>
  <c r="BR332" i="1" s="1"/>
  <c r="BD332" i="1" a="1"/>
  <c r="BD332" i="1" s="1"/>
  <c r="BM332" i="1" s="1" a="1"/>
  <c r="BM332" i="1" s="1"/>
  <c r="BW332" i="1" s="1"/>
  <c r="R165" i="1"/>
  <c r="AZ165" i="1" s="1"/>
  <c r="BK165" i="1" s="1"/>
  <c r="BR165" i="1" s="1"/>
  <c r="BX165" i="1" s="1"/>
  <c r="CA165" i="1" s="1"/>
  <c r="BD165" i="1" a="1"/>
  <c r="BD165" i="1" s="1"/>
  <c r="BM165" i="1" s="1" a="1"/>
  <c r="BM165" i="1" s="1"/>
  <c r="BW165" i="1" s="1"/>
  <c r="BD128" i="2" a="1"/>
  <c r="BD128" i="2" s="1"/>
  <c r="BM128" i="2" s="1" a="1"/>
  <c r="BM128" i="2" s="1"/>
  <c r="BW128" i="2" s="1"/>
  <c r="R128" i="2"/>
  <c r="AZ128" i="2" s="1"/>
  <c r="BK128" i="2" s="1"/>
  <c r="BR128" i="2" s="1"/>
  <c r="BX128" i="2" s="1"/>
  <c r="CA128" i="2" s="1"/>
  <c r="R257" i="1"/>
  <c r="AZ257" i="1" s="1"/>
  <c r="BK257" i="1" s="1"/>
  <c r="BR257" i="1" s="1"/>
  <c r="BD257" i="1" a="1"/>
  <c r="BD257" i="1" s="1"/>
  <c r="BM257" i="1" s="1" a="1"/>
  <c r="BM257" i="1" s="1"/>
  <c r="BW257" i="1" s="1"/>
  <c r="R270" i="2"/>
  <c r="AZ270" i="2" s="1"/>
  <c r="BK270" i="2" s="1"/>
  <c r="BR270" i="2" s="1"/>
  <c r="BD270" i="2" a="1"/>
  <c r="BD270" i="2" s="1"/>
  <c r="BM270" i="2" s="1" a="1"/>
  <c r="BM270" i="2" s="1"/>
  <c r="BW270" i="2" s="1"/>
  <c r="BX28" i="2"/>
  <c r="CA28" i="2" s="1"/>
  <c r="BD348" i="2" a="1"/>
  <c r="BD348" i="2" s="1"/>
  <c r="BM348" i="2" s="1" a="1"/>
  <c r="BM348" i="2" s="1"/>
  <c r="BW348" i="2" s="1"/>
  <c r="R278" i="2"/>
  <c r="AZ278" i="2" s="1"/>
  <c r="BK278" i="2" s="1"/>
  <c r="BR278" i="2" s="1"/>
  <c r="BX278" i="2" s="1"/>
  <c r="CA278" i="2" s="1"/>
  <c r="R268" i="2"/>
  <c r="AZ268" i="2" s="1"/>
  <c r="BK268" i="2" s="1"/>
  <c r="BR268" i="2" s="1"/>
  <c r="BX268" i="2" s="1"/>
  <c r="CA254" i="1"/>
  <c r="BD248" i="2" a="1"/>
  <c r="BD248" i="2" s="1"/>
  <c r="BM248" i="2" s="1" a="1"/>
  <c r="BM248" i="2" s="1"/>
  <c r="BW248" i="2" s="1"/>
  <c r="R273" i="2"/>
  <c r="AZ273" i="2" s="1"/>
  <c r="BK273" i="2" s="1"/>
  <c r="BR273" i="2" s="1"/>
  <c r="BX273" i="2" s="1"/>
  <c r="CA273" i="2" s="1"/>
  <c r="CA335" i="1"/>
  <c r="R308" i="2"/>
  <c r="AZ308" i="2" s="1"/>
  <c r="BK308" i="2" s="1"/>
  <c r="BR308" i="2" s="1"/>
  <c r="BX308" i="2" s="1"/>
  <c r="CA308" i="2" s="1"/>
  <c r="BD308" i="2" a="1"/>
  <c r="BD308" i="2" s="1"/>
  <c r="BM308" i="2" s="1" a="1"/>
  <c r="BM308" i="2" s="1"/>
  <c r="BW308" i="2" s="1"/>
  <c r="R292" i="1"/>
  <c r="AZ292" i="1" s="1"/>
  <c r="BK292" i="1" s="1"/>
  <c r="BR292" i="1" s="1"/>
  <c r="BD292" i="1" a="1"/>
  <c r="BD292" i="1" s="1"/>
  <c r="BM292" i="1" s="1" a="1"/>
  <c r="BM292" i="1" s="1"/>
  <c r="BW292" i="1" s="1"/>
  <c r="R293" i="1"/>
  <c r="AZ293" i="1" s="1"/>
  <c r="BK293" i="1" s="1"/>
  <c r="BR293" i="1" s="1"/>
  <c r="BD293" i="1" a="1"/>
  <c r="BD293" i="1" s="1"/>
  <c r="BM293" i="1" s="1" a="1"/>
  <c r="BM293" i="1" s="1"/>
  <c r="BW293" i="1" s="1"/>
  <c r="R309" i="2"/>
  <c r="AZ309" i="2" s="1"/>
  <c r="BK309" i="2" s="1"/>
  <c r="BR309" i="2" s="1"/>
  <c r="BD309" i="2" a="1"/>
  <c r="BD309" i="2" s="1"/>
  <c r="BM309" i="2" s="1" a="1"/>
  <c r="BM309" i="2" s="1"/>
  <c r="BW309" i="2" s="1"/>
  <c r="R316" i="1"/>
  <c r="AZ316" i="1" s="1"/>
  <c r="BK316" i="1" s="1"/>
  <c r="BR316" i="1" s="1"/>
  <c r="BX316" i="1" s="1"/>
  <c r="CA316" i="1" s="1"/>
  <c r="BD333" i="2" a="1"/>
  <c r="BD333" i="2" s="1"/>
  <c r="BM333" i="2" s="1" a="1"/>
  <c r="BM333" i="2" s="1"/>
  <c r="BW333" i="2" s="1"/>
  <c r="BD338" i="1" a="1"/>
  <c r="BD338" i="1" s="1"/>
  <c r="BM338" i="1" s="1" a="1"/>
  <c r="BM338" i="1" s="1"/>
  <c r="BW338" i="1" s="1"/>
  <c r="R339" i="1"/>
  <c r="AZ339" i="1" s="1"/>
  <c r="BK339" i="1" s="1"/>
  <c r="BR339" i="1" s="1"/>
  <c r="BX339" i="1" s="1"/>
  <c r="R354" i="2"/>
  <c r="AZ354" i="2" s="1"/>
  <c r="BK354" i="2" s="1"/>
  <c r="BR354" i="2" s="1"/>
  <c r="BX354" i="2" s="1"/>
  <c r="CA354" i="2" s="1"/>
  <c r="BD354" i="2" a="1"/>
  <c r="BD354" i="2" s="1"/>
  <c r="BM354" i="2" s="1" a="1"/>
  <c r="BM354" i="2" s="1"/>
  <c r="BW354" i="2" s="1"/>
  <c r="R297" i="1"/>
  <c r="AZ297" i="1" s="1"/>
  <c r="BK297" i="1" s="1"/>
  <c r="BR297" i="1" s="1"/>
  <c r="BX297" i="1" s="1"/>
  <c r="CA297" i="1" s="1"/>
  <c r="BD321" i="1" a="1"/>
  <c r="BD321" i="1" s="1"/>
  <c r="BM321" i="1" s="1" a="1"/>
  <c r="BM321" i="1" s="1"/>
  <c r="BW321" i="1" s="1"/>
  <c r="BD338" i="2" a="1"/>
  <c r="BD338" i="2" s="1"/>
  <c r="BM338" i="2" s="1" a="1"/>
  <c r="BM338" i="2" s="1"/>
  <c r="BW338" i="2" s="1"/>
  <c r="BD299" i="1" a="1"/>
  <c r="BD299" i="1" s="1"/>
  <c r="BM299" i="1" s="1" a="1"/>
  <c r="BM299" i="1" s="1"/>
  <c r="BW299" i="1" s="1"/>
  <c r="R299" i="1"/>
  <c r="AZ299" i="1" s="1"/>
  <c r="BK299" i="1" s="1"/>
  <c r="BR299" i="1" s="1"/>
  <c r="BX299" i="1" s="1"/>
  <c r="CA299" i="1" s="1"/>
  <c r="BD320" i="1" a="1"/>
  <c r="BD320" i="1" s="1"/>
  <c r="BM320" i="1" s="1" a="1"/>
  <c r="BM320" i="1" s="1"/>
  <c r="BW320" i="1" s="1"/>
  <c r="R320" i="1"/>
  <c r="AZ320" i="1" s="1"/>
  <c r="BK320" i="1" s="1"/>
  <c r="BR320" i="1" s="1"/>
  <c r="BX320" i="1" s="1"/>
  <c r="CA320" i="1" s="1"/>
  <c r="R293" i="2"/>
  <c r="AZ293" i="2" s="1"/>
  <c r="BK293" i="2" s="1"/>
  <c r="BR293" i="2" s="1"/>
  <c r="BX293" i="2" s="1"/>
  <c r="R356" i="2"/>
  <c r="AZ356" i="2" s="1"/>
  <c r="BK356" i="2" s="1"/>
  <c r="BR356" i="2" s="1"/>
  <c r="BX356" i="2" s="1"/>
  <c r="BD313" i="1" a="1"/>
  <c r="BD313" i="1" s="1"/>
  <c r="BM313" i="1" s="1" a="1"/>
  <c r="BM313" i="1" s="1"/>
  <c r="BW313" i="1" s="1"/>
  <c r="CA300" i="1"/>
  <c r="R273" i="1"/>
  <c r="AZ273" i="1" s="1"/>
  <c r="BK273" i="1" s="1"/>
  <c r="BR273" i="1" s="1"/>
  <c r="BX273" i="1" s="1"/>
  <c r="CA273" i="1" s="1"/>
  <c r="BD300" i="1" a="1"/>
  <c r="BD300" i="1" s="1"/>
  <c r="BM300" i="1" s="1" a="1"/>
  <c r="BM300" i="1" s="1"/>
  <c r="BW300" i="1" s="1"/>
  <c r="BD277" i="1" a="1"/>
  <c r="BD277" i="1" s="1"/>
  <c r="BM277" i="1" s="1" a="1"/>
  <c r="BM277" i="1" s="1"/>
  <c r="BW277" i="1" s="1"/>
  <c r="BD315" i="2" a="1"/>
  <c r="BD315" i="2" s="1"/>
  <c r="BM315" i="2" s="1" a="1"/>
  <c r="BM315" i="2" s="1"/>
  <c r="BW315" i="2" s="1"/>
  <c r="R314" i="1"/>
  <c r="AZ314" i="1" s="1"/>
  <c r="BK314" i="1" s="1"/>
  <c r="BR314" i="1" s="1"/>
  <c r="BX314" i="1" s="1"/>
  <c r="CA314" i="1" s="1"/>
  <c r="BD314" i="1" a="1"/>
  <c r="BD314" i="1" s="1"/>
  <c r="BM314" i="1" s="1" a="1"/>
  <c r="BM314" i="1" s="1"/>
  <c r="BW314" i="1" s="1"/>
  <c r="BD322" i="1" a="1"/>
  <c r="BD322" i="1" s="1"/>
  <c r="BM322" i="1" s="1" a="1"/>
  <c r="BM322" i="1" s="1"/>
  <c r="BW322" i="1" s="1"/>
  <c r="R322" i="1"/>
  <c r="AZ322" i="1" s="1"/>
  <c r="BK322" i="1" s="1"/>
  <c r="BR322" i="1" s="1"/>
  <c r="BX322" i="1" s="1"/>
  <c r="R329" i="2"/>
  <c r="AZ329" i="2" s="1"/>
  <c r="BK329" i="2" s="1"/>
  <c r="BR329" i="2" s="1"/>
  <c r="BX329" i="2" s="1"/>
  <c r="CA329" i="2" s="1"/>
  <c r="BD329" i="2" a="1"/>
  <c r="BD329" i="2" s="1"/>
  <c r="BM329" i="2" s="1" a="1"/>
  <c r="BM329" i="2" s="1"/>
  <c r="BW329" i="2" s="1"/>
  <c r="R312" i="2"/>
  <c r="AZ312" i="2" s="1"/>
  <c r="BK312" i="2" s="1"/>
  <c r="BR312" i="2" s="1"/>
  <c r="BD312" i="2" a="1"/>
  <c r="BD312" i="2" s="1"/>
  <c r="BM312" i="2" s="1" a="1"/>
  <c r="BM312" i="2" s="1"/>
  <c r="BW312" i="2" s="1"/>
  <c r="R274" i="1"/>
  <c r="AZ274" i="1" s="1"/>
  <c r="BK274" i="1" s="1"/>
  <c r="BR274" i="1" s="1"/>
  <c r="BX274" i="1" s="1"/>
  <c r="CA274" i="1" s="1"/>
  <c r="BD274" i="1" a="1"/>
  <c r="BD274" i="1" s="1"/>
  <c r="BM274" i="1" s="1" a="1"/>
  <c r="BM274" i="1" s="1"/>
  <c r="BW274" i="1" s="1"/>
  <c r="R278" i="1"/>
  <c r="AZ278" i="1" s="1"/>
  <c r="BK278" i="1" s="1"/>
  <c r="BR278" i="1" s="1"/>
  <c r="BX278" i="1" s="1"/>
  <c r="CA278" i="1" s="1"/>
  <c r="BD278" i="1" a="1"/>
  <c r="BD278" i="1" s="1"/>
  <c r="BM278" i="1" s="1" a="1"/>
  <c r="BM278" i="1" s="1"/>
  <c r="BW278" i="1" s="1"/>
  <c r="BD335" i="2" a="1"/>
  <c r="BD335" i="2" s="1"/>
  <c r="BM335" i="2" s="1" a="1"/>
  <c r="BM335" i="2" s="1"/>
  <c r="BW335" i="2" s="1"/>
  <c r="R335" i="2"/>
  <c r="AZ335" i="2" s="1"/>
  <c r="BK335" i="2" s="1"/>
  <c r="BR335" i="2" s="1"/>
  <c r="BX335" i="2" s="1"/>
  <c r="BD276" i="1" a="1"/>
  <c r="BD276" i="1" s="1"/>
  <c r="BM276" i="1" s="1" a="1"/>
  <c r="BM276" i="1" s="1"/>
  <c r="BW276" i="1" s="1"/>
  <c r="R276" i="1"/>
  <c r="AZ276" i="1" s="1"/>
  <c r="BK276" i="1" s="1"/>
  <c r="BR276" i="1" s="1"/>
  <c r="BX276" i="1" s="1"/>
  <c r="R332" i="2"/>
  <c r="AZ332" i="2" s="1"/>
  <c r="BK332" i="2" s="1"/>
  <c r="BR332" i="2" s="1"/>
  <c r="BX332" i="2" s="1"/>
  <c r="CA332" i="2" s="1"/>
  <c r="BD332" i="2" a="1"/>
  <c r="BD332" i="2" s="1"/>
  <c r="BM332" i="2" s="1" a="1"/>
  <c r="BM332" i="2" s="1"/>
  <c r="BW332" i="2" s="1"/>
  <c r="BD279" i="1" a="1"/>
  <c r="BD279" i="1" s="1"/>
  <c r="BM279" i="1" s="1" a="1"/>
  <c r="BM279" i="1" s="1"/>
  <c r="BW279" i="1" s="1"/>
  <c r="R279" i="1"/>
  <c r="AZ279" i="1" s="1"/>
  <c r="BK279" i="1" s="1"/>
  <c r="BR279" i="1" s="1"/>
  <c r="BX279" i="1" s="1"/>
  <c r="R292" i="2"/>
  <c r="AZ292" i="2" s="1"/>
  <c r="BK292" i="2" s="1"/>
  <c r="BR292" i="2" s="1"/>
  <c r="BX292" i="2" s="1"/>
  <c r="BD292" i="2" a="1"/>
  <c r="BD292" i="2" s="1"/>
  <c r="BM292" i="2" s="1" a="1"/>
  <c r="BM292" i="2" s="1"/>
  <c r="BW292" i="2" s="1"/>
  <c r="R355" i="2"/>
  <c r="AZ355" i="2" s="1"/>
  <c r="BK355" i="2" s="1"/>
  <c r="BR355" i="2" s="1"/>
  <c r="BX355" i="2" s="1"/>
  <c r="CA355" i="2" s="1"/>
  <c r="BD355" i="2" a="1"/>
  <c r="BD355" i="2" s="1"/>
  <c r="BM355" i="2" s="1" a="1"/>
  <c r="BM355" i="2" s="1"/>
  <c r="BW355" i="2" s="1"/>
  <c r="R317" i="1"/>
  <c r="AZ317" i="1" s="1"/>
  <c r="BK317" i="1" s="1"/>
  <c r="BR317" i="1" s="1"/>
  <c r="BX317" i="1" s="1"/>
  <c r="BD317" i="1" a="1"/>
  <c r="BD317" i="1" s="1"/>
  <c r="BM317" i="1" s="1" a="1"/>
  <c r="BM317" i="1" s="1"/>
  <c r="BW317" i="1" s="1"/>
  <c r="R341" i="1"/>
  <c r="AZ341" i="1" s="1"/>
  <c r="BK341" i="1" s="1"/>
  <c r="BR341" i="1" s="1"/>
  <c r="BX341" i="1" s="1"/>
  <c r="BD336" i="2" a="1"/>
  <c r="BD336" i="2" s="1"/>
  <c r="BM336" i="2" s="1" a="1"/>
  <c r="BM336" i="2" s="1"/>
  <c r="BW336" i="2" s="1"/>
  <c r="BX315" i="2"/>
  <c r="CA315" i="2" s="1"/>
  <c r="R294" i="2"/>
  <c r="AZ294" i="2" s="1"/>
  <c r="BK294" i="2" s="1"/>
  <c r="BR294" i="2" s="1"/>
  <c r="BD294" i="2" a="1"/>
  <c r="BD294" i="2" s="1"/>
  <c r="BM294" i="2" s="1" a="1"/>
  <c r="BM294" i="2" s="1"/>
  <c r="BW294" i="2" s="1"/>
  <c r="BX319" i="1"/>
  <c r="CA319" i="1" s="1"/>
  <c r="BX357" i="2"/>
  <c r="CA357" i="2" s="1"/>
  <c r="BD290" i="2" a="1"/>
  <c r="BD290" i="2" s="1"/>
  <c r="BM290" i="2" s="1" a="1"/>
  <c r="BM290" i="2" s="1"/>
  <c r="BW290" i="2" s="1"/>
  <c r="R290" i="2"/>
  <c r="AZ290" i="2" s="1"/>
  <c r="BK290" i="2" s="1"/>
  <c r="BR290" i="2" s="1"/>
  <c r="R358" i="2"/>
  <c r="AZ358" i="2" s="1"/>
  <c r="BK358" i="2" s="1"/>
  <c r="BR358" i="2" s="1"/>
  <c r="BD358" i="2" a="1"/>
  <c r="BD358" i="2" s="1"/>
  <c r="BM358" i="2" s="1" a="1"/>
  <c r="BM358" i="2" s="1"/>
  <c r="BW358" i="2" s="1"/>
  <c r="BX333" i="2"/>
  <c r="CA333" i="2" s="1"/>
  <c r="BX336" i="2"/>
  <c r="CA336" i="2" s="1"/>
  <c r="BX338" i="1"/>
  <c r="CA338" i="1" s="1"/>
  <c r="R330" i="2"/>
  <c r="AZ330" i="2" s="1"/>
  <c r="BK330" i="2" s="1"/>
  <c r="BR330" i="2" s="1"/>
  <c r="BD330" i="2" a="1"/>
  <c r="BD330" i="2" s="1"/>
  <c r="BM330" i="2" s="1" a="1"/>
  <c r="BM330" i="2" s="1"/>
  <c r="BW330" i="2" s="1"/>
  <c r="R295" i="2"/>
  <c r="AZ295" i="2" s="1"/>
  <c r="BK295" i="2" s="1"/>
  <c r="BR295" i="2" s="1"/>
  <c r="BD296" i="1" a="1"/>
  <c r="BD296" i="1" s="1"/>
  <c r="BM296" i="1" s="1" a="1"/>
  <c r="BM296" i="1" s="1"/>
  <c r="BW296" i="1" s="1"/>
  <c r="R296" i="1"/>
  <c r="AZ296" i="1" s="1"/>
  <c r="BK296" i="1" s="1"/>
  <c r="BR296" i="1" s="1"/>
  <c r="CA313" i="1"/>
  <c r="R291" i="2"/>
  <c r="AZ291" i="2" s="1"/>
  <c r="BK291" i="2" s="1"/>
  <c r="BR291" i="2" s="1"/>
  <c r="BD275" i="1" a="1"/>
  <c r="BD275" i="1" s="1"/>
  <c r="BM275" i="1" s="1" a="1"/>
  <c r="BM275" i="1" s="1"/>
  <c r="BW275" i="1" s="1"/>
  <c r="BD316" i="2" a="1"/>
  <c r="BD316" i="2" s="1"/>
  <c r="BM316" i="2" s="1" a="1"/>
  <c r="BM316" i="2" s="1"/>
  <c r="BW316" i="2" s="1"/>
  <c r="R316" i="2"/>
  <c r="AZ316" i="2" s="1"/>
  <c r="BK316" i="2" s="1"/>
  <c r="BR316" i="2" s="1"/>
  <c r="BD289" i="2" a="1"/>
  <c r="BD289" i="2" s="1"/>
  <c r="BM289" i="2" s="1" a="1"/>
  <c r="BM289" i="2" s="1"/>
  <c r="BW289" i="2" s="1"/>
  <c r="R289" i="2"/>
  <c r="AZ289" i="2" s="1"/>
  <c r="BK289" i="2" s="1"/>
  <c r="BR289" i="2" s="1"/>
  <c r="BD299" i="2" a="1"/>
  <c r="BD299" i="2" s="1"/>
  <c r="R299" i="2"/>
  <c r="BD283" i="1" a="1"/>
  <c r="BD283" i="1" s="1"/>
  <c r="CM283" i="1"/>
  <c r="BX338" i="2"/>
  <c r="CA338" i="2" s="1"/>
  <c r="BD314" i="2" a="1"/>
  <c r="BD314" i="2" s="1"/>
  <c r="CA275" i="1"/>
  <c r="R313" i="2"/>
  <c r="AZ313" i="2" s="1"/>
  <c r="BK313" i="2" s="1"/>
  <c r="BR313" i="2" s="1"/>
  <c r="BD357" i="2" a="1"/>
  <c r="BD357" i="2" s="1"/>
  <c r="BM357" i="2" s="1" a="1"/>
  <c r="BM357" i="2" s="1"/>
  <c r="BW357" i="2" s="1"/>
  <c r="R342" i="1"/>
  <c r="AZ342" i="1" s="1"/>
  <c r="BK342" i="1" s="1"/>
  <c r="BR342" i="1" s="1"/>
  <c r="BX321" i="1"/>
  <c r="CA321" i="1" s="1"/>
  <c r="R337" i="2"/>
  <c r="AZ337" i="2" s="1"/>
  <c r="BK337" i="2" s="1"/>
  <c r="BR337" i="2" s="1"/>
  <c r="BD125" i="1" a="1"/>
  <c r="BD125" i="1" s="1"/>
  <c r="BM125" i="1" s="1" a="1"/>
  <c r="BM125" i="1" s="1"/>
  <c r="BW125" i="1" s="1"/>
  <c r="R125" i="1"/>
  <c r="AZ125" i="1" s="1"/>
  <c r="BK125" i="1" s="1"/>
  <c r="BR125" i="1" s="1"/>
  <c r="BX125" i="1" s="1"/>
  <c r="CA125" i="1" s="1"/>
  <c r="BD138" i="2" a="1"/>
  <c r="BD138" i="2" s="1"/>
  <c r="BM138" i="2" s="1" a="1"/>
  <c r="BM138" i="2" s="1"/>
  <c r="BW138" i="2" s="1"/>
  <c r="R138" i="2"/>
  <c r="R126" i="1"/>
  <c r="AZ126" i="1" s="1"/>
  <c r="BK126" i="1" s="1"/>
  <c r="BR126" i="1" s="1"/>
  <c r="BD126" i="1" a="1"/>
  <c r="BD126" i="1" s="1"/>
  <c r="BM126" i="1" s="1" a="1"/>
  <c r="BM126" i="1" s="1"/>
  <c r="BW126" i="1" s="1"/>
  <c r="BX137" i="2"/>
  <c r="CA137" i="2"/>
  <c r="CM127" i="1"/>
  <c r="BD127" i="1" a="1"/>
  <c r="BD127" i="1" s="1"/>
  <c r="R136" i="2"/>
  <c r="AZ136" i="2" s="1"/>
  <c r="BK136" i="2" s="1"/>
  <c r="BR136" i="2" s="1"/>
  <c r="BD136" i="2" a="1"/>
  <c r="BD136" i="2" s="1"/>
  <c r="BM136" i="2" s="1" a="1"/>
  <c r="BM136" i="2" s="1"/>
  <c r="BW136" i="2" s="1"/>
  <c r="AZ138" i="2" a="1"/>
  <c r="AZ138" i="2" s="1"/>
  <c r="BK138" i="2" s="1"/>
  <c r="BR138" i="2" s="1"/>
  <c r="BD137" i="2" a="1"/>
  <c r="BD137" i="2" s="1"/>
  <c r="BM137" i="2" s="1" a="1"/>
  <c r="BM137" i="2" s="1"/>
  <c r="BW137" i="2" s="1"/>
  <c r="BD261" i="2" a="1"/>
  <c r="BD261" i="2" s="1"/>
  <c r="BM261" i="2" s="1" a="1"/>
  <c r="BM261" i="2" s="1"/>
  <c r="BW261" i="2" s="1"/>
  <c r="R201" i="2"/>
  <c r="AZ201" i="2" s="1"/>
  <c r="BK201" i="2" s="1"/>
  <c r="BR201" i="2" s="1"/>
  <c r="BD201" i="2" a="1"/>
  <c r="BD201" i="2" s="1"/>
  <c r="BM201" i="2" s="1" a="1"/>
  <c r="BM201" i="2" s="1"/>
  <c r="BW201" i="2" s="1"/>
  <c r="R285" i="2"/>
  <c r="AZ285" i="2" s="1"/>
  <c r="BK285" i="2" s="1"/>
  <c r="BR285" i="2" s="1"/>
  <c r="BD331" i="2" a="1"/>
  <c r="BD331" i="2" s="1"/>
  <c r="BM331" i="2" s="1" a="1"/>
  <c r="BM331" i="2" s="1"/>
  <c r="BW331" i="2" s="1"/>
  <c r="BD215" i="2" a="1"/>
  <c r="BD215" i="2" s="1"/>
  <c r="BM215" i="2" s="1" a="1"/>
  <c r="BM215" i="2" s="1"/>
  <c r="BW215" i="2" s="1"/>
  <c r="BD199" i="2" a="1"/>
  <c r="BD199" i="2" s="1"/>
  <c r="BM199" i="2" s="1" a="1"/>
  <c r="BM199" i="2" s="1"/>
  <c r="BW199" i="2" s="1"/>
  <c r="R247" i="2"/>
  <c r="AZ247" i="2" s="1"/>
  <c r="BK247" i="2" s="1"/>
  <c r="BR247" i="2" s="1"/>
  <c r="BX247" i="2" s="1"/>
  <c r="CA247" i="2" s="1"/>
  <c r="R270" i="1"/>
  <c r="AZ270" i="1" s="1"/>
  <c r="BK270" i="1" s="1"/>
  <c r="BR270" i="1" s="1"/>
  <c r="BX270" i="1" s="1"/>
  <c r="CA270" i="1" s="1"/>
  <c r="BD270" i="1" a="1"/>
  <c r="BD270" i="1" s="1"/>
  <c r="BM270" i="1" s="1" a="1"/>
  <c r="BM270" i="1" s="1"/>
  <c r="BW270" i="1" s="1"/>
  <c r="R209" i="2"/>
  <c r="AZ209" i="2" s="1"/>
  <c r="BK209" i="2" s="1"/>
  <c r="BR209" i="2" s="1"/>
  <c r="BX209" i="2" s="1"/>
  <c r="CA209" i="2" s="1"/>
  <c r="BD209" i="2" a="1"/>
  <c r="BD209" i="2" s="1"/>
  <c r="BM209" i="2" s="1" a="1"/>
  <c r="BM209" i="2" s="1"/>
  <c r="BW209" i="2" s="1"/>
  <c r="R315" i="1"/>
  <c r="AZ315" i="1" s="1"/>
  <c r="BK315" i="1" s="1"/>
  <c r="BR315" i="1" s="1"/>
  <c r="BX315" i="1" s="1"/>
  <c r="CA315" i="1" s="1"/>
  <c r="BD315" i="1" a="1"/>
  <c r="BD315" i="1" s="1"/>
  <c r="BM315" i="1" s="1" a="1"/>
  <c r="BM315" i="1" s="1"/>
  <c r="BW315" i="1" s="1"/>
  <c r="R286" i="2"/>
  <c r="AZ286" i="2" s="1"/>
  <c r="BK286" i="2" s="1"/>
  <c r="BR286" i="2" s="1"/>
  <c r="BX286" i="2" s="1"/>
  <c r="CA286" i="2" s="1"/>
  <c r="BD286" i="2" a="1"/>
  <c r="BD286" i="2" s="1"/>
  <c r="BM286" i="2" s="1" a="1"/>
  <c r="BM286" i="2" s="1"/>
  <c r="BW286" i="2" s="1"/>
  <c r="R271" i="1"/>
  <c r="AZ271" i="1" s="1"/>
  <c r="BK271" i="1" s="1"/>
  <c r="BR271" i="1" s="1"/>
  <c r="BX271" i="1" s="1"/>
  <c r="CA271" i="1" s="1"/>
  <c r="BD271" i="1" a="1"/>
  <c r="BD271" i="1" s="1"/>
  <c r="BM271" i="1" s="1" a="1"/>
  <c r="BM271" i="1" s="1"/>
  <c r="BW271" i="1" s="1"/>
  <c r="R195" i="1"/>
  <c r="AZ195" i="1" s="1"/>
  <c r="BK195" i="1" s="1"/>
  <c r="BR195" i="1" s="1"/>
  <c r="BX195" i="1" s="1"/>
  <c r="CA195" i="1" s="1"/>
  <c r="BD195" i="1" a="1"/>
  <c r="BD195" i="1" s="1"/>
  <c r="BM195" i="1" s="1" a="1"/>
  <c r="BM195" i="1" s="1"/>
  <c r="BW195" i="1" s="1"/>
  <c r="BD342" i="2" a="1"/>
  <c r="BD342" i="2" s="1"/>
  <c r="BM342" i="2" s="1" a="1"/>
  <c r="BM342" i="2" s="1"/>
  <c r="BW342" i="2" s="1"/>
  <c r="CA342" i="2"/>
  <c r="R343" i="2"/>
  <c r="AZ343" i="2" s="1"/>
  <c r="BK343" i="2" s="1"/>
  <c r="BR343" i="2" s="1"/>
  <c r="BX343" i="2" s="1"/>
  <c r="CA343" i="2" s="1"/>
  <c r="BD318" i="1" a="1"/>
  <c r="BD318" i="1" s="1"/>
  <c r="BM318" i="1" s="1" a="1"/>
  <c r="BM318" i="1" s="1"/>
  <c r="BW318" i="1" s="1"/>
  <c r="R318" i="1"/>
  <c r="AZ318" i="1" s="1"/>
  <c r="BK318" i="1" s="1"/>
  <c r="BR318" i="1" s="1"/>
  <c r="BX318" i="1" s="1"/>
  <c r="CA318" i="1" s="1"/>
  <c r="R390" i="2"/>
  <c r="AZ390" i="2" s="1"/>
  <c r="BK390" i="2" s="1"/>
  <c r="BR390" i="2" s="1"/>
  <c r="BX390" i="2" s="1"/>
  <c r="CA390" i="2" s="1"/>
  <c r="R368" i="1"/>
  <c r="AZ368" i="1" s="1"/>
  <c r="BK368" i="1" s="1"/>
  <c r="BR368" i="1" s="1"/>
  <c r="BD368" i="1" a="1"/>
  <c r="BD368" i="1" s="1"/>
  <c r="BM368" i="1" s="1" a="1"/>
  <c r="BM368" i="1" s="1"/>
  <c r="BW368" i="1" s="1"/>
  <c r="R370" i="1"/>
  <c r="AZ370" i="1" s="1"/>
  <c r="BK370" i="1" s="1"/>
  <c r="BR370" i="1" s="1"/>
  <c r="BD370" i="1" a="1"/>
  <c r="BD370" i="1" s="1"/>
  <c r="BM370" i="1" s="1" a="1"/>
  <c r="BM370" i="1" s="1"/>
  <c r="BW370" i="1" s="1"/>
  <c r="R388" i="2"/>
  <c r="AZ388" i="2" s="1"/>
  <c r="BK388" i="2" s="1"/>
  <c r="BR388" i="2" s="1"/>
  <c r="BD388" i="2" a="1"/>
  <c r="BD388" i="2" s="1"/>
  <c r="BM388" i="2" s="1" a="1"/>
  <c r="BM388" i="2" s="1"/>
  <c r="BW388" i="2" s="1"/>
  <c r="R334" i="2"/>
  <c r="AZ334" i="2" s="1"/>
  <c r="BK334" i="2" s="1"/>
  <c r="BR334" i="2" s="1"/>
  <c r="BD334" i="2" a="1"/>
  <c r="BD334" i="2" s="1"/>
  <c r="BM334" i="2" s="1" a="1"/>
  <c r="BM334" i="2" s="1"/>
  <c r="BW334" i="2" s="1"/>
  <c r="CM369" i="1"/>
  <c r="BD369" i="1" a="1"/>
  <c r="BD369" i="1" s="1"/>
  <c r="AZ389" i="2" a="1"/>
  <c r="AZ389" i="2" s="1"/>
  <c r="BK389" i="2" s="1"/>
  <c r="BR389" i="2" s="1"/>
  <c r="BM389" i="2" a="1"/>
  <c r="BM389" i="2" s="1"/>
  <c r="BW389" i="2" s="1"/>
  <c r="R389" i="2"/>
  <c r="BD46" i="2" a="1"/>
  <c r="BD46" i="2" s="1"/>
  <c r="BM46" i="2" s="1" a="1"/>
  <c r="BM46" i="2" s="1"/>
  <c r="BW46" i="2" s="1"/>
  <c r="BD106" i="2" a="1"/>
  <c r="BD106" i="2" s="1"/>
  <c r="BM106" i="2" s="1" a="1"/>
  <c r="BM106" i="2" s="1"/>
  <c r="BW106" i="2" s="1"/>
  <c r="BD73" i="2" a="1"/>
  <c r="BD73" i="2" s="1"/>
  <c r="BM73" i="2" s="1" a="1"/>
  <c r="BM73" i="2" s="1"/>
  <c r="BW73" i="2" s="1"/>
  <c r="R30" i="2"/>
  <c r="AZ30" i="2" s="1"/>
  <c r="BK30" i="2" s="1"/>
  <c r="BR30" i="2" s="1"/>
  <c r="R119" i="2"/>
  <c r="AZ119" i="2" s="1"/>
  <c r="BK119" i="2" s="1"/>
  <c r="BR119" i="2" s="1"/>
  <c r="BD44" i="2" a="1"/>
  <c r="BD44" i="2" s="1"/>
  <c r="BM44" i="2" s="1" a="1"/>
  <c r="BM44" i="2" s="1"/>
  <c r="BW44" i="2" s="1"/>
  <c r="R98" i="1"/>
  <c r="AZ98" i="1" s="1"/>
  <c r="BK98" i="1" s="1"/>
  <c r="BR98" i="1" s="1"/>
  <c r="BX98" i="1" s="1"/>
  <c r="CA98" i="1" s="1"/>
  <c r="BD98" i="1" a="1"/>
  <c r="BD98" i="1" s="1"/>
  <c r="BM98" i="1" s="1" a="1"/>
  <c r="BM98" i="1" s="1"/>
  <c r="BW98" i="1" s="1"/>
  <c r="BD122" i="2" a="1"/>
  <c r="BD122" i="2" s="1"/>
  <c r="BM122" i="2" s="1" a="1"/>
  <c r="BM122" i="2" s="1"/>
  <c r="BW122" i="2" s="1"/>
  <c r="R122" i="2"/>
  <c r="AZ122" i="2" s="1"/>
  <c r="BK122" i="2" s="1"/>
  <c r="BR122" i="2" s="1"/>
  <c r="BX122" i="2" s="1"/>
  <c r="CA122" i="2" s="1"/>
  <c r="BD69" i="1" a="1"/>
  <c r="BD69" i="1" s="1"/>
  <c r="BM69" i="1" s="1" a="1"/>
  <c r="BM69" i="1" s="1"/>
  <c r="BW69" i="1" s="1"/>
  <c r="R69" i="1"/>
  <c r="AZ69" i="1" s="1"/>
  <c r="BK69" i="1" s="1"/>
  <c r="BR69" i="1" s="1"/>
  <c r="BX69" i="1" s="1"/>
  <c r="BD145" i="1" a="1"/>
  <c r="BD145" i="1" s="1"/>
  <c r="CM145" i="1"/>
  <c r="BD46" i="1" a="1"/>
  <c r="BD46" i="1" s="1"/>
  <c r="BM46" i="1" s="1" a="1"/>
  <c r="BM46" i="1" s="1"/>
  <c r="BW46" i="1" s="1"/>
  <c r="R46" i="1"/>
  <c r="AZ46" i="1" s="1"/>
  <c r="BK46" i="1" s="1"/>
  <c r="BR46" i="1" s="1"/>
  <c r="BX46" i="1" s="1"/>
  <c r="BD33" i="2" a="1"/>
  <c r="BD33" i="2" s="1"/>
  <c r="BM33" i="2" s="1" a="1"/>
  <c r="BM33" i="2" s="1"/>
  <c r="BW33" i="2" s="1"/>
  <c r="BD43" i="2" a="1"/>
  <c r="BD43" i="2" s="1"/>
  <c r="BM43" i="2" s="1" a="1"/>
  <c r="BM43" i="2" s="1"/>
  <c r="BW43" i="2" s="1"/>
  <c r="R43" i="2"/>
  <c r="AZ43" i="2" s="1"/>
  <c r="BK43" i="2" s="1"/>
  <c r="BR43" i="2" s="1"/>
  <c r="BD118" i="2" a="1"/>
  <c r="BD118" i="2" s="1"/>
  <c r="BM118" i="2" s="1" a="1"/>
  <c r="BM118" i="2" s="1"/>
  <c r="BW118" i="2" s="1"/>
  <c r="R118" i="2"/>
  <c r="AZ118" i="2" s="1"/>
  <c r="BK118" i="2" s="1"/>
  <c r="BR118" i="2" s="1"/>
  <c r="BD32" i="1" a="1"/>
  <c r="BD32" i="1" s="1"/>
  <c r="BM32" i="1" s="1" a="1"/>
  <c r="BM32" i="1" s="1"/>
  <c r="BW32" i="1" s="1"/>
  <c r="R32" i="1"/>
  <c r="AZ32" i="1" s="1"/>
  <c r="BK32" i="1" s="1"/>
  <c r="BR32" i="1" s="1"/>
  <c r="BX32" i="1" s="1"/>
  <c r="BD166" i="1" a="1"/>
  <c r="BD166" i="1" s="1"/>
  <c r="BM166" i="1" s="1" a="1"/>
  <c r="BM166" i="1" s="1"/>
  <c r="BW166" i="1" s="1"/>
  <c r="R166" i="1"/>
  <c r="AZ166" i="1" s="1"/>
  <c r="BK166" i="1" s="1"/>
  <c r="BR166" i="1" s="1"/>
  <c r="BX166" i="1" s="1"/>
  <c r="CA166" i="1" s="1"/>
  <c r="BD178" i="2" a="1"/>
  <c r="BD178" i="2" s="1"/>
  <c r="BM178" i="2" s="1" a="1"/>
  <c r="BM178" i="2" s="1"/>
  <c r="BW178" i="2" s="1"/>
  <c r="R178" i="2"/>
  <c r="AZ178" i="2" s="1"/>
  <c r="BK178" i="2" s="1"/>
  <c r="BR178" i="2" s="1"/>
  <c r="BX178" i="2" s="1"/>
  <c r="CM118" i="1"/>
  <c r="BD118" i="1" a="1"/>
  <c r="BD118" i="1" s="1"/>
  <c r="BD129" i="2" a="1"/>
  <c r="BD129" i="2" s="1"/>
  <c r="R129" i="2"/>
  <c r="R112" i="1"/>
  <c r="AZ112" i="1" s="1"/>
  <c r="BK112" i="1" s="1"/>
  <c r="BR112" i="1" s="1"/>
  <c r="BD112" i="1" a="1"/>
  <c r="BD112" i="1" s="1"/>
  <c r="BM112" i="1" s="1" a="1"/>
  <c r="BM112" i="1" s="1"/>
  <c r="BW112" i="1" s="1"/>
  <c r="R29" i="2"/>
  <c r="AZ29" i="2" s="1"/>
  <c r="BK29" i="2" s="1"/>
  <c r="BR29" i="2" s="1"/>
  <c r="BX29" i="2" s="1"/>
  <c r="BD29" i="2" a="1"/>
  <c r="BD29" i="2" s="1"/>
  <c r="BM29" i="2" s="1" a="1"/>
  <c r="BM29" i="2" s="1"/>
  <c r="BW29" i="2" s="1"/>
  <c r="BD33" i="1" a="1"/>
  <c r="BD33" i="1" s="1"/>
  <c r="BM33" i="1" s="1" a="1"/>
  <c r="BM33" i="1" s="1"/>
  <c r="BW33" i="1" s="1"/>
  <c r="R33" i="1"/>
  <c r="AZ33" i="1" s="1"/>
  <c r="BK33" i="1" s="1"/>
  <c r="BR33" i="1" s="1"/>
  <c r="BX33" i="1" s="1"/>
  <c r="BD110" i="1" a="1"/>
  <c r="BD110" i="1" s="1"/>
  <c r="BM110" i="1" s="1" a="1"/>
  <c r="BM110" i="1" s="1"/>
  <c r="BW110" i="1" s="1"/>
  <c r="R110" i="1"/>
  <c r="AZ110" i="1" s="1"/>
  <c r="BK110" i="1" s="1"/>
  <c r="BR110" i="1" s="1"/>
  <c r="BX110" i="1" s="1"/>
  <c r="CA110" i="1" s="1"/>
  <c r="BD44" i="1" a="1"/>
  <c r="BD44" i="1" s="1"/>
  <c r="BM44" i="1" s="1" a="1"/>
  <c r="BM44" i="1" s="1"/>
  <c r="BW44" i="1" s="1"/>
  <c r="R44" i="1"/>
  <c r="AZ44" i="1" s="1"/>
  <c r="BK44" i="1" s="1"/>
  <c r="BR44" i="1" s="1"/>
  <c r="BX44" i="1" s="1"/>
  <c r="R71" i="1"/>
  <c r="AZ71" i="1" s="1"/>
  <c r="BK71" i="1" s="1"/>
  <c r="BR71" i="1" s="1"/>
  <c r="BX71" i="1" s="1"/>
  <c r="CA71" i="1" s="1"/>
  <c r="BD71" i="1" a="1"/>
  <c r="BD71" i="1" s="1"/>
  <c r="BM71" i="1" s="1" a="1"/>
  <c r="BM71" i="1" s="1"/>
  <c r="BW71" i="1" s="1"/>
  <c r="R109" i="1"/>
  <c r="AZ109" i="1" s="1"/>
  <c r="BK109" i="1" s="1"/>
  <c r="BR109" i="1" s="1"/>
  <c r="BX109" i="1" s="1"/>
  <c r="BD109" i="1" a="1"/>
  <c r="BD109" i="1" s="1"/>
  <c r="BM109" i="1" s="1" a="1"/>
  <c r="BM109" i="1" s="1"/>
  <c r="BW109" i="1" s="1"/>
  <c r="BD71" i="2" a="1"/>
  <c r="BD71" i="2" s="1"/>
  <c r="BM71" i="2" s="1" a="1"/>
  <c r="BM71" i="2" s="1"/>
  <c r="BW71" i="2" s="1"/>
  <c r="R71" i="2"/>
  <c r="AZ71" i="2" s="1"/>
  <c r="BK71" i="2" s="1"/>
  <c r="BR71" i="2" s="1"/>
  <c r="BX71" i="2" s="1"/>
  <c r="CA71" i="2" s="1"/>
  <c r="BD34" i="1" a="1"/>
  <c r="BD34" i="1" s="1"/>
  <c r="BM34" i="1" s="1" a="1"/>
  <c r="BM34" i="1" s="1"/>
  <c r="BW34" i="1" s="1"/>
  <c r="R34" i="1"/>
  <c r="AZ34" i="1" s="1"/>
  <c r="BK34" i="1" s="1"/>
  <c r="BR34" i="1" s="1"/>
  <c r="BX34" i="1" s="1"/>
  <c r="CA34" i="1" s="1"/>
  <c r="R45" i="1"/>
  <c r="AZ45" i="1" s="1"/>
  <c r="BK45" i="1" s="1"/>
  <c r="BR45" i="1" s="1"/>
  <c r="BX45" i="1" s="1"/>
  <c r="R130" i="2"/>
  <c r="AZ130" i="2" s="1"/>
  <c r="BK130" i="2" s="1"/>
  <c r="BR130" i="2" s="1"/>
  <c r="BX35" i="1"/>
  <c r="CA35" i="1" s="1"/>
  <c r="BX30" i="2"/>
  <c r="CA30" i="2" s="1"/>
  <c r="BX31" i="1"/>
  <c r="CA31" i="1" s="1"/>
  <c r="R45" i="2"/>
  <c r="AZ45" i="2" s="1"/>
  <c r="BK45" i="2" s="1"/>
  <c r="BR45" i="2" s="1"/>
  <c r="BD45" i="2" a="1"/>
  <c r="BD45" i="2" s="1"/>
  <c r="BM45" i="2" s="1" a="1"/>
  <c r="BM45" i="2" s="1"/>
  <c r="BW45" i="2" s="1"/>
  <c r="R32" i="2"/>
  <c r="AZ32" i="2" s="1"/>
  <c r="BK32" i="2" s="1"/>
  <c r="BR32" i="2" s="1"/>
  <c r="BD32" i="2" a="1"/>
  <c r="BD32" i="2" s="1"/>
  <c r="BM32" i="2" s="1" a="1"/>
  <c r="BM32" i="2" s="1"/>
  <c r="BW32" i="2" s="1"/>
  <c r="AZ157" i="2" a="1"/>
  <c r="AZ157" i="2" s="1"/>
  <c r="BK157" i="2" s="1"/>
  <c r="BR157" i="2" s="1"/>
  <c r="BM157" i="2" a="1"/>
  <c r="BM157" i="2" s="1"/>
  <c r="BW157" i="2" s="1"/>
  <c r="BX43" i="1"/>
  <c r="CA43" i="1" s="1"/>
  <c r="BX33" i="2"/>
  <c r="CA33" i="2" s="1"/>
  <c r="BX44" i="2"/>
  <c r="CA44" i="2" s="1"/>
  <c r="BX106" i="2"/>
  <c r="CA106" i="2" s="1"/>
  <c r="BD31" i="2" a="1"/>
  <c r="BD31" i="2" s="1"/>
  <c r="BM31" i="2" s="1" a="1"/>
  <c r="BM31" i="2" s="1"/>
  <c r="BW31" i="2" s="1"/>
  <c r="R31" i="2"/>
  <c r="AZ31" i="2" s="1"/>
  <c r="BK31" i="2" s="1"/>
  <c r="BR31" i="2" s="1"/>
  <c r="R29" i="1"/>
  <c r="AZ29" i="1" s="1"/>
  <c r="BK29" i="1" s="1"/>
  <c r="BR29" i="1" s="1"/>
  <c r="R120" i="2"/>
  <c r="AZ120" i="2" s="1"/>
  <c r="BK120" i="2" s="1"/>
  <c r="BR120" i="2" s="1"/>
  <c r="BD120" i="2" a="1"/>
  <c r="BD120" i="2" s="1"/>
  <c r="BM120" i="2" s="1" a="1"/>
  <c r="BM120" i="2" s="1"/>
  <c r="BW120" i="2" s="1"/>
  <c r="BD142" i="2" a="1"/>
  <c r="BD142" i="2" s="1"/>
  <c r="BM142" i="2" s="1" a="1"/>
  <c r="BM142" i="2" s="1"/>
  <c r="BW142" i="2" s="1"/>
  <c r="R142" i="2"/>
  <c r="AZ142" i="2" s="1"/>
  <c r="BK142" i="2" s="1"/>
  <c r="BR142" i="2" s="1"/>
  <c r="BD30" i="1" a="1"/>
  <c r="BD30" i="1" s="1"/>
  <c r="BM30" i="1" s="1" a="1"/>
  <c r="BM30" i="1" s="1"/>
  <c r="BW30" i="1" s="1"/>
  <c r="R30" i="1"/>
  <c r="AZ30" i="1" s="1"/>
  <c r="BK30" i="1" s="1"/>
  <c r="BR30" i="1" s="1"/>
  <c r="R113" i="1"/>
  <c r="AZ113" i="1" s="1"/>
  <c r="BK113" i="1" s="1"/>
  <c r="BR113" i="1" s="1"/>
  <c r="BD113" i="1" a="1"/>
  <c r="BD113" i="1" s="1"/>
  <c r="BM113" i="1" s="1" a="1"/>
  <c r="BM113" i="1" s="1"/>
  <c r="BW113" i="1" s="1"/>
  <c r="BD35" i="1" a="1"/>
  <c r="BD35" i="1" s="1"/>
  <c r="BM35" i="1" s="1" a="1"/>
  <c r="BM35" i="1" s="1"/>
  <c r="BW35" i="1" s="1"/>
  <c r="BD35" i="2" a="1"/>
  <c r="BD35" i="2" s="1"/>
  <c r="BM35" i="2" s="1" a="1"/>
  <c r="BM35" i="2" s="1"/>
  <c r="BW35" i="2" s="1"/>
  <c r="R35" i="2"/>
  <c r="AZ35" i="2" s="1"/>
  <c r="BK35" i="2" s="1"/>
  <c r="BR35" i="2" s="1"/>
  <c r="R72" i="2"/>
  <c r="AZ72" i="2" s="1"/>
  <c r="BK72" i="2" s="1"/>
  <c r="BR72" i="2" s="1"/>
  <c r="BD72" i="2" a="1"/>
  <c r="BD72" i="2" s="1"/>
  <c r="BM72" i="2" s="1" a="1"/>
  <c r="BM72" i="2" s="1"/>
  <c r="BW72" i="2" s="1"/>
  <c r="BD158" i="2" a="1"/>
  <c r="BD158" i="2" s="1"/>
  <c r="BM158" i="2" s="1" a="1"/>
  <c r="BM158" i="2" s="1"/>
  <c r="BW158" i="2" s="1"/>
  <c r="R158" i="2"/>
  <c r="AZ158" i="2" s="1"/>
  <c r="BK158" i="2" s="1"/>
  <c r="BR158" i="2" s="1"/>
  <c r="BM129" i="2" a="1"/>
  <c r="BM129" i="2" s="1"/>
  <c r="BW129" i="2" s="1"/>
  <c r="AZ129" i="2" a="1"/>
  <c r="AZ129" i="2" s="1"/>
  <c r="BK129" i="2" s="1"/>
  <c r="BR129" i="2" s="1"/>
  <c r="R70" i="1"/>
  <c r="AZ70" i="1" s="1"/>
  <c r="BK70" i="1" s="1"/>
  <c r="BR70" i="1" s="1"/>
  <c r="BD70" i="1" a="1"/>
  <c r="BD70" i="1" s="1"/>
  <c r="BM70" i="1" s="1" a="1"/>
  <c r="BM70" i="1" s="1"/>
  <c r="BW70" i="1" s="1"/>
  <c r="CA29" i="2"/>
  <c r="CA178" i="2"/>
  <c r="BX73" i="2"/>
  <c r="CA73" i="2" s="1"/>
  <c r="BD169" i="2" a="1"/>
  <c r="BD169" i="2" s="1"/>
  <c r="BM169" i="2" s="1" a="1"/>
  <c r="BM169" i="2" s="1"/>
  <c r="BW169" i="2" s="1"/>
  <c r="R169" i="2"/>
  <c r="AZ169" i="2" s="1"/>
  <c r="BK169" i="2" s="1"/>
  <c r="BR169" i="2" s="1"/>
  <c r="BD111" i="1" a="1"/>
  <c r="BD111" i="1" s="1"/>
  <c r="BM111" i="1" s="1" a="1"/>
  <c r="BM111" i="1" s="1"/>
  <c r="BW111" i="1" s="1"/>
  <c r="R111" i="1"/>
  <c r="AZ111" i="1" s="1"/>
  <c r="BK111" i="1" s="1"/>
  <c r="BR111" i="1" s="1"/>
  <c r="BD121" i="2" a="1"/>
  <c r="BD121" i="2" s="1"/>
  <c r="BM121" i="2" s="1" a="1"/>
  <c r="BM121" i="2" s="1"/>
  <c r="BW121" i="2" s="1"/>
  <c r="R121" i="2"/>
  <c r="AZ121" i="2" s="1"/>
  <c r="BK121" i="2" s="1"/>
  <c r="BR121" i="2" s="1"/>
  <c r="BX43" i="2"/>
  <c r="CA43" i="2" s="1"/>
  <c r="BD43" i="1" a="1"/>
  <c r="BD43" i="1" s="1"/>
  <c r="BM43" i="1" s="1" a="1"/>
  <c r="BM43" i="1" s="1"/>
  <c r="BW43" i="1" s="1"/>
  <c r="BD34" i="2" a="1"/>
  <c r="BD34" i="2" s="1"/>
  <c r="BM34" i="2" s="1" a="1"/>
  <c r="BM34" i="2" s="1"/>
  <c r="BW34" i="2" s="1"/>
  <c r="R34" i="2"/>
  <c r="AZ34" i="2" s="1"/>
  <c r="BK34" i="2" s="1"/>
  <c r="BR34" i="2" s="1"/>
  <c r="BX46" i="2"/>
  <c r="CA46" i="2" s="1"/>
  <c r="R131" i="1"/>
  <c r="AZ131" i="1" s="1"/>
  <c r="BK131" i="1" s="1"/>
  <c r="BR131" i="1" s="1"/>
  <c r="BD131" i="1" a="1"/>
  <c r="BD131" i="1" s="1"/>
  <c r="BM131" i="1" s="1" a="1"/>
  <c r="BM131" i="1" s="1"/>
  <c r="BW131" i="1" s="1"/>
  <c r="R119" i="1"/>
  <c r="AZ119" i="1" s="1"/>
  <c r="BK119" i="1" s="1"/>
  <c r="BR119" i="1" s="1"/>
  <c r="BW396" i="1"/>
  <c r="BW427" i="1"/>
  <c r="R274" i="2"/>
  <c r="AZ274" i="2" s="1"/>
  <c r="BK274" i="2" s="1"/>
  <c r="BR274" i="2" s="1"/>
  <c r="BX274" i="2" s="1"/>
  <c r="CA274" i="2" s="1"/>
  <c r="R267" i="1"/>
  <c r="AZ267" i="1" s="1"/>
  <c r="BK267" i="1" s="1"/>
  <c r="BR267" i="1" s="1"/>
  <c r="BX267" i="1" s="1"/>
  <c r="CA267" i="1" s="1"/>
  <c r="CM268" i="1"/>
  <c r="BD268" i="1" a="1"/>
  <c r="BD268" i="1" s="1"/>
  <c r="BM268" i="1" s="1" a="1"/>
  <c r="BM268" i="1" s="1"/>
  <c r="BW268" i="1" s="1"/>
  <c r="R282" i="2"/>
  <c r="AZ282" i="2" s="1"/>
  <c r="BK282" i="2" s="1"/>
  <c r="BR282" i="2" s="1"/>
  <c r="BX282" i="2" s="1"/>
  <c r="CA282" i="2" s="1"/>
  <c r="R260" i="1"/>
  <c r="AZ260" i="1" s="1"/>
  <c r="BK260" i="1" s="1"/>
  <c r="BR260" i="1" s="1"/>
  <c r="BD260" i="1" a="1"/>
  <c r="BD260" i="1" s="1"/>
  <c r="BM260" i="1" s="1" a="1"/>
  <c r="BM260" i="1" s="1"/>
  <c r="BW260" i="1" s="1"/>
  <c r="BD275" i="2" a="1"/>
  <c r="BD275" i="2" s="1"/>
  <c r="BM275" i="2" s="1" a="1"/>
  <c r="BM275" i="2" s="1"/>
  <c r="BW275" i="2" s="1"/>
  <c r="R275" i="2"/>
  <c r="AZ275" i="2" s="1"/>
  <c r="BK275" i="2" s="1"/>
  <c r="BR275" i="2" s="1"/>
  <c r="BD283" i="2" a="1"/>
  <c r="BD283" i="2" s="1"/>
  <c r="R283" i="2"/>
  <c r="R259" i="1"/>
  <c r="AZ259" i="1" s="1"/>
  <c r="BK259" i="1" s="1"/>
  <c r="BR259" i="1" s="1"/>
  <c r="BD259" i="1" a="1"/>
  <c r="BD259" i="1" s="1"/>
  <c r="BM259" i="1" s="1" a="1"/>
  <c r="BM259" i="1" s="1"/>
  <c r="BW259" i="1" s="1"/>
  <c r="R318" i="2"/>
  <c r="AZ318" i="2" s="1"/>
  <c r="BK318" i="2" s="1"/>
  <c r="BR318" i="2" s="1"/>
  <c r="BD318" i="2" a="1"/>
  <c r="BD318" i="2" s="1"/>
  <c r="BM318" i="2" s="1" a="1"/>
  <c r="BM318" i="2" s="1"/>
  <c r="BW318" i="2" s="1"/>
  <c r="R322" i="2"/>
  <c r="AZ322" i="2" s="1"/>
  <c r="BK322" i="2" s="1"/>
  <c r="BR322" i="2" s="1"/>
  <c r="BD307" i="1" a="1"/>
  <c r="BD307" i="1" s="1"/>
  <c r="R319" i="2"/>
  <c r="AZ319" i="2" s="1"/>
  <c r="BK319" i="2" s="1"/>
  <c r="BR319" i="2" s="1"/>
  <c r="BX319" i="2" s="1"/>
  <c r="CA319" i="2" s="1"/>
  <c r="R323" i="2"/>
  <c r="AZ323" i="2" s="1"/>
  <c r="BK323" i="2" s="1"/>
  <c r="BR323" i="2" s="1"/>
  <c r="BD323" i="2" a="1"/>
  <c r="BD323" i="2" s="1"/>
  <c r="BM323" i="2" s="1" a="1"/>
  <c r="BM323" i="2" s="1"/>
  <c r="BW323" i="2" s="1"/>
  <c r="BX318" i="2"/>
  <c r="CA318" i="2" s="1"/>
  <c r="BX309" i="1"/>
  <c r="CA309" i="1" s="1"/>
  <c r="BX325" i="2"/>
  <c r="CA325" i="2" s="1"/>
  <c r="BX310" i="1"/>
  <c r="CA310" i="1" s="1"/>
  <c r="R328" i="2"/>
  <c r="BD328" i="2" a="1"/>
  <c r="BD328" i="2" s="1"/>
  <c r="BD304" i="1" a="1"/>
  <c r="BD304" i="1" s="1"/>
  <c r="CM304" i="1"/>
  <c r="BD306" i="1" a="1"/>
  <c r="BD306" i="1" s="1"/>
  <c r="BM306" i="1" s="1" a="1"/>
  <c r="BM306" i="1" s="1"/>
  <c r="BW306" i="1" s="1"/>
  <c r="R306" i="1"/>
  <c r="AZ306" i="1" s="1"/>
  <c r="BK306" i="1" s="1"/>
  <c r="BR306" i="1" s="1"/>
  <c r="R326" i="2"/>
  <c r="AZ326" i="2" s="1"/>
  <c r="BK326" i="2" s="1"/>
  <c r="BR326" i="2" s="1"/>
  <c r="BD326" i="2" a="1"/>
  <c r="BD326" i="2" s="1"/>
  <c r="BM326" i="2" s="1" a="1"/>
  <c r="BM326" i="2" s="1"/>
  <c r="BW326" i="2" s="1"/>
  <c r="BX322" i="2"/>
  <c r="CA322" i="2"/>
  <c r="R302" i="1"/>
  <c r="AZ302" i="1" s="1"/>
  <c r="BK302" i="1" s="1"/>
  <c r="BR302" i="1" s="1"/>
  <c r="BD302" i="1" a="1"/>
  <c r="BD302" i="1" s="1"/>
  <c r="BM302" i="1" s="1" a="1"/>
  <c r="BM302" i="1" s="1"/>
  <c r="BW302" i="1" s="1"/>
  <c r="BD311" i="1" a="1"/>
  <c r="BD311" i="1" s="1"/>
  <c r="BM311" i="1" s="1" a="1"/>
  <c r="BM311" i="1" s="1"/>
  <c r="BW311" i="1" s="1"/>
  <c r="R311" i="1"/>
  <c r="AZ311" i="1" s="1"/>
  <c r="BK311" i="1" s="1"/>
  <c r="BR311" i="1" s="1"/>
  <c r="CM307" i="1"/>
  <c r="BD325" i="2" a="1"/>
  <c r="BD325" i="2" s="1"/>
  <c r="BM325" i="2" s="1" a="1"/>
  <c r="BM325" i="2" s="1"/>
  <c r="BW325" i="2" s="1"/>
  <c r="BD310" i="1" a="1"/>
  <c r="BD310" i="1" s="1"/>
  <c r="BM310" i="1" s="1" a="1"/>
  <c r="BM310" i="1" s="1"/>
  <c r="BW310" i="1" s="1"/>
  <c r="R327" i="2"/>
  <c r="AZ327" i="2" s="1"/>
  <c r="BK327" i="2" s="1"/>
  <c r="BR327" i="2" s="1"/>
  <c r="BD320" i="2" a="1"/>
  <c r="BD320" i="2" s="1"/>
  <c r="BD312" i="1" a="1"/>
  <c r="BD312" i="1" s="1"/>
  <c r="R303" i="1"/>
  <c r="AZ303" i="1" s="1"/>
  <c r="BK303" i="1" s="1"/>
  <c r="BR303" i="1" s="1"/>
  <c r="BD174" i="2" a="1"/>
  <c r="BD174" i="2" s="1"/>
  <c r="BM174" i="2" s="1" a="1"/>
  <c r="BM174" i="2" s="1"/>
  <c r="BW174" i="2" s="1"/>
  <c r="R174" i="2"/>
  <c r="AZ174" i="2" s="1"/>
  <c r="BK174" i="2" s="1"/>
  <c r="BR174" i="2" s="1"/>
  <c r="BX174" i="2" s="1"/>
  <c r="CA174" i="2" s="1"/>
  <c r="R173" i="2"/>
  <c r="BD173" i="2" a="1"/>
  <c r="BD173" i="2" s="1"/>
  <c r="R171" i="2"/>
  <c r="BD171" i="2" a="1"/>
  <c r="BD171" i="2" s="1"/>
  <c r="R430" i="1"/>
  <c r="AZ430" i="1" s="1"/>
  <c r="BK430" i="1" s="1"/>
  <c r="BR430" i="1" s="1"/>
  <c r="BX430" i="1" s="1"/>
  <c r="CA430" i="1" s="1"/>
  <c r="BD430" i="1" a="1"/>
  <c r="BD430" i="1" s="1"/>
  <c r="BM430" i="1" s="1" a="1"/>
  <c r="BM430" i="1" s="1"/>
  <c r="BW430" i="1" s="1"/>
  <c r="R456" i="2"/>
  <c r="AZ456" i="2" s="1"/>
  <c r="BK456" i="2" s="1"/>
  <c r="BR456" i="2" s="1"/>
  <c r="BX456" i="2" s="1"/>
  <c r="BD456" i="2" a="1"/>
  <c r="BD456" i="2" s="1"/>
  <c r="BM456" i="2" s="1" a="1"/>
  <c r="BM456" i="2" s="1"/>
  <c r="BW456" i="2" s="1"/>
  <c r="R374" i="1"/>
  <c r="AZ374" i="1" s="1"/>
  <c r="BK374" i="1" s="1"/>
  <c r="BR374" i="1" s="1"/>
  <c r="BX374" i="1" s="1"/>
  <c r="CA374" i="1" s="1"/>
  <c r="BD374" i="1" a="1"/>
  <c r="BD374" i="1" s="1"/>
  <c r="BM374" i="1" s="1" a="1"/>
  <c r="BM374" i="1" s="1"/>
  <c r="BW374" i="1" s="1"/>
  <c r="R367" i="2"/>
  <c r="AZ367" i="2" s="1"/>
  <c r="BK367" i="2" s="1"/>
  <c r="BR367" i="2" s="1"/>
  <c r="BD367" i="2" a="1"/>
  <c r="BD367" i="2" s="1"/>
  <c r="BM367" i="2" s="1" a="1"/>
  <c r="BM367" i="2" s="1"/>
  <c r="BW367" i="2" s="1"/>
  <c r="BX394" i="2"/>
  <c r="CA394" i="2" s="1"/>
  <c r="BD432" i="1" a="1"/>
  <c r="BD432" i="1" s="1"/>
  <c r="BM432" i="1" s="1" a="1"/>
  <c r="BM432" i="1" s="1"/>
  <c r="BW432" i="1" s="1"/>
  <c r="R432" i="1"/>
  <c r="AZ432" i="1" s="1"/>
  <c r="BK432" i="1" s="1"/>
  <c r="BR432" i="1" s="1"/>
  <c r="BX432" i="1" s="1"/>
  <c r="CA432" i="1" s="1"/>
  <c r="R170" i="2"/>
  <c r="AZ170" i="2" s="1"/>
  <c r="BK170" i="2" s="1"/>
  <c r="BR170" i="2" s="1"/>
  <c r="BX170" i="2" s="1"/>
  <c r="CA170" i="2" s="1"/>
  <c r="BD170" i="2" a="1"/>
  <c r="BD170" i="2" s="1"/>
  <c r="BM170" i="2" s="1" a="1"/>
  <c r="BM170" i="2" s="1"/>
  <c r="BW170" i="2" s="1"/>
  <c r="R401" i="2"/>
  <c r="AZ401" i="2" s="1"/>
  <c r="BK401" i="2" s="1"/>
  <c r="BR401" i="2" s="1"/>
  <c r="BX401" i="2" s="1"/>
  <c r="CA401" i="2" s="1"/>
  <c r="BD394" i="2" a="1"/>
  <c r="BD394" i="2" s="1"/>
  <c r="BM394" i="2" s="1" a="1"/>
  <c r="BM394" i="2" s="1"/>
  <c r="BW394" i="2" s="1"/>
  <c r="R452" i="2"/>
  <c r="AZ452" i="2" s="1"/>
  <c r="BK452" i="2" s="1"/>
  <c r="BR452" i="2" s="1"/>
  <c r="BX452" i="2" s="1"/>
  <c r="CA382" i="1"/>
  <c r="R369" i="2"/>
  <c r="AZ369" i="2" s="1"/>
  <c r="BK369" i="2" s="1"/>
  <c r="BR369" i="2" s="1"/>
  <c r="BX369" i="2" s="1"/>
  <c r="CA369" i="2" s="1"/>
  <c r="BD434" i="1" a="1"/>
  <c r="BD434" i="1" s="1"/>
  <c r="BM434" i="1" s="1" a="1"/>
  <c r="BM434" i="1" s="1"/>
  <c r="BW434" i="1" s="1"/>
  <c r="BD284" i="2" a="1"/>
  <c r="BD284" i="2" s="1"/>
  <c r="BM284" i="2" s="1" a="1"/>
  <c r="BM284" i="2" s="1"/>
  <c r="BW284" i="2" s="1"/>
  <c r="R205" i="2"/>
  <c r="AZ205" i="2" s="1"/>
  <c r="BK205" i="2" s="1"/>
  <c r="BR205" i="2" s="1"/>
  <c r="BX205" i="2" s="1"/>
  <c r="R296" i="2"/>
  <c r="AZ296" i="2" s="1"/>
  <c r="BK296" i="2" s="1"/>
  <c r="BR296" i="2" s="1"/>
  <c r="BX296" i="2" s="1"/>
  <c r="BD204" i="2" a="1"/>
  <c r="BD204" i="2" s="1"/>
  <c r="BM204" i="2" s="1" a="1"/>
  <c r="BM204" i="2" s="1"/>
  <c r="BW204" i="2" s="1"/>
  <c r="R204" i="2"/>
  <c r="AZ204" i="2" s="1"/>
  <c r="BK204" i="2" s="1"/>
  <c r="BR204" i="2" s="1"/>
  <c r="BX204" i="2" s="1"/>
  <c r="CA204" i="2" s="1"/>
  <c r="BD250" i="1" a="1"/>
  <c r="BD250" i="1" s="1"/>
  <c r="BM250" i="1" s="1" a="1"/>
  <c r="BM250" i="1" s="1"/>
  <c r="BW250" i="1" s="1"/>
  <c r="R250" i="1"/>
  <c r="AZ250" i="1" s="1"/>
  <c r="BK250" i="1" s="1"/>
  <c r="BR250" i="1" s="1"/>
  <c r="R193" i="1"/>
  <c r="AZ193" i="1" s="1"/>
  <c r="BK193" i="1" s="1"/>
  <c r="BD193" i="1" a="1"/>
  <c r="BD193" i="1" s="1"/>
  <c r="BM193" i="1" s="1" a="1"/>
  <c r="BM193" i="1" s="1"/>
  <c r="BW193" i="1" s="1"/>
  <c r="BD191" i="1" a="1"/>
  <c r="BD191" i="1" s="1"/>
  <c r="BM191" i="1" s="1" a="1"/>
  <c r="BM191" i="1" s="1"/>
  <c r="BW191" i="1" s="1"/>
  <c r="R206" i="2"/>
  <c r="AZ206" i="2" s="1"/>
  <c r="BK206" i="2" s="1"/>
  <c r="BR206" i="2" s="1"/>
  <c r="CA205" i="2"/>
  <c r="R203" i="2"/>
  <c r="AZ203" i="2" s="1"/>
  <c r="BK203" i="2" s="1"/>
  <c r="BR203" i="2" s="1"/>
  <c r="BX203" i="2" s="1"/>
  <c r="BD341" i="2" a="1"/>
  <c r="BD341" i="2" s="1"/>
  <c r="BM341" i="2" s="1" a="1"/>
  <c r="BM341" i="2" s="1"/>
  <c r="BW341" i="2" s="1"/>
  <c r="R341" i="2"/>
  <c r="AZ341" i="2" s="1"/>
  <c r="BK341" i="2" s="1"/>
  <c r="BR341" i="2" s="1"/>
  <c r="BX341" i="2" s="1"/>
  <c r="CA341" i="2" s="1"/>
  <c r="R192" i="1"/>
  <c r="AZ192" i="1" s="1"/>
  <c r="BK192" i="1" s="1"/>
  <c r="BR192" i="1" s="1"/>
  <c r="BD192" i="1" a="1"/>
  <c r="BD192" i="1" s="1"/>
  <c r="BM192" i="1" s="1" a="1"/>
  <c r="BM192" i="1" s="1"/>
  <c r="BW192" i="1" s="1"/>
  <c r="R281" i="2"/>
  <c r="AZ281" i="2" s="1"/>
  <c r="BK281" i="2" s="1"/>
  <c r="BR281" i="2" s="1"/>
  <c r="BD281" i="2" a="1"/>
  <c r="BD281" i="2" s="1"/>
  <c r="BM281" i="2" s="1" a="1"/>
  <c r="BM281" i="2" s="1"/>
  <c r="BW281" i="2" s="1"/>
  <c r="BD188" i="1" a="1"/>
  <c r="BD188" i="1" s="1"/>
  <c r="BM188" i="1" s="1" a="1"/>
  <c r="BM188" i="1" s="1"/>
  <c r="BW188" i="1" s="1"/>
  <c r="R188" i="1"/>
  <c r="AZ188" i="1" s="1"/>
  <c r="BK188" i="1" s="1"/>
  <c r="BR188" i="1" s="1"/>
  <c r="BD194" i="1" a="1"/>
  <c r="BD194" i="1" s="1"/>
  <c r="BM194" i="1" s="1" a="1"/>
  <c r="BM194" i="1" s="1"/>
  <c r="BW194" i="1" s="1"/>
  <c r="R194" i="1"/>
  <c r="AZ194" i="1" s="1"/>
  <c r="BK194" i="1" s="1"/>
  <c r="BR194" i="1" s="1"/>
  <c r="BD297" i="2" a="1"/>
  <c r="BD297" i="2" s="1"/>
  <c r="BM297" i="2" s="1" a="1"/>
  <c r="BM297" i="2" s="1"/>
  <c r="BW297" i="2" s="1"/>
  <c r="R298" i="2"/>
  <c r="AZ298" i="2" s="1"/>
  <c r="BK298" i="2" s="1"/>
  <c r="BR298" i="2" s="1"/>
  <c r="R200" i="2"/>
  <c r="AZ200" i="2" s="1"/>
  <c r="BK200" i="2" s="1"/>
  <c r="BR200" i="2" s="1"/>
  <c r="BX200" i="2" s="1"/>
  <c r="CA200" i="2" s="1"/>
  <c r="BM408" i="2" a="1"/>
  <c r="BM408" i="2" s="1"/>
  <c r="BW408" i="2" s="1"/>
  <c r="AZ408" i="2" a="1"/>
  <c r="AZ408" i="2" s="1"/>
  <c r="BK408" i="2" s="1"/>
  <c r="BR408" i="2" s="1"/>
  <c r="BX393" i="2"/>
  <c r="CA393" i="2" s="1"/>
  <c r="BX440" i="2"/>
  <c r="CA440" i="2" s="1"/>
  <c r="R115" i="2"/>
  <c r="BD115" i="2" a="1"/>
  <c r="BD115" i="2" s="1"/>
  <c r="BM115" i="2" s="1" a="1"/>
  <c r="BM115" i="2" s="1"/>
  <c r="BW115" i="2" s="1"/>
  <c r="BD15" i="2" a="1"/>
  <c r="BD15" i="2" s="1"/>
  <c r="BM15" i="2" s="1" a="1"/>
  <c r="BM15" i="2" s="1"/>
  <c r="BW15" i="2" s="1"/>
  <c r="R15" i="2"/>
  <c r="AZ15" i="2" s="1"/>
  <c r="BK15" i="2" s="1"/>
  <c r="BR15" i="2" s="1"/>
  <c r="R14" i="2"/>
  <c r="AZ14" i="2" s="1"/>
  <c r="BK14" i="2" s="1"/>
  <c r="BR14" i="2" s="1"/>
  <c r="BD14" i="2" a="1"/>
  <c r="BD14" i="2" s="1"/>
  <c r="BM14" i="2" s="1" a="1"/>
  <c r="BM14" i="2" s="1"/>
  <c r="BW14" i="2" s="1"/>
  <c r="R434" i="2"/>
  <c r="AZ434" i="2" s="1"/>
  <c r="BK434" i="2" s="1"/>
  <c r="BR434" i="2" s="1"/>
  <c r="BD434" i="2" a="1"/>
  <c r="BD434" i="2" s="1"/>
  <c r="BM434" i="2" s="1" a="1"/>
  <c r="BM434" i="2" s="1"/>
  <c r="BW434" i="2" s="1"/>
  <c r="BD96" i="2" a="1"/>
  <c r="BD96" i="2" s="1"/>
  <c r="R96" i="2"/>
  <c r="CA414" i="1"/>
  <c r="CA437" i="2"/>
  <c r="BD114" i="2" a="1"/>
  <c r="BD114" i="2" s="1"/>
  <c r="BM114" i="2" s="1" a="1"/>
  <c r="BM114" i="2" s="1"/>
  <c r="BW114" i="2" s="1"/>
  <c r="R114" i="2"/>
  <c r="AZ114" i="2" s="1"/>
  <c r="BK114" i="2" s="1"/>
  <c r="BR114" i="2" s="1"/>
  <c r="BX114" i="2" s="1"/>
  <c r="CA114" i="2" s="1"/>
  <c r="CA404" i="2"/>
  <c r="BM149" i="2" a="1"/>
  <c r="BM149" i="2" s="1"/>
  <c r="BW149" i="2" s="1"/>
  <c r="AZ149" i="2" a="1"/>
  <c r="AZ149" i="2" s="1"/>
  <c r="BK149" i="2" s="1"/>
  <c r="BR149" i="2" s="1"/>
  <c r="BX149" i="2" s="1"/>
  <c r="CA149" i="2" s="1"/>
  <c r="CA78" i="1"/>
  <c r="CA82" i="2"/>
  <c r="CA188" i="2"/>
  <c r="BD384" i="1" a="1"/>
  <c r="BD384" i="1" s="1"/>
  <c r="CM384" i="1"/>
  <c r="BX413" i="1"/>
  <c r="CA413" i="1" s="1"/>
  <c r="BX418" i="1"/>
  <c r="CA418" i="1" s="1"/>
  <c r="BD155" i="2" a="1"/>
  <c r="BD155" i="2" s="1"/>
  <c r="R155" i="2"/>
  <c r="BX128" i="1"/>
  <c r="CA128" i="1" s="1"/>
  <c r="BX454" i="2"/>
  <c r="CA454" i="2" s="1"/>
  <c r="BX427" i="1"/>
  <c r="CA427" i="1" s="1"/>
  <c r="R139" i="2"/>
  <c r="AZ139" i="2" s="1"/>
  <c r="BK139" i="2" s="1"/>
  <c r="BR139" i="2" s="1"/>
  <c r="BD139" i="2" a="1"/>
  <c r="BD139" i="2" s="1"/>
  <c r="BM139" i="2" s="1" a="1"/>
  <c r="BM139" i="2" s="1"/>
  <c r="BW139" i="2" s="1"/>
  <c r="R406" i="2"/>
  <c r="R76" i="2"/>
  <c r="AZ76" i="2" s="1"/>
  <c r="BK76" i="2" s="1"/>
  <c r="BR76" i="2" s="1"/>
  <c r="R441" i="2"/>
  <c r="AZ441" i="2" s="1"/>
  <c r="BK441" i="2" s="1"/>
  <c r="BR441" i="2" s="1"/>
  <c r="BD441" i="2" a="1"/>
  <c r="BD441" i="2" s="1"/>
  <c r="BM441" i="2" s="1" a="1"/>
  <c r="BM441" i="2" s="1"/>
  <c r="BW441" i="2" s="1"/>
  <c r="BD78" i="2" a="1"/>
  <c r="BD78" i="2" s="1"/>
  <c r="R78" i="2"/>
  <c r="AZ406" i="2" a="1"/>
  <c r="AZ406" i="2" s="1"/>
  <c r="BK406" i="2" s="1"/>
  <c r="BR406" i="2" s="1"/>
  <c r="R82" i="2"/>
  <c r="CA432" i="2"/>
  <c r="R40" i="2"/>
  <c r="AZ40" i="2" s="1"/>
  <c r="BK40" i="2" s="1"/>
  <c r="BR40" i="2" s="1"/>
  <c r="R84" i="2"/>
  <c r="AZ84" i="2" s="1"/>
  <c r="BK84" i="2" s="1"/>
  <c r="BR84" i="2" s="1"/>
  <c r="BD36" i="2" a="1"/>
  <c r="BD36" i="2" s="1"/>
  <c r="BM36" i="2" s="1" a="1"/>
  <c r="BM36" i="2" s="1"/>
  <c r="BW36" i="2" s="1"/>
  <c r="R36" i="2"/>
  <c r="AZ36" i="2" s="1"/>
  <c r="BK36" i="2" s="1"/>
  <c r="BR36" i="2" s="1"/>
  <c r="R154" i="2"/>
  <c r="AZ154" i="2" s="1"/>
  <c r="BK154" i="2" s="1"/>
  <c r="BR154" i="2" s="1"/>
  <c r="BD154" i="2" a="1"/>
  <c r="BD154" i="2" s="1"/>
  <c r="BM154" i="2" s="1" a="1"/>
  <c r="BM154" i="2" s="1"/>
  <c r="BW154" i="2" s="1"/>
  <c r="CA402" i="2"/>
  <c r="R20" i="2"/>
  <c r="AZ20" i="2" s="1"/>
  <c r="BK20" i="2" s="1"/>
  <c r="BR20" i="2" s="1"/>
  <c r="BD140" i="2" a="1"/>
  <c r="BD140" i="2" s="1"/>
  <c r="BM140" i="2" s="1" a="1"/>
  <c r="BM140" i="2" s="1"/>
  <c r="BW140" i="2" s="1"/>
  <c r="R140" i="2"/>
  <c r="AZ140" i="2" s="1"/>
  <c r="BK140" i="2" s="1"/>
  <c r="BR140" i="2" s="1"/>
  <c r="R408" i="2"/>
  <c r="BD151" i="2" a="1"/>
  <c r="BD151" i="2" s="1"/>
  <c r="BM151" i="2" s="1" a="1"/>
  <c r="BM151" i="2" s="1"/>
  <c r="BW151" i="2" s="1"/>
  <c r="R151" i="2"/>
  <c r="AZ151" i="2" s="1"/>
  <c r="BK151" i="2" s="1"/>
  <c r="BR151" i="2" s="1"/>
  <c r="BD405" i="2" a="1"/>
  <c r="BD405" i="2" s="1"/>
  <c r="R405" i="2"/>
  <c r="CA142" i="1"/>
  <c r="R41" i="2"/>
  <c r="AZ41" i="2" s="1"/>
  <c r="BK41" i="2" s="1"/>
  <c r="BR41" i="2" s="1"/>
  <c r="BD41" i="2" a="1"/>
  <c r="BD41" i="2" s="1"/>
  <c r="BM41" i="2" s="1" a="1"/>
  <c r="BM41" i="2" s="1"/>
  <c r="BW41" i="2" s="1"/>
  <c r="R75" i="2"/>
  <c r="AZ75" i="2" s="1"/>
  <c r="BK75" i="2" s="1"/>
  <c r="BR75" i="2" s="1"/>
  <c r="BD75" i="2" a="1"/>
  <c r="BD75" i="2" s="1"/>
  <c r="BM75" i="2" s="1" a="1"/>
  <c r="BM75" i="2" s="1"/>
  <c r="BW75" i="2" s="1"/>
  <c r="BX129" i="1"/>
  <c r="CA129" i="1" s="1"/>
  <c r="CA40" i="1"/>
  <c r="BD301" i="2" a="1"/>
  <c r="BD301" i="2" s="1"/>
  <c r="BM301" i="2" s="1" a="1"/>
  <c r="BM301" i="2" s="1"/>
  <c r="BW301" i="2" s="1"/>
  <c r="R301" i="2"/>
  <c r="AZ301" i="2" s="1"/>
  <c r="BK301" i="2" s="1"/>
  <c r="BR301" i="2" s="1"/>
  <c r="CA75" i="1"/>
  <c r="BX434" i="1"/>
  <c r="CA434" i="1" s="1"/>
  <c r="CM385" i="1"/>
  <c r="BD385" i="1" a="1"/>
  <c r="BD385" i="1" s="1"/>
  <c r="CM435" i="1"/>
  <c r="BD100" i="1" a="1"/>
  <c r="BD100" i="1" s="1"/>
  <c r="BM100" i="1" s="1" a="1"/>
  <c r="BM100" i="1" s="1"/>
  <c r="BW100" i="1" s="1"/>
  <c r="R100" i="1"/>
  <c r="AZ100" i="1" s="1"/>
  <c r="BK100" i="1" s="1"/>
  <c r="BR100" i="1" s="1"/>
  <c r="BX100" i="1" s="1"/>
  <c r="CA100" i="1" s="1"/>
  <c r="R196" i="1"/>
  <c r="AZ196" i="1" s="1"/>
  <c r="BK196" i="1" s="1"/>
  <c r="BR196" i="1" s="1"/>
  <c r="BX196" i="1" s="1"/>
  <c r="CA196" i="1" s="1"/>
  <c r="BD196" i="1" a="1"/>
  <c r="BD196" i="1" s="1"/>
  <c r="BM196" i="1" s="1" a="1"/>
  <c r="BM196" i="1" s="1"/>
  <c r="BW196" i="1" s="1"/>
  <c r="R233" i="1"/>
  <c r="AZ233" i="1" s="1"/>
  <c r="BK233" i="1" s="1"/>
  <c r="BR233" i="1" s="1"/>
  <c r="BX233" i="1" s="1"/>
  <c r="CA233" i="1" s="1"/>
  <c r="BD187" i="1" a="1"/>
  <c r="BD187" i="1" s="1"/>
  <c r="BM187" i="1" s="1" a="1"/>
  <c r="BM187" i="1" s="1"/>
  <c r="BW187" i="1" s="1"/>
  <c r="R187" i="1"/>
  <c r="AZ187" i="1" s="1"/>
  <c r="BK187" i="1" s="1"/>
  <c r="BR187" i="1" s="1"/>
  <c r="BX187" i="1" s="1"/>
  <c r="CA187" i="1" s="1"/>
  <c r="BD197" i="1" a="1"/>
  <c r="BD197" i="1" s="1"/>
  <c r="BM197" i="1" s="1" a="1"/>
  <c r="BM197" i="1" s="1"/>
  <c r="BW197" i="1" s="1"/>
  <c r="R197" i="1"/>
  <c r="AZ197" i="1" s="1"/>
  <c r="BK197" i="1" s="1"/>
  <c r="BR197" i="1" s="1"/>
  <c r="R232" i="1"/>
  <c r="AZ232" i="1" s="1"/>
  <c r="BK232" i="1" s="1"/>
  <c r="BR232" i="1" s="1"/>
  <c r="R326" i="1"/>
  <c r="AZ326" i="1" s="1"/>
  <c r="BK326" i="1" s="1"/>
  <c r="BR326" i="1" s="1"/>
  <c r="BD396" i="2" a="1"/>
  <c r="BD396" i="2" s="1"/>
  <c r="BM396" i="2" s="1" a="1"/>
  <c r="BM396" i="2" s="1"/>
  <c r="BW396" i="2" s="1"/>
  <c r="R396" i="2"/>
  <c r="AZ396" i="2" s="1"/>
  <c r="BK396" i="2" s="1"/>
  <c r="BR396" i="2" s="1"/>
  <c r="BX396" i="2" s="1"/>
  <c r="BD113" i="2" a="1"/>
  <c r="BD113" i="2" s="1"/>
  <c r="BM113" i="2" s="1" a="1"/>
  <c r="BM113" i="2" s="1"/>
  <c r="BW113" i="2" s="1"/>
  <c r="R113" i="2"/>
  <c r="AZ113" i="2" s="1"/>
  <c r="BK113" i="2" s="1"/>
  <c r="BR113" i="2" s="1"/>
  <c r="BX113" i="2" s="1"/>
  <c r="AZ108" i="2" a="1"/>
  <c r="AZ108" i="2" s="1"/>
  <c r="BK108" i="2" s="1"/>
  <c r="BR108" i="2" s="1"/>
  <c r="BX108" i="2" s="1"/>
  <c r="BM108" i="2" a="1"/>
  <c r="BM108" i="2" s="1"/>
  <c r="BW108" i="2" s="1"/>
  <c r="BX105" i="2"/>
  <c r="CA105" i="2" s="1"/>
  <c r="BD93" i="2" a="1"/>
  <c r="BD93" i="2" s="1"/>
  <c r="BM93" i="2" s="1" a="1"/>
  <c r="BM93" i="2" s="1"/>
  <c r="BW93" i="2" s="1"/>
  <c r="R93" i="2"/>
  <c r="AZ93" i="2" s="1"/>
  <c r="BK93" i="2" s="1"/>
  <c r="BR93" i="2" s="1"/>
  <c r="BX93" i="2" s="1"/>
  <c r="CA93" i="2" s="1"/>
  <c r="BD272" i="1" a="1"/>
  <c r="BD272" i="1" s="1"/>
  <c r="BM272" i="1" s="1" a="1"/>
  <c r="BM272" i="1" s="1"/>
  <c r="BW272" i="1" s="1"/>
  <c r="R272" i="1"/>
  <c r="AZ272" i="1" s="1"/>
  <c r="BK272" i="1" s="1"/>
  <c r="BR272" i="1" s="1"/>
  <c r="BD345" i="1" a="1"/>
  <c r="BD345" i="1" s="1"/>
  <c r="BM345" i="1" s="1" a="1"/>
  <c r="BM345" i="1" s="1"/>
  <c r="BW345" i="1" s="1"/>
  <c r="R345" i="1"/>
  <c r="AZ345" i="1" s="1"/>
  <c r="BK345" i="1" s="1"/>
  <c r="BR345" i="1" s="1"/>
  <c r="BX345" i="1" s="1"/>
  <c r="BD125" i="2" a="1"/>
  <c r="BD125" i="2" s="1"/>
  <c r="BM125" i="2" s="1" a="1"/>
  <c r="BM125" i="2" s="1"/>
  <c r="BW125" i="2" s="1"/>
  <c r="R125" i="2"/>
  <c r="AZ125" i="2" s="1"/>
  <c r="BK125" i="2" s="1"/>
  <c r="BR125" i="2" s="1"/>
  <c r="BX125" i="2" s="1"/>
  <c r="BD208" i="1" a="1"/>
  <c r="BD208" i="1" s="1"/>
  <c r="BM208" i="1" s="1" a="1"/>
  <c r="BM208" i="1" s="1"/>
  <c r="BW208" i="1" s="1"/>
  <c r="R208" i="1"/>
  <c r="AZ208" i="1" s="1"/>
  <c r="BK208" i="1" s="1"/>
  <c r="BR208" i="1" s="1"/>
  <c r="BX208" i="1" s="1"/>
  <c r="BM94" i="2" a="1"/>
  <c r="BM94" i="2" s="1"/>
  <c r="BW94" i="2" s="1"/>
  <c r="AZ94" i="2" a="1"/>
  <c r="AZ94" i="2" s="1"/>
  <c r="BK94" i="2" s="1"/>
  <c r="BR94" i="2" s="1"/>
  <c r="R95" i="2"/>
  <c r="AZ95" i="2" s="1"/>
  <c r="BK95" i="2" s="1"/>
  <c r="BR95" i="2" s="1"/>
  <c r="BX95" i="2" s="1"/>
  <c r="CA95" i="2" s="1"/>
  <c r="BD95" i="2" a="1"/>
  <c r="BD95" i="2" s="1"/>
  <c r="BM95" i="2" s="1" a="1"/>
  <c r="BM95" i="2" s="1"/>
  <c r="BW95" i="2" s="1"/>
  <c r="BD109" i="2" a="1"/>
  <c r="BD109" i="2" s="1"/>
  <c r="BM109" i="2" s="1" a="1"/>
  <c r="BM109" i="2" s="1"/>
  <c r="BW109" i="2" s="1"/>
  <c r="R109" i="2"/>
  <c r="AZ109" i="2" s="1"/>
  <c r="BK109" i="2" s="1"/>
  <c r="BR109" i="2" s="1"/>
  <c r="BX109" i="2" s="1"/>
  <c r="CA109" i="2" s="1"/>
  <c r="BD220" i="2" a="1"/>
  <c r="BD220" i="2" s="1"/>
  <c r="BM220" i="2" s="1" a="1"/>
  <c r="BM220" i="2" s="1"/>
  <c r="BW220" i="2" s="1"/>
  <c r="R220" i="2"/>
  <c r="AZ220" i="2" s="1"/>
  <c r="BK220" i="2" s="1"/>
  <c r="BR220" i="2" s="1"/>
  <c r="BX220" i="2" s="1"/>
  <c r="R112" i="2"/>
  <c r="AZ112" i="2" s="1"/>
  <c r="BK112" i="2" s="1"/>
  <c r="BR112" i="2" s="1"/>
  <c r="BD112" i="2" a="1"/>
  <c r="BD112" i="2" s="1"/>
  <c r="BM112" i="2" s="1" a="1"/>
  <c r="BM112" i="2" s="1"/>
  <c r="BW112" i="2" s="1"/>
  <c r="BM87" i="1" a="1"/>
  <c r="BM87" i="1" s="1"/>
  <c r="BW87" i="1" s="1"/>
  <c r="BD110" i="2" a="1"/>
  <c r="BD110" i="2" s="1"/>
  <c r="BM110" i="2" s="1" a="1"/>
  <c r="BM110" i="2" s="1"/>
  <c r="BW110" i="2" s="1"/>
  <c r="R110" i="2"/>
  <c r="AZ110" i="2" s="1"/>
  <c r="BK110" i="2" s="1"/>
  <c r="BR110" i="2" s="1"/>
  <c r="BX110" i="2" s="1"/>
  <c r="CA110" i="2" s="1"/>
  <c r="BX124" i="2"/>
  <c r="CA124" i="2" s="1"/>
  <c r="R349" i="1"/>
  <c r="AZ349" i="1" s="1"/>
  <c r="BK349" i="1" s="1"/>
  <c r="BR349" i="1" s="1"/>
  <c r="BX349" i="1" s="1"/>
  <c r="CA349" i="1" s="1"/>
  <c r="BD349" i="1" a="1"/>
  <c r="BD349" i="1" s="1"/>
  <c r="BM349" i="1" s="1" a="1"/>
  <c r="BM349" i="1" s="1"/>
  <c r="BW349" i="1" s="1"/>
  <c r="BX48" i="2"/>
  <c r="CA48" i="2" s="1"/>
  <c r="R98" i="2"/>
  <c r="AZ98" i="2" s="1"/>
  <c r="BK98" i="2" s="1"/>
  <c r="BR98" i="2" s="1"/>
  <c r="BX98" i="2" s="1"/>
  <c r="CA98" i="2" s="1"/>
  <c r="BD98" i="2" a="1"/>
  <c r="BD98" i="2" s="1"/>
  <c r="BM98" i="2" s="1" a="1"/>
  <c r="BM98" i="2" s="1"/>
  <c r="BW98" i="2" s="1"/>
  <c r="BD50" i="2" a="1"/>
  <c r="BD50" i="2" s="1"/>
  <c r="R50" i="2"/>
  <c r="BD364" i="2" a="1"/>
  <c r="BD364" i="2" s="1"/>
  <c r="AZ364" i="2" s="1" a="1"/>
  <c r="AZ364" i="2" s="1"/>
  <c r="BK364" i="2" s="1"/>
  <c r="BR364" i="2" s="1"/>
  <c r="R364" i="2"/>
  <c r="R48" i="1"/>
  <c r="AZ48" i="1" s="1"/>
  <c r="BK48" i="1" s="1"/>
  <c r="BR48" i="1" s="1"/>
  <c r="BD48" i="1" a="1"/>
  <c r="BD48" i="1" s="1"/>
  <c r="BM48" i="1" s="1" a="1"/>
  <c r="BM48" i="1" s="1"/>
  <c r="BW48" i="1" s="1"/>
  <c r="BM90" i="2" a="1"/>
  <c r="BM90" i="2" s="1"/>
  <c r="BW90" i="2" s="1"/>
  <c r="AZ97" i="2" a="1"/>
  <c r="AZ97" i="2" s="1"/>
  <c r="BK97" i="2" s="1"/>
  <c r="BR97" i="2" s="1"/>
  <c r="BX97" i="2" s="1"/>
  <c r="AZ115" i="2" a="1"/>
  <c r="AZ115" i="2" s="1"/>
  <c r="BK115" i="2" s="1"/>
  <c r="BR115" i="2" s="1"/>
  <c r="BX115" i="2" s="1"/>
  <c r="CA115" i="2" s="1"/>
  <c r="AZ47" i="2" a="1"/>
  <c r="AZ47" i="2" s="1"/>
  <c r="BK47" i="2" s="1"/>
  <c r="BR47" i="2" s="1"/>
  <c r="BX47" i="2" s="1"/>
  <c r="AZ49" i="2" a="1"/>
  <c r="AZ49" i="2" s="1"/>
  <c r="BK49" i="2" s="1"/>
  <c r="BR49" i="2" s="1"/>
  <c r="BX49" i="2" s="1"/>
  <c r="BX87" i="2"/>
  <c r="CA87" i="2"/>
  <c r="BX360" i="2"/>
  <c r="CA360" i="2" s="1"/>
  <c r="BX366" i="2"/>
  <c r="CA366" i="2" s="1"/>
  <c r="CA365" i="2"/>
  <c r="BX321" i="2"/>
  <c r="CA321" i="2" s="1"/>
  <c r="BX245" i="2"/>
  <c r="CA245" i="2" s="1"/>
  <c r="R37" i="2"/>
  <c r="BD37" i="2" a="1"/>
  <c r="BD37" i="2" s="1"/>
  <c r="BX346" i="1"/>
  <c r="CA346" i="1" s="1"/>
  <c r="BX362" i="2"/>
  <c r="CA362" i="2" s="1"/>
  <c r="BM150" i="2" a="1"/>
  <c r="BM150" i="2" s="1"/>
  <c r="BW150" i="2" s="1"/>
  <c r="BX112" i="2"/>
  <c r="CA112" i="2" s="1"/>
  <c r="BX281" i="2"/>
  <c r="CA281" i="2" s="1"/>
  <c r="BX284" i="2"/>
  <c r="CA284" i="2" s="1"/>
  <c r="BX111" i="2"/>
  <c r="CA111" i="2" s="1"/>
  <c r="BX90" i="2"/>
  <c r="CA90" i="2" s="1"/>
  <c r="BX288" i="2"/>
  <c r="CA288" i="2" s="1"/>
  <c r="BX361" i="2"/>
  <c r="CA361" i="2" s="1"/>
  <c r="BX363" i="2"/>
  <c r="CA363" i="2" s="1"/>
  <c r="BX297" i="2"/>
  <c r="CA297" i="2" s="1"/>
  <c r="BX88" i="1"/>
  <c r="CA88" i="1" s="1"/>
  <c r="BX94" i="2"/>
  <c r="CA94" i="2" s="1"/>
  <c r="BX51" i="2"/>
  <c r="CA51" i="2" s="1"/>
  <c r="AG99" i="1"/>
  <c r="AH99" i="1" s="1"/>
  <c r="BD99" i="1" s="1" a="1"/>
  <c r="BD99" i="1" s="1"/>
  <c r="AG107" i="2"/>
  <c r="AH107" i="2" s="1"/>
  <c r="BX282" i="1"/>
  <c r="CA282" i="1" s="1"/>
  <c r="R138" i="1"/>
  <c r="CA113" i="2"/>
  <c r="BX161" i="2"/>
  <c r="CA161" i="2" s="1"/>
  <c r="BX86" i="2"/>
  <c r="CA86" i="2" s="1"/>
  <c r="BX191" i="1"/>
  <c r="CA191" i="1" s="1"/>
  <c r="R92" i="2"/>
  <c r="AZ92" i="2" s="1"/>
  <c r="BK92" i="2" s="1"/>
  <c r="BR92" i="2" s="1"/>
  <c r="BD92" i="2" a="1"/>
  <c r="BD92" i="2" s="1"/>
  <c r="BM92" i="2" s="1" a="1"/>
  <c r="BM92" i="2" s="1"/>
  <c r="BW92" i="2" s="1"/>
  <c r="CM49" i="1"/>
  <c r="BD49" i="1" a="1"/>
  <c r="BD49" i="1" s="1"/>
  <c r="BX396" i="1"/>
  <c r="CA396" i="1" s="1"/>
  <c r="CA144" i="1"/>
  <c r="R417" i="2"/>
  <c r="AZ417" i="2" s="1"/>
  <c r="BK417" i="2" s="1"/>
  <c r="BR417" i="2" s="1"/>
  <c r="BD417" i="2" a="1"/>
  <c r="BD417" i="2" s="1"/>
  <c r="BM417" i="2" s="1" a="1"/>
  <c r="BM417" i="2" s="1"/>
  <c r="BW417" i="2" s="1"/>
  <c r="CA83" i="1"/>
  <c r="CA47" i="2"/>
  <c r="CA296" i="2"/>
  <c r="CA91" i="1"/>
  <c r="CA202" i="2"/>
  <c r="BD387" i="2" a="1"/>
  <c r="BD387" i="2" s="1"/>
  <c r="R387" i="2"/>
  <c r="BX347" i="1"/>
  <c r="CA347" i="1" s="1"/>
  <c r="R115" i="1"/>
  <c r="AZ115" i="1" s="1"/>
  <c r="BK115" i="1" s="1"/>
  <c r="BR115" i="1" s="1"/>
  <c r="BD115" i="1" a="1"/>
  <c r="BD115" i="1" s="1"/>
  <c r="BM115" i="1" s="1" a="1"/>
  <c r="BM115" i="1" s="1"/>
  <c r="BW115" i="1" s="1"/>
  <c r="BD281" i="1" a="1"/>
  <c r="BD281" i="1" s="1"/>
  <c r="BM281" i="1" s="1" a="1"/>
  <c r="BM281" i="1" s="1"/>
  <c r="BW281" i="1" s="1"/>
  <c r="R281" i="1"/>
  <c r="AZ281" i="1" s="1"/>
  <c r="BK281" i="1" s="1"/>
  <c r="BR281" i="1" s="1"/>
  <c r="R350" i="1"/>
  <c r="AZ350" i="1" s="1"/>
  <c r="BK350" i="1" s="1"/>
  <c r="BR350" i="1" s="1"/>
  <c r="BD350" i="1" a="1"/>
  <c r="BD350" i="1" s="1"/>
  <c r="BM350" i="1" s="1" a="1"/>
  <c r="BM350" i="1" s="1"/>
  <c r="BW350" i="1" s="1"/>
  <c r="CM87" i="1"/>
  <c r="BD90" i="1" a="1"/>
  <c r="BD90" i="1" s="1"/>
  <c r="CM90" i="1"/>
  <c r="BD266" i="1" a="1"/>
  <c r="BD266" i="1" s="1"/>
  <c r="BM266" i="1" s="1" a="1"/>
  <c r="BM266" i="1" s="1"/>
  <c r="BW266" i="1" s="1"/>
  <c r="R266" i="1"/>
  <c r="AZ266" i="1" s="1"/>
  <c r="BK266" i="1" s="1"/>
  <c r="BR266" i="1" s="1"/>
  <c r="BD305" i="1" a="1"/>
  <c r="BD305" i="1" s="1"/>
  <c r="BM305" i="1" s="1" a="1"/>
  <c r="BM305" i="1" s="1"/>
  <c r="BW305" i="1" s="1"/>
  <c r="R305" i="1"/>
  <c r="BD325" i="1" a="1"/>
  <c r="BD325" i="1" s="1"/>
  <c r="BM325" i="1" s="1" a="1"/>
  <c r="BM325" i="1" s="1"/>
  <c r="BW325" i="1" s="1"/>
  <c r="R325" i="1"/>
  <c r="AZ325" i="1" s="1"/>
  <c r="BK325" i="1" s="1"/>
  <c r="BR325" i="1" s="1"/>
  <c r="BD207" i="2" a="1"/>
  <c r="BD207" i="2" s="1"/>
  <c r="BM207" i="2" s="1" a="1"/>
  <c r="BM207" i="2" s="1"/>
  <c r="BW207" i="2" s="1"/>
  <c r="R207" i="2"/>
  <c r="AZ207" i="2" s="1"/>
  <c r="BK207" i="2" s="1"/>
  <c r="BR207" i="2" s="1"/>
  <c r="R333" i="1"/>
  <c r="AZ333" i="1" s="1"/>
  <c r="BK333" i="1" s="1"/>
  <c r="BR333" i="1" s="1"/>
  <c r="BD333" i="1" a="1"/>
  <c r="BD333" i="1" s="1"/>
  <c r="BM333" i="1" s="1" a="1"/>
  <c r="BM333" i="1" s="1"/>
  <c r="BW333" i="1" s="1"/>
  <c r="BX336" i="1"/>
  <c r="CA336" i="1" s="1"/>
  <c r="BX208" i="2"/>
  <c r="CA208" i="2" s="1"/>
  <c r="R56" i="1"/>
  <c r="AZ56" i="1" s="1"/>
  <c r="BK56" i="1" s="1"/>
  <c r="BR56" i="1" s="1"/>
  <c r="BD56" i="1" a="1"/>
  <c r="BD56" i="1" s="1"/>
  <c r="BM56" i="1" s="1" a="1"/>
  <c r="BM56" i="1" s="1"/>
  <c r="BW56" i="1" s="1"/>
  <c r="BX199" i="2"/>
  <c r="CA199" i="2" s="1"/>
  <c r="CA248" i="2"/>
  <c r="R280" i="2"/>
  <c r="AZ280" i="2" s="1"/>
  <c r="BK280" i="2" s="1"/>
  <c r="BR280" i="2" s="1"/>
  <c r="BD280" i="2" a="1"/>
  <c r="BD280" i="2" s="1"/>
  <c r="BM280" i="2" s="1" a="1"/>
  <c r="BM280" i="2" s="1"/>
  <c r="BW280" i="2" s="1"/>
  <c r="BD261" i="1" a="1"/>
  <c r="BD261" i="1" s="1"/>
  <c r="BM261" i="1" s="1" a="1"/>
  <c r="BM261" i="1" s="1"/>
  <c r="BW261" i="1" s="1"/>
  <c r="R261" i="1"/>
  <c r="AZ261" i="1" s="1"/>
  <c r="BK261" i="1" s="1"/>
  <c r="BR261" i="1" s="1"/>
  <c r="BX215" i="2"/>
  <c r="CA215" i="2" s="1"/>
  <c r="R287" i="2"/>
  <c r="AZ287" i="2" s="1"/>
  <c r="BK287" i="2" s="1"/>
  <c r="BR287" i="2" s="1"/>
  <c r="BD287" i="2" a="1"/>
  <c r="BD287" i="2" s="1"/>
  <c r="BM287" i="2" s="1" a="1"/>
  <c r="BM287" i="2" s="1"/>
  <c r="BW287" i="2" s="1"/>
  <c r="BX277" i="2"/>
  <c r="CA277" i="2" s="1"/>
  <c r="BX348" i="2"/>
  <c r="CA348" i="2" s="1"/>
  <c r="AZ54" i="2" a="1"/>
  <c r="AZ54" i="2" s="1"/>
  <c r="BK54" i="2" s="1"/>
  <c r="BR54" i="2" s="1"/>
  <c r="BX331" i="2"/>
  <c r="CA331" i="2" s="1"/>
  <c r="BD26" i="1" a="1"/>
  <c r="BD26" i="1" s="1"/>
  <c r="BM26" i="1" s="1" a="1"/>
  <c r="BM26" i="1" s="1"/>
  <c r="BW26" i="1" s="1"/>
  <c r="R26" i="1"/>
  <c r="AZ26" i="1" s="1"/>
  <c r="BK26" i="1" s="1"/>
  <c r="BR26" i="1" s="1"/>
  <c r="R177" i="2"/>
  <c r="AZ177" i="2" s="1"/>
  <c r="BK177" i="2" s="1"/>
  <c r="BR177" i="2" s="1"/>
  <c r="BD177" i="2" a="1"/>
  <c r="BD177" i="2" s="1"/>
  <c r="BM177" i="2" s="1" a="1"/>
  <c r="BM177" i="2" s="1"/>
  <c r="BW177" i="2" s="1"/>
  <c r="BD271" i="2" a="1"/>
  <c r="BD271" i="2" s="1"/>
  <c r="BM271" i="2" s="1" a="1"/>
  <c r="BM271" i="2" s="1"/>
  <c r="BW271" i="2" s="1"/>
  <c r="R271" i="2"/>
  <c r="AZ271" i="2" s="1"/>
  <c r="BK271" i="2" s="1"/>
  <c r="BR271" i="2" s="1"/>
  <c r="CA26" i="2"/>
  <c r="BX261" i="2"/>
  <c r="CA261" i="2" s="1"/>
  <c r="R248" i="1"/>
  <c r="AZ248" i="1" s="1"/>
  <c r="BK248" i="1" s="1"/>
  <c r="BR248" i="1" s="1"/>
  <c r="BD248" i="1" a="1"/>
  <c r="BD248" i="1" s="1"/>
  <c r="BM248" i="1" s="1" a="1"/>
  <c r="BM248" i="1" s="1"/>
  <c r="BW248" i="1" s="1"/>
  <c r="BX262" i="2"/>
  <c r="CA262" i="2" s="1"/>
  <c r="CA347" i="2"/>
  <c r="CA117" i="2"/>
  <c r="BD247" i="1" a="1"/>
  <c r="BD247" i="1" s="1"/>
  <c r="BM247" i="1" s="1" a="1"/>
  <c r="BM247" i="1" s="1"/>
  <c r="BW247" i="1" s="1"/>
  <c r="R247" i="1"/>
  <c r="AZ247" i="1" s="1"/>
  <c r="BK247" i="1" s="1"/>
  <c r="BR247" i="1" s="1"/>
  <c r="BD189" i="1" a="1"/>
  <c r="BD189" i="1" s="1"/>
  <c r="BM189" i="1" s="1" a="1"/>
  <c r="BM189" i="1" s="1"/>
  <c r="BW189" i="1" s="1"/>
  <c r="R189" i="1"/>
  <c r="AZ189" i="1" s="1"/>
  <c r="BK189" i="1" s="1"/>
  <c r="BR189" i="1" s="1"/>
  <c r="R55" i="1"/>
  <c r="AZ55" i="1" s="1"/>
  <c r="BK55" i="1" s="1"/>
  <c r="BR55" i="1" s="1"/>
  <c r="BD55" i="1" a="1"/>
  <c r="BD55" i="1" s="1"/>
  <c r="BM55" i="1" s="1" a="1"/>
  <c r="BM55" i="1" s="1"/>
  <c r="BW55" i="1" s="1"/>
  <c r="CA334" i="1"/>
  <c r="R246" i="1"/>
  <c r="AZ246" i="1" s="1"/>
  <c r="BK246" i="1" s="1"/>
  <c r="BR246" i="1" s="1"/>
  <c r="BD246" i="1" a="1"/>
  <c r="BD246" i="1" s="1"/>
  <c r="BM246" i="1" s="1" a="1"/>
  <c r="BM246" i="1" s="1"/>
  <c r="BW246" i="1" s="1"/>
  <c r="R203" i="1"/>
  <c r="AZ203" i="1" s="1"/>
  <c r="BK203" i="1" s="1"/>
  <c r="BR203" i="1" s="1"/>
  <c r="BD203" i="1" a="1"/>
  <c r="BD203" i="1" s="1"/>
  <c r="BM203" i="1" s="1" a="1"/>
  <c r="BM203" i="1" s="1"/>
  <c r="BW203" i="1" s="1"/>
  <c r="CA108" i="1"/>
  <c r="BD258" i="1" a="1"/>
  <c r="BD258" i="1" s="1"/>
  <c r="BM258" i="1" s="1" a="1"/>
  <c r="BM258" i="1" s="1"/>
  <c r="BW258" i="1" s="1"/>
  <c r="R258" i="1"/>
  <c r="AZ258" i="1" s="1"/>
  <c r="BK258" i="1" s="1"/>
  <c r="BR258" i="1" s="1"/>
  <c r="R245" i="1"/>
  <c r="AZ245" i="1" s="1"/>
  <c r="BK245" i="1" s="1"/>
  <c r="BR245" i="1" s="1"/>
  <c r="BD245" i="1" a="1"/>
  <c r="BD245" i="1" s="1"/>
  <c r="BM245" i="1" s="1" a="1"/>
  <c r="BM245" i="1" s="1"/>
  <c r="BW245" i="1" s="1"/>
  <c r="BD202" i="1" a="1"/>
  <c r="BD202" i="1" s="1"/>
  <c r="BM202" i="1" s="1" a="1"/>
  <c r="BM202" i="1" s="1"/>
  <c r="BW202" i="1" s="1"/>
  <c r="R202" i="1"/>
  <c r="AZ202" i="1" s="1"/>
  <c r="BK202" i="1" s="1"/>
  <c r="BR202" i="1" s="1"/>
  <c r="BX28" i="1"/>
  <c r="CA28" i="1" s="1"/>
  <c r="BD327" i="1" a="1"/>
  <c r="BD327" i="1" s="1"/>
  <c r="BM327" i="1" s="1" a="1"/>
  <c r="BM327" i="1" s="1"/>
  <c r="BW327" i="1" s="1"/>
  <c r="R327" i="1"/>
  <c r="AZ327" i="1" s="1"/>
  <c r="BK327" i="1" s="1"/>
  <c r="BR327" i="1" s="1"/>
  <c r="BD265" i="1" a="1"/>
  <c r="BD265" i="1" s="1"/>
  <c r="BM265" i="1" s="1" a="1"/>
  <c r="BM265" i="1" s="1"/>
  <c r="BW265" i="1" s="1"/>
  <c r="R265" i="1"/>
  <c r="AZ265" i="1" s="1"/>
  <c r="BK265" i="1" s="1"/>
  <c r="BR265" i="1" s="1"/>
  <c r="CA252" i="1"/>
  <c r="R117" i="1"/>
  <c r="AZ117" i="1" s="1"/>
  <c r="BK117" i="1" s="1"/>
  <c r="BR117" i="1" s="1"/>
  <c r="BD117" i="1" a="1"/>
  <c r="BD117" i="1" s="1"/>
  <c r="BM117" i="1" s="1" a="1"/>
  <c r="BM117" i="1" s="1"/>
  <c r="BW117" i="1" s="1"/>
  <c r="R264" i="1"/>
  <c r="AZ264" i="1" s="1"/>
  <c r="BK264" i="1" s="1"/>
  <c r="BR264" i="1" s="1"/>
  <c r="BD264" i="1" a="1"/>
  <c r="BD264" i="1" s="1"/>
  <c r="BM264" i="1" s="1" a="1"/>
  <c r="BM264" i="1" s="1"/>
  <c r="BW264" i="1" s="1"/>
  <c r="BD263" i="1" a="1"/>
  <c r="BD263" i="1" s="1"/>
  <c r="BM263" i="1" s="1" a="1"/>
  <c r="BM263" i="1" s="1"/>
  <c r="BW263" i="1" s="1"/>
  <c r="R263" i="1"/>
  <c r="AZ263" i="1" s="1"/>
  <c r="BK263" i="1" s="1"/>
  <c r="BR263" i="1" s="1"/>
  <c r="R262" i="1"/>
  <c r="AZ262" i="1" s="1"/>
  <c r="BK262" i="1" s="1"/>
  <c r="BR262" i="1" s="1"/>
  <c r="BD262" i="1" a="1"/>
  <c r="BD262" i="1" s="1"/>
  <c r="BM262" i="1" s="1" a="1"/>
  <c r="BM262" i="1" s="1"/>
  <c r="BW262" i="1" s="1"/>
  <c r="R249" i="1"/>
  <c r="AZ249" i="1" s="1"/>
  <c r="BK249" i="1" s="1"/>
  <c r="BR249" i="1" s="1"/>
  <c r="BD249" i="1" a="1"/>
  <c r="BD249" i="1" s="1"/>
  <c r="BM249" i="1" s="1" a="1"/>
  <c r="BM249" i="1" s="1"/>
  <c r="BW249" i="1" s="1"/>
  <c r="BR193" i="1" l="1"/>
  <c r="BX193" i="1" s="1"/>
  <c r="CA193" i="1" s="1"/>
  <c r="BZ443" i="1"/>
  <c r="R298" i="1"/>
  <c r="BE298" i="1"/>
  <c r="BX48" i="1"/>
  <c r="CA48" i="1" s="1"/>
  <c r="R227" i="1"/>
  <c r="BM135" i="1" a="1"/>
  <c r="BM135" i="1" s="1"/>
  <c r="BW135" i="1" s="1"/>
  <c r="BM426" i="1" a="1"/>
  <c r="BM426" i="1" s="1"/>
  <c r="BW426" i="1" s="1"/>
  <c r="BM143" i="1" a="1"/>
  <c r="BM143" i="1" s="1"/>
  <c r="BW143" i="1" s="1"/>
  <c r="BX380" i="2"/>
  <c r="CA380" i="2" s="1"/>
  <c r="BX344" i="2"/>
  <c r="CA344" i="2" s="1"/>
  <c r="CA80" i="2"/>
  <c r="CA91" i="2"/>
  <c r="BM187" i="2" a="1"/>
  <c r="BM187" i="2" s="1"/>
  <c r="BW187" i="2" s="1"/>
  <c r="CA12" i="2"/>
  <c r="AZ407" i="2" a="1"/>
  <c r="AZ407" i="2" s="1"/>
  <c r="BK407" i="2" s="1"/>
  <c r="BR407" i="2" s="1"/>
  <c r="BX407" i="2" s="1"/>
  <c r="CA407" i="2" s="1"/>
  <c r="CA392" i="2"/>
  <c r="BM189" i="2" a="1"/>
  <c r="BM189" i="2" s="1"/>
  <c r="BW189" i="2" s="1"/>
  <c r="CA153" i="2"/>
  <c r="CA42" i="2"/>
  <c r="CA38" i="2"/>
  <c r="CA39" i="2"/>
  <c r="CA19" i="2"/>
  <c r="CA159" i="2"/>
  <c r="BX162" i="2"/>
  <c r="CA162" i="2" s="1"/>
  <c r="BM364" i="2" a="1"/>
  <c r="BM364" i="2" s="1"/>
  <c r="BW364" i="2" s="1"/>
  <c r="CA396" i="2"/>
  <c r="AZ305" i="1"/>
  <c r="BK305" i="1" s="1"/>
  <c r="BR305" i="1" s="1"/>
  <c r="CA203" i="2"/>
  <c r="BX252" i="2"/>
  <c r="CA252" i="2"/>
  <c r="BX255" i="2"/>
  <c r="CA255" i="2"/>
  <c r="BX256" i="2"/>
  <c r="CA256" i="2" s="1"/>
  <c r="BX259" i="2"/>
  <c r="CA259" i="2"/>
  <c r="AZ324" i="2" a="1"/>
  <c r="AZ324" i="2" s="1"/>
  <c r="BK324" i="2" s="1"/>
  <c r="BR324" i="2" s="1"/>
  <c r="BM324" i="2" a="1"/>
  <c r="BM324" i="2" s="1"/>
  <c r="BW324" i="2" s="1"/>
  <c r="BX257" i="2"/>
  <c r="CA257" i="2" s="1"/>
  <c r="R384" i="1"/>
  <c r="BG402" i="1"/>
  <c r="AZ402" i="1" s="1" a="1"/>
  <c r="AZ402" i="1" s="1"/>
  <c r="BK402" i="1" s="1"/>
  <c r="BR402" i="1" s="1"/>
  <c r="BX402" i="1" s="1"/>
  <c r="CA402" i="1" s="1"/>
  <c r="R106" i="1"/>
  <c r="BD106" i="1" a="1"/>
  <c r="BD106" i="1" s="1"/>
  <c r="AZ106" i="1" s="1" a="1"/>
  <c r="AZ106" i="1" s="1"/>
  <c r="BK106" i="1" s="1"/>
  <c r="BR106" i="1" s="1"/>
  <c r="BX106" i="1" s="1"/>
  <c r="CA106" i="1" s="1"/>
  <c r="CA108" i="2"/>
  <c r="BG399" i="1"/>
  <c r="AZ399" i="1" s="1" a="1"/>
  <c r="AZ399" i="1" s="1"/>
  <c r="BK399" i="1" s="1"/>
  <c r="BR399" i="1" s="1"/>
  <c r="BC399" i="1"/>
  <c r="R399" i="1"/>
  <c r="BG393" i="1"/>
  <c r="BE393" i="1"/>
  <c r="R393" i="1"/>
  <c r="R118" i="1"/>
  <c r="R143" i="1"/>
  <c r="BE384" i="1"/>
  <c r="BG384" i="1"/>
  <c r="R161" i="1"/>
  <c r="R284" i="1"/>
  <c r="AZ424" i="1"/>
  <c r="BK424" i="1" s="1"/>
  <c r="BR424" i="1" s="1"/>
  <c r="BX424" i="1" s="1"/>
  <c r="CA424" i="1" s="1"/>
  <c r="BG47" i="1"/>
  <c r="AZ47" i="1" s="1" a="1"/>
  <c r="AZ47" i="1" s="1"/>
  <c r="BK47" i="1" s="1"/>
  <c r="BR47" i="1" s="1"/>
  <c r="BX47" i="1" s="1"/>
  <c r="CA47" i="1" s="1"/>
  <c r="R395" i="1"/>
  <c r="R386" i="1"/>
  <c r="BC386" i="1"/>
  <c r="BX79" i="2"/>
  <c r="CA79" i="2" s="1"/>
  <c r="AZ395" i="2" a="1"/>
  <c r="AZ395" i="2" s="1"/>
  <c r="BK395" i="2" s="1"/>
  <c r="BR395" i="2" s="1"/>
  <c r="BM395" i="2" a="1"/>
  <c r="BM395" i="2" s="1"/>
  <c r="BW395" i="2" s="1"/>
  <c r="BX13" i="2"/>
  <c r="CA13" i="2" s="1"/>
  <c r="BG386" i="1"/>
  <c r="AZ386" i="1" s="1" a="1"/>
  <c r="AZ386" i="1" s="1"/>
  <c r="BK386" i="1" s="1"/>
  <c r="BR386" i="1" s="1"/>
  <c r="BX386" i="1" s="1"/>
  <c r="CA386" i="1" s="1"/>
  <c r="R422" i="1"/>
  <c r="BG87" i="1"/>
  <c r="BC87" i="1"/>
  <c r="BC227" i="1"/>
  <c r="BC18" i="1"/>
  <c r="BG18" i="1"/>
  <c r="BE367" i="1"/>
  <c r="BE18" i="1"/>
  <c r="BG367" i="1"/>
  <c r="BG133" i="1"/>
  <c r="R367" i="1"/>
  <c r="BG227" i="1"/>
  <c r="AZ227" i="1" s="1" a="1"/>
  <c r="AZ227" i="1" s="1"/>
  <c r="BK227" i="1" s="1"/>
  <c r="BR227" i="1" s="1"/>
  <c r="R133" i="1"/>
  <c r="BE133" i="1"/>
  <c r="R53" i="1"/>
  <c r="R159" i="1"/>
  <c r="BE159" i="1"/>
  <c r="AZ159" i="1" s="1" a="1"/>
  <c r="AZ159" i="1" s="1"/>
  <c r="BK159" i="1" s="1"/>
  <c r="BR159" i="1" s="1"/>
  <c r="BX159" i="1" s="1"/>
  <c r="CA159" i="1" s="1"/>
  <c r="BC159" i="1"/>
  <c r="BC53" i="1"/>
  <c r="BM442" i="2" a="1"/>
  <c r="BM442" i="2" s="1"/>
  <c r="BW442" i="2" s="1"/>
  <c r="AZ442" i="2" a="1"/>
  <c r="AZ442" i="2" s="1"/>
  <c r="BK442" i="2" s="1"/>
  <c r="BR442" i="2" s="1"/>
  <c r="R47" i="1"/>
  <c r="BC284" i="1"/>
  <c r="BC47" i="1"/>
  <c r="BE284" i="1"/>
  <c r="AZ284" i="1" s="1" a="1"/>
  <c r="AZ284" i="1" s="1"/>
  <c r="BK284" i="1" s="1"/>
  <c r="BR284" i="1" s="1"/>
  <c r="BX284" i="1" s="1"/>
  <c r="CA284" i="1" s="1"/>
  <c r="BC143" i="1"/>
  <c r="BG143" i="1"/>
  <c r="AZ143" i="1" s="1" a="1"/>
  <c r="AZ143" i="1" s="1"/>
  <c r="BC168" i="1"/>
  <c r="R80" i="1"/>
  <c r="BG161" i="1"/>
  <c r="AZ161" i="1" s="1" a="1"/>
  <c r="AZ161" i="1" s="1"/>
  <c r="BK161" i="1" s="1"/>
  <c r="BR161" i="1" s="1"/>
  <c r="BX161" i="1" s="1"/>
  <c r="BE80" i="1"/>
  <c r="BG80" i="1"/>
  <c r="BC161" i="1"/>
  <c r="BE387" i="1"/>
  <c r="BE160" i="1"/>
  <c r="BG90" i="1"/>
  <c r="BE76" i="1"/>
  <c r="BG387" i="1"/>
  <c r="BE53" i="1"/>
  <c r="AZ53" i="1" s="1" a="1"/>
  <c r="AZ53" i="1" s="1"/>
  <c r="BK53" i="1" s="1"/>
  <c r="BR53" i="1" s="1"/>
  <c r="BX53" i="1" s="1"/>
  <c r="CA53" i="1" s="1"/>
  <c r="R387" i="1"/>
  <c r="BE87" i="1"/>
  <c r="BC167" i="1"/>
  <c r="R167" i="1"/>
  <c r="BG167" i="1"/>
  <c r="AZ167" i="1" s="1" a="1"/>
  <c r="AZ167" i="1" s="1"/>
  <c r="BK167" i="1" s="1"/>
  <c r="BR167" i="1" s="1"/>
  <c r="BX167" i="1" s="1"/>
  <c r="CA167" i="1" s="1"/>
  <c r="BC81" i="1"/>
  <c r="BE177" i="1"/>
  <c r="AZ177" i="1" s="1" a="1"/>
  <c r="AZ177" i="1" s="1"/>
  <c r="BK177" i="1" s="1"/>
  <c r="BR177" i="1" s="1"/>
  <c r="BX177" i="1" s="1"/>
  <c r="CA177" i="1" s="1"/>
  <c r="BG120" i="1"/>
  <c r="AZ120" i="1" s="1" a="1"/>
  <c r="AZ120" i="1" s="1"/>
  <c r="BK120" i="1" s="1"/>
  <c r="BR120" i="1" s="1"/>
  <c r="BX120" i="1" s="1"/>
  <c r="CA120" i="1" s="1"/>
  <c r="R180" i="1"/>
  <c r="BG130" i="1"/>
  <c r="BG251" i="1"/>
  <c r="R420" i="1"/>
  <c r="BC177" i="1"/>
  <c r="BE90" i="1"/>
  <c r="BC251" i="1"/>
  <c r="BC422" i="1"/>
  <c r="R81" i="1"/>
  <c r="R76" i="1"/>
  <c r="R172" i="1"/>
  <c r="R120" i="1"/>
  <c r="BC402" i="1"/>
  <c r="BE251" i="1"/>
  <c r="BG76" i="1"/>
  <c r="BE224" i="1"/>
  <c r="AZ224" i="1" s="1" a="1"/>
  <c r="AZ224" i="1" s="1"/>
  <c r="BK224" i="1" s="1"/>
  <c r="BR224" i="1" s="1"/>
  <c r="BG172" i="1"/>
  <c r="AZ172" i="1" s="1" a="1"/>
  <c r="AZ172" i="1" s="1"/>
  <c r="BK172" i="1" s="1"/>
  <c r="BR172" i="1" s="1"/>
  <c r="BX172" i="1" s="1"/>
  <c r="CA172" i="1" s="1"/>
  <c r="BC224" i="1"/>
  <c r="BC180" i="1"/>
  <c r="BC172" i="1"/>
  <c r="BE130" i="1"/>
  <c r="R177" i="1"/>
  <c r="R224" i="1"/>
  <c r="BC420" i="1"/>
  <c r="BC120" i="1"/>
  <c r="BG180" i="1"/>
  <c r="AZ180" i="1" s="1" a="1"/>
  <c r="AZ180" i="1" s="1"/>
  <c r="BK180" i="1" s="1"/>
  <c r="BR180" i="1" s="1"/>
  <c r="BG375" i="1"/>
  <c r="BE127" i="1"/>
  <c r="BC425" i="1"/>
  <c r="R127" i="1"/>
  <c r="BE425" i="1"/>
  <c r="BC145" i="1"/>
  <c r="BC375" i="1"/>
  <c r="BG127" i="1"/>
  <c r="BG118" i="1"/>
  <c r="R145" i="1"/>
  <c r="BG420" i="1"/>
  <c r="AZ420" i="1" s="1" a="1"/>
  <c r="AZ420" i="1" s="1"/>
  <c r="BK420" i="1" s="1"/>
  <c r="BR420" i="1" s="1"/>
  <c r="BG425" i="1"/>
  <c r="BE145" i="1"/>
  <c r="AZ145" i="1" s="1" a="1"/>
  <c r="AZ145" i="1" s="1"/>
  <c r="BK145" i="1" s="1"/>
  <c r="BR145" i="1" s="1"/>
  <c r="BX145" i="1" s="1"/>
  <c r="CA145" i="1" s="1"/>
  <c r="BG81" i="1"/>
  <c r="AZ81" i="1" s="1" a="1"/>
  <c r="AZ81" i="1" s="1"/>
  <c r="BK81" i="1" s="1"/>
  <c r="BR81" i="1" s="1"/>
  <c r="BX81" i="1" s="1"/>
  <c r="BE375" i="1"/>
  <c r="BE422" i="1"/>
  <c r="AZ422" i="1" s="1" a="1"/>
  <c r="AZ422" i="1" s="1"/>
  <c r="BK422" i="1" s="1"/>
  <c r="BR422" i="1" s="1"/>
  <c r="BX422" i="1" s="1"/>
  <c r="CA422" i="1" s="1"/>
  <c r="AZ307" i="1" a="1"/>
  <c r="AZ307" i="1" s="1"/>
  <c r="BK307" i="1" s="1"/>
  <c r="BR307" i="1" s="1"/>
  <c r="BX307" i="1" s="1"/>
  <c r="CA307" i="1" s="1"/>
  <c r="BE118" i="1"/>
  <c r="BE168" i="1"/>
  <c r="AZ168" i="1" s="1" a="1"/>
  <c r="AZ168" i="1" s="1"/>
  <c r="BK168" i="1" s="1"/>
  <c r="BR168" i="1" s="1"/>
  <c r="BX168" i="1" s="1"/>
  <c r="CA168" i="1" s="1"/>
  <c r="R168" i="1"/>
  <c r="R391" i="1"/>
  <c r="BC395" i="1"/>
  <c r="BG160" i="1"/>
  <c r="BG391" i="1"/>
  <c r="AZ391" i="1" s="1" a="1"/>
  <c r="AZ391" i="1" s="1"/>
  <c r="BK391" i="1" s="1"/>
  <c r="BR391" i="1" s="1"/>
  <c r="BC391" i="1"/>
  <c r="R179" i="1"/>
  <c r="BG179" i="1"/>
  <c r="AZ179" i="1" s="1" a="1"/>
  <c r="AZ179" i="1" s="1"/>
  <c r="BK179" i="1" s="1"/>
  <c r="BR179" i="1" s="1"/>
  <c r="BX179" i="1" s="1"/>
  <c r="CA179" i="1" s="1"/>
  <c r="BC179" i="1"/>
  <c r="BE395" i="1"/>
  <c r="AZ395" i="1" s="1" a="1"/>
  <c r="AZ395" i="1" s="1"/>
  <c r="BK395" i="1" s="1"/>
  <c r="BR395" i="1" s="1"/>
  <c r="BX395" i="1" s="1"/>
  <c r="CA395" i="1" s="1"/>
  <c r="R160" i="1"/>
  <c r="CA99" i="2"/>
  <c r="CA131" i="2"/>
  <c r="BM131" i="2" a="1"/>
  <c r="BM131" i="2" s="1"/>
  <c r="BW131" i="2" s="1"/>
  <c r="CA147" i="2"/>
  <c r="BX193" i="2"/>
  <c r="CA193" i="2" s="1"/>
  <c r="CA74" i="2"/>
  <c r="AZ429" i="2" a="1"/>
  <c r="AZ429" i="2" s="1"/>
  <c r="BK429" i="2" s="1"/>
  <c r="BR429" i="2" s="1"/>
  <c r="BM429" i="2" a="1"/>
  <c r="BM429" i="2" s="1"/>
  <c r="BW429" i="2" s="1"/>
  <c r="BM194" i="2" a="1"/>
  <c r="BM194" i="2" s="1"/>
  <c r="BW194" i="2" s="1"/>
  <c r="AZ194" i="2" a="1"/>
  <c r="AZ194" i="2" s="1"/>
  <c r="BK194" i="2" s="1"/>
  <c r="BR194" i="2" s="1"/>
  <c r="AZ144" i="2" a="1"/>
  <c r="AZ144" i="2" s="1"/>
  <c r="BK144" i="2" s="1"/>
  <c r="BR144" i="2" s="1"/>
  <c r="BX144" i="2" s="1"/>
  <c r="BC348" i="1"/>
  <c r="CA103" i="1"/>
  <c r="CA86" i="1"/>
  <c r="CA280" i="1"/>
  <c r="CA344" i="1"/>
  <c r="CA263" i="2"/>
  <c r="CA36" i="1"/>
  <c r="BM162" i="1" a="1"/>
  <c r="BM162" i="1" s="1"/>
  <c r="BW162" i="1" s="1"/>
  <c r="CA141" i="1"/>
  <c r="BE421" i="1"/>
  <c r="CA362" i="1"/>
  <c r="CA146" i="1"/>
  <c r="BC27" i="1"/>
  <c r="CA372" i="1"/>
  <c r="CA42" i="1"/>
  <c r="CA353" i="1"/>
  <c r="CA301" i="1"/>
  <c r="CA289" i="1"/>
  <c r="CA357" i="1"/>
  <c r="BG419" i="1"/>
  <c r="CA242" i="1"/>
  <c r="BE27" i="1"/>
  <c r="AZ27" i="1" s="1" a="1"/>
  <c r="AZ27" i="1" s="1"/>
  <c r="BK27" i="1" s="1"/>
  <c r="BR27" i="1" s="1"/>
  <c r="BX27" i="1" s="1"/>
  <c r="CA27" i="1" s="1"/>
  <c r="R369" i="1"/>
  <c r="CA238" i="1"/>
  <c r="R419" i="1"/>
  <c r="CA121" i="1"/>
  <c r="BE383" i="1"/>
  <c r="CA94" i="1"/>
  <c r="CA85" i="1"/>
  <c r="BG421" i="1"/>
  <c r="BC135" i="1"/>
  <c r="CA12" i="1"/>
  <c r="BE426" i="1"/>
  <c r="BM387" i="1" a="1"/>
  <c r="BM387" i="1" s="1"/>
  <c r="BW387" i="1" s="1"/>
  <c r="BG426" i="1"/>
  <c r="CA104" i="1"/>
  <c r="R383" i="1"/>
  <c r="BG212" i="1"/>
  <c r="BG283" i="1"/>
  <c r="BC426" i="1"/>
  <c r="BG135" i="1"/>
  <c r="BE212" i="1"/>
  <c r="CA96" i="1"/>
  <c r="BE283" i="1"/>
  <c r="CA73" i="1"/>
  <c r="CA109" i="1"/>
  <c r="BC212" i="1"/>
  <c r="R283" i="1"/>
  <c r="BM120" i="1" a="1"/>
  <c r="BM120" i="1" s="1"/>
  <c r="BW120" i="1" s="1"/>
  <c r="BC89" i="1"/>
  <c r="R89" i="1"/>
  <c r="BM145" i="1" a="1"/>
  <c r="BM145" i="1" s="1"/>
  <c r="BW145" i="1" s="1"/>
  <c r="BG383" i="1"/>
  <c r="BG182" i="1"/>
  <c r="BE419" i="1"/>
  <c r="BG308" i="1"/>
  <c r="R135" i="1"/>
  <c r="CA60" i="1"/>
  <c r="CA116" i="1"/>
  <c r="R164" i="1"/>
  <c r="R27" i="1"/>
  <c r="BE89" i="1"/>
  <c r="BX214" i="1"/>
  <c r="CA214" i="1" s="1"/>
  <c r="BG89" i="1"/>
  <c r="BE308" i="1"/>
  <c r="CA163" i="1"/>
  <c r="R304" i="1"/>
  <c r="CA79" i="1"/>
  <c r="BC164" i="1"/>
  <c r="BE304" i="1"/>
  <c r="BC182" i="1"/>
  <c r="CA157" i="1"/>
  <c r="BE164" i="1"/>
  <c r="AZ164" i="1" s="1" a="1"/>
  <c r="AZ164" i="1" s="1"/>
  <c r="BK164" i="1" s="1"/>
  <c r="BR164" i="1" s="1"/>
  <c r="BG304" i="1"/>
  <c r="BE182" i="1"/>
  <c r="BC435" i="1"/>
  <c r="BE435" i="1"/>
  <c r="BG435" i="1"/>
  <c r="R13" i="1"/>
  <c r="BG13" i="1"/>
  <c r="BC13" i="1"/>
  <c r="BE13" i="1"/>
  <c r="BM47" i="1" a="1"/>
  <c r="BM47" i="1" s="1"/>
  <c r="BW47" i="1" s="1"/>
  <c r="BG406" i="1"/>
  <c r="AZ406" i="1" s="1" a="1"/>
  <c r="AZ406" i="1" s="1"/>
  <c r="BK406" i="1" s="1"/>
  <c r="BR406" i="1" s="1"/>
  <c r="BX406" i="1" s="1"/>
  <c r="CA406" i="1" s="1"/>
  <c r="BC312" i="1"/>
  <c r="BG312" i="1"/>
  <c r="BE312" i="1"/>
  <c r="BC210" i="1"/>
  <c r="R210" i="1"/>
  <c r="BM133" i="1" a="1"/>
  <c r="BM133" i="1" s="1"/>
  <c r="BW133" i="1" s="1"/>
  <c r="BG210" i="1"/>
  <c r="AZ210" i="1" s="1" a="1"/>
  <c r="AZ210" i="1" s="1"/>
  <c r="BK210" i="1" s="1"/>
  <c r="BR210" i="1" s="1"/>
  <c r="BX210" i="1" s="1"/>
  <c r="CA210" i="1" s="1"/>
  <c r="BE268" i="1"/>
  <c r="BC268" i="1"/>
  <c r="BG268" i="1"/>
  <c r="BC406" i="1"/>
  <c r="R406" i="1"/>
  <c r="BG175" i="1"/>
  <c r="R175" i="1"/>
  <c r="BG423" i="1"/>
  <c r="BE423" i="1"/>
  <c r="BC423" i="1"/>
  <c r="R423" i="1"/>
  <c r="BG348" i="1"/>
  <c r="AZ348" i="1" s="1" a="1"/>
  <c r="AZ348" i="1" s="1"/>
  <c r="BK348" i="1" s="1"/>
  <c r="BR348" i="1" s="1"/>
  <c r="BX348" i="1" s="1"/>
  <c r="CA348" i="1" s="1"/>
  <c r="R348" i="1"/>
  <c r="CA17" i="1"/>
  <c r="BE132" i="1"/>
  <c r="BG132" i="1"/>
  <c r="BC132" i="1"/>
  <c r="BG369" i="1"/>
  <c r="BE175" i="1"/>
  <c r="BE49" i="1"/>
  <c r="BC49" i="1"/>
  <c r="BG49" i="1"/>
  <c r="BE211" i="1"/>
  <c r="BC211" i="1"/>
  <c r="BG211" i="1"/>
  <c r="BE359" i="1"/>
  <c r="BG359" i="1"/>
  <c r="BC359" i="1"/>
  <c r="R359" i="1"/>
  <c r="BC378" i="1"/>
  <c r="BE378" i="1"/>
  <c r="BG378" i="1"/>
  <c r="BX272" i="1"/>
  <c r="CA272" i="1" s="1"/>
  <c r="CA45" i="1"/>
  <c r="BC175" i="1"/>
  <c r="BC421" i="1"/>
  <c r="BE407" i="1"/>
  <c r="BC407" i="1"/>
  <c r="BG407" i="1"/>
  <c r="R407" i="1"/>
  <c r="BC308" i="1"/>
  <c r="BC410" i="1"/>
  <c r="BG410" i="1"/>
  <c r="BE410" i="1"/>
  <c r="R378" i="1"/>
  <c r="BE369" i="1"/>
  <c r="R211" i="1"/>
  <c r="BC298" i="1"/>
  <c r="BG298" i="1"/>
  <c r="AZ298" i="1" s="1" a="1"/>
  <c r="AZ298" i="1" s="1"/>
  <c r="BK298" i="1" s="1"/>
  <c r="BR298" i="1" s="1"/>
  <c r="BG385" i="1"/>
  <c r="BE385" i="1"/>
  <c r="BC385" i="1"/>
  <c r="R385" i="1"/>
  <c r="BE388" i="1"/>
  <c r="BG388" i="1"/>
  <c r="BC388" i="1"/>
  <c r="R388" i="1"/>
  <c r="R49" i="1"/>
  <c r="BX23" i="1"/>
  <c r="CA23" i="1" s="1"/>
  <c r="BX107" i="1"/>
  <c r="CA107" i="1" s="1"/>
  <c r="CA208" i="1"/>
  <c r="BM211" i="1" a="1"/>
  <c r="BM211" i="1" s="1"/>
  <c r="BW211" i="1" s="1"/>
  <c r="CA345" i="1"/>
  <c r="BM307" i="1" a="1"/>
  <c r="BM307" i="1" s="1"/>
  <c r="BW307" i="1" s="1"/>
  <c r="CA46" i="1"/>
  <c r="BM179" i="2" a="1"/>
  <c r="BM179" i="2" s="1"/>
  <c r="BW179" i="2" s="1"/>
  <c r="AZ179" i="2" a="1"/>
  <c r="AZ179" i="2" s="1"/>
  <c r="BK179" i="2" s="1"/>
  <c r="BR179" i="2" s="1"/>
  <c r="BX196" i="2"/>
  <c r="CA196" i="2" s="1"/>
  <c r="BX197" i="2"/>
  <c r="CA197" i="2" s="1"/>
  <c r="BX16" i="2"/>
  <c r="CA16" i="2" s="1"/>
  <c r="AZ430" i="2" a="1"/>
  <c r="AZ430" i="2" s="1"/>
  <c r="BK430" i="2" s="1"/>
  <c r="BR430" i="2" s="1"/>
  <c r="BM430" i="2" a="1"/>
  <c r="BM430" i="2" s="1"/>
  <c r="BW430" i="2" s="1"/>
  <c r="BX135" i="2"/>
  <c r="CA135" i="2" s="1"/>
  <c r="BX124" i="1"/>
  <c r="CA124" i="1" s="1"/>
  <c r="BX180" i="2"/>
  <c r="CA180" i="2"/>
  <c r="BM191" i="2" a="1"/>
  <c r="BM191" i="2" s="1"/>
  <c r="BW191" i="2" s="1"/>
  <c r="AZ191" i="2" a="1"/>
  <c r="AZ191" i="2" s="1"/>
  <c r="BK191" i="2" s="1"/>
  <c r="BR191" i="2" s="1"/>
  <c r="BX404" i="1"/>
  <c r="CA404" i="1" s="1"/>
  <c r="BM180" i="1" a="1"/>
  <c r="BM180" i="1" s="1"/>
  <c r="BW180" i="1" s="1"/>
  <c r="BX17" i="2"/>
  <c r="CA17" i="2" s="1"/>
  <c r="BM192" i="2" a="1"/>
  <c r="BM192" i="2" s="1"/>
  <c r="BW192" i="2" s="1"/>
  <c r="AZ192" i="2" a="1"/>
  <c r="AZ192" i="2" s="1"/>
  <c r="BK192" i="2" s="1"/>
  <c r="BR192" i="2" s="1"/>
  <c r="BX103" i="2"/>
  <c r="CA103" i="2" s="1"/>
  <c r="BX146" i="2"/>
  <c r="CA146" i="2" s="1"/>
  <c r="BX405" i="1"/>
  <c r="CA405" i="1" s="1"/>
  <c r="BX143" i="2"/>
  <c r="CA143" i="2" s="1"/>
  <c r="BX134" i="2"/>
  <c r="CA134" i="2"/>
  <c r="AZ18" i="2" a="1"/>
  <c r="AZ18" i="2" s="1"/>
  <c r="BK18" i="2" s="1"/>
  <c r="BR18" i="2" s="1"/>
  <c r="BM18" i="2" a="1"/>
  <c r="BM18" i="2" s="1"/>
  <c r="BW18" i="2" s="1"/>
  <c r="BX164" i="2"/>
  <c r="CA164" i="2" s="1"/>
  <c r="CA229" i="1"/>
  <c r="AZ239" i="2" a="1"/>
  <c r="AZ239" i="2" s="1"/>
  <c r="BK239" i="2" s="1"/>
  <c r="BR239" i="2" s="1"/>
  <c r="BX239" i="2" s="1"/>
  <c r="CA239" i="2" s="1"/>
  <c r="BM239" i="2" a="1"/>
  <c r="BM239" i="2" s="1"/>
  <c r="BW239" i="2" s="1"/>
  <c r="BX59" i="2"/>
  <c r="CA59" i="2" s="1"/>
  <c r="BX223" i="1"/>
  <c r="CA223" i="1" s="1"/>
  <c r="BX226" i="1"/>
  <c r="CA226" i="1" s="1"/>
  <c r="BX225" i="1"/>
  <c r="CA225" i="1" s="1"/>
  <c r="BX221" i="1"/>
  <c r="CA221" i="1" s="1"/>
  <c r="BX57" i="1"/>
  <c r="CA57" i="1" s="1"/>
  <c r="BM224" i="1" a="1"/>
  <c r="BM224" i="1" s="1"/>
  <c r="BW224" i="1" s="1"/>
  <c r="BX243" i="2"/>
  <c r="CA243" i="2" s="1"/>
  <c r="BX220" i="1"/>
  <c r="CA220" i="1" s="1"/>
  <c r="BX222" i="1"/>
  <c r="CA222" i="1" s="1"/>
  <c r="BX241" i="2"/>
  <c r="CA241" i="2" s="1"/>
  <c r="BM227" i="1" a="1"/>
  <c r="BM227" i="1" s="1"/>
  <c r="BW227" i="1" s="1"/>
  <c r="AZ242" i="2" a="1"/>
  <c r="AZ242" i="2" s="1"/>
  <c r="BK242" i="2" s="1"/>
  <c r="BR242" i="2" s="1"/>
  <c r="BM242" i="2" a="1"/>
  <c r="BM242" i="2" s="1"/>
  <c r="BW242" i="2" s="1"/>
  <c r="BX24" i="2"/>
  <c r="CA24" i="2" s="1"/>
  <c r="BX186" i="1"/>
  <c r="CA186" i="1" s="1"/>
  <c r="CA206" i="1"/>
  <c r="CA218" i="2"/>
  <c r="BX219" i="1"/>
  <c r="CA219" i="1" s="1"/>
  <c r="BX218" i="1"/>
  <c r="CA218" i="1" s="1"/>
  <c r="BX232" i="2"/>
  <c r="CA232" i="2" s="1"/>
  <c r="BX207" i="1"/>
  <c r="CA207" i="1" s="1"/>
  <c r="BX217" i="2"/>
  <c r="CA217" i="2" s="1"/>
  <c r="BX219" i="2"/>
  <c r="CA219" i="2" s="1"/>
  <c r="BX231" i="2"/>
  <c r="CA231" i="2" s="1"/>
  <c r="BX166" i="2"/>
  <c r="CA166" i="2"/>
  <c r="BM419" i="1" a="1"/>
  <c r="BM419" i="1" s="1"/>
  <c r="BW419" i="1" s="1"/>
  <c r="BM448" i="2" a="1"/>
  <c r="BM448" i="2" s="1"/>
  <c r="BW448" i="2" s="1"/>
  <c r="AZ448" i="2" a="1"/>
  <c r="AZ448" i="2" s="1"/>
  <c r="BK448" i="2" s="1"/>
  <c r="BR448" i="2" s="1"/>
  <c r="BX449" i="2"/>
  <c r="CA449" i="2" s="1"/>
  <c r="BX450" i="2"/>
  <c r="CA450" i="2" s="1"/>
  <c r="BX224" i="2"/>
  <c r="CA224" i="2" s="1"/>
  <c r="BM420" i="1" a="1"/>
  <c r="BM420" i="1" s="1"/>
  <c r="BW420" i="1" s="1"/>
  <c r="BX155" i="1"/>
  <c r="CA155" i="1" s="1"/>
  <c r="AZ443" i="2" a="1"/>
  <c r="AZ443" i="2" s="1"/>
  <c r="BK443" i="2" s="1"/>
  <c r="BR443" i="2" s="1"/>
  <c r="BM443" i="2" a="1"/>
  <c r="BM443" i="2" s="1"/>
  <c r="BW443" i="2" s="1"/>
  <c r="BX156" i="1"/>
  <c r="CA156" i="1" s="1"/>
  <c r="BX324" i="1"/>
  <c r="CA324" i="1" s="1"/>
  <c r="AZ444" i="2" a="1"/>
  <c r="AZ444" i="2" s="1"/>
  <c r="BK444" i="2" s="1"/>
  <c r="BR444" i="2" s="1"/>
  <c r="BM444" i="2" a="1"/>
  <c r="BM444" i="2" s="1"/>
  <c r="BW444" i="2" s="1"/>
  <c r="BX446" i="2"/>
  <c r="CA446" i="2" s="1"/>
  <c r="BX209" i="1"/>
  <c r="CA209" i="1" s="1"/>
  <c r="BX167" i="2"/>
  <c r="CA167" i="2" s="1"/>
  <c r="CA409" i="2"/>
  <c r="BM393" i="1" a="1"/>
  <c r="BM393" i="1" s="1"/>
  <c r="BW393" i="1" s="1"/>
  <c r="BM391" i="1" a="1"/>
  <c r="BM391" i="1" s="1"/>
  <c r="BW391" i="1" s="1"/>
  <c r="BX377" i="1"/>
  <c r="CA377" i="1" s="1"/>
  <c r="BX398" i="2"/>
  <c r="CA398" i="2" s="1"/>
  <c r="BM411" i="2" a="1"/>
  <c r="BM411" i="2" s="1"/>
  <c r="BW411" i="2" s="1"/>
  <c r="AZ411" i="2" a="1"/>
  <c r="AZ411" i="2" s="1"/>
  <c r="BK411" i="2" s="1"/>
  <c r="BR411" i="2" s="1"/>
  <c r="BX410" i="2"/>
  <c r="CA410" i="2" s="1"/>
  <c r="BX390" i="1"/>
  <c r="CA390" i="1" s="1"/>
  <c r="BX400" i="2"/>
  <c r="CA400" i="2" s="1"/>
  <c r="BX397" i="2"/>
  <c r="CA397" i="2" s="1"/>
  <c r="BX412" i="2"/>
  <c r="CA412" i="2" s="1"/>
  <c r="CA429" i="1"/>
  <c r="AZ420" i="2" a="1"/>
  <c r="AZ420" i="2" s="1"/>
  <c r="BK420" i="2" s="1"/>
  <c r="BR420" i="2" s="1"/>
  <c r="BM420" i="2" a="1"/>
  <c r="BM420" i="2" s="1"/>
  <c r="BW420" i="2" s="1"/>
  <c r="BX398" i="1"/>
  <c r="CA398" i="1" s="1"/>
  <c r="BX397" i="1"/>
  <c r="CA397" i="1" s="1"/>
  <c r="BX419" i="2"/>
  <c r="CA419" i="2"/>
  <c r="BM399" i="1" a="1"/>
  <c r="BM399" i="1" s="1"/>
  <c r="BW399" i="1" s="1"/>
  <c r="CA158" i="1"/>
  <c r="BM159" i="1" a="1"/>
  <c r="BM159" i="1" s="1"/>
  <c r="BW159" i="1" s="1"/>
  <c r="BM161" i="1" a="1"/>
  <c r="BM161" i="1" s="1"/>
  <c r="BW161" i="1" s="1"/>
  <c r="CA408" i="1"/>
  <c r="CA455" i="2"/>
  <c r="BM160" i="1" a="1"/>
  <c r="BM160" i="1" s="1"/>
  <c r="BW160" i="1" s="1"/>
  <c r="CA453" i="2"/>
  <c r="CA431" i="2"/>
  <c r="CA456" i="2"/>
  <c r="AZ172" i="2" a="1"/>
  <c r="AZ172" i="2" s="1"/>
  <c r="BK172" i="2" s="1"/>
  <c r="BR172" i="2" s="1"/>
  <c r="BX172" i="2" s="1"/>
  <c r="CA172" i="2" s="1"/>
  <c r="BM172" i="2" a="1"/>
  <c r="BM172" i="2" s="1"/>
  <c r="BW172" i="2" s="1"/>
  <c r="CA431" i="1"/>
  <c r="CA428" i="1"/>
  <c r="CA416" i="1"/>
  <c r="CA25" i="2"/>
  <c r="BX339" i="2"/>
  <c r="CA339" i="2" s="1"/>
  <c r="BX243" i="1"/>
  <c r="CA243" i="1" s="1"/>
  <c r="BX250" i="2"/>
  <c r="CA250" i="2"/>
  <c r="BX235" i="1"/>
  <c r="CA235" i="1" s="1"/>
  <c r="BX199" i="1"/>
  <c r="CA199" i="1" s="1"/>
  <c r="BX258" i="2"/>
  <c r="CA258" i="2"/>
  <c r="BX212" i="2"/>
  <c r="CA212" i="2" s="1"/>
  <c r="BX216" i="2"/>
  <c r="CA216" i="2" s="1"/>
  <c r="BX211" i="2"/>
  <c r="CA211" i="2" s="1"/>
  <c r="CA438" i="2"/>
  <c r="BM402" i="1" a="1"/>
  <c r="BM402" i="1" s="1"/>
  <c r="BW402" i="1" s="1"/>
  <c r="BX423" i="2"/>
  <c r="CA423" i="2" s="1"/>
  <c r="BX401" i="1"/>
  <c r="CA401" i="1" s="1"/>
  <c r="BX424" i="2"/>
  <c r="CA424" i="2" s="1"/>
  <c r="CA435" i="2"/>
  <c r="CA231" i="1"/>
  <c r="CA52" i="1"/>
  <c r="CA269" i="2"/>
  <c r="BM53" i="1" a="1"/>
  <c r="BM53" i="1" s="1"/>
  <c r="BW53" i="1" s="1"/>
  <c r="CA349" i="2"/>
  <c r="BM298" i="1" a="1"/>
  <c r="BM298" i="1" s="1"/>
  <c r="BW298" i="1" s="1"/>
  <c r="BX439" i="2"/>
  <c r="CA439" i="2" s="1"/>
  <c r="BX266" i="2"/>
  <c r="CA266" i="2" s="1"/>
  <c r="BM27" i="1" a="1"/>
  <c r="BM27" i="1" s="1"/>
  <c r="BW27" i="1" s="1"/>
  <c r="BX55" i="2"/>
  <c r="CA55" i="2" s="1"/>
  <c r="CA268" i="2"/>
  <c r="BM416" i="2" a="1"/>
  <c r="BM416" i="2" s="1"/>
  <c r="BW416" i="2" s="1"/>
  <c r="AZ416" i="2" a="1"/>
  <c r="AZ416" i="2" s="1"/>
  <c r="BK416" i="2" s="1"/>
  <c r="BR416" i="2" s="1"/>
  <c r="BM410" i="1" a="1"/>
  <c r="BM410" i="1" s="1"/>
  <c r="BW410" i="1" s="1"/>
  <c r="BM403" i="2" a="1"/>
  <c r="BM403" i="2" s="1"/>
  <c r="BW403" i="2" s="1"/>
  <c r="AZ403" i="2" a="1"/>
  <c r="AZ403" i="2" s="1"/>
  <c r="BK403" i="2" s="1"/>
  <c r="BR403" i="2" s="1"/>
  <c r="AZ433" i="2" a="1"/>
  <c r="AZ433" i="2" s="1"/>
  <c r="BK433" i="2" s="1"/>
  <c r="BR433" i="2" s="1"/>
  <c r="BM433" i="2" a="1"/>
  <c r="BM433" i="2" s="1"/>
  <c r="BW433" i="2" s="1"/>
  <c r="BX365" i="1"/>
  <c r="CA365" i="1" s="1"/>
  <c r="BX360" i="1"/>
  <c r="CA360" i="1" s="1"/>
  <c r="BX371" i="1"/>
  <c r="CA371" i="1" s="1"/>
  <c r="BM383" i="1" a="1"/>
  <c r="BM383" i="1" s="1"/>
  <c r="BW383" i="1" s="1"/>
  <c r="BX366" i="1"/>
  <c r="CA366" i="1" s="1"/>
  <c r="BX378" i="2"/>
  <c r="CA378" i="2" s="1"/>
  <c r="AZ176" i="2" a="1"/>
  <c r="AZ176" i="2" s="1"/>
  <c r="BK176" i="2" s="1"/>
  <c r="BR176" i="2" s="1"/>
  <c r="BX176" i="2" s="1"/>
  <c r="CA176" i="2" s="1"/>
  <c r="BM164" i="1" a="1"/>
  <c r="BM164" i="1" s="1"/>
  <c r="BW164" i="1" s="1"/>
  <c r="BX152" i="2"/>
  <c r="CA152" i="2" s="1"/>
  <c r="BX140" i="1"/>
  <c r="CA140" i="1" s="1"/>
  <c r="BM141" i="2" a="1"/>
  <c r="BM141" i="2" s="1"/>
  <c r="BW141" i="2" s="1"/>
  <c r="AZ141" i="2" a="1"/>
  <c r="AZ141" i="2" s="1"/>
  <c r="BK141" i="2" s="1"/>
  <c r="BR141" i="2" s="1"/>
  <c r="BM130" i="1" a="1"/>
  <c r="BM130" i="1" s="1"/>
  <c r="BW130" i="1" s="1"/>
  <c r="BX53" i="2"/>
  <c r="CA53" i="2" s="1"/>
  <c r="BX270" i="2"/>
  <c r="CA270" i="2" s="1"/>
  <c r="BX257" i="1"/>
  <c r="CA257" i="1" s="1"/>
  <c r="BX332" i="1"/>
  <c r="CA332" i="1" s="1"/>
  <c r="BX309" i="2"/>
  <c r="CA309" i="2" s="1"/>
  <c r="BX293" i="1"/>
  <c r="CA293" i="1" s="1"/>
  <c r="BX292" i="1"/>
  <c r="CA292" i="1" s="1"/>
  <c r="CA339" i="1"/>
  <c r="CA293" i="2"/>
  <c r="CA276" i="1"/>
  <c r="CA279" i="1"/>
  <c r="CA322" i="1"/>
  <c r="CA317" i="1"/>
  <c r="CA356" i="2"/>
  <c r="CA341" i="1"/>
  <c r="CA335" i="2"/>
  <c r="CA292" i="2"/>
  <c r="BX312" i="2"/>
  <c r="CA312" i="2" s="1"/>
  <c r="BX316" i="2"/>
  <c r="CA316" i="2" s="1"/>
  <c r="BX337" i="2"/>
  <c r="CA337" i="2" s="1"/>
  <c r="BX342" i="1"/>
  <c r="CA342" i="1" s="1"/>
  <c r="BX358" i="2"/>
  <c r="CA358" i="2" s="1"/>
  <c r="BM283" i="1" a="1"/>
  <c r="BM283" i="1" s="1"/>
  <c r="BW283" i="1" s="1"/>
  <c r="BX291" i="2"/>
  <c r="CA291" i="2" s="1"/>
  <c r="BX295" i="2"/>
  <c r="CA295" i="2" s="1"/>
  <c r="BX290" i="2"/>
  <c r="CA290" i="2" s="1"/>
  <c r="BX313" i="2"/>
  <c r="CA313" i="2" s="1"/>
  <c r="BX296" i="1"/>
  <c r="CA296" i="1" s="1"/>
  <c r="BM314" i="2" a="1"/>
  <c r="BM314" i="2" s="1"/>
  <c r="BW314" i="2" s="1"/>
  <c r="AZ314" i="2" a="1"/>
  <c r="AZ314" i="2" s="1"/>
  <c r="BK314" i="2" s="1"/>
  <c r="BR314" i="2" s="1"/>
  <c r="AZ299" i="2" a="1"/>
  <c r="AZ299" i="2" s="1"/>
  <c r="BK299" i="2" s="1"/>
  <c r="BR299" i="2" s="1"/>
  <c r="BM299" i="2" a="1"/>
  <c r="BM299" i="2" s="1"/>
  <c r="BW299" i="2" s="1"/>
  <c r="BX330" i="2"/>
  <c r="CA330" i="2" s="1"/>
  <c r="BX289" i="2"/>
  <c r="CA289" i="2" s="1"/>
  <c r="BX294" i="2"/>
  <c r="CA294" i="2" s="1"/>
  <c r="BX138" i="2"/>
  <c r="CA138" i="2"/>
  <c r="BM127" i="1" a="1"/>
  <c r="BM127" i="1" s="1"/>
  <c r="BW127" i="1" s="1"/>
  <c r="BX136" i="2"/>
  <c r="CA136" i="2" s="1"/>
  <c r="BX126" i="1"/>
  <c r="CA126" i="1" s="1"/>
  <c r="BX285" i="2"/>
  <c r="CA285" i="2" s="1"/>
  <c r="BX201" i="2"/>
  <c r="CA201" i="2" s="1"/>
  <c r="BX389" i="2"/>
  <c r="CA389" i="2" s="1"/>
  <c r="BX388" i="2"/>
  <c r="CA388" i="2"/>
  <c r="BM369" i="1" a="1"/>
  <c r="BM369" i="1" s="1"/>
  <c r="BW369" i="1" s="1"/>
  <c r="BX370" i="1"/>
  <c r="CA370" i="1" s="1"/>
  <c r="BX334" i="2"/>
  <c r="CA334" i="2" s="1"/>
  <c r="BX368" i="1"/>
  <c r="CA368" i="1" s="1"/>
  <c r="BX119" i="2"/>
  <c r="CA119" i="2" s="1"/>
  <c r="CA32" i="1"/>
  <c r="CA44" i="1"/>
  <c r="CA33" i="1"/>
  <c r="CA69" i="1"/>
  <c r="BM118" i="1" a="1"/>
  <c r="BM118" i="1" s="1"/>
  <c r="BW118" i="1" s="1"/>
  <c r="BX112" i="1"/>
  <c r="CA112" i="1" s="1"/>
  <c r="BX118" i="2"/>
  <c r="CA118" i="2" s="1"/>
  <c r="BX130" i="2"/>
  <c r="CA130" i="2"/>
  <c r="BX34" i="2"/>
  <c r="CA34" i="2" s="1"/>
  <c r="BX120" i="2"/>
  <c r="CA120" i="2" s="1"/>
  <c r="BX35" i="2"/>
  <c r="CA35" i="2" s="1"/>
  <c r="BX29" i="1"/>
  <c r="CA29" i="1" s="1"/>
  <c r="BX32" i="2"/>
  <c r="CA32" i="2" s="1"/>
  <c r="BX119" i="1"/>
  <c r="CA119" i="1" s="1"/>
  <c r="BX70" i="1"/>
  <c r="CA70" i="1" s="1"/>
  <c r="BX113" i="1"/>
  <c r="CA113" i="1" s="1"/>
  <c r="BX169" i="2"/>
  <c r="CA169" i="2" s="1"/>
  <c r="BX121" i="2"/>
  <c r="CA121" i="2" s="1"/>
  <c r="BX129" i="2"/>
  <c r="CA129" i="2" s="1"/>
  <c r="BX30" i="1"/>
  <c r="CA30" i="1" s="1"/>
  <c r="BX31" i="2"/>
  <c r="CA31" i="2" s="1"/>
  <c r="BX131" i="1"/>
  <c r="CA131" i="1" s="1"/>
  <c r="BX45" i="2"/>
  <c r="CA45" i="2" s="1"/>
  <c r="BX111" i="1"/>
  <c r="CA111" i="1" s="1"/>
  <c r="BX158" i="2"/>
  <c r="CA158" i="2" s="1"/>
  <c r="BX142" i="2"/>
  <c r="CA142" i="2" s="1"/>
  <c r="BX72" i="2"/>
  <c r="CA72" i="2" s="1"/>
  <c r="BX157" i="2"/>
  <c r="CA157" i="2" s="1"/>
  <c r="BX275" i="2"/>
  <c r="CA275" i="2" s="1"/>
  <c r="BM283" i="2" a="1"/>
  <c r="BM283" i="2" s="1"/>
  <c r="BW283" i="2" s="1"/>
  <c r="AZ283" i="2" a="1"/>
  <c r="AZ283" i="2" s="1"/>
  <c r="BK283" i="2" s="1"/>
  <c r="BR283" i="2" s="1"/>
  <c r="BX259" i="1"/>
  <c r="CA259" i="1" s="1"/>
  <c r="BX260" i="1"/>
  <c r="CA260" i="1" s="1"/>
  <c r="BX311" i="1"/>
  <c r="CA311" i="1" s="1"/>
  <c r="BM304" i="1" a="1"/>
  <c r="BM304" i="1" s="1"/>
  <c r="BW304" i="1" s="1"/>
  <c r="BX303" i="1"/>
  <c r="CA303" i="1" s="1"/>
  <c r="BM328" i="2" a="1"/>
  <c r="BM328" i="2" s="1"/>
  <c r="BW328" i="2" s="1"/>
  <c r="AZ328" i="2" a="1"/>
  <c r="AZ328" i="2" s="1"/>
  <c r="BK328" i="2" s="1"/>
  <c r="BR328" i="2" s="1"/>
  <c r="BM312" i="1" a="1"/>
  <c r="BM312" i="1" s="1"/>
  <c r="BW312" i="1" s="1"/>
  <c r="BM320" i="2" a="1"/>
  <c r="BM320" i="2" s="1"/>
  <c r="BW320" i="2" s="1"/>
  <c r="AZ320" i="2" a="1"/>
  <c r="AZ320" i="2" s="1"/>
  <c r="BK320" i="2" s="1"/>
  <c r="BR320" i="2" s="1"/>
  <c r="BX302" i="1"/>
  <c r="CA302" i="1" s="1"/>
  <c r="BX326" i="2"/>
  <c r="CA326" i="2"/>
  <c r="BX327" i="2"/>
  <c r="CA327" i="2" s="1"/>
  <c r="BX306" i="1"/>
  <c r="CA306" i="1" s="1"/>
  <c r="BX323" i="2"/>
  <c r="CA323" i="2"/>
  <c r="CA452" i="2"/>
  <c r="BX162" i="1"/>
  <c r="CA162" i="1" s="1"/>
  <c r="BM173" i="2" a="1"/>
  <c r="BM173" i="2" s="1"/>
  <c r="BW173" i="2" s="1"/>
  <c r="AZ173" i="2" a="1"/>
  <c r="AZ173" i="2" s="1"/>
  <c r="BK173" i="2" s="1"/>
  <c r="BR173" i="2" s="1"/>
  <c r="AZ171" i="2" a="1"/>
  <c r="AZ171" i="2" s="1"/>
  <c r="BK171" i="2" s="1"/>
  <c r="BR171" i="2" s="1"/>
  <c r="BX171" i="2" s="1"/>
  <c r="CA171" i="2" s="1"/>
  <c r="BM171" i="2" a="1"/>
  <c r="BM171" i="2" s="1"/>
  <c r="BW171" i="2" s="1"/>
  <c r="BX367" i="2"/>
  <c r="CA367" i="2" s="1"/>
  <c r="BX250" i="1"/>
  <c r="CA250" i="1" s="1"/>
  <c r="BX206" i="2"/>
  <c r="CA206" i="2" s="1"/>
  <c r="BX188" i="1"/>
  <c r="CA188" i="1" s="1"/>
  <c r="BX192" i="1"/>
  <c r="CA192" i="1" s="1"/>
  <c r="BX194" i="1"/>
  <c r="CA194" i="1" s="1"/>
  <c r="BX298" i="2"/>
  <c r="CA298" i="2"/>
  <c r="BM96" i="2" a="1"/>
  <c r="BM96" i="2" s="1"/>
  <c r="BW96" i="2" s="1"/>
  <c r="AZ96" i="2" a="1"/>
  <c r="AZ96" i="2" s="1"/>
  <c r="BK96" i="2" s="1"/>
  <c r="BR96" i="2" s="1"/>
  <c r="BX75" i="2"/>
  <c r="CA75" i="2" s="1"/>
  <c r="BX84" i="2"/>
  <c r="CA84" i="2" s="1"/>
  <c r="BX189" i="2"/>
  <c r="CA189" i="2" s="1"/>
  <c r="CA49" i="2"/>
  <c r="BX40" i="2"/>
  <c r="CA40" i="2" s="1"/>
  <c r="BX441" i="2"/>
  <c r="CA441" i="2" s="1"/>
  <c r="BM155" i="2" a="1"/>
  <c r="BM155" i="2" s="1"/>
  <c r="BW155" i="2" s="1"/>
  <c r="AZ155" i="2" a="1"/>
  <c r="AZ155" i="2" s="1"/>
  <c r="BK155" i="2" s="1"/>
  <c r="BR155" i="2" s="1"/>
  <c r="BM385" i="1" a="1"/>
  <c r="BM385" i="1" s="1"/>
  <c r="BW385" i="1" s="1"/>
  <c r="BX76" i="2"/>
  <c r="CA76" i="2" s="1"/>
  <c r="BM384" i="1" a="1"/>
  <c r="BM384" i="1" s="1"/>
  <c r="BW384" i="1" s="1"/>
  <c r="BX36" i="2"/>
  <c r="CA36" i="2" s="1"/>
  <c r="BX434" i="2"/>
  <c r="CA434" i="2" s="1"/>
  <c r="BX140" i="2"/>
  <c r="CA140" i="2" s="1"/>
  <c r="BX154" i="2"/>
  <c r="CA154" i="2" s="1"/>
  <c r="BX406" i="2"/>
  <c r="CA406" i="2" s="1"/>
  <c r="BX408" i="2"/>
  <c r="CA408" i="2" s="1"/>
  <c r="CA220" i="2"/>
  <c r="BX41" i="2"/>
  <c r="CA41" i="2" s="1"/>
  <c r="AZ405" i="2" a="1"/>
  <c r="AZ405" i="2" s="1"/>
  <c r="BK405" i="2" s="1"/>
  <c r="BR405" i="2" s="1"/>
  <c r="BM405" i="2" a="1"/>
  <c r="BM405" i="2" s="1"/>
  <c r="BW405" i="2" s="1"/>
  <c r="BX139" i="2"/>
  <c r="CA139" i="2" s="1"/>
  <c r="BX14" i="2"/>
  <c r="CA14" i="2" s="1"/>
  <c r="BX301" i="2"/>
  <c r="CA301" i="2" s="1"/>
  <c r="BX151" i="2"/>
  <c r="CA151" i="2" s="1"/>
  <c r="BX20" i="2"/>
  <c r="CA20" i="2" s="1"/>
  <c r="AZ78" i="2" a="1"/>
  <c r="AZ78" i="2" s="1"/>
  <c r="BK78" i="2" s="1"/>
  <c r="BR78" i="2" s="1"/>
  <c r="BM78" i="2" a="1"/>
  <c r="BM78" i="2" s="1"/>
  <c r="BW78" i="2" s="1"/>
  <c r="BX15" i="2"/>
  <c r="CA15" i="2" s="1"/>
  <c r="BX232" i="1"/>
  <c r="CA232" i="1" s="1"/>
  <c r="BX197" i="1"/>
  <c r="CA197" i="1" s="1"/>
  <c r="BX326" i="1"/>
  <c r="CA326" i="1" s="1"/>
  <c r="CA97" i="2"/>
  <c r="CA125" i="2"/>
  <c r="BM50" i="2" a="1"/>
  <c r="BM50" i="2" s="1"/>
  <c r="BW50" i="2" s="1"/>
  <c r="AZ50" i="2" a="1"/>
  <c r="AZ50" i="2" s="1"/>
  <c r="BK50" i="2" s="1"/>
  <c r="BR50" i="2" s="1"/>
  <c r="BX50" i="2" s="1"/>
  <c r="CA50" i="2" s="1"/>
  <c r="BM37" i="1" a="1"/>
  <c r="BM37" i="1" s="1"/>
  <c r="BW37" i="1" s="1"/>
  <c r="AZ37" i="1" a="1"/>
  <c r="AZ37" i="1" s="1"/>
  <c r="BK37" i="1" s="1"/>
  <c r="BR37" i="1" s="1"/>
  <c r="BX325" i="1"/>
  <c r="CA325" i="1" s="1"/>
  <c r="AZ138" i="1" a="1"/>
  <c r="AZ138" i="1" s="1"/>
  <c r="BK138" i="1" s="1"/>
  <c r="BR138" i="1" s="1"/>
  <c r="BM138" i="1" a="1"/>
  <c r="BM138" i="1" s="1"/>
  <c r="BW138" i="1" s="1"/>
  <c r="BX150" i="2"/>
  <c r="CA150" i="2" s="1"/>
  <c r="BM37" i="2" a="1"/>
  <c r="BM37" i="2" s="1"/>
  <c r="BW37" i="2" s="1"/>
  <c r="AZ37" i="2" a="1"/>
  <c r="AZ37" i="2" s="1"/>
  <c r="BK37" i="2" s="1"/>
  <c r="BR37" i="2" s="1"/>
  <c r="BX417" i="2"/>
  <c r="CA417" i="2" s="1"/>
  <c r="BM90" i="1" a="1"/>
  <c r="BM90" i="1" s="1"/>
  <c r="BW90" i="1" s="1"/>
  <c r="BX364" i="2"/>
  <c r="CA364" i="2" s="1"/>
  <c r="BX350" i="1"/>
  <c r="CA350" i="1" s="1"/>
  <c r="AZ387" i="2" a="1"/>
  <c r="AZ387" i="2" s="1"/>
  <c r="BK387" i="2" s="1"/>
  <c r="BR387" i="2" s="1"/>
  <c r="BM387" i="2" a="1"/>
  <c r="BM387" i="2" s="1"/>
  <c r="BW387" i="2" s="1"/>
  <c r="BD107" i="2" a="1"/>
  <c r="BD107" i="2" s="1"/>
  <c r="R107" i="2"/>
  <c r="BX115" i="1"/>
  <c r="CA115" i="1" s="1"/>
  <c r="BM49" i="1" a="1"/>
  <c r="BM49" i="1" s="1"/>
  <c r="BW49" i="1" s="1"/>
  <c r="BX266" i="1"/>
  <c r="CA266" i="1" s="1"/>
  <c r="BX281" i="1"/>
  <c r="CA281" i="1" s="1"/>
  <c r="BX92" i="2"/>
  <c r="CA92" i="2" s="1"/>
  <c r="R99" i="1"/>
  <c r="BX187" i="2"/>
  <c r="CA187" i="2" s="1"/>
  <c r="BX327" i="1"/>
  <c r="CA327" i="1" s="1"/>
  <c r="BX280" i="2"/>
  <c r="CA280" i="2" s="1"/>
  <c r="BX246" i="1"/>
  <c r="CA246" i="1" s="1"/>
  <c r="BX245" i="1"/>
  <c r="CA245" i="1" s="1"/>
  <c r="BX271" i="2"/>
  <c r="CA271" i="2" s="1"/>
  <c r="BX56" i="1"/>
  <c r="CA56" i="1" s="1"/>
  <c r="BX263" i="1"/>
  <c r="CA263" i="1" s="1"/>
  <c r="BX264" i="1"/>
  <c r="CA264" i="1" s="1"/>
  <c r="BX258" i="1"/>
  <c r="CA258" i="1" s="1"/>
  <c r="BX54" i="2"/>
  <c r="CA54" i="2" s="1"/>
  <c r="BX333" i="1"/>
  <c r="CA333" i="1" s="1"/>
  <c r="BX249" i="1"/>
  <c r="CA249" i="1" s="1"/>
  <c r="BX117" i="1"/>
  <c r="CA117" i="1" s="1"/>
  <c r="BX55" i="1"/>
  <c r="CA55" i="1" s="1"/>
  <c r="BX248" i="1"/>
  <c r="CA248" i="1" s="1"/>
  <c r="BX177" i="2"/>
  <c r="CA177" i="2" s="1"/>
  <c r="BX261" i="1"/>
  <c r="CA261" i="1" s="1"/>
  <c r="BX207" i="2"/>
  <c r="CA207" i="2" s="1"/>
  <c r="BX189" i="1"/>
  <c r="CA189" i="1" s="1"/>
  <c r="BX262" i="1"/>
  <c r="CA262" i="1" s="1"/>
  <c r="BX265" i="1"/>
  <c r="CA265" i="1" s="1"/>
  <c r="BX202" i="1"/>
  <c r="CA202" i="1" s="1"/>
  <c r="BX203" i="1"/>
  <c r="CA203" i="1" s="1"/>
  <c r="BX287" i="2"/>
  <c r="CA287" i="2" s="1"/>
  <c r="BX247" i="1"/>
  <c r="CA247" i="1" s="1"/>
  <c r="BX26" i="1"/>
  <c r="AZ426" i="1" l="1" a="1"/>
  <c r="AZ426" i="1" s="1"/>
  <c r="AZ383" i="1" a="1"/>
  <c r="AZ383" i="1" s="1"/>
  <c r="AZ135" i="1" a="1"/>
  <c r="AZ135" i="1" s="1"/>
  <c r="BK135" i="1" s="1"/>
  <c r="BR135" i="1" s="1"/>
  <c r="BX135" i="1" s="1"/>
  <c r="CA135" i="1" s="1"/>
  <c r="BK143" i="1"/>
  <c r="BR143" i="1" s="1"/>
  <c r="BX143" i="1" s="1"/>
  <c r="CA143" i="1" s="1"/>
  <c r="AZ384" i="1" a="1"/>
  <c r="AZ384" i="1" s="1"/>
  <c r="BK384" i="1" s="1"/>
  <c r="BR384" i="1" s="1"/>
  <c r="BX384" i="1" s="1"/>
  <c r="CA384" i="1" s="1"/>
  <c r="BX305" i="1"/>
  <c r="CA305" i="1" s="1"/>
  <c r="BX324" i="2"/>
  <c r="CA324" i="2" s="1"/>
  <c r="AZ87" i="1" a="1"/>
  <c r="AZ87" i="1" s="1"/>
  <c r="BK87" i="1" s="1"/>
  <c r="BR87" i="1" s="1"/>
  <c r="BX87" i="1" s="1"/>
  <c r="CA87" i="1" s="1"/>
  <c r="BM106" i="1" a="1"/>
  <c r="BM106" i="1" s="1"/>
  <c r="BW106" i="1" s="1"/>
  <c r="AZ393" i="1" a="1"/>
  <c r="AZ393" i="1" s="1"/>
  <c r="BK393" i="1" s="1"/>
  <c r="BR393" i="1" s="1"/>
  <c r="BX393" i="1" s="1"/>
  <c r="CA393" i="1" s="1"/>
  <c r="AZ133" i="1" a="1"/>
  <c r="AZ133" i="1" s="1"/>
  <c r="BK133" i="1" s="1"/>
  <c r="BR133" i="1" s="1"/>
  <c r="BX133" i="1" s="1"/>
  <c r="CA133" i="1" s="1"/>
  <c r="AZ367" i="1" a="1"/>
  <c r="AZ367" i="1" s="1"/>
  <c r="BK367" i="1" s="1"/>
  <c r="BR367" i="1" s="1"/>
  <c r="BX367" i="1" s="1"/>
  <c r="CA367" i="1" s="1"/>
  <c r="AZ18" i="1" a="1"/>
  <c r="AZ18" i="1" s="1"/>
  <c r="BK18" i="1" s="1"/>
  <c r="BR18" i="1" s="1"/>
  <c r="BX18" i="1" s="1"/>
  <c r="CA18" i="1" s="1"/>
  <c r="AZ80" i="1" a="1"/>
  <c r="AZ80" i="1" s="1"/>
  <c r="BK80" i="1" s="1"/>
  <c r="BR80" i="1" s="1"/>
  <c r="BX80" i="1" s="1"/>
  <c r="CA80" i="1" s="1"/>
  <c r="BX395" i="2"/>
  <c r="CA395" i="2" s="1"/>
  <c r="AZ90" i="1" a="1"/>
  <c r="AZ90" i="1" s="1"/>
  <c r="BK90" i="1" s="1"/>
  <c r="BR90" i="1" s="1"/>
  <c r="BX90" i="1" s="1"/>
  <c r="CA90" i="1" s="1"/>
  <c r="BX442" i="2"/>
  <c r="CA442" i="2" s="1"/>
  <c r="AZ76" i="1" a="1"/>
  <c r="AZ76" i="1" s="1"/>
  <c r="BK76" i="1" s="1"/>
  <c r="BR76" i="1" s="1"/>
  <c r="BX76" i="1" s="1"/>
  <c r="CA76" i="1" s="1"/>
  <c r="AZ160" i="1" a="1"/>
  <c r="AZ160" i="1" s="1"/>
  <c r="BK160" i="1" s="1"/>
  <c r="BR160" i="1" s="1"/>
  <c r="BX160" i="1" s="1"/>
  <c r="AZ387" i="1" a="1"/>
  <c r="AZ387" i="1" s="1"/>
  <c r="BK387" i="1" s="1"/>
  <c r="BR387" i="1" s="1"/>
  <c r="BX387" i="1" s="1"/>
  <c r="AZ130" i="1" a="1"/>
  <c r="AZ130" i="1" s="1"/>
  <c r="BK130" i="1" s="1"/>
  <c r="BR130" i="1" s="1"/>
  <c r="BX130" i="1" s="1"/>
  <c r="CA130" i="1" s="1"/>
  <c r="AZ251" i="1" a="1"/>
  <c r="AZ251" i="1" s="1"/>
  <c r="BK251" i="1" s="1"/>
  <c r="BR251" i="1" s="1"/>
  <c r="BX251" i="1" s="1"/>
  <c r="CA251" i="1" s="1"/>
  <c r="AZ118" i="1" a="1"/>
  <c r="AZ118" i="1" s="1"/>
  <c r="BK118" i="1" s="1"/>
  <c r="BR118" i="1" s="1"/>
  <c r="BX118" i="1" s="1"/>
  <c r="CA118" i="1" s="1"/>
  <c r="AZ127" i="1" a="1"/>
  <c r="AZ127" i="1" s="1"/>
  <c r="BK127" i="1" s="1"/>
  <c r="BR127" i="1" s="1"/>
  <c r="BX127" i="1" s="1"/>
  <c r="CA127" i="1" s="1"/>
  <c r="AZ425" i="1" a="1"/>
  <c r="AZ425" i="1" s="1"/>
  <c r="BK425" i="1" s="1"/>
  <c r="BR425" i="1" s="1"/>
  <c r="BX425" i="1" s="1"/>
  <c r="CA425" i="1" s="1"/>
  <c r="AZ308" i="1" a="1"/>
  <c r="AZ308" i="1" s="1"/>
  <c r="BK308" i="1" s="1"/>
  <c r="BR308" i="1" s="1"/>
  <c r="BX308" i="1" s="1"/>
  <c r="CA308" i="1" s="1"/>
  <c r="AZ375" i="1" a="1"/>
  <c r="AZ375" i="1" s="1"/>
  <c r="BK375" i="1" s="1"/>
  <c r="BR375" i="1" s="1"/>
  <c r="BX375" i="1" s="1"/>
  <c r="CA375" i="1" s="1"/>
  <c r="CA144" i="2"/>
  <c r="BX429" i="2"/>
  <c r="CA429" i="2" s="1"/>
  <c r="BX194" i="2"/>
  <c r="CA194" i="2"/>
  <c r="AZ419" i="1" a="1"/>
  <c r="AZ419" i="1" s="1"/>
  <c r="BK419" i="1" s="1"/>
  <c r="BR419" i="1" s="1"/>
  <c r="BX419" i="1" s="1"/>
  <c r="CA419" i="1" s="1"/>
  <c r="BK383" i="1"/>
  <c r="BR383" i="1" s="1"/>
  <c r="BX383" i="1" s="1"/>
  <c r="CA383" i="1" s="1"/>
  <c r="AZ421" i="1" a="1"/>
  <c r="AZ421" i="1" s="1"/>
  <c r="BK421" i="1" s="1"/>
  <c r="BR421" i="1" s="1"/>
  <c r="BX421" i="1" s="1"/>
  <c r="CA421" i="1" s="1"/>
  <c r="AZ378" i="1" a="1"/>
  <c r="AZ378" i="1" s="1"/>
  <c r="BK378" i="1" s="1"/>
  <c r="BR378" i="1" s="1"/>
  <c r="BX378" i="1" s="1"/>
  <c r="CA378" i="1" s="1"/>
  <c r="AZ283" i="1" a="1"/>
  <c r="AZ283" i="1" s="1"/>
  <c r="BK283" i="1" s="1"/>
  <c r="BR283" i="1" s="1"/>
  <c r="BX283" i="1" s="1"/>
  <c r="CA283" i="1" s="1"/>
  <c r="AZ182" i="1" a="1"/>
  <c r="AZ182" i="1" s="1"/>
  <c r="BK182" i="1" s="1"/>
  <c r="BR182" i="1" s="1"/>
  <c r="BX182" i="1" s="1"/>
  <c r="CA182" i="1" s="1"/>
  <c r="BK426" i="1"/>
  <c r="BR426" i="1" s="1"/>
  <c r="BX426" i="1" s="1"/>
  <c r="CA426" i="1" s="1"/>
  <c r="AZ304" i="1" a="1"/>
  <c r="AZ304" i="1" s="1"/>
  <c r="BK304" i="1" s="1"/>
  <c r="BR304" i="1" s="1"/>
  <c r="BX304" i="1" s="1"/>
  <c r="CA304" i="1" s="1"/>
  <c r="AZ211" i="1" a="1"/>
  <c r="AZ211" i="1" s="1"/>
  <c r="BK211" i="1" s="1"/>
  <c r="AZ423" i="1" a="1"/>
  <c r="AZ423" i="1" s="1"/>
  <c r="BK423" i="1" s="1"/>
  <c r="BR423" i="1" s="1"/>
  <c r="BX423" i="1" s="1"/>
  <c r="CA423" i="1" s="1"/>
  <c r="AZ268" i="1" a="1"/>
  <c r="AZ268" i="1" s="1"/>
  <c r="BK268" i="1" s="1"/>
  <c r="BR268" i="1" s="1"/>
  <c r="BX268" i="1" s="1"/>
  <c r="CA268" i="1" s="1"/>
  <c r="AZ212" i="1" a="1"/>
  <c r="AZ212" i="1" s="1"/>
  <c r="BK212" i="1" s="1"/>
  <c r="BR212" i="1" s="1"/>
  <c r="BX212" i="1" s="1"/>
  <c r="CA212" i="1" s="1"/>
  <c r="AZ388" i="1" a="1"/>
  <c r="AZ388" i="1" s="1"/>
  <c r="BK388" i="1" s="1"/>
  <c r="BR388" i="1" s="1"/>
  <c r="BX388" i="1" s="1"/>
  <c r="CA388" i="1" s="1"/>
  <c r="AZ369" i="1" a="1"/>
  <c r="AZ369" i="1" s="1"/>
  <c r="BK369" i="1" s="1"/>
  <c r="BR369" i="1" s="1"/>
  <c r="BX369" i="1" s="1"/>
  <c r="CA369" i="1" s="1"/>
  <c r="AZ435" i="1" a="1"/>
  <c r="AZ435" i="1" s="1"/>
  <c r="BK435" i="1" s="1"/>
  <c r="AZ359" i="1" a="1"/>
  <c r="AZ359" i="1" s="1"/>
  <c r="BK359" i="1" s="1"/>
  <c r="BR359" i="1" s="1"/>
  <c r="BX359" i="1" s="1"/>
  <c r="CA359" i="1" s="1"/>
  <c r="AZ312" i="1" a="1"/>
  <c r="AZ312" i="1" s="1"/>
  <c r="BK312" i="1" s="1"/>
  <c r="BR312" i="1" s="1"/>
  <c r="BX312" i="1" s="1"/>
  <c r="CA312" i="1" s="1"/>
  <c r="CA81" i="1"/>
  <c r="AZ13" i="1" a="1"/>
  <c r="AZ13" i="1" s="1"/>
  <c r="BK13" i="1" s="1"/>
  <c r="BR13" i="1" s="1"/>
  <c r="AZ49" i="1" a="1"/>
  <c r="AZ49" i="1" s="1"/>
  <c r="BK49" i="1" s="1"/>
  <c r="BR49" i="1" s="1"/>
  <c r="BX49" i="1" s="1"/>
  <c r="CA49" i="1" s="1"/>
  <c r="AZ89" i="1" a="1"/>
  <c r="AZ89" i="1" s="1"/>
  <c r="BK89" i="1" s="1"/>
  <c r="BR89" i="1" s="1"/>
  <c r="BX89" i="1" s="1"/>
  <c r="CA89" i="1" s="1"/>
  <c r="AZ410" i="1" a="1"/>
  <c r="AZ410" i="1" s="1"/>
  <c r="BK410" i="1" s="1"/>
  <c r="BR410" i="1" s="1"/>
  <c r="BX410" i="1" s="1"/>
  <c r="CA410" i="1" s="1"/>
  <c r="AZ175" i="1" a="1"/>
  <c r="AZ175" i="1" s="1"/>
  <c r="BK175" i="1" s="1"/>
  <c r="BR175" i="1" s="1"/>
  <c r="BX175" i="1" s="1"/>
  <c r="CA175" i="1" s="1"/>
  <c r="AZ385" i="1" a="1"/>
  <c r="AZ385" i="1" s="1"/>
  <c r="BK385" i="1" s="1"/>
  <c r="BR385" i="1" s="1"/>
  <c r="BX385" i="1" s="1"/>
  <c r="CA385" i="1" s="1"/>
  <c r="AZ407" i="1" a="1"/>
  <c r="AZ407" i="1" s="1"/>
  <c r="BK407" i="1" s="1"/>
  <c r="BR407" i="1" s="1"/>
  <c r="BX407" i="1" s="1"/>
  <c r="CA407" i="1" s="1"/>
  <c r="BX298" i="1"/>
  <c r="CA298" i="1" s="1"/>
  <c r="CA161" i="1"/>
  <c r="AZ132" i="1" a="1"/>
  <c r="AZ132" i="1" s="1"/>
  <c r="BK132" i="1" s="1"/>
  <c r="BR132" i="1" s="1"/>
  <c r="BX18" i="2"/>
  <c r="CA18" i="2" s="1"/>
  <c r="BX180" i="1"/>
  <c r="CA180" i="1" s="1"/>
  <c r="BX430" i="2"/>
  <c r="CA430" i="2"/>
  <c r="BX191" i="2"/>
  <c r="CA191" i="2" s="1"/>
  <c r="BX179" i="2"/>
  <c r="CA179" i="2" s="1"/>
  <c r="BX192" i="2"/>
  <c r="CA192" i="2" s="1"/>
  <c r="BW457" i="2"/>
  <c r="BW458" i="2" s="1"/>
  <c r="BX227" i="1"/>
  <c r="CA227" i="1" s="1"/>
  <c r="BX224" i="1"/>
  <c r="CA224" i="1" s="1"/>
  <c r="BX242" i="2"/>
  <c r="CA242" i="2"/>
  <c r="BX448" i="2"/>
  <c r="CA448" i="2" s="1"/>
  <c r="BX420" i="1"/>
  <c r="CA420" i="1" s="1"/>
  <c r="BX443" i="2"/>
  <c r="CA443" i="2" s="1"/>
  <c r="BX444" i="2"/>
  <c r="CA444" i="2" s="1"/>
  <c r="BX391" i="1"/>
  <c r="CA391" i="1" s="1"/>
  <c r="BX411" i="2"/>
  <c r="CA411" i="2" s="1"/>
  <c r="BX399" i="1"/>
  <c r="CA399" i="1" s="1"/>
  <c r="BX420" i="2"/>
  <c r="CA420" i="2"/>
  <c r="BX403" i="2"/>
  <c r="CA403" i="2" s="1"/>
  <c r="BX416" i="2"/>
  <c r="CA416" i="2"/>
  <c r="BX433" i="2"/>
  <c r="CA433" i="2" s="1"/>
  <c r="BX141" i="2"/>
  <c r="CA141" i="2" s="1"/>
  <c r="BX164" i="1"/>
  <c r="CA164" i="1" s="1"/>
  <c r="BX299" i="2"/>
  <c r="CA299" i="2" s="1"/>
  <c r="BX314" i="2"/>
  <c r="CA314" i="2" s="1"/>
  <c r="BX283" i="2"/>
  <c r="CA283" i="2"/>
  <c r="BX328" i="2"/>
  <c r="CA328" i="2" s="1"/>
  <c r="BX320" i="2"/>
  <c r="CA320" i="2" s="1"/>
  <c r="BX173" i="2"/>
  <c r="CA173" i="2" s="1"/>
  <c r="BX78" i="2"/>
  <c r="CA78" i="2" s="1"/>
  <c r="BX405" i="2"/>
  <c r="CA405" i="2" s="1"/>
  <c r="BX96" i="2"/>
  <c r="CA96" i="2" s="1"/>
  <c r="BX155" i="2"/>
  <c r="CA155" i="2" s="1"/>
  <c r="BX387" i="2"/>
  <c r="CA387" i="2" s="1"/>
  <c r="BX138" i="1"/>
  <c r="CA138" i="1" s="1"/>
  <c r="AZ99" i="1" a="1"/>
  <c r="AZ99" i="1" s="1"/>
  <c r="BK99" i="1" s="1"/>
  <c r="BR99" i="1" s="1"/>
  <c r="BM99" i="1" a="1"/>
  <c r="BM99" i="1" s="1"/>
  <c r="BW99" i="1" s="1"/>
  <c r="BM107" i="2" a="1"/>
  <c r="BM107" i="2" s="1"/>
  <c r="BW107" i="2" s="1"/>
  <c r="AZ107" i="2" a="1"/>
  <c r="AZ107" i="2" s="1"/>
  <c r="BK107" i="2" s="1"/>
  <c r="BR107" i="2" s="1"/>
  <c r="BX37" i="2"/>
  <c r="CA37" i="2" s="1"/>
  <c r="BX37" i="1"/>
  <c r="CA26" i="1"/>
  <c r="BX13" i="1" l="1"/>
  <c r="CA13" i="1" s="1"/>
  <c r="BR443" i="1"/>
  <c r="BR444" i="1" s="1"/>
  <c r="BW443" i="1"/>
  <c r="BW444" i="1" s="1"/>
  <c r="BR211" i="1"/>
  <c r="BX211" i="1" s="1"/>
  <c r="CA211" i="1" s="1"/>
  <c r="CA160" i="1"/>
  <c r="CA387" i="1"/>
  <c r="BX132" i="1"/>
  <c r="CA132" i="1" s="1"/>
  <c r="BX99" i="1"/>
  <c r="CA99" i="1" s="1"/>
  <c r="BX107" i="2"/>
  <c r="CA107" i="2" s="1"/>
  <c r="CA37" i="1"/>
  <c r="BX443" i="1" l="1"/>
  <c r="AN23" i="29"/>
  <c r="AN23" i="29" a="1"/>
  <c r="AB448" i="1"/>
  <c r="AB448"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invitado</author>
  </authors>
  <commentList>
    <comment ref="AO14" authorId="0" shapeId="0" xr:uid="{D2DECED8-691A-44E3-AF29-A5A56CFC7EA6}">
      <text>
        <r>
          <rPr>
            <sz val="11"/>
            <color theme="1"/>
            <rFont val="Calibri"/>
            <family val="2"/>
            <scheme val="minor"/>
          </rPr>
          <t>Usuario desconocido:
Revisar la reprogramacion, era de 15, ahora de 5, ya que se avanzo en la vigencia 2021.</t>
        </r>
      </text>
    </comment>
    <comment ref="AI40" authorId="0" shapeId="0" xr:uid="{7E273544-DB8C-40F8-B499-D04F94F1C6A6}">
      <text>
        <r>
          <rPr>
            <sz val="11"/>
            <color theme="1"/>
            <rFont val="Calibri"/>
            <family val="2"/>
            <scheme val="minor"/>
          </rPr>
          <t xml:space="preserve">Usuario desconocido:
pasar indicador 2022 al 2021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tc={19092D90-3613-488D-82A0-10FB17EFF298}</author>
  </authors>
  <commentList>
    <comment ref="AG20" authorId="0" shapeId="0" xr:uid="{19092D90-3613-488D-82A0-10FB17EFF298}">
      <text>
        <t>[Threaded comment]
Your version of Excel allows you to read this threaded comment; however, any edits to it will get removed if the file is opened in a newer version of Excel. Learn more: https://go.microsoft.com/fwlink/?linkid=870924
Comment:
    =15,38+3,8+7,69+7,69+34,6+7,69+23,07-3,9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2">
    <bk>
      <extLst>
        <ext uri="{bdbb8cdc-fa1e-496e-a857-3c3f30c029c3}">
          <xda:dynamicArrayProperties fDynamic="0" fCollapsed="0"/>
        </ext>
      </extLst>
    </bk>
    <bk>
      <extLst>
        <ext uri="{bdbb8cdc-fa1e-496e-a857-3c3f30c029c3}">
          <xda:dynamicArrayProperties fDynamic="1" fCollapsed="0"/>
        </ext>
      </extLst>
    </bk>
  </futureMetadata>
  <cellMetadata count="2">
    <bk>
      <rc t="1" v="0"/>
    </bk>
    <bk>
      <rc t="1" v="1"/>
    </bk>
  </cellMetadata>
</metadata>
</file>

<file path=xl/sharedStrings.xml><?xml version="1.0" encoding="utf-8"?>
<sst xmlns="http://schemas.openxmlformats.org/spreadsheetml/2006/main" count="25699" uniqueCount="4346">
  <si>
    <t>DIRECCIONAMIENTO ESTRATÉGICO Y ARTICULACIÓN GERENCIAL</t>
  </si>
  <si>
    <t>Código_ E – DEAG - FR - 004</t>
  </si>
  <si>
    <t>Versión: 04</t>
  </si>
  <si>
    <t>PLAN INDICATIVO</t>
  </si>
  <si>
    <t>Fecha de Aprobación: 26/02/2021</t>
  </si>
  <si>
    <t>FECHA DE CORTE INFORMACIÓN</t>
  </si>
  <si>
    <t>Cambio de meta</t>
  </si>
  <si>
    <t>INFORMACIÓN GENERAL</t>
  </si>
  <si>
    <t>FÍSICO</t>
  </si>
  <si>
    <t>FINANCIERO</t>
  </si>
  <si>
    <t>ANÁLISIS PORCENTUAL</t>
  </si>
  <si>
    <t>PORCENTAJE DE AVANCE AJUSTADO</t>
  </si>
  <si>
    <t>ANÁLISIS PONDERADOR</t>
  </si>
  <si>
    <t>CUATRIENIO</t>
  </si>
  <si>
    <t>ANUAL</t>
  </si>
  <si>
    <t>Centro Gestor</t>
  </si>
  <si>
    <t>Entidad Responsable</t>
  </si>
  <si>
    <t>Descripción LÍNEA ESTRATÉGICA</t>
  </si>
  <si>
    <t>Descripción PROGRAMA</t>
  </si>
  <si>
    <t>Descripción SUBPROGRAMA</t>
  </si>
  <si>
    <t>Cod meta de Bienestar vinculada</t>
  </si>
  <si>
    <t>Descripción Meta de Bienestar vinculada</t>
  </si>
  <si>
    <t>PosPre</t>
  </si>
  <si>
    <t>ODS</t>
  </si>
  <si>
    <t>Política Pública</t>
  </si>
  <si>
    <t>No. Meta producto</t>
  </si>
  <si>
    <t>Descripción Meta producto</t>
  </si>
  <si>
    <t>Nombre indicador</t>
  </si>
  <si>
    <t>Unidad medida</t>
  </si>
  <si>
    <t>Tipo meta</t>
  </si>
  <si>
    <t>Línea base</t>
  </si>
  <si>
    <t>Programado físico cuatrienio</t>
  </si>
  <si>
    <t>Ejecutado físico acumulado / promedio del cuatrienio</t>
  </si>
  <si>
    <t>Logro acumulado resumido cuatrienio</t>
  </si>
  <si>
    <t>Programado físico inicial incremento año 2020</t>
  </si>
  <si>
    <t>Programado físico inicial mantenimiento año 2020</t>
  </si>
  <si>
    <t>Reprogramado físico incremento año 2020</t>
  </si>
  <si>
    <t>Reprogramado físico mantenimiento año 2020</t>
  </si>
  <si>
    <t>Ejecutado físico incremento año 2020</t>
  </si>
  <si>
    <t>Ejecutado físico mantenimiento año 2020</t>
  </si>
  <si>
    <t>Ejecutado físico TOTAL año 2020</t>
  </si>
  <si>
    <t>Bien o Servicio Entregado</t>
  </si>
  <si>
    <t>Logro acumulado resumido vigencia</t>
  </si>
  <si>
    <t>Dificultades vigencia</t>
  </si>
  <si>
    <t>Programado físico incremento año 2021</t>
  </si>
  <si>
    <t>Programado físico mantenimiento año 2021</t>
  </si>
  <si>
    <t>Ejecutado físico incremento año 2021</t>
  </si>
  <si>
    <t>Ejecutado físico mantenimiento año 2021</t>
  </si>
  <si>
    <t>Ejecutado físico TOTAL año 2021</t>
  </si>
  <si>
    <t>Reprogramado físico incremento año 2022</t>
  </si>
  <si>
    <t>Reprogramado físico mantenimiento año 2022</t>
  </si>
  <si>
    <t>Reprogramado físico incremento año 2023</t>
  </si>
  <si>
    <t>Reprogramado físico mantenimiento año 2023</t>
  </si>
  <si>
    <t>Reprogramado físico incremento año 2024</t>
  </si>
  <si>
    <t>Reprogramado físico mantenimiento año 2024</t>
  </si>
  <si>
    <t>Programado financiero APROPIACIÓN POAI</t>
  </si>
  <si>
    <t>Programado financiero 
GNI / ESPECIE</t>
  </si>
  <si>
    <t>Total Recursos Programados</t>
  </si>
  <si>
    <t>Ejecutado financiero 
RPC del depto.</t>
  </si>
  <si>
    <t>Porcentaje de avance en el cuatrienio</t>
  </si>
  <si>
    <t>Porcentaje programado año 2020</t>
  </si>
  <si>
    <t>Porcentaje de avance en el año 2020</t>
  </si>
  <si>
    <t>Porcentaje programado año 2021</t>
  </si>
  <si>
    <t>Porcentaje de avance en el año 2021</t>
  </si>
  <si>
    <t>Porcentaje programado año 2022</t>
  </si>
  <si>
    <t>Porcentaje de avance en el año 2022</t>
  </si>
  <si>
    <t>Porcentaje programado año 2023</t>
  </si>
  <si>
    <t>Porcentaje de avance en el año 2023</t>
  </si>
  <si>
    <t>Porcentaje programado año 2024</t>
  </si>
  <si>
    <t>Porcentaje de avance en el año 2024</t>
  </si>
  <si>
    <t>% de Avance Ajustado por meta frente al cuatrienio</t>
  </si>
  <si>
    <t>% de Avance Ajustado por meta en el año 2020</t>
  </si>
  <si>
    <t>% de Avance Ajustado por meta en el año 2021</t>
  </si>
  <si>
    <t>% de Avance Ajustado por meta en el año 2022</t>
  </si>
  <si>
    <t>% de Avance Ajustado por meta en el año 2023</t>
  </si>
  <si>
    <t>% de Avance Ajustado por meta en el año 2024</t>
  </si>
  <si>
    <t>Ponderador meta cuatrienio</t>
  </si>
  <si>
    <t>Avance ponderado del cuatrienio</t>
  </si>
  <si>
    <t>Ponderador meta año 2020</t>
  </si>
  <si>
    <t>Avance ponderado del año 2020</t>
  </si>
  <si>
    <t>Aporte 2020 al avance ponderado cuatrienio</t>
  </si>
  <si>
    <t>Ponderador meta año 2021</t>
  </si>
  <si>
    <t>Avance ponderado del año 2021</t>
  </si>
  <si>
    <t>Aporte 2021 al avance ponderado cuatrienio</t>
  </si>
  <si>
    <t>Ponderador meta año 2022</t>
  </si>
  <si>
    <t>Avance ponderado del año 2022</t>
  </si>
  <si>
    <t>Aporte 2022 al avance ponderado cuatrienio</t>
  </si>
  <si>
    <t>Ponderador meta año 2023</t>
  </si>
  <si>
    <t>Avance ponderado del año 2023</t>
  </si>
  <si>
    <t>Aporte 2023 al avance ponderado cuatrienio</t>
  </si>
  <si>
    <t>Ponderador meta año 2024</t>
  </si>
  <si>
    <t>Avance ponderado del año 2024</t>
  </si>
  <si>
    <t>Aporte 2024 al avance ponderado cuatrienio</t>
  </si>
  <si>
    <t>Divisor Mantenimiento 2020</t>
  </si>
  <si>
    <t>Divisor Mantenimiento 2021</t>
  </si>
  <si>
    <t>Divisor Mantenimiento 2022</t>
  </si>
  <si>
    <t>Divisor Mantenimiento 2023</t>
  </si>
  <si>
    <t>Sumatoria</t>
  </si>
  <si>
    <t>1197</t>
  </si>
  <si>
    <t>SECRETARIA DE SALUD</t>
  </si>
  <si>
    <t>MÁS BIENESTAR</t>
  </si>
  <si>
    <t>UN BUEN VIVIR</t>
  </si>
  <si>
    <t>FAMILIA QUE PROGRESA</t>
  </si>
  <si>
    <t>GR5:1-01-00-501</t>
  </si>
  <si>
    <t>Aumentar el índice de desempeño integral de la política pública para el fomento de la Seguridad y Salud en el Trabajo en Cundinamarca.</t>
  </si>
  <si>
    <t>GR5:1-01-01-001</t>
  </si>
  <si>
    <t>ODS 3 - GARANTIZAR UNA VIDA SANA Y PROMOVER EL BIENESTAR PARA TODOS EN TODAS LAS EDADES</t>
  </si>
  <si>
    <t>POLÍTICA PÚBLICA PARA EL FOMENTO DE LA SEGURIDAD Y LA SALUD DE LOS TRABAJADORES_x000D_
POLÍTICA PÚBLICA DE TRABAJO DECENTE</t>
  </si>
  <si>
    <t>001</t>
  </si>
  <si>
    <t>Implementar en 40 municipios las líneas estratégicas de la Política Pública para el fomento de la seguridad y salud de los trabajadores.</t>
  </si>
  <si>
    <t>Municipios con líneas estratégicas implementadas de la Política Pública para el Fomento de la Seguridad y Salud de los Trabajadores.</t>
  </si>
  <si>
    <t>Num</t>
  </si>
  <si>
    <t>IM</t>
  </si>
  <si>
    <t>Se realiza asistencia técnica virtual donde se socializan las lineas estratégicas de política publica en relación a los lineamientos PAS municipales, a través de los cuales se da ejecución a estas lineas estratégicas. Dentro de este espacio participaron 3 de los municipios priorizados para este año los cuales son Sopo, Fusagasuga y Zipaquirá. Para el cuarto trimestre el municipio de El Rosal, implementa la linea estratégica de Sistema de Vigilancia a través de asistencia técnica, dando cumplimiento a las 6 lineas de política publica. Los municipios de Nilo y La Mesa se intervienen a través de asistencia técnica y  contratos de concurrencia.</t>
  </si>
  <si>
    <t>demora en inicio de  contratos interadministrativos programado para el segundo trimestre, por lo cual las actividades de vigilancia de organofosforados, Vigilancia epidemiologica, Caracterización de trabajadores y Socialización de Afiliación a SGRL no se han podido cumplir. Esto afecta directamente el cumplimiento de la meta, ya que en este se incluyen tres de los municipios priorizados para la actual vigencia.</t>
  </si>
  <si>
    <t>NA</t>
  </si>
  <si>
    <t>GR5:1-01-00-502</t>
  </si>
  <si>
    <t>Aumentar la cobertura del aseguramiento en salud.</t>
  </si>
  <si>
    <t>GR5:1-01-01-002</t>
  </si>
  <si>
    <t>POLÍTICA PÚBLICA DE SALUD MENTAL</t>
  </si>
  <si>
    <t>002</t>
  </si>
  <si>
    <t>Tramitar el 100% de las solicitudes de atención en salud para población pobre no asegurada y extranjera sin afiliación al SGSSS.</t>
  </si>
  <si>
    <t>Solicitudes atendidas</t>
  </si>
  <si>
    <t>%</t>
  </si>
  <si>
    <t>MA</t>
  </si>
  <si>
    <t>solicitudes de atención en salud para PPNA y extranjera sin afiliación al SGSSS tramitadas</t>
  </si>
  <si>
    <t>Se logró el tramite de las solicitudes en los servicios de salud de la población a cargo del departamento con la Red Adscrita y No Adscrita y garantizar que la Facturación generada por la prestación de los servicios de salud este acorde con los parámetros contractuales entre las entidades prestadoras de servicio de salud. Y También en la creación de una base de datos de las resoluciones emitidas, tramitadas y pagadas por parte de la funcionaria en carga y tramitar los resoluciones de pago en el tiempo oportuno y justo.</t>
  </si>
  <si>
    <t>Con ocasión a la declaración de la alerta amarilla y la situación de calamidad pública en el Departamento de Cundinamarca para atender y mitigar la  pandemia del Covid 19, el recaudo de recursos por concepto de impuesto de Licores Extranjeros y Cerveza impactaron notablemente el comportamiento del recaudo, viéndose una disminución considerable en el recaudo real, por lo que la contratación de servicios de salud se fue celebrando parcialmente en la medida que se tuvo recaudo efectivo por estos conceptos.</t>
  </si>
  <si>
    <t>GR5:1-01-01-003</t>
  </si>
  <si>
    <t>003</t>
  </si>
  <si>
    <t>Implementar una estrategia de seguimiento a las EAPB que garantice el acceso a los servicios de salud de sus afiliados.</t>
  </si>
  <si>
    <t>Estrategia implementada</t>
  </si>
  <si>
    <t>Estrategia de seguimiento a las EAPB que garantice el acceso a los servicios de salud de sus afiliados</t>
  </si>
  <si>
    <t>Se establece el equipo de trabajo y las herramientas de evaluación y consolidación de cada uno de los objetivos específicos para implementar una estrategia de seguimiento a las EAPB que garantice el acceso a los servicios de salud de sus afiliados</t>
  </si>
  <si>
    <t>GR5:1-01-00-503</t>
  </si>
  <si>
    <t>Disminuir la incidencia por Dengue en el Departamento de Cundinamarca.</t>
  </si>
  <si>
    <t>GR5:1-01-01-004</t>
  </si>
  <si>
    <t>POLÍTICA PÚBLICA DE PARTICIPACIÓN CIUDADANA._x000D_
POLÍTICA PÚBLICA PARA EL APOYO Y FORTALECIMIENTO DE LAS FAMILIAS_x000D_
POLÍTICA PÚBLICA DE FELICIDAD Y BIENESTAR SUBJETIVO</t>
  </si>
  <si>
    <t>004</t>
  </si>
  <si>
    <t>Implementar en 15 municipios la estrategia de gestión integral para la promoción de la salud, prevención y control de las enfermedades transmitidas por vectores (ETV).</t>
  </si>
  <si>
    <t>Municipios con estrategia implementada</t>
  </si>
  <si>
    <t>estrategia de gestión integral para la promoción de la salud, prevención y control de las enfermedades transmitidas por vectores (ETV).</t>
  </si>
  <si>
    <t>Durante este periodo se logró sensibilizar a los diferentes municipios del departamento categoría 4,5, y 6 en la implementación y desarrollo de la estrategia EGI al igual que dar continuidad a la estrategia en los municipios categoría 1,2 y 3, a pesar de la pandemia consideramos que durante el próximo año esta estrategia será adoptada por decreto en los municipios priorizados</t>
  </si>
  <si>
    <t>La presencia de la pandemia impidió la adopción de los municipios priorizados de la estrategia EGI, ya que los mayores esfuerzos se enfocaron hacia la atención de la pandemia</t>
  </si>
  <si>
    <t>1126</t>
  </si>
  <si>
    <t>SECRETARIA DESARROLLO INCLUSION</t>
  </si>
  <si>
    <t>GR5:1-01-00-617</t>
  </si>
  <si>
    <t>Reducir 5,96 casos por 100.000 habitantes de la tasa de violencia intrafamiliar</t>
  </si>
  <si>
    <t>GR5:1-01-01-005</t>
  </si>
  <si>
    <t>005</t>
  </si>
  <si>
    <t>Vincular a 2.500 familias del departamento a la estrategia de protección y unión familiar, con énfasis en el área rural.</t>
  </si>
  <si>
    <t>Familias vinculadas a la estrategia de protección y unión familiar</t>
  </si>
  <si>
    <t>Atención Psicosocial a 253 familiasCartilla digital "una familia que progresa es una familia cundinamarquesa"Piezas Graficas de Posicionamiento de derechos en las familias2 videos de apoyo audiovisual para las familias</t>
  </si>
  <si>
    <t>Caracterización de 1392 familias en riesgo de desintegraciónCapacitación en alianza con el ICBF sobre los tipos de violencia contra NNA en 6 provincias del DepartamentoEsta meta se ha dado cumplimiento con recursos contratados del plan de desarrollo anterior previo a la armonización del presupuestoVinculación de 253 familias a la estrategia "una familia que progresa es una familia cundinamarquesa"</t>
  </si>
  <si>
    <t>Conectividad de las familias para los procesos de interacciónBajo participación de los funcionarios de los municipios en la vinculación de las familias</t>
  </si>
  <si>
    <t>GR5:1-01-00-504</t>
  </si>
  <si>
    <t>Reducir el índice de necesidades básicas insatisfechas.</t>
  </si>
  <si>
    <t>GR5:1-01-01-006</t>
  </si>
  <si>
    <t>006</t>
  </si>
  <si>
    <t>Ejecutar en un 50% el plan de implementación de la política pública de Familia.</t>
  </si>
  <si>
    <t>Implementación de la política pública de Familia</t>
  </si>
  <si>
    <t>Elaboración del Estado del Arteelaboración Plan Operativoelaboración plan de acciónestrategia de posesionamiento de la política publica</t>
  </si>
  <si>
    <t>GR5:1-01-00-618</t>
  </si>
  <si>
    <t xml:space="preserve">Reducir un 0,4% de la  prevalencia de desnutrición global o retraso  en peso para la edad en menores de 5 años </t>
  </si>
  <si>
    <t>GR5:1-01-01-007</t>
  </si>
  <si>
    <t>ODS 2 - PONER FIN AL HAMBRE, LOGRAR LA SEGURIDAD ALIMENTARIA Y LA MEJORA DE LA NUTRICIÓN Y PROMOVER LA AGRICULTURA SOSTENIBLE</t>
  </si>
  <si>
    <t>007</t>
  </si>
  <si>
    <t>Beneficiar a 12.000 familias con estrategias nutricionales, especialmente en el área rural y población vulnerables.</t>
  </si>
  <si>
    <t>Familias con estrategias nutricionales</t>
  </si>
  <si>
    <t>se consiguieron donaciones de parte  y se entrego complementos nutricional de leche para bebesCon la compañía RAMO se entregaron mercados por el valor de $140.000.000  en 10 municipiosse participo en el comité de seguridad alimentariase establecieron estadísticas de nutrición y mal nutrición del Departamento</t>
  </si>
  <si>
    <t>GR5:1-01-01-008</t>
  </si>
  <si>
    <t>POLÍTICA PÚBLICA PARA EL APOYO Y FORTALECIMIENTO DE LAS FAMILIAS_x000D_
POLÍTICA PÚBLICA DE SALUD MENTAL_x000D_
POLÍTICA PÚBLICA PARA EL FOMENTO DE LA SEGURIDAD Y LA SALUD DE LOS TRABAJADORES</t>
  </si>
  <si>
    <t>008</t>
  </si>
  <si>
    <t>Implementar en el 100% de las regionales el modelo de Atención Primaria en Salud.</t>
  </si>
  <si>
    <t>Regionales con el modelo de APS implementado</t>
  </si>
  <si>
    <t>modelo de Atención Primaria en Salud.</t>
  </si>
  <si>
    <t>Se cuenta con el documento del modelo de Atención Primaria Región que progresa en salud el cual esta ajustado a la normatividad y al plan de desarrollo , durante este año se realizo el  alistamiento para su  implementacion en las regionales priorizadas</t>
  </si>
  <si>
    <t>GR5:1-01-00-505</t>
  </si>
  <si>
    <t>Reducir la mortalidad a causa de tuberculosis.</t>
  </si>
  <si>
    <t>GR5:1-01-01-009</t>
  </si>
  <si>
    <t>POLÍTICA PÚBLICA DE PARTICIPACIÓN CIUDADANA._x000D_
POLÍTICA PÚBLICA DE ENVEJECIMIENTO Y VEJEZ.</t>
  </si>
  <si>
    <t>009</t>
  </si>
  <si>
    <t>Implementar en 20 municipios con mayor carga de tuberculosis las acciones del plan estratégico departamental "Hacia el fin de la tuberculosis" en la línea estratégica 1 y 2.</t>
  </si>
  <si>
    <t>Municipios con acciones del plan "Hacia el fin de la tuberculosis" implementadas</t>
  </si>
  <si>
    <t>Acciones del plan estratégico departamental “Hacia el fin de la tuberculosis" en la línea estratégica 1 y 2. implementadas</t>
  </si>
  <si>
    <t>Se caracteriza la población con Tuberculosis en los 20 municipios con mayor carga de la enfermedad en el departamento: Girardot, Guaduas, Soacha, Fusagasugá, Mosquera, Zipaquirá, Chía, La Mesa, Facatativá, Yacopi, Funza, Pacho, Villeta, Nilo, El colegio, Madrid, Anapoima,  La palma, Puerto Salgar, Tocaima. Realizando análisis epidemiológico del comportamiento del evento, evaluando indicadores de impacto y programáticos y cumplimiento de metas de los planes estratégicos nacional y departamental, se realizan mesas de trabajo para análisis de la situación de TB con participación de Secretarias de Salud municipal, EAPB, red de prestadores y otros actores,  se validan planes de trabajo presentados por las entidades territoriales municipales, se realiza seguimiento a la implementación de actividades para fortalecimiento de las lineas estratégicas 1 y 2 del plan departamental y nacional "Hacia el fin de la tuberculosis" de los municipios de Tocaima, Girardot y Soacha</t>
  </si>
  <si>
    <t>Dificultad en la implementación de algunas acciones por cuenta de la pandemia del COVID 19 y por demora en la contratación de personal a cargo de las actividades por parte de la entidad territorial municipal</t>
  </si>
  <si>
    <t>1133</t>
  </si>
  <si>
    <t>ALTA CONSEJERÍA PARA LA FELICIDAD</t>
  </si>
  <si>
    <t>TRANSFORMANDO MENTES Y CORAZONES</t>
  </si>
  <si>
    <t>GR5:1-01-00-506</t>
  </si>
  <si>
    <t>Alcanzar el 70% del indicador de bienestar multidimensional del departamento de Cundinamarca.</t>
  </si>
  <si>
    <t>GR5:1-01-02-010</t>
  </si>
  <si>
    <t>010</t>
  </si>
  <si>
    <t>Implementar el observatorio de felicidad y bienestar de Cundinamarca.</t>
  </si>
  <si>
    <t>Observatorio implementado</t>
  </si>
  <si>
    <t>Documento Marco del Observatorio de Felicidad y Bienestar</t>
  </si>
  <si>
    <t>Se realizo la planeación estratégica del Observatorio definiendo las IV Fases.Para vigencia 2020 se desarrollo:  misión, visión, objetivos estratégicos, marco normativo, definición y alcance.Definición de las líneas de investigación:Población Calidad de vidaEntorno estratégico Participación y convivencia Bienestar y progreso</t>
  </si>
  <si>
    <t>Bajo presupuesto asignado a la Alta Consejería para la Felicidad y el Bienestar</t>
  </si>
  <si>
    <t>GR5:1-01-02-011</t>
  </si>
  <si>
    <t>ODS 11 - LOGRAR QUE LAS CIUDADES Y LOS ASENTAMIENTOS HUMANOS SEAN INCLUSIVOS, SEGUROS, RESILIENTES Y SOSTENIBLES</t>
  </si>
  <si>
    <t>011</t>
  </si>
  <si>
    <t>Implementar la política pública de felicidad y bienestar en la primera fase</t>
  </si>
  <si>
    <t>Fases de la política pública de felicidad y bienestar implementadas</t>
  </si>
  <si>
    <t>Estado del Arte y Plan Operativo.</t>
  </si>
  <si>
    <t>1.Presentación del estado del arte de la política pública de felicidad y bienestar. 2.Construcción del plan operativo de la Política Pública de felicidad y bienestar presentado en el CODEPS del 29 diciembre para el plan de Desarrollo Cundinamarca ¡Región que progresa! 3.Socialización de la política pública de felicidad y bienestar en las 15 provincias del Departamento de Cundinamarca realizadas el 17 y 24 de noviembre.</t>
  </si>
  <si>
    <t>GR5:1-01-02-012</t>
  </si>
  <si>
    <t>012</t>
  </si>
  <si>
    <t>Implementar la Escuela Móvil de Atención en Bienestar y Felicidad del departamento</t>
  </si>
  <si>
    <t>Escuela móvil de atención en bienestar y felicidad implementada</t>
  </si>
  <si>
    <t>Documento marco de la Escuela de Felicidad y Bienestar y el portafolio de servicios.</t>
  </si>
  <si>
    <t>1.Se realizo la planeación estratégica para la creación de la Escuela de la Felicidad: misión, visión, objetivos generales y estratégicos. 2.Elaboración y presentación de la oferta institucional de la Escuela de Felicidad y Bienestar. 3.A la fecha se han realizado 28 conferencias para brindar herramientas para el manejo de las emociones a los diferentes grupos poblacionales del Departamento a 1821 personas. 4.Se ha venido trabajando con   los municipios de manera articulada para brindar herramientas de salud mental.</t>
  </si>
  <si>
    <t>1215</t>
  </si>
  <si>
    <t>CORPORACION SOCIAL DE CUNDINAMARCA CSC</t>
  </si>
  <si>
    <t>GR5:1-01-02-013</t>
  </si>
  <si>
    <t>013</t>
  </si>
  <si>
    <t>Atender a 7.000 afiliados y beneficiarios con actividades de bienestar que ofrece la Corporación Social.</t>
  </si>
  <si>
    <t>Beneficiados con programas de bienestar que ofrece la Corporación Social</t>
  </si>
  <si>
    <t>subsidios, bonos y capacitaciones.</t>
  </si>
  <si>
    <t>Durante la vigencia 2020 se beneficiaron 28 estudiantes a través de subsidios educativos,3.352 personas a través de la entrega de bonos a los afiliados y 472 personas con capacitaciones en temas como finanzas, cocina y peluquería.</t>
  </si>
  <si>
    <t>Como los cursos se realizaron de manera muy rápida, mucha gente no se entero de ellos y por eso fue poca la asistencia.</t>
  </si>
  <si>
    <t>1220</t>
  </si>
  <si>
    <t>INST. DEPARTAMENTAL DE CULTURA TURISMO</t>
  </si>
  <si>
    <t>GR5:1-01-02-014</t>
  </si>
  <si>
    <t>014</t>
  </si>
  <si>
    <t>Apoyar 25 procesos musicales en el marco del Plan Departamental de Música.</t>
  </si>
  <si>
    <t>Procesos musicales apoyados</t>
  </si>
  <si>
    <t>Acompañamiento a los procesos musicales municipales.</t>
  </si>
  <si>
    <t>Acompañamiento a ocho (8) procesos musicales como músicas tradicionales, populares, campesinas, urbanas y  bandísticos desarrollados en los municipios del departamento,  a través de talleres virtuales (técnicas de afinación, digitación, interpretación de instrumentos sinfónicos dirigido a los músicos integrantes de las bandas municipales, lo cual ayuda a su fortalecimiento y evaluación de los avances.  Adicionalmente, se brindó apoyo a los procesos musicales en la edición de audio y video de montajes y ensambles musicales (preproducción, producción , post producción, grabación).</t>
  </si>
  <si>
    <t>Conectividad de los municipios y acceso a talleres virtuales por temas de conectividad.</t>
  </si>
  <si>
    <t>GR5:1-01-02-015</t>
  </si>
  <si>
    <t>015</t>
  </si>
  <si>
    <t>Cofinanciar 12 celebraciones de prácticas artísticas y culturales colectivas.</t>
  </si>
  <si>
    <t>Celebraciones cofinanciadas</t>
  </si>
  <si>
    <t>GR5:1-01-02-016</t>
  </si>
  <si>
    <t>016</t>
  </si>
  <si>
    <t>Potencializar en 90 municipios el talento cultural y artístico con procesos de formación y dotación.</t>
  </si>
  <si>
    <t>Municipios potencializados con procesos de formación y dotación</t>
  </si>
  <si>
    <t>Acompañamiento a los procesos de formación artística en los municipios del departamento.</t>
  </si>
  <si>
    <t>Se apoyaron 92 municipios del departamento con la contratación de 148 formadores para el desarrollo de los procesos de formación artística en las áreas artísticas de danza, teatro, música, artes plásticas, artes visuales, literatura y arte rupestre, en las áreas artísticas de danza, teatro, música, artes plásticas, artes visuales, literatura y arte rupestre.</t>
  </si>
  <si>
    <t>Debido a la pandemia los procesos se iniciaron fuera del cronograma inicialmente establecido.- la cobertura ha disminuido en los municipios; Debido a que por la pandemia las personas han dejado de asistir.</t>
  </si>
  <si>
    <t>GR5:1-01-02-017</t>
  </si>
  <si>
    <t>017</t>
  </si>
  <si>
    <t>Implementar 40 procesos de formación literaria itinerante en los municipios.</t>
  </si>
  <si>
    <t>Procesos de formación literaria implementados</t>
  </si>
  <si>
    <t>Talleres de Literatura que impulsan la lectura, la oralidad y la escritura creativa.</t>
  </si>
  <si>
    <t>Acompañamiento a ocho (8) municipios en la ejecución de procesos para la promoción y fortalecimiento de la lectura, la oralidad y la escritura, estrategia que dio inicio desde el primer semestre de la vigencia 2020. Adicionalmente, se brindó apoyo con formadores para procesos de literatura en seis (6) municipios del departamento.</t>
  </si>
  <si>
    <t>•Los desplazamientos a territorio por causa de la Covid 19.•Retrasos en los procesos administrativos.•Elevados costos de transporte debido a la pandemia.</t>
  </si>
  <si>
    <t>1208</t>
  </si>
  <si>
    <t>INST.DPTAL PARA LA RECREACION Y EL DEPOR</t>
  </si>
  <si>
    <t>GR5:1-01-02-018</t>
  </si>
  <si>
    <t>018</t>
  </si>
  <si>
    <t>Realizar 4 eventos entre juegos deportivos comunales y encuentros campesinos.</t>
  </si>
  <si>
    <t>Eventos realizados</t>
  </si>
  <si>
    <t>GR5:1-01-02-019</t>
  </si>
  <si>
    <t>ODS 4 - GARANTIZAR UNA EDUCACIÓN INCLUSIVA, EQUITATIVA Y DE CALIDAD Y PROMOVER OPORTUNIDADES DE APRENDIZAJE DURANTE TODA LA VIDA DE TODOS</t>
  </si>
  <si>
    <t>019</t>
  </si>
  <si>
    <t>Capacitar 8.000 voluntarios para realizar actividades de servicio social, utilizando como medios la recreación y la actividad física.</t>
  </si>
  <si>
    <t>Voluntarios capacitados</t>
  </si>
  <si>
    <t>Se llevó a cabo la mesa técnica de recreación con un conversatorio LA RECREACIÓN EN TIEMPOS DE COVID 19 con invitados del Ministerio del Deporte, invitados internacionales, médico deportólogo y la Coordinación del Programa Departamental. Dicha actividad duró una hora y media.Capacitación mediante los programas de campamentos regionales juveniles con una población beneficiada 1774 jóvenes.</t>
  </si>
  <si>
    <t>GR5:1-01-02-020</t>
  </si>
  <si>
    <t>020</t>
  </si>
  <si>
    <t>Vincular 160.000 personas en los espacios de actividad física y recreación priorizando a mujeres cabeza de hogar, población víctima y población diversamente hábil.</t>
  </si>
  <si>
    <t>Personas vinculadas en los espacios de actividad física y recreación</t>
  </si>
  <si>
    <t>Se realizó la premiación del torneo de voleibol por duplas sentado dirigido a la comunidad LGBTI. Se entrega 180 kits deportivos a las comunidades Afrocolombianas, los cuales estaban compuestos por (camiseta, gorra, caramañola y medalla). Se realizó el día Dulce de Cundinamarca contando con la participación de 12 Municipios, desarrollando el carnaval dulce y puesta de escena de un cuento infantil de manera virtual y semipresencial en algunos municipios, se considera que logro impactar 3000 niños en esta bonita actividad.</t>
  </si>
  <si>
    <t>GR5:1-01-02-021</t>
  </si>
  <si>
    <t>021</t>
  </si>
  <si>
    <t>Realizar 3 festivales "Leyenda del Dorado" impulsando nuevas tendencias deportivas.</t>
  </si>
  <si>
    <t>Festivales realizados</t>
  </si>
  <si>
    <t>GR5:1-01-02-022</t>
  </si>
  <si>
    <t>022</t>
  </si>
  <si>
    <t>Realizar 1 competencia de juegos deportivo departamentales.</t>
  </si>
  <si>
    <t>Competencia deportiva departamental realizada</t>
  </si>
  <si>
    <t>GR5:1-01-02-023</t>
  </si>
  <si>
    <t>023</t>
  </si>
  <si>
    <t>Realizar 60 eventos deportivos o recreativos para diferentes agremiaciones o asociaciones del departamento.</t>
  </si>
  <si>
    <t>Eventos deportivos o recreativos realizados</t>
  </si>
  <si>
    <t>Torneo dirigido a las diferentes agremiaciones y/o asociaciones del departamento, cuyo objetivo es brindar espacios de recreación a los trabajadores, colaboradores, asociados y/o representantes legales vinculados, por medio de torneos de futbol tenis, voleibol por duplas, mini tejo 1 vs 1 y tenis de mesa. Se han beneficiado a 240 personas de los municipios de Guasca, Tocaima, Topaipí y Villapinzón.NUESTRAS RAICES PREVALECEN: Torneo de cucunuba dirigido al resguardado indígena del municipio de Sesquile.JUEGOS DE AGREMIACIONES CAMPESINAS: Juegos dirigidos a la agremiación campesina del municipio de Bituima.JUNTAS DE ACCION COMUNAL: Torneo de Agremiaciones dirigido a las Juntas de Acción Comunal del Municipio de Quetame.ENCUENTRO DEPORTIVO: Encuentro deportivo de Heruriba, dirigido a el resguardo indígena de Medina.JUEGOS COMUNALES: Juegos deportivos dirigidos al municipio de Guataqui.</t>
  </si>
  <si>
    <t>GR5:1-01-02-024</t>
  </si>
  <si>
    <t>024</t>
  </si>
  <si>
    <t>Realizar 150 campamentos departamentales, municipales y regionales en el departamento.</t>
  </si>
  <si>
    <t>Campamentos realizados</t>
  </si>
  <si>
    <t>Apoyo a campamentos Municipales virtuales Vergara, Cajicá, Tabio y la Vega. Capacitación a Líderes y Coordinadores de recreación. Elaboración de Proyecto Primer Campamento Infantil ambiental “Descubre la magia de Cundinamarca y Cuida de ella. Se desarrollan los campamentos juveniles zonales de las provincias de Tequendama Oriente y Guavio de manera virtual con actividades capacitaciones y retos así como programas y en vivos durante los tres días utilizando las redes sociales y las salas interactivas de las Tic dela gobernación todo orientado por guías técnicas desde la coordinación. Se desarrollaron 8 campamentos Regionales, sé suscribió un convenio con el municipio de Carmen de Carupa para desarrollar 4 campamentos regionales, un campamento departamental y un campamento nacional.</t>
  </si>
  <si>
    <t>GR5:1-01-00-507</t>
  </si>
  <si>
    <t>Reducir la tasa de lesiones autoinfligidas intencionalmente.</t>
  </si>
  <si>
    <t>GR5:1-01-02-025</t>
  </si>
  <si>
    <t>POLÍTICA PÚBLICA PARA EL APOYO Y FORTALECIMIENTO DE LAS FAMILIAS_x000D_
POLÍTICA PÚBLICA DE SALUD MENTAL</t>
  </si>
  <si>
    <t>025</t>
  </si>
  <si>
    <t>Implementar en 60 municipios priorizados estrategias orientadas a la prevención de conductas suicidas y los diferentes tipos de violencia.</t>
  </si>
  <si>
    <t>Estrategias de prevención de conducta suicida  y / o violencia intrafamiliar en el marco de la Política Departamental de Salud Mental</t>
  </si>
  <si>
    <t>La implementacion de la estrategia  "Desarrollo de habilidades de afrontamiento" , se realizo en 7 municipios: Agua de Dios, Anolaima, Anapoima; Arbelaez, Cajica, Cáqueza y Guataqui; del mismo modo  se realizaron jornadas de  Desarrollo de Capacidades a los equipos psicosociales   al 100% del departamento,  brindando  herramientas para el abordaje de los eventos de la dimensión  (conducta suicida, violencia, consumo de SPA  y trastonos mentales ),  procurando una  atención integran en salud mental para los  usuarios y la  comunidad Cundinamarquesa ; Dentro de la principales tematicas  se desarrolladas  están:  *Tele orientación, Proceso de formación virtual para el personal de líneas amigas ; * Triage en salud Mental; *Primeros Auxilios Psicológicos en atención telefónica y autocuidado;*Depresión duelo y ansiedad; *Inteligencia emocional en tiempos de cuarentena y post cuarentena; *Alcohol en el entorno familiar; *Autocuidado en casa; *Salud mental de los trabajadores de la salud; *Orientación Familiar en violencia de genero e intrafamiliar *Curso delegados ESE , IPS, EAPB, secretarias de salud  para brindar apoyo emocional al personal de la salud de la primera línea atención COVID-19;* Resoluci´pn de conflictos; *Resiliencia, con aceptación y compromiso  más acción * Resiliencia y afrontamiento en la empresa * Logoterapia y Resiliencia, El sentido de la vida</t>
  </si>
  <si>
    <t>falta de compromiso por parte de algunas entidades que hacen parte de la red para articular las estrategias</t>
  </si>
  <si>
    <t>1108</t>
  </si>
  <si>
    <t>SECRETARIA DE EDUCACION</t>
  </si>
  <si>
    <t>ENTORNOS PARA LA FELICIDAD</t>
  </si>
  <si>
    <t>GR5:1-01-00-619</t>
  </si>
  <si>
    <t>Aumentar 0,23 puntos  el puntaje departamental de cobertura educación en el  IDC</t>
  </si>
  <si>
    <t>GR5:1-01-03-026</t>
  </si>
  <si>
    <t>POLÍTICA PÚBLICA PARA LA PRIMERA INFANCIA, INFANCIA Y ADOLESCENCIA “CUNDINAMARCA AL TAMAÑO DE LOS NIÑOS, NIÑAS Y ADOLESCENTES”</t>
  </si>
  <si>
    <t>026</t>
  </si>
  <si>
    <t>Beneficiar al 100% de las IED de los municipios no certificados en salubridad, seguridad y servicios públicos.</t>
  </si>
  <si>
    <t>IED beneficiadas en salubridad, seguridad y servicios públicos</t>
  </si>
  <si>
    <t>MT</t>
  </si>
  <si>
    <t>Prestación de Servicio de Aseo, Vigilancia y pago de  Servicios Públicos  a las IED de los municipios no certificados del Departamento.</t>
  </si>
  <si>
    <t>Se ha logrado beneficiar a las 275 IED con las  prestación del servicio de aseo, Vigilancia y servicios públicos,  manteniendo  los espacios de su infraestructura con los protocolos de bioseguridad e instalaciones limpias, de  las cuales en  261 IED se presta el servicio  de aseo con  la empresa Serviespeciales, así mismo con transferencia de recursos para compra de implementos de aseo se ha logrado cubrir el  100% de IED con  este servicio,   En cuanto al servicio de vigilancia  se ha  salvaguardando los bienes muebles de cada IED con la  prestación de servicio de vigilancia con la UT. CMS en 202 IED  y el resto de IED  con vigilancia prestada  por parte de los administrativos de las IED. En la prestación de servicios públicos domiciliarios  se  beneficia el 100% de las IED que han requerido el pago de estos, a través de la transferencia de recursos por parte de la Secretaría de Educación.</t>
  </si>
  <si>
    <t>GR5:1-01-00-508</t>
  </si>
  <si>
    <t>Aumentar el pilar "Salud" del índice Departamental de Competitividad.</t>
  </si>
  <si>
    <t>GR5:1-01-03-027</t>
  </si>
  <si>
    <t>POLÍTICA PÚBLICA PARA LA GESTIÓN DEL RIESGO DE DESASTRES</t>
  </si>
  <si>
    <t>027</t>
  </si>
  <si>
    <t>Implementar al 100% la red departamental de urgencias acorde a los nodos regionales.</t>
  </si>
  <si>
    <t>Implementación de la red departamental</t>
  </si>
  <si>
    <t>Red departamental de urgencias acorde a los nodos regionales.</t>
  </si>
  <si>
    <t>Formulación del proyecto "Fortalecimiento , reorganización y establecimiento del Sistema de Atención de Urgencias enEmergencias y Desastres del departamento de Cundinamarca".Se realizó la contratación de recurso humano (médicos) para la regulación de urgencias y emergencias en el Departamento y de profesionales de apoyo en los procesos administrativos del CRUE. Coordinación de 74 emergencias con afectaciones en salud de las cuales el 83,8% corresponden a accidentes de tránsito. Cobertura de la atención en urgencias de 23,339 pacientes, de los cuales 18,598 (79,7%) corresponde a población venezolana.En el primer trimestre meses de enero y febrero se realizó el comité de referencia y contrarreferencia según cronograma para con los hospitales de segundo y tercer nivel de atención, suspendido por la Pandemia;  en el mes de agosto se retomo esta actividad.Se realizó visita de seguimiento al proceso de referencia y contrreferencia del municipio de Choconta, Sopo y Girardot de conformidad a lo planeado.Se realizó el comité mensual del convenio del Sistema de Emergencias Medicas entre el Dpto de Cundinamarca y los Municipios primera categoría una vez declarada la cuarentena y alerta del COVID 19 este se esta se ha realizado de manera virtual.</t>
  </si>
  <si>
    <t>En la atención de urgencias la población extranjera principalmente venezolana es la que marca el mayor porcentaje en la prestación.  Dificultad en la  remisión y traslado de pacientes por limitación de la oferta de servicios de salud. Declaratoria de cuarentena en el País y alerta por el  COVID-19.</t>
  </si>
  <si>
    <t>GR5:1-01-03-028</t>
  </si>
  <si>
    <t>POLÍTICA PÚBLICA PARA EL APOYO Y FORTALECIMIENTO DE LAS FAMILIAS</t>
  </si>
  <si>
    <t>028</t>
  </si>
  <si>
    <t>Implementar las 14 regiones de salud de la red pública departamental.</t>
  </si>
  <si>
    <t>Regiones de salud implementadas</t>
  </si>
  <si>
    <t>Socialización de la Reorganización, modernización y Rediseño de la Red pública Departamental en las 14 Regiones de Salud, socialización de la hoja de ruta para la implementación de la Red, inicio de las actividades estipuladas en la hoja de ruta para la implementación de la Red. Inicio a seguimiento de compromisos de la hoja de ruta, realimentación de los productos entregados según hoja de ruta. Se han realizado 9 mesas de trabajo presenciales y 5 virtuales con alcaldes, concejales, comunidad y gerentes de hospitales.</t>
  </si>
  <si>
    <t>Demora en el concepto de viabilidad técnica de la Reorganización de la Red por parte del Ministerio.  Desinformación  de la comunidad y de algunas autoridades locales que genera incertidumbre y múltiples requerimientos relacionados con el tema por parte de la comunidad</t>
  </si>
  <si>
    <t>GR5:1-01-03-029</t>
  </si>
  <si>
    <t>POLÍTICA PÚBLICA DE SALUD MENTAL_x000D_
POLÍTICA PÚBLICA DE ENVEJECIMIENTO Y VEJEZ.</t>
  </si>
  <si>
    <t>029</t>
  </si>
  <si>
    <t>Ejecutar 5.078 visitas de Inspección, Vigilancia y Control a los actores vigilados en el marco del SGSSS.</t>
  </si>
  <si>
    <t>Vistas de IVC realizadas</t>
  </si>
  <si>
    <t>Visitas a prestadores de servicios de salud y establecimientos farmacéuticos</t>
  </si>
  <si>
    <t>Se realizó la implementación de los procedimientos virtuales con ocasión de la pandemia COVID-19 lo que Se realizó la implementación de los procedimientos virtuales con ocasión de la pandemia COVID-19 lo que permitió la realización de vistas virtuales de los diferentes programas, tales como  farmacovigilancia, (32) visitas IPS), Articulación Externa Por Medio De Mesas De Trabajo Con Las Diferentes Direcciones Y Entes De Control Para Priorizar Estrategias De Intervención Como Nodo Territorial por medio de  video conferencia con UPPSALA MONITORING CENTRE – INVIMA. Para el Fondo rotatorio de estupefacientes Se adelantaron dos reuniones de forma articulada con salud pública para la divulgación de políticas públicas y homologación de requisitos normativos y Se realizaron visitas de inspección vigilancia y control para el manejo de MCE a los prestadores de servicios de Salud en el Departamento. Se da continuidad a la verificación virtual de los programas de Reactivovigilancia y Tecnovigilancia. En cuanto al programa de Tecnovigilancia se ha realizado (1758) verificaciones de eventos adversos asociados a dispositivos médicos, de igual forma se realizó el encuentro de Tecnovigilancia, simposio de Farmacovigilancia y apoyo del programa de Reactivovigilancia de forma virtual, con una participación de (1119) asistentes, En cuanto a Reactivovigilancia se han realizado (35) visitas virtuales,  Así mismo para el fondo local de salud Se realizaron vistas a secretarias de salud municipal con el fin de realizar seguimiento a la ejecución de los recursos asignados terminando el proceso de verificación para certificación vigencia 2019  logrado certificar 116 secretarias municipales. Para establecimientos farmacéuticos Se realizaron (348) visitas, se realizó apoyo en implementación normativa a establecimientos farmacéuticos. En cuanto a habilitación Se realizaron (429) visitas a prestadores de servicios de salud, Se logra certificar a (6) prestadores de servicio de salud Privados (3) Públicos (3)  Unificación de conceptos e implementación de lineamientos normativos por parte de los entes Nacionales para ejercer acciones de IVC frente a prestadores de servicios de salud en Pandemia COVID-19, inclusión de personal de salud para el seguimiento de casos COVID- 19.</t>
  </si>
  <si>
    <t>Con ocasión de la emergencia sanitaria declarada por el Gobierno Nacional por la pandemia COVID-19 se ha requerido ajustar la planeación de cada actividad, sin embargo la declaración se ha extendido por tiempo prolongado. Así mismo se recibió orden del Ministerio de Salud y protección Social donde se suspenden la realización de  vistas de verificación de condiciones de habilitación relacionado con resolución 856 del 2020.</t>
  </si>
  <si>
    <t>GR5:1-01-03-030</t>
  </si>
  <si>
    <t>030</t>
  </si>
  <si>
    <t>Implementar el Fondo Rotatorio de Estupefacientes de Cundinamarca.</t>
  </si>
  <si>
    <t>FRECUN implementado</t>
  </si>
  <si>
    <t>Fondo Rotatorio de Estupefacientes de Cundinamarca.</t>
  </si>
  <si>
    <t>Creación e implementación de Fondo Rotatorio de Estupefacientes de Cundinamarca.Respecto a las visitas de Inspección, Vigilancia y Control para el manejo de Los Medicamentos de Control Especial a los prestadores de Servicios de salud y establecimientos farmacéuticos en el Departamento se realizaron (99) visitas,  se Realizaron (23)  mesas  de articulación interadministrativa (Salud  Publica - SPA)correspondientes a : Concejo Seccional de  Estupefacientes, Comité Sustancias Psicoactivas , Mesa de Trabajo No3 - No4 .Mesas  articulación Intersectorial: Mesa  Sabana Norte con el Fondo Nacional de Estupefacientes y Sociedades Médicas y Científicas , de igual forma se diseñó e implemento Procedimiento de Visitas virtuales para la autorización de manejo de  Medicamentos de Control.</t>
  </si>
  <si>
    <t>1.Declaración de la Pandemia por COVID 192.La realización de visitas virtuales no permiten evidenciar la gestión general de la Gestión de los Servcios Farmaceuticos</t>
  </si>
  <si>
    <t>GR5:1-01-03-031</t>
  </si>
  <si>
    <t>POLÍTICA PÚBLICA PARA EL MANEJO DE LA INFORMACIÓN PARA TOMA DE DECISIONES INTELIGENTES E INFORMADAS PARA EL SECTOR SALUD</t>
  </si>
  <si>
    <t>031</t>
  </si>
  <si>
    <t>Implementar el 95% de los lineamientos nacionales de vigilancia en salud pública de los eventos de interés y reglamento sanitario internacional.</t>
  </si>
  <si>
    <t>Lineamientos de vigilancia en eventos de interés en salud pública implementados</t>
  </si>
  <si>
    <t>lineamientos de vigilancia en salud publica</t>
  </si>
  <si>
    <t>Durante la actual vigencia se continua con la implementación de los lineamientos nacionales de vigilancia en salud publica de los eventos de interés y reglamento sanitario internacional</t>
  </si>
  <si>
    <t>GR5:1-01-03-032</t>
  </si>
  <si>
    <t>032</t>
  </si>
  <si>
    <t>Dotar 1.350 escuelas de formación del departamento con implementación deportiva y recreativa.</t>
  </si>
  <si>
    <t>Escuelas de formación deportiva con dotación</t>
  </si>
  <si>
    <t>Se suscribieron 5 convenios para la dotación de las escuelas de formación con implementación deportiva y recreativa con los municipios de Tenjo, Fosca, San Antonio, Ubaté y Zipaquirá.</t>
  </si>
  <si>
    <t>GR5:1-01-03-033</t>
  </si>
  <si>
    <t>033</t>
  </si>
  <si>
    <t>Dotar 300 parques saludables en el departamento.</t>
  </si>
  <si>
    <t>Parques saludables dotados</t>
  </si>
  <si>
    <t>En lo que respecta a la dotación de parques saludables, el Instituto Departamental para la Recreación y el Deporte de Cundinamarca, ha adelantado los estudios previos y del sector, con el fin de llevar a cabo la contratación de la adquisición y dotación de los 15 parques programados.Se suscribieron 13 convenios para la dotación de parques saludables con los municipios de Nocaima, La Vega, Funza, Chía, Gutiérrez, Tocancipa, Ubaté, Ubala, Nilo, Carmen de Carupa, La Palma, La Mesa y Viota.</t>
  </si>
  <si>
    <t>GR5:1-01-03-034</t>
  </si>
  <si>
    <t>034</t>
  </si>
  <si>
    <t>Cofinanciar la construcción o adecuación de 103 escenarios deportivos en el departamento.</t>
  </si>
  <si>
    <t>Escenarios construidos o adecuados</t>
  </si>
  <si>
    <t>Con corte a 18 de noviembre de 2020, se han radicado 281 proyectos de infraestructura deportiva de los diferentes municipios, de los cuales se han revisado 233 (incluyendo proyectos de infraestructura de instituciones educativas que no son competencia de Indeportes sino de la Secretaría de Educación del departamento, los cuales se devuelven con la aclaración de que el proyecto no corresponde a la entidad y; proyectos eliminados, los cuales se refieren a aquellos proyectos que son creados y cargados en la plataforma Bizagi con nuevo número de caso, por lo cual, los proyectos anteriores son eliminados). De este total, 27 proyectos han sido avalados (proyectos que cumplen tanto técnica como metodológicamente). Los municipios con proyectos avalados son: Junín, Sasaima, Guasca, La Peña, Gachalá, Nemocón, Fusagasugá, Fúquene, Vianí, Sopó, Zipaquirá, Bituima, Gachetá, Paime, Útica, Mosquera, Gama, Tocancipá y Guayabal de Síquima.</t>
  </si>
  <si>
    <t>GR5:1-01-03-035</t>
  </si>
  <si>
    <t>035</t>
  </si>
  <si>
    <t>Cofinanciar la construcción o adecuación de 1 Centro de alto rendimiento.</t>
  </si>
  <si>
    <t>Centros de alto rendimiento cofinanciados</t>
  </si>
  <si>
    <t>GR5:1-01-00-510</t>
  </si>
  <si>
    <t>Aumentar el puntaje en el pilar 7 "Educación superior y capacitación", del índice Departamental de Competitividad.</t>
  </si>
  <si>
    <t>GR5:1-01-03-036</t>
  </si>
  <si>
    <t>POLÍTICA PÚBLICA DE JUVENTUD.</t>
  </si>
  <si>
    <t>036</t>
  </si>
  <si>
    <t>Mantener la prestación del servicio de educación superior de la entidad educativa pública estatal del nivel territorial.</t>
  </si>
  <si>
    <t>Entidad educativa con servicio</t>
  </si>
  <si>
    <t>Se realizó el giro de apoyo financiero a la Universidad de Cundinamarca de los meses de Agosto, septiembre, octubre y noviembre, con el fin de mantener la prestación del servicio de educación superior en la entidad educativa pública  estatal del nivel territorial brindando  apoyo financiero que permitirá  garantizar que la calidad en la prestación del servicio educativo de la Institución, día a día mejore.Se logró brindar apoyo financiero a la Universidad de Cundinamarca, garantizando la continuidad y la calidad de la prestación del servicio educativo de la Institución, impactando de manera positiva alrededor de 13.065  estudiantes  provenientes  de los 116  municipios del Departamento, a través del giro de recursos mediante resolución 3100 de octubre de 2020 realizado por la Secretaría de Educación.</t>
  </si>
  <si>
    <t>Apoyo Financiero para la Prestación del Servicio Educativo en la Universidad de Cundinamarca</t>
  </si>
  <si>
    <t>GR5:1-01-00-511</t>
  </si>
  <si>
    <t>Aumentar la variable "calidad de los docentes de colegios oficiales" del índice de competitividad departamental.</t>
  </si>
  <si>
    <t>GR5:1-01-03-037</t>
  </si>
  <si>
    <t>037</t>
  </si>
  <si>
    <t>Actualizar a 6.000 directivos docentes y docentes de las IED en Liderazgo, gestión, conocimientos disciplinares, prácticas pedagógicas, competencias socio emocionales y apropiación de nuevas tecnologías.</t>
  </si>
  <si>
    <t>Directivos docentes y docentes actualizados</t>
  </si>
  <si>
    <t>Capacitación a Docentes y Directivos docentes</t>
  </si>
  <si>
    <t>Durante la vigencia 2020, se logró la capacitación de 443 (244 directivos docentes, 199 docentes)  docentes y directivos docentes de las 275 IED de los municipios no certificados de Cundinamarca a través de alianzas estratégicas con entidades privadas, públicas y sin ánimo de lucro como, la Fundación Alquería Cavelier, Universidad de la Sabana, Ministerio de Educación, Universidad Tecnológica de Pereira, la DIAN y el SENA, con las cuales se fortalecieron competencias en liderazgo directivo y educación remota, gobernabilidad sin presencialidad, educación remota en EE rurales y urbanas,  Cultura de la Contribución en la Escuela y Ciencia, Tecnología, Ingeniería y Matemáticas.De los 433 docentes y directivos formados  244  fueron formados en el marco del convenio con la fundación Cavelier y la Universidad de la Sabana, que permitió formar a en liderazgo desde la educación remota,  con el convenio con la DIAN y SENA, se formaron a 32 docentes en la cultura de la contribución en la escuela y con el programa STEM (Ciencia, Tecnología, Ingeniería y Matemáticas, por sus siglas en inglés) desarrollado con el MEN, la UTP y MINTIC se  permitió formar a 167 docentes.Igualmente se formuló el plan de formación docente como parte del primer componente del proyecto MIMI «Mi Casa. Mi Escuela», el cual se denomina «Uso de Nuevas Tecnologías para la Innovación Educativa», que se ejecutará durante el primer semestre de 2021 y tendrá como finalidad entregar herramientas para el desarrollo pedagógico en el marco de la pandemia.</t>
  </si>
  <si>
    <t>Problemas de conectividad</t>
  </si>
  <si>
    <t>GR5:1-01-03-039</t>
  </si>
  <si>
    <t>POLÍTICA PÚBLICA PARA EL APOYO Y FORTALECIMIENTO DE LAS FAMILIAS_x000D_
POLÍTICA PÚBLICA DE FELICIDAD Y BIENESTAR SUBJETIVO_x000D_
POLÍTICA PÚBLICA PARA EL FOMENTO DE LA SEGURIDAD Y LA SALUD DE LOS TRABAJADORES</t>
  </si>
  <si>
    <t>039</t>
  </si>
  <si>
    <t>Beneficiar al 100% de los docentes, directivos docentes y administrativos de las IED, merecedores del beneficio, con el plan de bienestar laboral y de incentivos.</t>
  </si>
  <si>
    <t>Docentes, directivos docentes y administrativos beneficiados</t>
  </si>
  <si>
    <t>Plan de Bienestar y de Incentivos  implementado para docentes, directivos docentes y administrativos.</t>
  </si>
  <si>
    <t>Se benefició al 100% de los docentes, directivos docentes y personal administrativo de las instituciones educativas que corresponde a un total de 12152 funcionarios  con las actividades desarrolladas incluidas en el programa de bienestar laboral 2020,  con  el  desarrollo de   estrategias que permiten mejorar  la calidad de vida,  el desempeño laboral, el desarrollo humano y profesional de los directivos docentes, docentes y el personal administrativo de las instituciones educativas de los municipios no certificados de cundinamarca. Tal como se planteó en el programa de bienestar laboral y de incentivos ,  las actividades desarrolladas,  atendieron  las esferas personal, socio afectiva familias y ocupacional de los funcionarios de las instituciones educativas oficiales  de los municipios no certificados, igualmente el programa de bienestar laboral y de incentivos implementado, favoreció   el desarrollo integral de los docentes, directivos docentes y personal administrativo,  así mismo lograron motivar a  directivos docentes, docentes y personal administrativo de las instituciones educativas de los municipios no certificados de cundinamarca para prestar un mejor servicio educativo, se  estructuraron  y realizaron actividades que atendieron  las necesidades de protección, ocio, identidad y aprendizaje del servidor y su familia, todas las actividades se realizaron mediante la  gestión y el  el apoyo con  entidades aliadas  para el cumplimiento de las actividades incluidas en las áreas de calidad de vida laboral y de protección y servicios sociales.</t>
  </si>
  <si>
    <t>1123</t>
  </si>
  <si>
    <t>SRIA DE TRANSPORTE Y MOVILIDAD</t>
  </si>
  <si>
    <t>GR5:1-01-00-512</t>
  </si>
  <si>
    <t>Disminuir los siniestros de transito con resultados fatales en Cundinamarca.</t>
  </si>
  <si>
    <t>GR5:1-01-03-040</t>
  </si>
  <si>
    <t>POLÍTICA PÚBLICA DE PARTICIPACIÓN CIUDADANA._x000D_
POLÍTICA PÚBLICA DE FELICIDAD Y BIENESTAR SUBJETIVO</t>
  </si>
  <si>
    <t>040</t>
  </si>
  <si>
    <t>Implementar la estrategia "Por la Vía de la Vida" para la intervención, prevención y monitoreo de la seguridad vial en Cundinamarca.</t>
  </si>
  <si>
    <t>Se creó el esquema funcional del Centro de Estudios (Ceis) https://www.ceiscundinamarca.com/(15) Provincias capacitadas en manejo de cifras, Planes de seguridad, Visión Cero y Bicicultura con actores viales y con Autoridades Municipales, Apoyo y acompañamiento técnico a (80) municipios ,El 90% del municipio de categoría entre (4,5 y 6) nunca habían elaborado el plan de seguridad, (19) Municipios con comité de seguridad vial establecido, (18) Planes locales de seguridad vial en formulación para implementación en el primer trimestre del 2021, ( 13)  municipios con plan de seguridad vial elaborado y ejecutado al presente año, (528) Autoridades de tránsito involucradas en los procesos de formación.(19) Ciclo vias llevadas acabo por el departamento, (16.015) asistentes a las diferentes ciclo rutas ejecutadas por la secretaria de movilidad  , (1311) bicicletas marcadas , (10.900) Bici usuarios capacitados en el uso adecuado de la bicicleta de acuerdo a la normatividad vigente, (212) Capacitaciones  en Cultura Bici  asistentes</t>
  </si>
  <si>
    <t>Se creó el esquema funcional del Centro de Estudios (Ceis)  que es El centro de estudios e investigaciones de seguridad vialA la fecha cuenta con un portal web (http://www.ceiscundinamarca.com) y datos descargables para cada municipio con cifras e investigaciones que han sido cuidadosamente obtenidas en lo corrido de 2020.PRODUCTOSINFORME MENSUAL INDIVIDUAL DE CADA UNO DE LOS 116 MUNICIPIOS CON ENVÍO PERSONALIZADO A CADA ALCALDÍA CONa.Cifras oficiales para:b.Fatalidadesc.Lesionadosd.Hurto automotorese.Hurto motocicletasf.Pirateríag.Abigeato*72 MAPASa.Interactivos que recopilaron y reconstruyeron los datos de los siniestros viales para los 116 municipios de los últimos 10 años* INFORMES DEPARTAMENTALES CON DETALLES DE TENDENCIAS DE LOS SINIESTROS VIALES CON:a.Hora, Fecha, Actores viales, Móvil del agresor, Municipio, Edad afectados, Sexo*(15) Provincias capacitadas en manejo de cifras, Planes de seguridad, Visión Cero y Bicicultura con actores viales y con Autoridades Municipales*Apoyo y acompañamiento técnico a (80) municipios  *El 90% del municipio de categoría entre (4,5 y 6) nunca habían elaborado el plan de seguridad. *(19) Municipios con comité de seguridad vial establecido.*(18) Planes locales de seguridad vial en formulación para implementación en el primer trimestre del 2021*( 13)  municipios con plan de seguridad vial elaborado y ejecutado al presente año.*(528) Autoridades de tránsito involucradas en los procesos de formación.BENEFICIARIOSa. (268) Personas de empresas de transporte capacitadas en temas de prevención y previsión vialb. Capacitación en Visión Cero (231 asistentes)c. Encuentro Nacional Académico de seguridad vial (567 participantes)d. Encuentro Internacional de autoridades – Manejo de la movilidad en COVDI19 (567 participantes)c. Capacitación en manejo de información (87 asistentes)se ha logrado Jornadas Pedagógicas en Seguridad Vial1 Provincias atendidas24 Municipios beneficiados con Jornadas pedagógicas en seguridad vial.75 Instituciones atendidas en las cuales están: Instituciones Educativas, fundaciones, grupos de adulto mayor, instituciones educativas privadas, docentes, Juntas de Acción comunal, etc.Apoyo a los operativos que realizan los municipios en seguridad vial, administraciones municipales de 24 municipios, según relación adjunta.55 bici-usuarios beneficiados con kit de protección3.179 personas sensibilizadas del  26 de abril al 30 de agosto de 2020.</t>
  </si>
  <si>
    <t>GR5:1-01-00-513</t>
  </si>
  <si>
    <t>Proteger los derechos culturales y la salvaguarda del patrimonio cultural en los 116 municipios del departamento.</t>
  </si>
  <si>
    <t>GR5:1-01-03-041</t>
  </si>
  <si>
    <t>041</t>
  </si>
  <si>
    <t>Intervenir 30 bienes culturales.</t>
  </si>
  <si>
    <t>Bienes culturales intervenidos</t>
  </si>
  <si>
    <t>GR5:1-01-03-042</t>
  </si>
  <si>
    <t>042</t>
  </si>
  <si>
    <t>Implementar un modelo de gestión pública de cultura.</t>
  </si>
  <si>
    <t>Modelo de gestión pública de cultura implementado</t>
  </si>
  <si>
    <t>Asistencia técnica territorial.</t>
  </si>
  <si>
    <t>-Implementación de la primera fase del modelo de gestión cultural en el departamento, a  través de estrategias que potencializaron las capacidades de participación cultural de las 116 administraciones municipales, donde a partir de la asistencia técnica t</t>
  </si>
  <si>
    <t>las vías en mal estado para los desplazamientos del equipo de acompañamiento territorial.-@ Incremento en el valor de trasporte municipal.</t>
  </si>
  <si>
    <t>GR5:1-01-03-043</t>
  </si>
  <si>
    <t>043</t>
  </si>
  <si>
    <t>Acompañar los servicios básicos bibliotecarios en el 100% de las bibliotecas públicas municipales.</t>
  </si>
  <si>
    <t>Bibliotecas públicas con acompañamiento</t>
  </si>
  <si>
    <t>Realizar la asesoría técnica territorial a través de la virtualidad, ya que la conectividad presenta inconvenientes en algunas zonas del departamento. A cada una de las 158 bibliotecas que conforman la red departamental se le asignó un tutor. Adicionalmente, dentro de la convocatoria de estímulos "Corazonarte Cultura para Cuidarte" fueron adjudicados 30 para temas relacionados con bibliotecas públicas entre los cuales se encuentran: creación en conformación de club de lectura, fotografía y memoria en bibliotecas públicas y creación en laboratorios bibliotecarios. A la fecha se ha girado el 70% del valor de cada estímulo a cada beneficiario.</t>
  </si>
  <si>
    <t>GR5:1-01-03-044</t>
  </si>
  <si>
    <t>044</t>
  </si>
  <si>
    <t>Lograr el reconocimiento de un patrimonio inmaterial en el departamento.</t>
  </si>
  <si>
    <t>Patrimonio inmaterial reconocido</t>
  </si>
  <si>
    <t>GR5:1-01-03-045</t>
  </si>
  <si>
    <t>045</t>
  </si>
  <si>
    <t>Cofinanciar 8 proyectos que permitan la socialización y acceso al patrimonio cultural inmaterial.</t>
  </si>
  <si>
    <t>Proyectos cofinanciados</t>
  </si>
  <si>
    <t>GR5:1-01-03-046</t>
  </si>
  <si>
    <t>046</t>
  </si>
  <si>
    <t>Intervenir 8 inmuebles de patrimonio material.</t>
  </si>
  <si>
    <t>Inmuebles intervenidos</t>
  </si>
  <si>
    <t>1223</t>
  </si>
  <si>
    <t>INSTITUTO DE INFRAESTRUCTURA .I.C.C.U</t>
  </si>
  <si>
    <t>GR5:1-01-00-514</t>
  </si>
  <si>
    <t>Reducir el déficit cualitativo de vivienda en el departamento.</t>
  </si>
  <si>
    <t>GR5:1-01-03-047</t>
  </si>
  <si>
    <t>047</t>
  </si>
  <si>
    <t>Ejecutar el 100% de la segunda fase de la reubicación del municipio de Utica (Obras complementarias).</t>
  </si>
  <si>
    <t>Segunda fase implementada</t>
  </si>
  <si>
    <t>GR5:1-01-03-048</t>
  </si>
  <si>
    <t>048</t>
  </si>
  <si>
    <t>Intervenir 85.000 m2 de espacio público.</t>
  </si>
  <si>
    <t>M2 de espacio público intervenidos</t>
  </si>
  <si>
    <t>15.276,48 m2 de espacio público intervenido</t>
  </si>
  <si>
    <t>Durante la vigencia 2020 se  han ejecutado 15.276,48 m2 de espacio público beneficiando a los municipios de: La Peña, Guayabal de Síquima, Nemocón, Funza, La Mesa, Bituima, Sibaté, Pacho, Tocaima, Simijaca y Beltrán. Adicionalmente, se encuentran en ejecución diferentes proyectos de espacio público y parques, en los municipios del Departamento.</t>
  </si>
  <si>
    <t>1131</t>
  </si>
  <si>
    <t>SECRETARIA DE  HABITAT Y VIVIENDA</t>
  </si>
  <si>
    <t>GR5:1-01-03-049</t>
  </si>
  <si>
    <t>ODS 1 - PONER FIN A LA POBREZA EN TODAS SUS FORMAS EN TODO EL MUNDO</t>
  </si>
  <si>
    <t>049</t>
  </si>
  <si>
    <t>Mejorar 4.000 viviendas urbanas y rurales con enfoque diferencial y territorial en los municipios del Departamento.</t>
  </si>
  <si>
    <t>Viviendas mejoradas</t>
  </si>
  <si>
    <t>608 Mejoramientos de vivienda rural61 Mejoramientos de vivienda urbana</t>
  </si>
  <si>
    <t>Suscripción de tres (3) Convenios Interadministrativos de Cooperación entre Fonvivienda – Findeter, El Departamento y los municipios de Chía, Fusagasugá y Cajicá, con una gestión de recursos del orden nacional por la suma de $5.100.000.000 y de los municipios por la suma de $4.500.000.000, para la ejecución de 900 mejoramientos de vivienda urbana en el marco del Programa “Casa digna, Vida Digna”.Inversión de recursos departamentales por la suma de $2.830 millones de pesos, mediante la suscripción de 34 convenios interadministrativos con igual número de municipios, para la ejecución de proyectos de mejoramiento de vivienda rural - construcción de pisos, que serán financiados en su totalidad por la Secretaría de Hábitat y Vivienda y beneficiarán a 608 hogares de las zonas rurales del Departamento.Inversión de $200 millones de pesos para 61 mejoramientos de vivienda en el Municipio de Funza con un aporte del municipio de $200 millones de pesos.</t>
  </si>
  <si>
    <t>Disponibilidad de recursos departamentales insuficientes para la alta demanda, aunado con las restricciones presupuestales de los municipios para aportar recursos de contrapartida.Escasa oferta institucional de las entidades del orden nacional, para gestionar proyectos de construcción y mejoramiento de vivienda urbana y rural.La deficiente capacidad técnica y administrativa de los municipios del Departamento para el diseño y expedición de documentos técnicos, sociales y económicos en el marco de la adecuada formulación de los proyectos habitacionales, genera demoras en los procesos precontractuales.La carencia de información sobre la situación habitacional de los municipios del Departamento de Cundinamarca es una de las principales dificultades para ejecutar acciones orientadas a la disminución del déficit habitacional.</t>
  </si>
  <si>
    <t>GR5:1-01-03-050</t>
  </si>
  <si>
    <t>050</t>
  </si>
  <si>
    <t>Mejorar integralmente 30 barrios y entornos rurales en los municipios del departamento.</t>
  </si>
  <si>
    <t>Barrios y entornos beneficiados con obras de mejoramiento</t>
  </si>
  <si>
    <t>20 Barrios Mejorados 842 beneficiadas con viviendas mejoradas con fachadas y mejoramiento de andenes.</t>
  </si>
  <si>
    <t>En esta meta se destaca el hecho que 842 hogares localizados en diferentes sectores de 20 municipios, embellecieron sus fachadas y mejoraron sus andenes con una inversión de una inversión departamental por la suma de $1.000 millones de pesos y una gestión de recursos municipales por la suma de $210 millones de pesos.</t>
  </si>
  <si>
    <t>Se dificulta la selección de sectores de intervención con obras de mejoramiento integral de barrios, debidos a que estos se encuentran dispersos en todo el casco urbano, lo que dificulta el proceso de formulación de los proyectos.</t>
  </si>
  <si>
    <t>GR5:1-01-03-051</t>
  </si>
  <si>
    <t>051</t>
  </si>
  <si>
    <t>Ejecutar 20 procesos de acompañamiento social a intervenciones habitacionales en los municipios del departamento.</t>
  </si>
  <si>
    <t>Procesos acompañados</t>
  </si>
  <si>
    <t>GR5:1-01-00-515</t>
  </si>
  <si>
    <t>Reducir el déficit cuantitativo de vivienda en el departamento.</t>
  </si>
  <si>
    <t>GR5:1-01-03-052</t>
  </si>
  <si>
    <t>052</t>
  </si>
  <si>
    <t>Apoyar la construcción y adquisición de 150 viviendas urbanas y rurales para Población Víctima del Conflicto Armado en el Departamento de Cundinamarca</t>
  </si>
  <si>
    <t>Viviendas construidas o adquiridas para población VCA</t>
  </si>
  <si>
    <t>13 viviendas rurales para población Víctima del Conflicto Armado</t>
  </si>
  <si>
    <t>Se destinaron recursos departamentales por la suma de $300 millones de pesos para la suscripción de convenios interadministrativos, y cofinanciar proyectos de construcción de vivienda rural en los municipios de Arbeláez, La Mesa, Caparrapí, Junín, Jerusalén, Pandi y Guayabetal, los cuales beneficiarán a 13 hogares Víctima del Conflicto Armado del sector rural.</t>
  </si>
  <si>
    <t>Disponibilidad de recursos departamentales insuficientes para la alta demanda, aunado con las restricciones presupuestales de los municipios para aportar recursos de contrapartida.Escasa oferta institucional de las entidades del orden nacional, para gestionar proyectos de construcción y mejoramiento de vivienda urbana y rural.</t>
  </si>
  <si>
    <t>GR5:1-01-03-054</t>
  </si>
  <si>
    <t>054</t>
  </si>
  <si>
    <t>Apoyar la adquisición y construcción de 4.000 viviendas rurales y urbanas VIS y VIP en el departamento de Cundinamarca</t>
  </si>
  <si>
    <t>Viviendas VIS/VIP con apoyo para adquisición y construcción</t>
  </si>
  <si>
    <t>48 hogares con construcción de vivienda rural2.679 hogares beneficiados con exención de impuesto de registro396 hogares beneficiados con subsidios de Semillero de Propietarios</t>
  </si>
  <si>
    <t>En la Vigencia 2020, 2.679 hogares cundinamarqueses que adquirieron viviendas de interés social y prioritario con subsidios familiares de vivienda, obtuvieron el beneficio de exención del pago del impuesto de registro establecido mediante la Ordenanza No. 003 de 2020 la cual fue gestionada por la Secretaría de Hábitat y Vivienda para aliviar la carga financiera de las familias a la hora de comprar vivienda.Como resultado de la estrategia Plan Semillero de Propietarios implementada por la Secretaría d Hábitat y Vivienda, durante la Vigencia 2020, 11.185 hogares se encuentran habilitados y se han asignado 396 subsidios de arriendo para hogares cundinamarqueses de ingresos entre 1 y 2 smlmv.En el marco de ejecución del programa “Podemos Casa” se entregaron 32 viviendas del proyecto Villa Daniela del municipio de Mosquera y 21 Viviendas del proyecto Villa Catalina del municipio de Guasca. Los proyectos de La Mesa, Villeta, Villapinzón y Guasca tienen un avance promedio del 80% y se tiene prevista su entrega  de las viviendas a 1.047 familias en el primer semestre de la vigencia 2021.Los proyectos de La Mesa, Nilo, Tocaima y Ricaurte, para la construcción de 1.100 unidades de vivienda, presentan un avance del 15% correspondiente a la etapa de alistamiento de procesos antes de iniciar su construcción.Se destinaron recursos departamentales por la suma de $1.473.542.705 para cofinanciar la construcción de vivienda rural en los municipios de La Calera, Cáqueza, Junín, Puerto Salgar, Sasaima, Arbeláez, La Mesa, Zipacón, Pandi, Villeta, Granada y Jerusalén, para beneficiar a 48 hogares del sector rural en condición de vulnerabilidad y pobreza.</t>
  </si>
  <si>
    <t>La deficiente capacidad técnica y administrativa de los municipios del Departamento para el diseño y expedición de documentos técnicos, sociales y económicos en el marco de la adecuada formulación de los proyectos habitacionales, genera demoras en los procesos precontractuales.La carencia de información sobre la situación habitacional de los municipios del Departamento de Cundinamarca es una de las principales dificultades para ejecutar acciones orientadas a la disminución del déficit habitacional.Disponibilidad de recursos departamentales insuficientes para la alta demanda, aunado con las restricciones presupuestales de los municipios para aportar recursos de contrapartida.Escasa oferta institucional de las entidades del orden nacional, para gestionar proyectos de construcción y mejoramiento de vivienda urbana y rural.</t>
  </si>
  <si>
    <t>GR5:1-01-03-055</t>
  </si>
  <si>
    <t>055</t>
  </si>
  <si>
    <t>Apoyar la construcción de 300 viviendas urbanas y rurales en sitio propio en el Departamento.</t>
  </si>
  <si>
    <t>Viviendas con apoyo para la construcción</t>
  </si>
  <si>
    <t>64 viviendas rurales en sitio propio</t>
  </si>
  <si>
    <t>Se destinaron recursos departamentales por la suma de $1.533.287.073 para cofinanciar proyectos de construcción de vivienda rural en sitio propio en los municipios de Caparrapí, Sasaima, Jerusalén, Chipaque, Pandi, Vergara, Guayabetal y Nimaima, los cuales beneficiarán a 64 hogares en situación de pobreza y condiciones de vulnerabilidad del sector rural.</t>
  </si>
  <si>
    <t>Disponibilidad de recursos departamentales insuficientes para la alta demanda, aunado con las restricciones presupuestales de los municipios para aportar recursos de contrapartida.Escasa oferta institucional de las entidades del orden nacional, para gestionar proyectos de construcción y mejoramiento de vivienda urbana y rural.La formalización y el saneamiento de la propiedad en el sector rural impide la focalización y asignación de subsidios familiares de vivienda rural por parte de las  Cajas de Compensación Familiar.</t>
  </si>
  <si>
    <t>GR5:1-01-03-056</t>
  </si>
  <si>
    <t>056</t>
  </si>
  <si>
    <t>Apoyar técnicamente 10 procesos de titulación y legalización de predios poseídos de manera informal con vivienda de interés social y prioritario.</t>
  </si>
  <si>
    <t>Procesos de titulación apoyados</t>
  </si>
  <si>
    <t>15 convenios tripartita gestionados con el Ministerio de Vivienda, Ciudad y Territorio</t>
  </si>
  <si>
    <t>Durante la vigencia 2020 se adelantaron gestiones de coordinación interinstitucional con el Gobierno Nacional, para suscribir convenios tripartita con 15 municipios y adelantar procesos de saneamiento y cesión a título gratuito de predios fiscales ocupados con viviendas de interés social y prioritario. Los procesos contractuales fueron revisados por la Unidad de Contratos de la Secretaría de Jurídica y se encuentran en aprobación por el Ministerio de Vivienda, Ciudad y territorio para proceder a su celebración.</t>
  </si>
  <si>
    <t>GR5:1-01-03-057</t>
  </si>
  <si>
    <t>057</t>
  </si>
  <si>
    <t>Apoyar la reubicación de 120 familias localizadas en zonas urbanas y rurales de alto riesgo en el Departamento.</t>
  </si>
  <si>
    <t>Familias reubicadas</t>
  </si>
  <si>
    <t>16 vivienda rurales para reubicar a familias en zona de alto riesgo</t>
  </si>
  <si>
    <t>Se destinaron recursos departamentales por la suma de $497.309.346 para cofinanciar proyectos de construcción de vivienda rural en los municipios de Tibirita, Caparrapí, Guayabetal y Puerto Salgar, los cuales beneficiarán a 16 hogares localizados en zonas de alto riesgo del sector rural y en condiciones de vulnerabilidad y pobreza.</t>
  </si>
  <si>
    <t>GR5:1-01-03-058</t>
  </si>
  <si>
    <t>058</t>
  </si>
  <si>
    <t>Apoyar técnicamente 5 proyectos de vivienda inconclusos de iniciativa comunitaria en el departamento.</t>
  </si>
  <si>
    <t>Procesos apoyados técnicamente</t>
  </si>
  <si>
    <t>GR5:1-01-03-059</t>
  </si>
  <si>
    <t>059</t>
  </si>
  <si>
    <t>Formular la Política Pública de Hábitat y Vivienda del Departamento de Cundinamarca</t>
  </si>
  <si>
    <t>Avance en la formulación de la Politica Publica de habitat y vivienda</t>
  </si>
  <si>
    <t>10% de Avance en Formulación de la Política Pública de Hábitat y Vivienda</t>
  </si>
  <si>
    <t>Se llevó a cabo la justificación de la Política Pública de Hábitat y Vivienda, la cual fue aprobada ante el CODEPS, se suscribió el Decreto de creación de la Mesa Departamental de Hábitat y Vivienda, Socialización de la Política Pública de Hábitat y Vivienda a las Administraciones Municipales, se definió el cronograma de aplicación de los instrumentos de recolección de información en el territorio, Planeación y coordinación logística para recolección de información, se identificaron los Ejes y Líneas de Acción, y se diseñaron los Indicadores para el cierre de brechas.</t>
  </si>
  <si>
    <t>TODA UNA VIDA CONTIGO</t>
  </si>
  <si>
    <t>CONSTRUYENDO FUTURO</t>
  </si>
  <si>
    <t>GR5:1-02-01-060</t>
  </si>
  <si>
    <t>060</t>
  </si>
  <si>
    <t>Realizar 4 vacaciones recreo deportivas.</t>
  </si>
  <si>
    <t>Vacaciones recreo deportivas realizadas</t>
  </si>
  <si>
    <t>E</t>
  </si>
  <si>
    <t>Se suscribió convenio interadministrativo con los municipios de Mosquera, Bojaca, Madrid, Tenjo, Gachancipa, Cogua, Tiribita y Gama donde se va impactar más 4800 niños y niñas del departamento de Cundinamarca.</t>
  </si>
  <si>
    <t>GR5:1-02-01-061</t>
  </si>
  <si>
    <t>061</t>
  </si>
  <si>
    <t>Construir 200 parques infantiles para niños y niñas de 0 a 5 años.</t>
  </si>
  <si>
    <t>Parques construidos para niños y niñas de 0 a 5 años en los 4 años</t>
  </si>
  <si>
    <t>GR5:1-02-01-062</t>
  </si>
  <si>
    <t>062</t>
  </si>
  <si>
    <t>Construir 160 parques infantiles para niños y niñas de 6 a 11 años.</t>
  </si>
  <si>
    <t>Parques construidos para niños y niñas de 6 a 11 años en los 4 años</t>
  </si>
  <si>
    <t>GR5:1-02-00-517</t>
  </si>
  <si>
    <t>Disminuir la prevalencia de desnutrición aguda en menores de 5 años.</t>
  </si>
  <si>
    <t>GR5:1-02-01-063</t>
  </si>
  <si>
    <t>063</t>
  </si>
  <si>
    <t>Beneficiar a 4.686 niños y niñas menores de 5 años con riesgo de desnutrición con complementos nutricionales.</t>
  </si>
  <si>
    <t>Niños y niñas de la primera infancia beneficiados</t>
  </si>
  <si>
    <t>GR5:1-02-01-064</t>
  </si>
  <si>
    <t>POLÍTICA PÚBLICA SEGURIDAD ALIMENTARIA Y NUTRICIONAL.</t>
  </si>
  <si>
    <t>064</t>
  </si>
  <si>
    <t>Acreditar 14 ESEs como Instituciones Amigas de la Mujer y la Infancia Integral (IAMII).</t>
  </si>
  <si>
    <t>ESEs acreditadas como IAMII</t>
  </si>
  <si>
    <t>Se socializa a los municipios los lineamientos técnicos armonizados al Plan de Desarrollo Cundinamarca Región que Progresa, correspondientes a la Dimensión SAN, a fin de dar cumplimiento a las metas del Plan de Desarrollo.Se celebró el mes de la lactancia materna  mediante ejecución del primer simposio virtual de lactancia materna, con una participación de más de 6.000 profesionales del área de la salud, 19 ponencias a lo largo de 5 días, contando con participantes nacionales e internacionales. Este simposio se realizó articuladamente con la Secretaria Distrital de Salud y el Instituto nacional de Salud.Se realizó concurso fotográfico de lactancia materna a nivel municipal y Departamental.En articulación con la primera dama y la Secretaria de Cooperación y Enlace Institucional el Departamento participo en un evento Nacional de movilización social, en donde logramos un reconocimiento por parte de la Primera Dama Presidencial como uno de los 5 Departamentos con mayor participación, al igual que 3 de nuestros municipios recibieron el reconocimiento como los mejores 5 municipios a nivel nacional con mayor participación. Identificación de ESEs con avances importantes en la implementación de la Estrategia IAMII y acompañamiento técnico por parte de una evaluadora externa a fin de realizar procesos de preevaluación externa en IAMII de pares con las ESES seleccionadas. Ejecución de un convenio de asociación que generó: plataforma virtual de curso IAMII, sistema de información alimenticio para las estrategias IAMII, Programa Madre Canguro, Banco de Leche Humana, Fortalecimiento de capacidades en profesionales de la salud de los Hospitales San Rafael de Fusagasuga, San Rafael de Facatatitova, Universitario La Samaritana, Mario Gaitan Yanguas y ESE Municipal de Soacha en temas de programa madre canguro, manejo neonatal, manejo de la desnutrición aguda, huertas caseras, red comunitaria e institucional para la vigilancia de la malnutrición materno infantil.</t>
  </si>
  <si>
    <t>Contratación tardia del convenio de asociación</t>
  </si>
  <si>
    <t>GR5:1-02-00-518</t>
  </si>
  <si>
    <t>Disminuir la prevalencia de exceso de peso en niños y niñas de 5 a 11 años.</t>
  </si>
  <si>
    <t>GR5:1-02-01-065</t>
  </si>
  <si>
    <t>065</t>
  </si>
  <si>
    <t>Implementar en 60 IED la estrategia de tiendas saludables escolares.</t>
  </si>
  <si>
    <t>IED con estrategia implementada</t>
  </si>
  <si>
    <t>Se da inicio a la elaboración de lineamientos Departamentales para la implementación de la estrategia Tiendas Escolares Saludables. Se contacta a los rectores de las Instituciones Educativas en donde se proyecta la implementación de la estrategia en el año 2021. Participación en el Comité PAE. Se inicia proceso de asistencia técnica dirigido a rectores y alcaldias municipales priorizados</t>
  </si>
  <si>
    <t>Con ocasión de la Emergencia Sanitaria Nacional debido al COVID 19 las Instituciones Educativas Departamentales se encuentran cerradas y la implementación de la Estrategia no se ha podido realizar</t>
  </si>
  <si>
    <t>GR5:1-02-01-066</t>
  </si>
  <si>
    <t>POLÍTICA PÚBLICA DE SALUD MENTAL_x000D_
POLÍTICA PÚBLICA SEGURIDAD ALIMENTARIA Y NUTRICIONAL.</t>
  </si>
  <si>
    <t>066</t>
  </si>
  <si>
    <t>Implementar en 80 instituciones educativas planes de acción intersectoriales para la gestión de la salud pública.</t>
  </si>
  <si>
    <t>Instituciones educativas con planes de acción implementados</t>
  </si>
  <si>
    <t>Se realizaron 11 planes de acción intersectorial con las Instituciones Educativas de la Calera (Mundo Nuevo, La Calera, La Aurora, El Salitre), Gacheta (Piloto y Audon Espinoza), San Juan de Rioseco ( Departamental), Albán(Rural Chimbe), Villeta (Instituto de Promoción Social, CUNE),Gutavita (José Gregorio Salas)</t>
  </si>
  <si>
    <t>Las políticas educativas adoptadas durante el 2020 por la pandemia por COVID 19 afectaron el ingreso de los estudiantes a las IED circular 22 de mayo</t>
  </si>
  <si>
    <t>GR5:1-02-00-519</t>
  </si>
  <si>
    <t>Disminuir la proporción de bajo peso al nacer.</t>
  </si>
  <si>
    <t>GR5:1-02-01-067</t>
  </si>
  <si>
    <t>067</t>
  </si>
  <si>
    <t>Garantizar al 100% de las gestantes identificadas con malnutrición, la valoración nutricional a cargo del asegurador.</t>
  </si>
  <si>
    <t>Gestantes identificadas con malnutrición con garantía de valoración nutricional.</t>
  </si>
  <si>
    <t>identificación de gestantes con malnutrición y la prestación de servicios (valoración nutricional) según Resolución 3280/18</t>
  </si>
  <si>
    <t>Conformación de la mesa departamental de vigilancia nutricional en gestantes y menores de 5 años. Asistencia técnica a los municipios en RIAS materno perinatal. Reunión con la EAPB CONVIDA a fin de articular acciones</t>
  </si>
  <si>
    <t>La Emergencia Sanitaria Nacional debido al COVID 19 a ocasionado miedo en las gestantes y algunas no acuden a los servicios ni aceptan que las atiendan domiciliariamente.</t>
  </si>
  <si>
    <t>GR5:1-02-00-520</t>
  </si>
  <si>
    <t>Disminuir la razón de mortalidad materna.</t>
  </si>
  <si>
    <t>GR5:1-02-01-068</t>
  </si>
  <si>
    <t>POLÍTICA PÚBLICA PARA LA PRIMERA INFANCIA, INFANCIA Y ADOLESCENCIA “CUNDINAMARCA AL TAMAÑO DE LOS NIÑOS, NIÑAS Y ADOLESCENTES”_x000D_
POLÍTICA PÚBLICA MUJER, EQUIDAD DE GÉNERO E IGUALDAD DE OPORTUNIDADES.</t>
  </si>
  <si>
    <t>068</t>
  </si>
  <si>
    <t>Implementar el 100% del plan de acción de morbilidad materna extrema.</t>
  </si>
  <si>
    <t>Avance en implementación del plan</t>
  </si>
  <si>
    <t>implementación plan de acción de morbilidad materna extrema.</t>
  </si>
  <si>
    <t>Se cuenta con un Plan de acción aprobado para el seguimiento de los casos de morbilidad materna extrema establecido en el departamento de acuerdo con los lineamientos nacionales del Instituto Nacional de Salud. Se estableció una metodología de trabajo con el grupo funcional para la realización del seguimiento al Plan de acción establecido.</t>
  </si>
  <si>
    <t>•Falta de búsqueda activa y canalización al programa por parte de las EAPB a la población objeto. •Las EAPB no están contratando a las IPS de acuerdo con la ruta de atención establecida por la resolución 3280 de 2018.</t>
  </si>
  <si>
    <t>GR5:1-02-01-069</t>
  </si>
  <si>
    <t>069</t>
  </si>
  <si>
    <t>Realizar al 92% de gestantes 4 o más controles prenatales.</t>
  </si>
  <si>
    <t>Gestantes con 4 o más controles prenatales.</t>
  </si>
  <si>
    <t>asistencia técnica para realizar el logro de gestantes con 4 o más controles prenatales.</t>
  </si>
  <si>
    <t>se socializo propuesta para construcción y aprobación del plan de acción para la reducción de la morbilidad materna extrema en el departamento de Cundinamarca, una vez se consoliden las acciones propuestas por las diferentes direcciones se procederá a la aprobación y socialización del plan. La implementación se hará  por fases, nos encontramos en el alistamiento identificando barreras y facilitadores, como respaldo a la propuesta realizada por el Departamento.La implementación se hará  por fases, nos encontramos en el alistamiento identificando barreras y facilitadores, como respaldo a la propuesta realizada por el Departamento, con apoyo del desarrollo de mesas de trabajo con Ministerio de salud y protección social, municipios y EAPBS</t>
  </si>
  <si>
    <t>GR5:1-02-01-070</t>
  </si>
  <si>
    <t>070</t>
  </si>
  <si>
    <t>Beneficiar a 4.000 madres gestantes y lactantes con bajo peso con complementos nutricionales.</t>
  </si>
  <si>
    <t>Madres gestantes y lactantes beneficiadas</t>
  </si>
  <si>
    <t>GR5:1-02-00-521</t>
  </si>
  <si>
    <t>Disminuir la tasa de mortalidad en menores de 5 años.</t>
  </si>
  <si>
    <t>GR5:1-02-01-071</t>
  </si>
  <si>
    <t>POLÍTICA PÚBLICA DE ENVEJECIMIENTO Y VEJEZ._x000D_
POLÍTICA PÚBLICA PARA LA PRIMERA INFANCIA, INFANCIA Y ADOLESCENCIA “CUNDINAMARCA AL TAMAÑO DE LOS NIÑOS, NIÑAS Y ADOLESCENTES”</t>
  </si>
  <si>
    <t>071</t>
  </si>
  <si>
    <t>Mantener el 95% de la cobertura útil de vacunación, en los biológicos contemplados en el Plan Ampliado de Inmunización.</t>
  </si>
  <si>
    <t>Cobertura de vacunación</t>
  </si>
  <si>
    <t>Cobertuiras de vacunación en los biológicos contemplados en el Plan Ampliado de Inmunización</t>
  </si>
  <si>
    <t>Para Los trazadores del programa menor de un año terceras de pentavalente   el 93,4%; en triple viral del año  en 93% y en triple viral de 5 años 93,6% se van cumpliendo  un  en 95% de las coberturas meta ajustada  a partir del 20 de noviembre del 2020;  al realizar el comparativo con el mismo periodo del 2019 tenemos un déficit  de menos del 2% de la población.</t>
  </si>
  <si>
    <t>•La  situación de miedo que presenta el padre y cuidadores  ante la pandemia covid – 19.•Falta  de contratación  por parte de las EAPBS con sus IPS la vacunación extramural.</t>
  </si>
  <si>
    <t>GR5:1-02-01-072</t>
  </si>
  <si>
    <t>072</t>
  </si>
  <si>
    <t>Mantener en los 116 municipios la estrategia AIEPI "Atención Integral de las enfermedades Prevalentes de la infancia".</t>
  </si>
  <si>
    <t>Municipios con la estrategia AIEPI implementada</t>
  </si>
  <si>
    <t>Mantenimiento de la estrategia AIEPI Atención de las Enfermedades Prevalentes de la Infancia en el departamento con seguimiento a los sistemas de información para orientar y fortalecer las acciones dirigidas a la primera infancia; igualmente se han realizado asistencias técnicas en los temas puntuales de AIEPI e IRA generando aportes para  garantizar la atención integral y asi lograr el desarrollo integral de la población de primera infancia en los municipios de: Agua de Dios, Alban, Anapoima, Anolaima, Apulo, Arbeláez, Beltrán, Bituima, Bojaca, Cabrera, Cachipay, Cajicá, Caparrapi, Caqueza,  Chaguaní, Chía, Chipaque, Choachi, Chocontá, Cogua, Cota, Cucunuba, El Colegio, El Peñón, El Rosal, Facatativá, Fomeque, Fosca, Funza, Fuquene, Fusagasugá, Gachala, Gachancipa, Gacheta, Gama, Girardot, Granada, Guacheta, Guaduas, Guasca, Guataqui, Guatavita, Guayabal De Siquima, Guayabetal, Gutiérrez, Jerusalén, Junín, La Calera, La Mesa, La Palma, La Peña, La Vega, Lenguazaque, Macheta, Madrid, Manta, Medina, Mosquera, Nariño, Nemocón, Nilo, Nimaima, Nocaima, Pacho, Paime, Pandi, Paratebueno, Pasca, Puerto Salgar, Pulí, Quebradanegra, Quetame, Quipile, Ricaurte, San Antonio de Tequendama, San Bernardo, San Cayetano A, San Francisco, San Juan de Rioseco, Sasaima, Sesquile, Sibate, Silvania, Simijaca, Soacha, Sopo, Subachoque, Suesca, Supatá, Susa, Sutatausa, Tabio, Tausa, Tena, Tenjo, Tibacuy, Tibirita, Tocaima, Tocancipá, Topaipi, Ubala, Ubaque, Une, Utica, Venecia, Vergara, Viani, Villa de San Diego Ubaté, Villagómez, Villapinzon, Villeta, Viota, Yacopi, Zipacón, Zipaquirá.</t>
  </si>
  <si>
    <t>GR5:1-02-00-522</t>
  </si>
  <si>
    <t>Disminuir la tasa de mortalidad por o asociada a desnutrición.</t>
  </si>
  <si>
    <t>GR5:1-02-01-073</t>
  </si>
  <si>
    <t>073</t>
  </si>
  <si>
    <t>Implementar 4 ESEs como Centros Regionales de atención integral a la desnutrición aguda en menores de 5 años.</t>
  </si>
  <si>
    <t>ESEs implementadas como Centros Regionales de atención integral a la Desnutrición aguda en menores de 5 años</t>
  </si>
  <si>
    <t>Se socializa a los municipios los lineamientos técnicos armonizados al Plan de Desarrollo Cundinamarca Región que Progresa, correspondientes a la Dimensión SAN, a fin de dar cumplimiento a las metas del Plan de Desarrollo.Se celebró el mes de la lactancia materna  mediante ejecución del primer simposio virtual de lactancia materna, con una participación de más de 6.000 profesionales del área de la salud, 19 ponencias a lo largo de 5 días, contando con participantes nacionales e internacionales. Este simposio se realizó articuladamente con la Secretaria Distrital de Salud y el Instituto nacional de Salud.Se realizó concurso fotografico de lactancia materna a nivel municipal y Departamental.En articulación con la primera dama y la Secretaria de Cooperación y Enlace Institucional el Departamento participo en un evento Nacional de movilización social, en donde logramos un reconocimiento por parte de la Primera Dama Presidencial como uno de los 5 Departamentos con mayor participación, al igual que 3 de nuestros municipios recibieron el reconocimiento como los mejores 5 municipios a nivel nacional con mayor participación. Aumento de profesionales contratados  para la dimensión SAN. Ejecución de un convenio de asociación que generó: plataforma virtual de curso IAMII, sistema de información alimentio para las estrategias IAMII, Programa Madre Canguro, Banco de Leche Humana, Fortalecimiento de capacidades en profesionales de la salud de los Hospitales San Rafael de Fusagasuga, San Rafael de Facatatitova, Universitario La Samaritana, Mario Gaitan Yanguas y ESE Municipal de Soacha en temas de programa madre canguro, manejo neonatal, manejo de la desnutrición aguda, huertas caseras, red comunitaria e institucional para la vigilancia de la malnutrición materno infantil.</t>
  </si>
  <si>
    <t>La Emergencia Sanitaria Nacional debido al COVID 19 a ocasionado el cierre de algunos servicios de salud dirigidos a la población materno infantil. La población no ha permitido las visitas domiciliarias por miedo. Muchas lactantes tienen miedo a lactar a sus bebes.</t>
  </si>
  <si>
    <t>GR5:1-02-00-523</t>
  </si>
  <si>
    <t>Disminuir las IED ubicadas en las categorías C y D en las pruebas SABER.</t>
  </si>
  <si>
    <t>GR5:1-02-01-074</t>
  </si>
  <si>
    <t>POLÍTICA PÚBLICA PARA LA INCLUSIÓN SOCIAL DE LAS PERSONAS CON DISCAPACIDAD</t>
  </si>
  <si>
    <t>074</t>
  </si>
  <si>
    <t>Revisar y apoyar el 100% de las IED de los municipios no certificados del Departamento en la actualización de los PEI</t>
  </si>
  <si>
    <t>IED con revisión y apoyo en la actualización del PEI</t>
  </si>
  <si>
    <t>PEI renovados en 13 IED</t>
  </si>
  <si>
    <t>En la vigencia 2020 a través del proyecto MIMI "Mi Casa, Mi Escuela" y el desarrollo del componente de acompañamiento pedagógico al Proyecto Educativo Institucional se cumplió  la meta propuesta del 5%.El equipo Learning one to one de Julio Fontan S.A.S,  ha trabajado en el fortalecimiento de la autonomía e implementación de líneas para el fortalecimiento Institucional de las IED en el marco de la pandemia, logró que 13 IED, que corresponde al 5% del total dieran continuidad al  proceso de implementación del Sistema de Educación Relacional, mediante el cual se desarrollaron acciones en torno a la renovación del PEI, lo cual se  logro con el  establecimiento de   rutas desde el PEI,  que garantizaron  la articulación del  Sistema de Educación Relacional de Cundinamarca,  con los principios del horizonte institucional  en  las prácticas. Se construyó una visión institucional, correspondiente al horizonte Institucional del PEI, con el concepto de habilidades donde se tiene en cuenta las  habilidades condicionadas y el potencial, como bases para el desarrollo de los estudiantes.El horizonte institucional se orienta desde el principio de SERC, el respeto, desde concebir a la persona como autor de su vida, actor social y único, diverso y en permanente cambio.   igualmente se realizó el reconocimiento del diagnóstico institucional, como elemento fundamental para el proceso de personalización, planes de aprendizaje con horizontes de aplicación que permiten la construcción de sentido y plantean rutas para el desarrollo de habilidades,  Planes de estudio vinculando el enfoque de habilidades, promoviendo la evaluación por procesos, sin desconocer los estándares y lineamientos establecidos y propuesta de herramientas que permitan vincular la evaluación por procesos.</t>
  </si>
  <si>
    <t>GR5:1-02-01-076</t>
  </si>
  <si>
    <t>076</t>
  </si>
  <si>
    <t>Beneficiar a 20.000 estudiantes con estrategias de carácter pedagógico, deportivo y cultural.</t>
  </si>
  <si>
    <t>Estudiantes beneficiados.</t>
  </si>
  <si>
    <t>GR5:1-02-01-077</t>
  </si>
  <si>
    <t>077</t>
  </si>
  <si>
    <t>Implementar el plan de educación rural.</t>
  </si>
  <si>
    <t>Plan de educación rural implementado</t>
  </si>
  <si>
    <t>GR5:1-02-01-078</t>
  </si>
  <si>
    <t>POLÍTICA PÚBLICA DE FELICIDAD Y BIENESTAR SUBJETIVO</t>
  </si>
  <si>
    <t>078</t>
  </si>
  <si>
    <t>Implementar en 100% de las Instituciones Educativas Departamentales la red de convivencia escolar.</t>
  </si>
  <si>
    <t>IED con red de convivencia escolar implementada</t>
  </si>
  <si>
    <t>GR5:1-02-01-079</t>
  </si>
  <si>
    <t>079</t>
  </si>
  <si>
    <t>Potencializar las 9 Instituciones Educativas Normales Superiores con acompañamiento financiero, académico, directivo y administrativo.</t>
  </si>
  <si>
    <t>Escuelas Normales atendidas</t>
  </si>
  <si>
    <t>Para la vigencia  2020 se logró la potencialización de las 9  Escuelas Normales Superiores en las cuatro gestiones con los siguientes avances:Elaboración de un diagnóstico de necesidades.Apoyo en la aplicación del Decreto 1236 de 2020.Estudio de los casos para el apoyo financiero para los estudiantes de la complementaria.Análisis de las necesidades de fortalecimiento de la infraestructura.Análisis para abrir preescolar completo en las escuelas normales para prácticas docentes.Estas acciones partieron del contexto o diagnóstico y fueron identificadas en un trabajo importante entre los 9 Rectores de las normales superiores, y la Secretaría de Educación  lo cual  permite  consolidar durante el 2020 la estrategia de potencialización en las cuatro gestiones. Beneficiando de esta manera a un total de 10.621 Estudiantes de las Escuelas Normales.</t>
  </si>
  <si>
    <t>GR5:1-02-01-083</t>
  </si>
  <si>
    <t>POLÍTICA PÚBLICA DE CIENCIA, TECNOLOGÍA E INNOVACIÓN - CTEL</t>
  </si>
  <si>
    <t>083</t>
  </si>
  <si>
    <t>Conectar con servicio de internet a 1.450 sedes educativas en el cuatrienio, priorizando las sedes rurales.</t>
  </si>
  <si>
    <t>Sedes beneficiadas con servicio de internet</t>
  </si>
  <si>
    <t>Servicio de Internet</t>
  </si>
  <si>
    <t>Se logró mantener el servicio de  conectividad a internet de 412 sedes educativas, a través de la Autopista Digital de Cundinamarca, permitiendo mejor conectividad y apropiación de las Tic  estas sedes han podido cumplir con procesos administrativos y académicos exigidos  por la secretarìa de Educaciòn, por el MEN y otro procesos educativos en los que están vinculados.</t>
  </si>
  <si>
    <t>GR5:1-02-01-085</t>
  </si>
  <si>
    <t>085</t>
  </si>
  <si>
    <t>Mantener en las 230 IED la jornada única.</t>
  </si>
  <si>
    <t>Instituciones educativas con jornada única mantenida</t>
  </si>
  <si>
    <t>Apoyo a la jornada única</t>
  </si>
  <si>
    <t>Se ha realizado apoyo y acompañamiento a la implementación del programa de Jornada Única en 224 IE que cuentan con acto administrativo para tal fin, lo cual ha permitido la permanencia en el sistema educativo de los niños, niñas y adolescentes  buscando mejorar la calidad educativa de los mismos. A pesar de la no presencialidad se han seguido las directrices emitidas por parte del Ministerio de Educación Nacional y la Secretaría de Educación de Cundinamarca respecto al trabajo académico en casa.Se ha logrado el mantenimiento de la implementación de la Jornada Única garantizando las condiciones como talento humano (pago de horas extras a docentes en Jornada única), matrícula en las IE (65.165 a corte del 24 de noviembre de 2020), focalización PAE, y haciendo seguimiento a cada uno de los componentes del programa a través de la recolección y análisis de la información de cada una de las IE en JU. Lo anterior,  a fin de tener un diagnóstico más acorde con la realidad de los establecimientos educativos focalizados y asimismo diseñar estrategias que apunten al fortalecimiento de los componentes de la Jornada Única: Infraestructura, Talento humano,   formación docente de acuerdo a los énfasis de la JU en las IE.De igual forma se han realizado acompañamientos al programa  través de las siguientes estrategias y aliados:* Estrategia "Tejiendo entornos de calidad": Estrategia que pone en el centro de la gestión escolar a las niñas, niños y adolescentes, reflexionando sobre el quehacer pedagógico para acompañarlos de manera sensible y provocar experiencias que aporten a su desarrollo y aprendizaje a lo largo de la trayectoria educativa. (21 IE)* Estrategia "Ruta de acompañamiento 2020 MEN - OEI": La ruta de acompañamiento tiene el objetivo de fortalecer la gestión escolar y pedagógica, desde la comprensión y análisis del contexto de cada establecimiento educativo, a partir de ahí la intención es concertar con los directivos docentes y docentes un plan de acompañamiento que vaya en la línea de los procesos que han venido adelantando en clave de las trayectorias educativas completas y el desarrollo integral de todos lo niños, niñas, adolescentes y jóvenes. (17 IE).* Estrategia "Boom, activa tu vida":  Permite actividad física de estudiantes a partir del juego, la risa y la diversión, sin orientar sus acciones a un deporte específico y promoviendo el movimiento corporal con recreación y sano esparcimiento. Es una apuesta incluyente donde niños y jóvenes no requieren competencias específicas, solo la motivación para mover su cuerpo y disfrutar. ¡Boom! Activa tu vida es un programa que fomenta la actividad física de estudiantes. Es un programa que brinda consciencia y motivación sobre: Los beneficios de la actividad física . El desarrollo de capacidades técnicas y conocimientos en los docentes - El uso adecuado del tiempo libre en espacios y momentos constructivos. (5 IE)Los estudiantes beneficiados con esta estrategia de acuerdo a la matrícula atendida  para la vigencia  2020 es de 65.165 estudiantes.</t>
  </si>
  <si>
    <t>GR5:1-02-01-086</t>
  </si>
  <si>
    <t>086</t>
  </si>
  <si>
    <t>Entrenar al 100% de los estudiantes de los grados once de las IED, priorizados según los resultados de las pruebas SABER.</t>
  </si>
  <si>
    <t>Estudiantes entrenados</t>
  </si>
  <si>
    <t>Se realizó el entrenamiento del 100% de estudiantes de grado 11 para las pruebas saber que  corresponde a  2.729 estudiantes  con las estrategias propias de las IED y el pre icfes gratis enviado por el Icfes, esto  el cual ayudó a preparar a los estudiantes por cada una de las áreas a evaluar en la prueba saber 11° 2020, y con la ayuda de las instituciones educativas que con sus estrategias lograron facilitar y aclarar dudas frente a las debilidades presentadas por cada uno de los estudiantes que fueron preparándose  y de este modo resolviendo dudas e inquietudes que frente al tema se suscitaron esto contribuyó a que  los estudiantes  se familiarizaron con el tipo de preguntas para la presentación de las pruebas.</t>
  </si>
  <si>
    <t>GR5:1-02-01-087</t>
  </si>
  <si>
    <t>POLÍTICA PÚBLICA DE JUVENTUD._x000D_
POLÍTICA PÚBLICA PARA LA PRIMERA INFANCIA, INFANCIA Y ADOLESCENCIA “CUNDINAMARCA AL TAMAÑO DE LOS NIÑOS, NIÑAS Y ADOLESCENTES”</t>
  </si>
  <si>
    <t>087</t>
  </si>
  <si>
    <t>Implementar estrategias de bilingüismo en el 100% de las IED de los municipios no certificados del departamento.</t>
  </si>
  <si>
    <t>Instituciones con la estrategia implementada</t>
  </si>
  <si>
    <t>Estrategias de Bilingüismo Implementadas</t>
  </si>
  <si>
    <t>Se ha realizado la  implementación de  las estrategias de bilingüismo en 70 IED, correspondiente al 25%  de las IED avanzando  en actividades como  Clubes de Conversación en los cuales participaron 55 docentes del área de inglés,  talleres para docentes conceptos y Recursos Didácticos Virtuales Para La Enseñanza De Inglés en Preescolar y Primaria", especialmente direccionado para docentes de preescolar y primaria que acompañan el proceso de enseñanza del idioma inglés como lengua extranjera, con estas acciones se beneficiaron 37.495 Estudiantes,  se  fortalecieron las competencias de docentes y estudiantes en el manejo de  una segunda lengua «Bilingüismo», igualmente se realizó la  caracterización poblacional de 449 docentes del área de inglés de 275 Instituciones Educativas de los municipios no certificados del departamento, focalización y acompañamiento de  las 70 Instituciones Educativas de los municipios no certificados del departamento con el fin de mejorar los resultados de las pruebas saber de los estudiantes de grado 11 en el 2020, desarrollo de talleres, simulacros de pruebas saber y asistencias técnicas a un total de 546 docentes.</t>
  </si>
  <si>
    <t>GR5:1-02-00-524</t>
  </si>
  <si>
    <t>Disminuir las muertes por causas externas en niños y niñas de 6 a 11 años.</t>
  </si>
  <si>
    <t>GR5:1-02-01-088</t>
  </si>
  <si>
    <t>088</t>
  </si>
  <si>
    <t>Implementar en 8 municipios la atención integral psicosocial del habitante de calle y en calle con prevalencia de niños, niñas y adolescentes.</t>
  </si>
  <si>
    <t>Municipios con atención psicosocial del habitante de calle y en calle</t>
  </si>
  <si>
    <t>Alimentaciónservicio de Vacunacióngestión de documentos de identidad</t>
  </si>
  <si>
    <t>Alianza entre el Municipito de Soacha y la Secretaria de desarrollo e inclusión Social para la atención integral de habitante en calle y de calle presente en el Municipio</t>
  </si>
  <si>
    <t>La movilización de los Habitantes de call</t>
  </si>
  <si>
    <t>GR5:1-02-00-620</t>
  </si>
  <si>
    <t>Reducir en 1.099 personas la población con trabajo infantil- IPM</t>
  </si>
  <si>
    <t>GR5:1-02-01-089</t>
  </si>
  <si>
    <t>089</t>
  </si>
  <si>
    <t>Implementar en los 116 municipios, estrategias de seguimiento y evaluación del plan departamental de erradicación de trabajo infantil.</t>
  </si>
  <si>
    <t>Municipios con estrategias implementadas</t>
  </si>
  <si>
    <t>Proceso formativo a los Municipios</t>
  </si>
  <si>
    <t>Articulación con el ministerio de trabajo para capacitación y sensibilización institucional  para la compresión de la problemática trabajo infantil.conmoración del día internacional contra la explotación sexual y trafico de mujeres niños niñas y adolescentesactivación del comité CIETI (Comité Interinstitucional de Erradicación del Trabajo Infantil y protección al joven Trabajador) departamentalEl personal contratado para el desarrollo de las actividades de esta meta con vigencia del plan de desarrollo 2016-2020Participación en la estrategia "en Cundinamarca Por mi Familia cuido Mi vida" liderada por la agencia nacional minera y la secretaria de minas y energía</t>
  </si>
  <si>
    <t>Falta de compromiso de los funcionarios</t>
  </si>
  <si>
    <t>GR5:1-02-00-525</t>
  </si>
  <si>
    <t>Implementar la política pública de niños, niñas y adolescentes.</t>
  </si>
  <si>
    <t>GR5:1-02-01-090</t>
  </si>
  <si>
    <t>ODS 16 - PROMOVER SOCIEDADES JUSTAS, PACÍFICAS E INCLUSIVAS</t>
  </si>
  <si>
    <t>090</t>
  </si>
  <si>
    <t>Realizar 15 intercambios de roles culturales de niños, niñas y adolescentes entre las diferentes etnias.</t>
  </si>
  <si>
    <t>Intercambios realizados</t>
  </si>
  <si>
    <t>Intercambios culturales</t>
  </si>
  <si>
    <t>En el marco de intercambios culturales "Con amor y cultura nuestra niñez progresa" se realizaron los tres intercambios culturales con la etnia Muisca del Municipio de Cota,y sesquile y Qibchua</t>
  </si>
  <si>
    <t>la pandemia</t>
  </si>
  <si>
    <t>GR5:1-02-01-091</t>
  </si>
  <si>
    <t>091</t>
  </si>
  <si>
    <t>Garantizar 70 espacios lúdico pedagógicos en los municipios priorizados.</t>
  </si>
  <si>
    <t>CDI y Ludotecas dotadas</t>
  </si>
  <si>
    <t>Dotaciones de material lúdico pedagógico</t>
  </si>
  <si>
    <t>Primer encuentro virtual departamental de ludotecarios, pedagogos y promotores del Juego "Cundinamarca juega y progresa"Dotación de 9 ludotecas</t>
  </si>
  <si>
    <t>Los espacios lúdico pedagógicos no estan Abiertos</t>
  </si>
  <si>
    <t>GR5:1-02-01-092</t>
  </si>
  <si>
    <t>092</t>
  </si>
  <si>
    <t>Implementar en los 116 municipios, la estrategia "Cundinamarca al tamaño de los Niños y Niñas" con énfasis en las zonas rurales.</t>
  </si>
  <si>
    <t>Asistencia técnica y procesos de formación en la Política publica y promoción de derechosCelebración día del Niño</t>
  </si>
  <si>
    <t>activación y coordinación de la submesa de infancia y adolescenciaAsistencia técnica  a los municipios que no cuentan con política publica de de Niños niñas y adolescentesTrabajo coordinado con la fundación Juego y Niñez El personal contratado para el desarrollo de las actividades de esta meta con vigencia del plan de desarrollo 2016-2020Foro Política Publica para la primeria infancia, Infancia y Adolescencia "Cundinamarca al tamaño de los Niños, Niñas y adolescentes, -Universo de derechosAlianza Nacional contra toda forma de Violencia Hacia niños niñas Adolescentes en el Departamento en Articulación con el ICBF</t>
  </si>
  <si>
    <t>Bajo nivel de compromiso de los funcionarios Municipales</t>
  </si>
  <si>
    <t>GR5:1-02-00-526</t>
  </si>
  <si>
    <t>Incrementar la cobertura bruta en transición.</t>
  </si>
  <si>
    <t>GR5:1-02-01-094</t>
  </si>
  <si>
    <t>094</t>
  </si>
  <si>
    <t>Brindar atención integral en educación inicial a 7.000 niños, de 0 a 5 años de los municipios no certificados.</t>
  </si>
  <si>
    <t>Menores de 5 años con atención integral</t>
  </si>
  <si>
    <t>Atención Integral en educación inicial.</t>
  </si>
  <si>
    <t>El proceso de atención integral en educación inicial a  menores de 5 años, se  continuó desarrollando para una cobertura total de 871 niños y niñas. Con la ejecución del proyecto se desarrollaron las siguientes actividades:    1. Acompañamiento pedagógico a los niños y niñas  mediado por las familias: el ejercicio es liderado por las maestras y acompañado por el equipo pedagógico del proyecto . 2. Diseño y desarrollo de material impreso para familias con dificultades en la conexión virtual. 3. Entrega de pieza de literatura infantil cada martes.  4.Reestructuración  y aplicación del formato de caracterización definiendo la pertinencia de la información de las familias pertenecientes a cada Unidad de Atención. 5. Socialización  del pacto de corresponsabilidad, canales de comunicación y directorio institucional de servicios. 6. Avance de la estrategia.  “De la mano con san, mi cuerpo vamos a cuidar” 7. Entrega de apoyos nutricionales, kits pedagógicos, de aseo y detalle día dulce 8. Proceso de formación de manera virtual a las docentes de primera infancia. Los temas abordados fueron: Planeación Diseño de ambientes e interacciones en el hogar. Premisas de la modalidad y la virtualidad.</t>
  </si>
  <si>
    <t>Falla en los medios de comunicación utilizados, sin afectar el resultado finalPese a realizar diversas actividades de convocatoria y ampliar los rangos e cobertura a menos a niños y niñas menores de 2 años, se evidencia la continuidad de los temores en algunos padres al contagio de COVID o falta de tiempo para ejecutar las actividades propuestas.</t>
  </si>
  <si>
    <t>GR5:1-02-00-527</t>
  </si>
  <si>
    <t>Incrementar la población que participa de los juegos escolares y festivales departamentales.</t>
  </si>
  <si>
    <t>GR5:1-02-01-095</t>
  </si>
  <si>
    <t>095</t>
  </si>
  <si>
    <t>Apoyar la realización de 3 juegos escolares para niños de 6 a 11 años.</t>
  </si>
  <si>
    <t>Juegos escolares apoyados</t>
  </si>
  <si>
    <t>Se desarrolló el Festival Regional Escolar con habilidadades virtuales en los diferentes municipios del departamento. -Se logró gestionar Convenio COID-916-2020 para la ejecución del Programa de Juegos Intercolegiados en Cundinamarca, por un valor total de $656.715.448, con Aporte de Ministerio $505.165.728 y Aporte de Indeportes $151.549.720. Con la contratación de recurso humano) Articulador Departamental., Promotores Municipales y Tutores), Juzgamiento e Implementación Deportiva. -Se logró ampliar el recurso humano, para brindar más apoyo a los distintos municipios del departamento, con la contratación de 57 Promotores Municipales y 1 Articulador Departamental, llegando a 75 Municipios, con el Programa Juegos Intercolegiados: Caqueza, Chipaque, Carmen de Carupa, Cucunuba, Cajica, Chia, Choconta, Villapinzòn, Cota, Tabio, La Vega, San Francisco, Tausa, Sutatausa, Tocancipa, Zipaquirá, Pacho, El Peñón, Guaduas, Caparrapi, Fusagasugá Venecia, Simijaca, Fuquene, Gama, Ubala, Nilo, Viota, Apulo, El Colegio, Bojaca, San Antonio, Bituima, Alban, La Mesa, Tena, Arbeláez, Chaguani, El Rosal, Gachala, Gachancipa, Granada, Guayabal de Siquima, La Calera, Macheta, Pasca, Puerto Salgar, Puli, San Juan de Rioseco, Sasaima, Sibate, Subachoque, Tenjo, Tibacuy, Tocaima, Agua de Dios, Funza, Girardot, Madrid, Manta, Nemocon, Nocaima, Sopo, Guataqui, Supata, Viani, Choachi, Jerusalén, Topaipi, Ubaté, San Bernardo, Anoliama, Junin, Gacheta y Silvania.-Se presentó informe (revisión y aprobación de supervisión) y pago de los Contratistas de Juegos Intercolegiados por SECOP II, del periodo del 23 al 30 de Octubre de 53 Promotores y 1 Articulador Departamental. Faltando 4 Promotores: CPS. 626 ANDERSON FERNANDO FARFAN, CPS. 617 JOSE ALEJANDRO CANO, CPS. 610 OSCAR HUMBERTO CASTILLO Y CPS. 668 DIEGO FERNANDO SARMIENTO. -Para el año 2020 de acuerdo a las condiciones actuales de evolución de la pandemia del coronavirus COVID-19 en el país exigieron la declaratoria de emergencia sanitaria por parte del Gobierno Nacional y el Ministerio de Salud, así como la medida de aislamiento preventivo obligatorio como mecanismo para prevenir el aumento de los contagios, lo cual ha implicado que, en el marco de la emergencia sanitaria, el desarrollo del programa Juegos Intercolegiados se adapte a estas condiciones y contemple actividades en el marco de la virtualidad como de la practica individual de nuestros niños, niñas, adolescentes, jóvenes, docentes y entrenadores siempre buscando la seguridad y salud de todos los participantes así como el cumplimento de las medidas de bioseguridad.</t>
  </si>
  <si>
    <t>GR5:1-02-00-528</t>
  </si>
  <si>
    <t>Mantener la cobertura bruta total del grado escolar transición a grado 11.</t>
  </si>
  <si>
    <t>GR5:1-02-01-096</t>
  </si>
  <si>
    <t>096</t>
  </si>
  <si>
    <t>Brindar a 200.000 niños, niñas y adolescentes matriculados en las IED la alimentación escolar anualmente.</t>
  </si>
  <si>
    <t>Niños, niñas y adolescentes beneficiados con alimentación escolar</t>
  </si>
  <si>
    <t>Entrega de complemento alimentario a niños niñas y adolescentes de los municipios no certificados del Departamento.</t>
  </si>
  <si>
    <t>Se ha ejecutado el programa de alimentación escolar atendiendo 202.940 niños, niñas y adolescentes del departamento de cundinamarca suministrando Ración Para preparar en Casa, que se define como: “Una canasta básica de alimentos equivalentes a un tiempo de comida al día por un mes; en este se incluyen alimentos de los grupos de cereales y harinas fortificadas, leche y productos lácteos, alimento proteico, grasas y azúcares, para que se lleven a cabo la preparación y consumo en el hogar.” Esta modalidad es implementada por la ETC con ocasión de la Emergencia Sanitaria declarada por el Ministerio de Salud y Protección Social generado por la pandemia derivada del coronavirus COVID 19. Esto respaldado en las Resoluciones 006 del 25 de marzo de 2020 y 007 del 16 de abril del 2020, expedidas por la Unidad Administrativa del Ministerio de Educación Nacional – MEN que definen el lineamiento para atender el Programa de Alimentación Escolar con ocasión de la Emergencia Sanitaria declarada por el Ministerio de Salud y Protección Social generado por la pandemia derivada del coronavirus COVID 19.</t>
  </si>
  <si>
    <t>GR5:1-02-01-097</t>
  </si>
  <si>
    <t>097</t>
  </si>
  <si>
    <t>Beneficiar a 52.000 estudiantes con estrategias de transporte escolar o alojamiento durante el cuatrienio.</t>
  </si>
  <si>
    <t>Estudiantes beneficiados con transporte escolar o alojamiento</t>
  </si>
  <si>
    <t>GR5:1-02-01-098</t>
  </si>
  <si>
    <t>098</t>
  </si>
  <si>
    <t>Beneficiar a 1.400 sedes educativas con elementos para ambientes de aprendizaje o herramientas tecnológicas, priorizando las sedes rurales.</t>
  </si>
  <si>
    <t>Sedes educativas con elementos para ambientes de aprendizaje</t>
  </si>
  <si>
    <t xml:space="preserve"> Dotación para  IED a través de giro  de recursos</t>
  </si>
  <si>
    <t>GR5:1-02-01-099</t>
  </si>
  <si>
    <t>099</t>
  </si>
  <si>
    <t>Construir 14 colegios en el departamento.</t>
  </si>
  <si>
    <t>Colegios construidos</t>
  </si>
  <si>
    <t>Una IED Construida</t>
  </si>
  <si>
    <t>Se logró la construcción  del colegio IED NORMAL SUPERIOR - sede PRINCIPAL, municipio de  UBATÉ conformada por 62 ambientes educativos (4.409 m²), dentro de los cuales se encuentran 28 aulas, 1 biblioteca,1 aula de Bilingüismo,  1 aula de tecnología, 1 aula polivalente, 1 aula múltiple,  restaurante escolar (1comedor, 1cocina), 1 zona administrativa, 1 zona recreativa, y 25 baterías sanitarias nuevas, con lo cual, se mejoran las condiciones para la prestación del servicio educativo a 1.469 estudiantes de grado 0 al grado 11. Igualmente se continua con la ejecución de obra de tres sedes nuevas para entregar en su orden en el 2021  (Tena, Silvania y Útica) y la revisión para construcción del 1 proyecto (Bojacá) para entrega en el 2022.</t>
  </si>
  <si>
    <t>GR5:1-02-01-100</t>
  </si>
  <si>
    <t>100</t>
  </si>
  <si>
    <t>Intervenir 400 ambientes de instalaciones escolares priorizando la infraestructura rural y las instituciones de jornada única.</t>
  </si>
  <si>
    <t>Ambientes intervenidos</t>
  </si>
  <si>
    <t>Ambientes Intervenidos</t>
  </si>
  <si>
    <t>Se ha logrado la intervención y entrega a la comunidad de   42 ambientes educativos  priorizando la infraestructura rural y las instituciones de jornada única, a través del mejoramiento de  aulas,  comedores, cocinas y baterías sanitarias con lo cual, se mejoran las condiciones de  infraestructura de las IED.</t>
  </si>
  <si>
    <t>GR5:1-02-01-102</t>
  </si>
  <si>
    <t>102</t>
  </si>
  <si>
    <t>Embellecer 900 sedes educativas de los municipios no certificados.</t>
  </si>
  <si>
    <t>Sedes educativas embellecidas</t>
  </si>
  <si>
    <t>GR5:1-02-01-103</t>
  </si>
  <si>
    <t>103</t>
  </si>
  <si>
    <t>Actualizar el Plan de Infraestructura Educativa Departamental.</t>
  </si>
  <si>
    <t>Plan de infraestructura actualizado</t>
  </si>
  <si>
    <t>GR5:1-02-01-104</t>
  </si>
  <si>
    <t>104</t>
  </si>
  <si>
    <t>Garantizar en el 100% de las IED de los municipios no certificados la atención de la prestación del servicio educativo.</t>
  </si>
  <si>
    <t>IED con servicio educativo garantizado</t>
  </si>
  <si>
    <t>Pago de Nómina</t>
  </si>
  <si>
    <t>Se ha garantizado en el 100% de las IED de los municipios no certificados la atención de la prestación del servicio educativo, a través del pago de la nómina y  pago de arriendos.</t>
  </si>
  <si>
    <t>GR5:1-02-00-529</t>
  </si>
  <si>
    <t>Reducir el índice de embarazo en adolescentes.</t>
  </si>
  <si>
    <t>GR5:1-02-01-105</t>
  </si>
  <si>
    <t>105</t>
  </si>
  <si>
    <t>Implementar en 116 municipios la Estrategia de Prevención del Embarazo adolescente y promoción de los derechos sexuales y reproductivos, con énfasis en las zonas rurales.</t>
  </si>
  <si>
    <t>Estrategia  Pienso en mi, pienso en progreso, todo tiene su tiempo" implementada</t>
  </si>
  <si>
    <t>Socialización de la estrategia de "Pienso en mi, pienso en progreso, todo tiene su tiempo" en los municipiosCelebración semana andina (semana de prevención del embarazo en adolescentes)Activación y coordinación de la submesa de infancia y adolescenciaAsistencia  técnica en promoción de los derechos sexualesEl personal contratado para el desarrollo de las actividades de esta meta con vigencia del plan de desarrollo 2016-2020Vinculacion a la estrategia Pienso en mi, pienso en progreso, todo tiene su tiempo" con la fundación de niños sordos ICAL de chía</t>
  </si>
  <si>
    <t>GR5:1-02-00-530</t>
  </si>
  <si>
    <t>Reducir los delitos sexuales contra la primera infancia, infancia y adolescencia.</t>
  </si>
  <si>
    <t>GR5:1-02-01-106</t>
  </si>
  <si>
    <t>106</t>
  </si>
  <si>
    <t>Realizar 4 estrategias de prevención de explotación sexual comercial de niños, niñas y adolescentes - ESCNNA, trata de personas y tráfico ilícito.</t>
  </si>
  <si>
    <t>Estrategias de prevención realizadas</t>
  </si>
  <si>
    <t>JÓVENES, FUERZA DEL PROGRESO</t>
  </si>
  <si>
    <t>GR5:1-02-00-531</t>
  </si>
  <si>
    <t>Aumentar la participación de deportistas en los diferentes escenarios de preparación, entrenamiento y competencia.</t>
  </si>
  <si>
    <t>GR5:1-02-02-107</t>
  </si>
  <si>
    <t>107</t>
  </si>
  <si>
    <t>Realizar 4 capacitaciones con ponentes nacionales e internacionales del deporte, la recreación y la actividad física.</t>
  </si>
  <si>
    <t>Capacitaciones realizadas</t>
  </si>
  <si>
    <t>Se han realizado 6 capacitaciones con ponentes nacionales e internacionales a través de las redes sociales de Indeportes, en diferentes temas de interés para las ligas y clubes del departamento.</t>
  </si>
  <si>
    <t>GR5:1-02-02-108</t>
  </si>
  <si>
    <t>108</t>
  </si>
  <si>
    <t>Apoyar 105 eventos de las ligas deportivas existentes en el departamento.</t>
  </si>
  <si>
    <t>Apoyos realizados</t>
  </si>
  <si>
    <t>•Registro de libros (actas y afiliados):   solicitados: 0 – atendidos: 0. •Personería jurídica (otorgar e inscribir):  11Clubes: 4 - ligas: 7.•Expedición de certificaciones de existencia y representación legal:  18Clubes: 4    -   ligas: 14.•Aval escuelas deportivas (otorgar- renovar):  1Solicitadas:  2 - atendidas: 1 -  en trámite: 1.•Acompañamiento y/o asesoría asambleas de ligas: 9Físicos, disco volador, ecuestre, squash, tenis de mesa, fútbol de salón, hapkido, ciclismo, tenis.•Acompañamiento juntas directivas entes municipales: 4Soacha, Madrid, Funza, Sibaté.•Consultas y asesorías para diferentes temas relacionados con el área: 30</t>
  </si>
  <si>
    <t>GR5:1-02-02-109</t>
  </si>
  <si>
    <t>109</t>
  </si>
  <si>
    <t>Beneficiar 1200 deportistas a través del "Plan Estrellas" y el "Plan Incentivos", con miras a participar en los eventos del ciclo olímpico y paralímpico.</t>
  </si>
  <si>
    <t>Deportistas beneficiados</t>
  </si>
  <si>
    <t>Apoyo económico mensual a deportistas de Alto Rendimiento del sistema convencional y Paralímpico del departamento.Pago  del estímulo o beneficio económico para los atletas, entrenadores, atletas guía y asistentes incluidos en el plan estrellas de Cundinamarca 2020, durante los meses de agosto a diciembre. Se han beneficiado 250 deportistas del alto rendimiento del departamento.107 atletas convencionales y 143 atletas paralímpicos.</t>
  </si>
  <si>
    <t>GR5:1-02-02-110</t>
  </si>
  <si>
    <t>110</t>
  </si>
  <si>
    <t>Realizar 3 juegos Intercolegiados en el departamento</t>
  </si>
  <si>
    <t>Juegos Intercolegiados realizados</t>
  </si>
  <si>
    <t>Se realizó la COFINANCIACIÓN CONVENIO PARA EL DESARROLLO DEL PROYECTO DE JUEGOS INTERCOLEGIADOS CON EL MINISTERIO DEL DEPORTE. Se solicitó al Ministerio realizar las Fases Departamentales de LOS JUEGOS INTERCOLEGIADOS HABILIDADES FISICAS Y TECNICAS VIRTUALES para la vigencia 2021. INSCRIPCIÓN EN PLATAFORMA NACIONALHASTA EL 19 DE NOVIEMBREA FECHA 16 NOVIEMBRE 102 MUNICIPIOS INSCRITOSA FECHA 16 NOVIEMBRE 2635 INSCRITOS$540.642.436 TOTALCONTRACION RECURSO HUMANO$241.436.988JUZGAMIENTO $191.712.772IMPLEMENTACIÒN $107.492.6767REALIZACIÓN FASES MUNICIPALESENTRE EL 20 AL 30 NOVIEMBRE DEENDE NUMERO DE INSCRITOS Y DEPORTESREALIZACIÓN FASES ZONALES Y DEPARTAMENTALESENTRE EL 3 AL 15 DICIEMBREDEPENDE NUMERO DE INSCRITOS Y DEPORTES PARTICIPAR</t>
  </si>
  <si>
    <t>GR5:1-02-02-111</t>
  </si>
  <si>
    <t>111</t>
  </si>
  <si>
    <t>Soportar con 600 personas el deporte, la recreación y el aprovechamiento del tiempo libre.</t>
  </si>
  <si>
    <t>Personas de soporte</t>
  </si>
  <si>
    <t>Se han contratado 151 personas para el apoyo técnico, administrativo y deportivo del Instituto, que permitan fortalecer el desarrollo de todas las actividades contempladas en el plan de desarrollo. Estas personas apoyan las áreas administrativa y financiera y área técnica.El instituto contrató el personal tecnico y profesional de apoyo a la gestión en diferentes áreas: comunicaciones, coordinación de programas, personal de apoyo a los diferentes programas, personal de infraestructura, personal de planeación, calidad, provinciales, preparadores físicos, entrenadores, metodólogos, personal médico y administrador de la casa del deportista, con el fin de garantizar la preparación, participación, acompañamiento a los deportistas.</t>
  </si>
  <si>
    <t>GR5:1-02-00-532</t>
  </si>
  <si>
    <t>Aumentar la tasa de transición a educación superior.</t>
  </si>
  <si>
    <t>GR5:1-02-02-112</t>
  </si>
  <si>
    <t>112</t>
  </si>
  <si>
    <t>Articular 240 Instituciones Educativas con el SENA y/o con Instituciones de Educaciones Superior para el fortalecimiento de las competencias pertinentes con el contexto.</t>
  </si>
  <si>
    <t>IED articuladas</t>
  </si>
  <si>
    <t>Se logró la articulación con el SENA de 161 Instituciones Educativas  beneficiando a los   grados de  10 y 11, llegando a 18.873 estudiantes de 102 Municipios no certificados del departamento. igualmente se logró realizar la transferencia de recursos para el pago de ARL de los estudiantes de estas instituciones   para los estudiantes de grado 11.</t>
  </si>
  <si>
    <t>GR5:1-02-02-114</t>
  </si>
  <si>
    <t>114</t>
  </si>
  <si>
    <t>Otorgar 20.000 beneficios de acceso y permanencia para la educación superior.</t>
  </si>
  <si>
    <t>Beneficios otorgados</t>
  </si>
  <si>
    <t>Beneficios para el Acceso de Educación Superior</t>
  </si>
  <si>
    <t>Con la ejecución de los programas de Acceso y Permanencia a educación superior con los que cuenta la Secretaría de Educación, se  logró la asignación de 11.442 beneficios, con  la alianza  4x1 opción de Vida de subsidios para el pago de matrículas y del  Fondo Transformando Vidas se asignaron 602 beneficios de acceso y permanencia a educación superior,  además se logró  garantizar la continuidad de la Educación de 10840 jóvenes de estratos 1 y 2 de la Universidad de Cundinamarca mediante el  convenio número 020 de 2020 cuyo objeto es " Aunar esfuerzos entre el Departamento de Cundinamarca y la Universidad de Cundinamarca UDEC, para garantizar la permanencia y gratuidad de los estudiantes de la UDEC a la educación superior nivel pregrado por una única vez en el marco de la pandemia COVID-19 para el segundo semestre 2020 " cuyas familias fueron muy impactadas económicamente a causa de la pandemia del Covid-19 minimizando así el riesgo de  deserción.</t>
  </si>
  <si>
    <t>GR5:1-02-00-533</t>
  </si>
  <si>
    <t>Disminuir la proporción de adolescentes alguna vez madres o actualmente embarazadas entre los 10 y 19 años.</t>
  </si>
  <si>
    <t>GR5:1-02-02-116</t>
  </si>
  <si>
    <t>116</t>
  </si>
  <si>
    <t>Implementar en las 53 IPS públicas los Servicios Amigables para jóvenes (SSAAJ).</t>
  </si>
  <si>
    <t>IPS de la red Publica con SSAAJ implementados</t>
  </si>
  <si>
    <t>IPS de la red Publica con Servicios Amigables para jóvenes SSAAJ implementados</t>
  </si>
  <si>
    <t>Se realizo la implementación de un servicio amigable para adolescentes y jóvenes en el hospital San José del municipio de la Palma para la atención integral en salud sexual y reproductiva a adolescentes y jóvenes. Se realizaron 4 jornadas de asistencias técnicas en derechos sexuales y reproductivos con 788 participantes, adolescentes, jóvenes y adultos que integran las rutas intersectoriales.  Conformación de 26 Grupos comunitarios en los municipios de Fusagasugá, Madrid, Facatativá, La Mesa, Mosquera, Ubaté, Soacha, Zipaquirá, Arbeláez, Chía, Guaduas, Medina, Cáqueza, Girardot, Tocaima, Chocontá, Villeta, Pacho, Puerto Salgar, Caparrapí, Silvania, Sasaima, La Palma, Gacheta, Sesquilé, Viani, para el fortalecimiento de los Derechos Sexuales y Derechos Reproductivos. Asistencia técnica al profesionales de la salud de las 53 ESE, a las direcciones territoriales de los 116 municipios y los profesionales de las Empresas Administradoras de Planes de Beneficio, para el  abordaje intersectorial e integral de los casos de las gestantes en menores de 15 años y  las acciones para el inmediato restablecimiento de sus derechos, en el marco de cero tolerancias, Implementación de los Servicios Amigables para Adolescentes y Jóvenes para la atención integral de los servicios de Salud Sexual y Reproductiva en el marco de la Ruta de Promoción y Mantenimiento de la Salud y Ruta Materno Perinatal (Resolución 3280 de 2018),  implementación de la resolución 1904 de 2017, sobre garantía de derechos sexuales y reproductivos en personas con discapacidad,   actualización de Métodos de Planificación familiar, Criterios de Elegibilidad OMS, Planificación Adolescentes, Anticoncepción de Emergencia, consulta preconcepcional y reconocimiento de los derechos sexuales y derechos reproductivos.</t>
  </si>
  <si>
    <t>•Falta de búsqueda activa y canalización a los programas por parte de las EAPB a la población objeto. •Las EAPB no están contratando a las IPS de acuerdo con la ruta de atención establecida por la resolución 3280 de 2018.</t>
  </si>
  <si>
    <t>GR5:1-02-00-534</t>
  </si>
  <si>
    <t>Implementar la política pública de juventud.</t>
  </si>
  <si>
    <t>GR5:1-02-02-117</t>
  </si>
  <si>
    <t>117</t>
  </si>
  <si>
    <t>Realizar el acompañamiento a 40 procesos bandisticos municipales con la banda Sinfónica Juvenil de Cundinamarca.</t>
  </si>
  <si>
    <t>Procesos bandisticos beneficiados a través de la banda sinfónica juvenil</t>
  </si>
  <si>
    <t>Acompañamiento técnico.</t>
  </si>
  <si>
    <t>Se brindó acompañamiento técnico a 7 procesos bandísticos ( 1.Sección o familia de las maderas agudas: bandas infantiles y juveniles 2. sección o familia de las maderas graves: bandas infantiles y juveniles 3. sección o familia de bronces agudos: bandas infantiles y juveniles 4. sección o familia de bronces graves: bandas infantiles y juveniles 5. sección o familia de percusión latina y folclórica: bandas infantiles y juveniles. 6. sección o familia de percusion sinfónica: bandas infantiles y juveniles 7. sección o familia de cuerdas frotadas) en  60 municipios, beneficiando a 1.000 integrantes de las agrupaciones bandísticas y sus 60 maestros formadores, a través de la conformación de la banda sinfónica juvenil de Cundinamarca, la cual se dio mediante Resoluciones 155 de 28 de julio 2020 y 190 del 11 de septiembre de 2020  y se dio la contratación de cuarenta (40) músicos instrumentistas, siete (7) músicos profesionales, un (1) director y demás equipo de apoyo para su funcionamiento. Igualmente, la banda acompañó algunos eventos culturales desarrollados en el departamento y en entidades donde fue invitada.</t>
  </si>
  <si>
    <t>La emergencia sanitaria afectó la programación inicial para la conformación de la banda sinfónica, ya que generó retrasos en procesos administrativos y financieros.</t>
  </si>
  <si>
    <t>GR5:1-02-02-118</t>
  </si>
  <si>
    <t>118</t>
  </si>
  <si>
    <t>Mantener 370 instructores anualmente para el desarrollo de los espacios de deporte formativo en sus áreas rurales y urbanas.</t>
  </si>
  <si>
    <t>Instructores anuales</t>
  </si>
  <si>
    <t>Se organizaron 3 grupos de contratación de formadores y de esta manera poder adelantar todo el proceso administrativo y jurídico según el cronograma establecido por el grupo del deporte formativo y escolar cumpliendo con los plazos establecidos por cada grupo. Ya se va a cumplir el primer mes de trabajo en las Escuelas de Formación Deportiva y Recreativa.</t>
  </si>
  <si>
    <t>GR5:1-02-02-119</t>
  </si>
  <si>
    <t>119</t>
  </si>
  <si>
    <t>Realizar 3 festivales deportivos departamentales de las escuelas de formación.</t>
  </si>
  <si>
    <t>Festivales deportivos realizados</t>
  </si>
  <si>
    <t>GR5:1-02-02-120</t>
  </si>
  <si>
    <t>120</t>
  </si>
  <si>
    <t>Impulsar en 15 provincias del departamento espacios de arte y cultura urbana para el aprovechamiento de los espacios de ocio de los jóvenes.</t>
  </si>
  <si>
    <t>Provincias con espacios de arte y cultura urbana</t>
  </si>
  <si>
    <t>procesos de formación en Arte y Cultura</t>
  </si>
  <si>
    <t>Encuentros de arte y cultura urbano se impacto 82 municipios  de 15 provinciasCaracterización de la población beneficiada.Articulación con el sector privado para ampliar la oferta interinstitucionalEl personal profesional contratado para las actividades de esta meta se realizo con recursos del plan de desarrollo unidos podemos mas</t>
  </si>
  <si>
    <t>Poco interés por de los enlaces municipales en la replica las convocatorias</t>
  </si>
  <si>
    <t>GR5:1-02-02-121</t>
  </si>
  <si>
    <t>121</t>
  </si>
  <si>
    <t>Crear 5 casas de integración Juvenil.</t>
  </si>
  <si>
    <t>Casas de integración juvenil creadas</t>
  </si>
  <si>
    <t>identificación de municipios que están interesados en el proyectopreparación de proyectos tipo de casas de integración juvenilSe formulo el proyecto a presentar en Planeacion NacionalEl personal profesional contratado para las actividades de esta meta se realizo con recursos del plan de desarrollo unidos podemos mas</t>
  </si>
  <si>
    <t>La no asignación de recursos .</t>
  </si>
  <si>
    <t>GR5:1-02-02-122</t>
  </si>
  <si>
    <t>122</t>
  </si>
  <si>
    <t>Conformar 4 redes departamentales en comunicación popular juvenil, jóvenes rurales y jóvenes ambientales.</t>
  </si>
  <si>
    <t>Redes departamentales conformadas</t>
  </si>
  <si>
    <t>3 Redes departamentales activadas y funcionadoVinculación al proyecto de la secretaria de agricultura y la Oficina de Bienestar y protección animalEl personal profesional contratado para las actividades de esta meta se realizo con recursos del plan de desarrollo unidos podemos mas</t>
  </si>
  <si>
    <t>Falta de acceso a internet y dificultad de conectividad</t>
  </si>
  <si>
    <t>GR5:1-02-02-123</t>
  </si>
  <si>
    <t>123</t>
  </si>
  <si>
    <t>Vincular a 10.000 adolescentes o jóvenes de las provincias del departamento a la estrategia "Juntos hacemos combo- recargado" para el intercambio de vivencias y experiencias.</t>
  </si>
  <si>
    <t>Jóvenes vinculados al programa</t>
  </si>
  <si>
    <t>Intercambios de vivencias y experiencias juveniles en los eventos</t>
  </si>
  <si>
    <t>XXX jóvenes vinculados a la estrategia juntos hacemos combo recargadoIntercambios de vivencias y experiencias juveniles en los eventosReconocimiento a los jóvenes victimas del conflicto y privados de la libertadmotivación a los jóvenes para que exploren sus talentos y así orientar su proyecto de vidaEl personal profesional contratado para las actividades de esta meta se realizo con recursos del plan de desarrollo unidos podemos mas</t>
  </si>
  <si>
    <t>Limitado acceso a la conectividad</t>
  </si>
  <si>
    <t>GR5:1-02-02-124</t>
  </si>
  <si>
    <t>124</t>
  </si>
  <si>
    <t>Beneficiar 100 proyectos juveniles a través del banco de iniciativas.</t>
  </si>
  <si>
    <t>Proyectos juveniles beneficiados</t>
  </si>
  <si>
    <t>Seguimiento a las iniciativas del año 2019Socialización en los municipios del decreto que reglamenta el banco de iniciativas juvenilesEntra de beneficios a 15 iniciativas juvenilesEl personal profesional contratado para las actividades de esta meta se realizo con recursos del plan de desarrollo unidos podemos mas</t>
  </si>
  <si>
    <t>1263</t>
  </si>
  <si>
    <t>UNIDAD ADM.ESPECIAL DE PENSIONES DEL DEP</t>
  </si>
  <si>
    <t>EXPERIENCIA Y SABIDURÍA</t>
  </si>
  <si>
    <t>GR5:1-02-00-535</t>
  </si>
  <si>
    <t>Aumentar el número de personas vinculadas al sistema de seguridad social y BEPS.</t>
  </si>
  <si>
    <t>GR5:1-02-03-125</t>
  </si>
  <si>
    <t>125</t>
  </si>
  <si>
    <t>Asesorar a los 116 municipios del departamento en materia pensional.</t>
  </si>
  <si>
    <t>Municipios asesorados en materia pensional</t>
  </si>
  <si>
    <t>Asesoría en materia pensional</t>
  </si>
  <si>
    <t>En coordinación con el fondo de prestaciones sociales del magisterio( FOMAG –FIDUPREVISORA-  entre el 28 de mayo y 2 de junio – se efectuó acompañamiento  en el proceso de conciliación y empalme para las entidades territoriales , donde se socializo  el informe referente a la aplicación de aportes FONPET , para establecer de manera clara los saldos a favor o en contra de la entidad territorial según el resultado del cálculo actuarial vigencia 2018 a las 116 alcaldías del Departamento de Cundinamarca.Adicionalmente en el marco de la Ruta del Pensionado se asesoró a 17 hospitales municipales en lo concerniente al estado actual de su pasivo pensional y calculo actuarial de conformidad con el proyecto pasivocol del Ministerio de Hacienda y Crédito Público.Se realizaron visitas presenciales con la estrategia Ruta del Pensionado  a 12 de los 15 municipios previstos, los tres municipios restantes están programados para ser visitados en las dos primeras semanas del mes de diciembre.Municipio de Fomeque: 40 asesorías, 15 vinculaciones a BEPS 31/10/2020Municipio de San Antonio: 40 asesorías, 10 vinculaciones a BEPS 05/11/2020Municipio de Mosquera: 40 asesorías, 10 vinculaciones a BEPS 07/11/2020Municipio de El Colegio: 74 asesorías, 50 vinculaciones a BEPS 13/11/2020Municipio de La Mesa: 30 asesorías, 15 vinculaciones a BEPS 18/11/2020Municipio de Guasca: 30 asesorías, 10 vinculaciones a BEPS 19/11/2020Municipio de Quipile: 25 asesorías, 7 vinculaciones a BEPS 19/11/2020Municipio de Guayabetal: 45 asesorías, 6 vinculaciones a BEPS 20/11/2020Municipio de Pacho: 40 asesorías, 10 vinculaciones a BEPS 25/11/2020Municipio de Ubaté: 50 asesorías, 11 vinculaciones a BEPS 27/11/2020Municipio de Chocontá: 11 asesorías, 50 vinculaciones a BEPS 02/12/2020Municipio de Gachalá: 24 asesorías, 50 vinculaciones a BEPS 04/12/2020Municipio de Gachetá: 35 asesorías, 9 vinculaciones a BEPS 9/12/2020Municipio de Carmen de Carupa: 55 asesorías, 19 vinculaciones 10/12/2020Municipio de La Palma: 70 asesorías, 31 Vinculaciones a BEPS 21/12/2020</t>
  </si>
  <si>
    <t>Adaptación del servicio de asesoría a la virtualidad durante el periodo de cuarentena estricta.</t>
  </si>
  <si>
    <t>GR5:1-02-03-126</t>
  </si>
  <si>
    <t>126</t>
  </si>
  <si>
    <t>Realizar 20 eventos de capacitación de seguridad social en el club del pensionado.</t>
  </si>
  <si>
    <t>GR5:1-02-03-127</t>
  </si>
  <si>
    <t>127</t>
  </si>
  <si>
    <t>Beneficiar al 100% de los afiliados al Club del Pensionado con actividades de bienestar.</t>
  </si>
  <si>
    <t>Afiliados al Club del Pensionado beneficiados</t>
  </si>
  <si>
    <t>Bienestar y acompañamiento a los pensionados del Departamento de Cundinamarca</t>
  </si>
  <si>
    <t>Nuestros usuarios y pensionados son adultos mayores, población vulnerable al Covid 19 y la prestación del servicio de la Entidad es esencial para garantizar su mínimo vital. Desde el 20/03/2020 la entidad no suspendió términos y siguió trabajando de manera virtual también para proteger a sus colaboradores, logrando la continuidad en la prestación del servicio al ciudadano, realizando el pago anticipado de mesadas a los 7018 pensionados en marzo  para provisión de alimentos y elementos esenciales para la cuarentena.El CLUB DEL PENSIONADO siguió prestando su servicios a través de llamadas telefónicas y WhatsApp; se hacen actividades de bienestar(clases de yoga, psicología) a través de las redes sociales y educativas (utilización de la tecnología);se hace acompañamiento psicosocial y llegamos al territorio, de manera virtual, asesorando en materia pensional a la comunidad y entidades. El día 14 de diciembre se realizara el evento del día del pensionado, al cual han sido invitados todos los pensionados del fondo de pensiones de Cundinamarca, en este evento se realizaran diversas actividades de bienestar como se indica en el Contrato 87 de 2020 con el cual se realizó la ejecución financiera del 100% del presupuesto de inversión destinado a la meta.Resultados en cifras:•Atención de 4.666  llamadas recibidas.•Acompañamiento psicosocial a 4.067 pensionados. •4675 llamadas realizadas, 2849 saludos de cumpleaños. •2.535 comunicaciones vía whatsapp•Emisión de 1.023 certificados. •200 adultos mayores que no contaban con pensión de vejez, ahora son beneficiados con un auxilio vitalicio dentro del programa BEPS para gestores culturales•Radicación y trámite de más de 2.000 solicitudes. •Asesoría a las 116 alcaldías en materia pensional y seguridad social para la comunidad.•Los adultos mayores, pensionados y usuarios no han tenido que  desplazarse a la entidad, para poder realizar trámite alguno, ni incurrir en gastos. •Gracias a las capacitaciones impartidas a adultos mayores y discapacitados  tenemos contacto permanente con nuestros usuarios, de manera rápida e inmediata, pudiendo llegar a miles de ellos, sin importar el lugar en donde se encuentren, fuera o dentro del país.•Se ha acompañado psicosocialmente a nuestros usuarios, adultos mayores, altamente vulnerables, algunos de ellos en condiciones de soledad, depresión, y confinamiento total, que no contaban con el conocimiento y las habilidades para poder realizar trámites virtuales.•Hemos afianzado nuestra red de comunicaciones con los usuarios internos y externos.•A pesar de la grave crisis económica, logramos que los rendimientos del patrimonio autónomo que administra los recursos del Fondo de Pensiones de Cundinamarca, tuvieran un incremento del 6.02% gracias a las estrategias de inversión adoptadas.•Hemos logrado que más de 7000 pensionados, de los cuales 6693 son mayores de 60 años, no tuvieran que salir de sus hogares para tramitar una solicitud. • Hemos realizado 64  campañas pedagógicas acerca de la prevención del COVID 19 a adultos mayores y discapacitados, logrando prevenir de manera eficaz el contagio.</t>
  </si>
  <si>
    <t>El mayor reto fue acompañar durante ese cambio tan drástico de migración a lo virtual a nuestros pensionados, enseñándoles a utilizar herramientas como el whatsapp y el correo electrónico para poder adelantar sus trámites sin salir de casa, a su vez que se les brindaban tips de seguridad en el manejo de estas aplicaciones y se les acompañaba psicosocialmente para hacer más llevaderos los periodos de cuarentena estricta.</t>
  </si>
  <si>
    <t>GR5:1-02-00-536</t>
  </si>
  <si>
    <t>Disminuir la tasa de mortalidad por enfermedades hipertensivas.</t>
  </si>
  <si>
    <t>GR5:1-02-03-128</t>
  </si>
  <si>
    <t>POLÍTICA PÚBLICA DE ENVEJECIMIENTO Y VEJEZ._x000D_
POLÍTICA PÚBLICA MUJER, EQUIDAD DE GÉNERO E IGUALDAD DE OPORTUNIDADES.</t>
  </si>
  <si>
    <t>128</t>
  </si>
  <si>
    <t>Realizar la detección temprana de hipertensión en un 14% de población entre los 20 y 69 años.</t>
  </si>
  <si>
    <t>Población con detección temprana de hipertensión</t>
  </si>
  <si>
    <t>sistema de información con la Población con detección temprana de hipertensión</t>
  </si>
  <si>
    <t>Total de poblacion Tamizada (caracterizada) para detección del riesgo cardio vascular y metabolico (hipertesnicón) 9,528   Total de población  con Riesgo  clasificado  1.079</t>
  </si>
  <si>
    <t>Inoportunidad en el envío de la  información por parte de los entes territoriales ya que no se cuenta con un Sistema de Información en la Dirección de Salud Pública</t>
  </si>
  <si>
    <t>GR5:1-02-03-129</t>
  </si>
  <si>
    <t>129</t>
  </si>
  <si>
    <t>Realizar la detección temprana de diabetes en un 12,4% de la población entre los 20 y 69 años.</t>
  </si>
  <si>
    <t>Población con detección temprana de diabetes</t>
  </si>
  <si>
    <t>sistema de información sobre la Población con detección temprana de diabetes</t>
  </si>
  <si>
    <t>Como Fase de Alistamiento para  el Cumplimento de esta meta se adapto la Estrategia "Conoce tu riesgo peso saludable" al Departamento para tamización, clasificación y atención del Riesgo Metabólico,  la cual fué presentada y avalada satisfactoriamente por el Ministerio de Salud</t>
  </si>
  <si>
    <t>Falta la actualización del  sistema de información y  monitoreo a los indicadores de Detección Temprana de la  Diabetes</t>
  </si>
  <si>
    <t>1207</t>
  </si>
  <si>
    <t>BENEFICENCIA DE CUND. (702-Ordz30-2006)</t>
  </si>
  <si>
    <t>GR5:1-02-00-537</t>
  </si>
  <si>
    <t>Implementar la política pública de envejecimiento y vejez.</t>
  </si>
  <si>
    <t>GR5:1-02-03-130</t>
  </si>
  <si>
    <t>130</t>
  </si>
  <si>
    <t>Brindar protección social integral a 790 personas adultas mayores cada año en los centros de protección de la Beneficencia de Cundinamarca.</t>
  </si>
  <si>
    <t>Personas adultas mayores protegidas</t>
  </si>
  <si>
    <t>Las personas mayores protegidas por la Beneficencia reciben alojamiento, vestido, dotación personal de elementos de aseo, atención especializada en trabajo social, psicología, terapias física y ocupacional, nutrición, gerontología, enfermería, talleres productivos, recreación y ocupación del tiempo libre, servicio funerario a personas sin familia</t>
  </si>
  <si>
    <t>Protección y restablecimiento de derechos en modalidad institucionalizada a 300 mujeres y 394 hombres mayores de 60 años, víctimas de una o más violencias entre ellas, económica, física, sexual, psicológica, conflicto armado, negligencia, abandono social y familiar, desastres naturales. La meta 130 en el nuevo Plan Departamental de Desarrollo es continuación de la meta 282 del Plan de Desarrollo Unidos Podemos Más. Los recursos ejecutados para dar cumplimiento a esta meta se han comprometido desde febrero de 2020 hasta enero de 2021, a través de contratos con operadores privados que administran los centros de protección de la Beneficencia.</t>
  </si>
  <si>
    <t>insuficientes recursos financieros de la Beneficencia para cumplir con su misión institucional</t>
  </si>
  <si>
    <t>GR5:1-02-03-131</t>
  </si>
  <si>
    <t>131</t>
  </si>
  <si>
    <t>Vincular a 12.000 personas mayores de 65 años a la estrategia "Adultos en Acción", a través de la recreación y la actividad física.</t>
  </si>
  <si>
    <t>Personas mayores de 65 años vinculadas</t>
  </si>
  <si>
    <t>Se desarrolló el reinado del adulto mayor “Programa un nuevo comienzo” donde participaron 67 municipios de Cundinamarca que contaban con grupo de 15 personas involucradas directamente en las diferentes expresiones artísticas.Mediante un Facebook live se conmemora el Día del Adulto Mayor con una recopilación de videos de algunos adultos mayores del departamento, los municipios que participaron fueron: La Vega, Gachancipá, El Peñón, Mosquera, Guachetá, Pandi, Villeta, Madrid y Ricaurte, resaltando el trabajo, liderazgo y participación en el programa nuevo comienzo, así como también participaron los referentes de adulto mayor del Ministerio del Deporte y la coordinadora departamental del adulto mayor.  Alcances: Facebook live Indeportes: 2.7 mil reproducciones  86 comentarios</t>
  </si>
  <si>
    <t>GR5:1-02-03-132</t>
  </si>
  <si>
    <t>132</t>
  </si>
  <si>
    <t>Beneficiar 2.500 adultos mayores con subsidio económico.</t>
  </si>
  <si>
    <t>Personas adultas beneficiados con subsidio económico</t>
  </si>
  <si>
    <t>El pago de subsidios pendientes del periodo mayo y junio  del programa de gobierno Unidos Podemos masSe elaboro el proyecto de Ordenanza para la continuidad de los subsidios de Adulto Mayor y persona con discapacidad que fue aprobada el 28 de noviembre de 2020</t>
  </si>
  <si>
    <t>GR5:1-02-03-133</t>
  </si>
  <si>
    <t>133</t>
  </si>
  <si>
    <t>Garantizar el transporte en el área rural dispersa al 100% de los beneficiarios de subsidios económicos, priorizando a los adultos mayores que reciben subsidios entregados por el departamento.</t>
  </si>
  <si>
    <t>Beneficiarios de subsidios económicos con garantía de transporte.</t>
  </si>
  <si>
    <t>Se estableció la exposición de motivos y el articulado del proyecto de ordenanza para ser aprobada por la oficina jurídica de la Gobernación, y ser presentado dentro de los primeros meses del año 2020 a la Asamblea Departamentalse definió la mitología para la asignación del subsidio para el año 2021</t>
  </si>
  <si>
    <t>Dentro del presupuesto del año 2020 nos e asignaron recursos en su debido tiempo para dar inicio a esta meta</t>
  </si>
  <si>
    <t>GR5:1-02-03-134</t>
  </si>
  <si>
    <t>134</t>
  </si>
  <si>
    <t>Beneficiar a 250 cuidadores o adultos mayores vulnerables con proyectos productivos.</t>
  </si>
  <si>
    <t>Personas adultos mayores o cuidadores beneficiarios de proyectos productivos</t>
  </si>
  <si>
    <t>Capacitación dirigida a los MunicipiosReglamento  de convocatoria para proyectos productivosSe realizó convocatoria, preselección y selección de los proyectos productos para adultos mayores y/o cuidadores para entrega en el año 2020Identificación y Caracterización de iniciativas de proyectos productivos en los municipios del Departamento</t>
  </si>
  <si>
    <t>El aislamiento obligatorio de las personas mayores en todo el departamento debido a la Pandemia del COVID-19Los potenciales beneficiarios no tienen claridad de sus necesidades</t>
  </si>
  <si>
    <t>GR5:1-02-03-135</t>
  </si>
  <si>
    <t>135</t>
  </si>
  <si>
    <t>Cofinanciar en los 116 municipios acciones sociales de adulto mayor.</t>
  </si>
  <si>
    <t>Municipios beneficiados con estampilla adulto mayor</t>
  </si>
  <si>
    <t>$4.500.000..000 entregados a los 116 municipios del Departamento</t>
  </si>
  <si>
    <t>Liquidación convenios de estampilla 2019 (73 de 116)116 convenios firmados del año 2020 ejecutando $4.500.000.000</t>
  </si>
  <si>
    <t>La disminución del recaudo por parte de la Gobernación de CundinamarcaEn los municipios de sexta categoría el difícil acceso a los medios virtuales y la no entrega de los documentos soporte segun lo establecido en el cronograma</t>
  </si>
  <si>
    <t>GR5:1-02-03-136</t>
  </si>
  <si>
    <t>136</t>
  </si>
  <si>
    <t>Coadyuvar en la operación de los Centros Vida en las 15 provincias del departamento.</t>
  </si>
  <si>
    <t>Provincias con coadyuva para operación de centros vida.</t>
  </si>
  <si>
    <t>equipos entregados</t>
  </si>
  <si>
    <t>Identificación de los centros vida día y la población beneficiaria Diagnostico del estado actual y las necesidades de dotación de los centros vida díaEntrega de implementos necesarios para los centro de vida requeridos en época de pandemia</t>
  </si>
  <si>
    <t>GR5:1-02-03-137</t>
  </si>
  <si>
    <t>137</t>
  </si>
  <si>
    <t>Brindar asistencia emocional y psicológica a 4.000 adultos mayores.</t>
  </si>
  <si>
    <t>Adultos mayores asistidos</t>
  </si>
  <si>
    <t>Asistencia Psicosocial y emocional a 400 adultos mayores</t>
  </si>
  <si>
    <t>Conmemoración de la semana del adulto mayor: Actividades recreativas, deportivas, culturales, experiencias de vida, musicales y conferencias.Capacitaciones en temas de covid dirigidas a los centros de protección y centros vida díaTrabajo interdisciplinario con secretaria de salud en tema de red de apoyoEl personal contratado para el desarrollo de las actividades de esta meta con vigencia del plan de desarrollo 2016-2020Asistencias técnicas a través de charlas de maltrato en adulto mayorApoyo a adultos Mayores en tips para una vejez saludable</t>
  </si>
  <si>
    <t>La dificultad de los adultos mayores a los medio virtualesEl aislamiento obligatorio de los adultos mayores</t>
  </si>
  <si>
    <t>GR5:1-02-03-139</t>
  </si>
  <si>
    <t>POLÍTICA PÚBLICA DE ENVEJECIMIENTO Y VEJEZ.</t>
  </si>
  <si>
    <t>139</t>
  </si>
  <si>
    <t>Garantizar anualmente el pago del 100% de la nómina de pensionados y sustitutos del magisterio.</t>
  </si>
  <si>
    <t>Nómina de pensionados y sustitutos del magisterio pagada</t>
  </si>
  <si>
    <t>Se ha logrado durante la vigencia 2020  el pago de la nómina del 100% de pensionados y sustitutos del magisterio, así mismo el pago de auxilio funerario y pago de sentencias.</t>
  </si>
  <si>
    <t>GR5:1-02-03-140</t>
  </si>
  <si>
    <t>140</t>
  </si>
  <si>
    <t>Implementar en los 116 municipios los criterios de atención integral en los centros de bienestar del anciano.</t>
  </si>
  <si>
    <t>Municipios con criterios de atención integral implementados</t>
  </si>
  <si>
    <t>Elaboración y entrega de los 13 lineamientos para los centros de Bienestar del Anciano en el Departamento de acuerdo con la Ley 1276 del 2009. Asistencia técnica a los coordinadores PIC, Secretarios de Desarrollo Social, Coordinadores de Centro de protección del Anciano de los 116 municipios en la implementación de los criterios de atención para los centros de Bienestar del Anciano a 500 personas.</t>
  </si>
  <si>
    <t>•La pandemia por COVID 19 suspendió los servicios de los centros día por 8 meses.•Aislamiento obligatorio en los centros de larga estancia.•Falta de acceso a internet de la población mayor por desconocimiento en el manejo de la tecnología o por estar solos sin apoyo de cuidadores.•Falta de caracterización de personas mayores que vienen solas.</t>
  </si>
  <si>
    <t>GR5:1-02-03-141</t>
  </si>
  <si>
    <t>ODS 10 - REDUCIR LA DESIGUALDAD EN Y ENTRE LOS PAÍSES</t>
  </si>
  <si>
    <t>141</t>
  </si>
  <si>
    <t>Atender a 200 personas mayores de 18 años consumidoras de sustancias psicoactivas.</t>
  </si>
  <si>
    <t>Personas consumidoras de SPA atendidas</t>
  </si>
  <si>
    <t>GR5:1-02-00-538</t>
  </si>
  <si>
    <t>Mantener la tasa de incidencia de intoxicaciones por consumo de sustancias psicoactivas.</t>
  </si>
  <si>
    <t>GR5:1-02-03-142</t>
  </si>
  <si>
    <t>142</t>
  </si>
  <si>
    <t>Implementar en 116 municipios estrategias de prevención de sustancias psicoactivas.</t>
  </si>
  <si>
    <t>Municipios con estrategias de prevención de sustancias psicoactivas implementadas</t>
  </si>
  <si>
    <t>Se hizo el lanzamiento de la estrategia preventiva: " Mi fortaleza mi familia" el 22 de julio del 2020 donde se incluyeron los cinco municipios: Guacheta, Simijaca, Tena, Topaipi y Nocaima, en el marco de ésta estrategia se finalizó el curso de prevención el 11 de septiembre del 2020,  se sacaron los posters de divulgación de la estrategia, que ademas sirven como material educativo para ser utilizado por los otros sectores. Esta estrategia se esta desarrollando articuladamente con Educación, Desarrollo social, Gobierno, Indeportes y Cultura, como actividad del plan de acción del comité departamental de prevención y control de oferta de sustancias psicoactivas. Se ha articulado con las EAPBS las acciones de promoción y prevención del consumo de SPA, se brindó asistencia técnica a los municipios priorizados en la implementación de la estrategia  Premio Nacional a entidad comprometida con la prevención del consumo, abuso y adicción de sustancias psicoactivas otorgado al municipio de Gachancipá por el Ministerio de Salud.</t>
  </si>
  <si>
    <t>•Por la Asistencia técnica virtual y las fallas en la conectividad se dificulta la comprensión de los procesos en los municipios.</t>
  </si>
  <si>
    <t>GR5:1-02-00-539</t>
  </si>
  <si>
    <t>Reducir la tasa de mortalidad por canceres prevalentes.</t>
  </si>
  <si>
    <t>GR5:1-02-03-143</t>
  </si>
  <si>
    <t>143</t>
  </si>
  <si>
    <t>Garantizar que el 100% de las aseguradoras implementen una ruta de atención en cáncer para atender la población en riesgo.</t>
  </si>
  <si>
    <t>Aseguradoras en proceso de implementación de la ruta de cáncer</t>
  </si>
  <si>
    <t>Se cuenta con un documento técnico  sobre la ruta de atención en cáncer  para  socializarlo durante los siguientes años</t>
  </si>
  <si>
    <t>1105</t>
  </si>
  <si>
    <t>SECRETARIA DE GOBIERNO</t>
  </si>
  <si>
    <t>CUNDINAMARCA SINESTEREOTIPOS</t>
  </si>
  <si>
    <t>MUJER EMPODERADA Y CON DERECHOS</t>
  </si>
  <si>
    <t>GR5:1-03-00-621</t>
  </si>
  <si>
    <t xml:space="preserve">Reducir la tasa de violencia intrafamiliar hacia mujeres a 300 casos por cada 100.000 habitantes </t>
  </si>
  <si>
    <t>GR5:1-03-01-144</t>
  </si>
  <si>
    <t>144</t>
  </si>
  <si>
    <t>Garantizar el funcionamiento de 2 casas acogida para mujeres víctimas de violencias basadas en género y sus dependientes.</t>
  </si>
  <si>
    <t>Casas de acogida en funcionamiento</t>
  </si>
  <si>
    <t>Casas de acogida en funcionamiento.</t>
  </si>
  <si>
    <t>Se garantiza el funcionamiento de 2 casas de acogida las cuales tienen como propósito garantizar a las mujeres que viven situaciones de violencia o que han vivido hechos victimizante, cuenten con un lugar para salvaguardarse temporalmente en el que les sea posible a ellas y a sus personas dependientes proteger su vida e integridad personal. Hasta la fecha han sido beneficiados 123 personas, entre ellos 40 mujeres y 73 niños, niñas y adolescentes. Adicional a ello, se ha logrado aumentar el número a 25 cupos más con relación al cuatrienio anterior de las casas de acogida, propiciando entornos de bienestar en el territorio en pro de las mujeres y fortalecimiento a la dignidad e integridad personal de las mismas. Adicional a ello, se benefician 73 niños, niñas y adolescentes hijos de estas mamás víctimas de violencia. La casa de acogida, presta servicios de alojamiento, alimentación, kit de aseo, traslado, vestuario de ser necesario, seguridad, orientación psicológica, jurídica y de trabajo social, además de disponibilidad de área de enfermería. El funcionamiento de las casas se realiza mediante el convenio de la Cruz Roja el cual se suscribió en el mes del 10 de junio de 6 meses y 20 días por lo cual el funcionamiento se garantiza hasta el 31 de diciembre de la presente vigencia (convenio 175 de 2020). Adicional a ello se brinda asistencia técnica para la ruta y servicio de la casa de acogida a 33 municipios de 10 provincias asesorando a los mismos a cómo funciona el servicio brindado.</t>
  </si>
  <si>
    <t>Si bien ha venido aumentando los cupos, no se han presentado suficientes mujeres por lo que no se ha utilizado el aumento de cupos.</t>
  </si>
  <si>
    <t>1130</t>
  </si>
  <si>
    <t>SECRETARIA DE LA MUJER Y EQUIDAD DE GENE</t>
  </si>
  <si>
    <t>GR5:1-03-00-540</t>
  </si>
  <si>
    <t>Disminuir los casos de violencia contra la mujer.</t>
  </si>
  <si>
    <t>GR5:1-03-01-145</t>
  </si>
  <si>
    <t>145</t>
  </si>
  <si>
    <t>Intervenir a través de mejoramiento y dotación 13 casas sociales de la mujer de empoderamiento y emprendimiento.</t>
  </si>
  <si>
    <t>Casas intervenidas</t>
  </si>
  <si>
    <t>ELEMENTOS DE APOYO PARA EL FORTALECIMIENTO DE LAS CASAS SOCIALES DE ESTOS MUNICPIOS BENEFICIADOSS</t>
  </si>
  <si>
    <t>CASAS SOCIALES ADECUADAS EN EL DEPARTAMENTO DE LAS CUALES SE BENEFICIARON LOS MUNICIPIOS DE ZIPAQUIRA, SAN FRANCISCO, TOCANCIPA, SIBATE</t>
  </si>
  <si>
    <t>FALTA DE APOYO MUNICIPAL PARA EL MEJORAMIENTO DE CASAS SOCIALES</t>
  </si>
  <si>
    <t>GR5:1-03-01-146</t>
  </si>
  <si>
    <t>146</t>
  </si>
  <si>
    <t>Realizar un evento anual para reconocer a las mujeres líderes en el sector deporte, recreación y actividad física.</t>
  </si>
  <si>
    <t>Eventos realizados anualmente</t>
  </si>
  <si>
    <t>GR5:1-03-01-147</t>
  </si>
  <si>
    <t>147</t>
  </si>
  <si>
    <t>Cofinanciar 50 carreras atléticas de la mujer para fomentar el deporte, la recreación y la actividad física.</t>
  </si>
  <si>
    <t>Carreras atléticas realizadas</t>
  </si>
  <si>
    <t>GR5:1-03-01-148</t>
  </si>
  <si>
    <t>148</t>
  </si>
  <si>
    <t>Actualizar la Política pública departamental de Mujer y equidad genero e igualdad de oportunidades.</t>
  </si>
  <si>
    <t>Política actualizada</t>
  </si>
  <si>
    <t>Avance de la primera fase cumplimento al 100%, y los 116 municipios recibieron información de los lineamientos de la PPMEGIO.Adicionalmente se ha logrado articulación permanente con la Direccion de Politica Pública del Departamento de Cundinamarca con el fin de tener el primer borrador de la Ordenanza para la presentación a la Señora Secretaria de la Mujer y Equidad de Genero para su aprobación</t>
  </si>
  <si>
    <t>Falta de integralidad con las Direcciones del Goberno Nacional, con el fin de lograr una mayor interacción de las politicas a nivel Nacional.</t>
  </si>
  <si>
    <t>GR5:1-03-01-149</t>
  </si>
  <si>
    <t>149</t>
  </si>
  <si>
    <t>Crear el observatorio de mujer y equidad de género.</t>
  </si>
  <si>
    <t>Observatorio creado</t>
  </si>
  <si>
    <t>Definición de la Lineas e indicadores a Investigar desde el Observatorio de la Mujer. se logrado que las Entidades del Departamento tengan funcionalidad para la creación del Observatorio de la Mujer.</t>
  </si>
  <si>
    <t>ninguna</t>
  </si>
  <si>
    <t>GR5:1-03-01-150</t>
  </si>
  <si>
    <t>150</t>
  </si>
  <si>
    <t>Potencializar 30 organizaciones de mujer y género existentes en el departamento.</t>
  </si>
  <si>
    <t>Organizaciones de mujeres y genero potencializadas</t>
  </si>
  <si>
    <t>TABLETA-CARTILLAS Y CAPACITACIONES</t>
  </si>
  <si>
    <t>PARA DAR CUMPLIMIENTO A LA META 150, ORGANIZACIONES SOCIALES SE HIZO FORTALECIMIENTO Y CAPACITACIÓN CON LA ENTREGARON MATERIAL TECNOLÓGICO Y DIDÁCTICO CON EL FIN DE DAR HERRAMIENTAS PARA LA PROTECCION DE LOS DERECHOS HUMANOS DE LAS MUJERES</t>
  </si>
  <si>
    <t>LA FALTA DE INFORMACION DE ORGANIZACIONES SOCIALES LAS CUALES NO ESTAN DEBIDAMENTE ACTULIAZADA</t>
  </si>
  <si>
    <t>GR5:1-03-01-151</t>
  </si>
  <si>
    <t>151</t>
  </si>
  <si>
    <t>Promover la operación de las 117 instancias de participación de la mujer en el departamento.</t>
  </si>
  <si>
    <t>Instancias de participación de la mujer promovidas</t>
  </si>
  <si>
    <t>APOYO PROFESIONAL Y TECNICO</t>
  </si>
  <si>
    <t>SE ESTA CUMPLIMIENDO CON LO PROGRAMADO PARA ESTA VIGENCIA, LAS ENTIDADES TERRITORIALES DEL DEPARTAMENTO DE CUNDINAMARCA HAN LOGRADO LA INTERACCIÓN CON LA GERENCIA DE ASISTENCIA TECNICA PARA LOGRAR QUE ESTA META FLUYA SOLA.</t>
  </si>
  <si>
    <t>POCO CONOCIMIENTO DE LAS ENTIDADES TERRITORIALES PARA CONOCER LA FUNCIONALIDAD DE LOS CONCEJOS CONSULTIVOS DE LA MUJER EN DEPARTAMENTO DE CUNDINAMARCA</t>
  </si>
  <si>
    <t>GR5:1-03-01-152</t>
  </si>
  <si>
    <t>152</t>
  </si>
  <si>
    <t>Implementar en los 116 municipios una estrategia de garantía de derechos de la mujer.</t>
  </si>
  <si>
    <t>Municipios con estrategia de garantía de derechos de la mujer implementada</t>
  </si>
  <si>
    <t>ANUAR ESFUERZOS PARA EL BENEFICIO DE LAS DERECHOS DE LAS MUJERES EN CUNDINAMARCA</t>
  </si>
  <si>
    <t>Articulación de una Estrategia de Comunicaciones con el Nivel Central y los 116 Municipios, con el fin del cumplimento de la políticas públicas dentro de los procesos de emprendimiento y empoderamiento de las mujeres dentro del PLAN DE GOBIERNO CUNDINAMARCA REGIÓN QUE PROGRESA, impulsando los nueve derechos de las mujeres en departamento de Cundinamarca.</t>
  </si>
  <si>
    <t>Las dificultades, de este proceso no fueron de grandes procesos ya que ha contado con el apoyo de los consejos consultivos y de las polticas públicas implementadas por la secreraria</t>
  </si>
  <si>
    <t>CUNDINAMARCA DIVERSA</t>
  </si>
  <si>
    <t>GR5:1-03-00-541</t>
  </si>
  <si>
    <t>Alcanzar el 100% de la población LGBTIQ+ beneficiada con estrategias que dignifiquen su identidad.</t>
  </si>
  <si>
    <t>GR5:1-03-02-153</t>
  </si>
  <si>
    <t>153</t>
  </si>
  <si>
    <t>Implementar un proyecto de presupuesto participativo para la comunidad LGTBIQ+.</t>
  </si>
  <si>
    <t>Proyecto de presupuesto participativo para la comunidad LDTBIQ+ implementado</t>
  </si>
  <si>
    <t>Creación de mesas en diferentes municipios para construcción del proyectoDefinición del uso de los recursos a invertir durante los próximos tres años</t>
  </si>
  <si>
    <t>Escasa participación de lideres LGBTI</t>
  </si>
  <si>
    <t>GR5:1-03-02-154</t>
  </si>
  <si>
    <t>154</t>
  </si>
  <si>
    <t>Implementar una estrategia para la vinculación laboral de la población LGTBIQ+.</t>
  </si>
  <si>
    <t>Estrategia para la vinculación laboral de la población LGTBIQ+ implementada</t>
  </si>
  <si>
    <t>Vinculación de la Gobernación de Cundinamarca a la estrategia laboral de la comunidad LGBTI del Min Interior; con dos cupos laborales con el sector privadoarticulación con el SENA para formación y cualificación del Sector SocialArticulación con la agencia de empleo del Sena en temas de LGBTICapacitación en normatividad LGBTI a los 116 Municipios y personerías.Documento borrador de la estrategia de vinculación Laboral que implementara la Gobernación de Cundinamarca</t>
  </si>
  <si>
    <t>Poca acogida del sector privado</t>
  </si>
  <si>
    <t>1202</t>
  </si>
  <si>
    <t>AGENCIA DPTAL PARA LA PAZ Y POSTCONFLICT</t>
  </si>
  <si>
    <t>CUNDINAMARQUESES INQUEBRANTABLES</t>
  </si>
  <si>
    <t>RUTA DE PAZ</t>
  </si>
  <si>
    <t>GR5:1-04-00-542</t>
  </si>
  <si>
    <t>Alcanzar el 100% de la población víctima beneficiada con estrategias que reivindiquen sus derechos.</t>
  </si>
  <si>
    <t>GR5:1-04-01-155</t>
  </si>
  <si>
    <t>155</t>
  </si>
  <si>
    <t>Desarrollar un sistema estratégico para la consolidación de la paz en Cundinamarca.</t>
  </si>
  <si>
    <t>Sistema estratégico desarrollado</t>
  </si>
  <si>
    <t>Se realizó asistencia técnica para la conformación de los CMPRC en las provincias del DepartamentoSe inició articulación con la provincia de magdalena centro para la recuperación de la memoria histórica Se avanzó en el diseño metodológico del sistema de monitoreo y análisis de conflictividades.se elaboró justificación de la formulación de la política pública de paz y se sustentó esta ante el CODEPS y se recibió visto bueno de este para realizar formulación. Se diseñó plan de trabajo para la formulación.</t>
  </si>
  <si>
    <t>GR5:1-04-01-156</t>
  </si>
  <si>
    <t>156</t>
  </si>
  <si>
    <t>Desarrollar una estrategia que promueva la implementación del Acuerdo de Paz en Cundinamarca.</t>
  </si>
  <si>
    <t>Estrategia Desarrollada</t>
  </si>
  <si>
    <t>GR5:1-04-01-157</t>
  </si>
  <si>
    <t>157</t>
  </si>
  <si>
    <t>Implementar en las 15 provincias una estrategia para la promoción de la cultura de paz.</t>
  </si>
  <si>
    <t>Provincias con estrategia implementada</t>
  </si>
  <si>
    <t>Para el avance en la ejecución de esta meta, desde al área técnica de la Agencia, se diseñó una estructura de proyecto formativo en Cultura de Paz. Posteriormente se realizó un proceso de identificación de instituciones de educación superior, con quienes establecer una alianza para adelantar procesos formativos. Luego de un sondeo se focalizó a la Universidad de Cundinamarca como el aliado más estratégico para el establecimiento de dicha alianza, a partir de lo cual se adelantaron varias mesas técnicas donde se acordó adelantar un diplomado en “Cultura de Paz, Ciudadanía y derechos Humanos”; el cual, según lo establecido en el indicador de la meta, así como en el plan de acción del presente año, será desarrollado en una provincia del departamento. Para la focalización de la provincia se tuvieron varios criterios como son: Articulación existente entre la ACPP y las Administraciones Municipales, articulación institucional entre municipios de la provincia, y la realización de acciones de construcción de paz en los municipios; a partir de estos criterios fue seleccionada la provincia de Sumapaz, en la cual próximamente se iniciará el proceso de formación virtual con líderes sociales de los municipios, quienes ya se encuentran focalizados y preinscritos al diplomado. Se estableció articulación con JEP y FARC para la implementación de los TOAR con el acompañamiento de la ARN y misión de observación de la ONU.</t>
  </si>
  <si>
    <t>GR5:1-04-01-158</t>
  </si>
  <si>
    <t>158</t>
  </si>
  <si>
    <t>Realizar 40 eventos recreo deportivos con la población víctima del conflicto armado en los diferentes municipios del departamento.</t>
  </si>
  <si>
    <t>Eventos recreo deportivos VCA</t>
  </si>
  <si>
    <t>Se han realizado 6 eventos para la población Víctima del Conflicto Armado en los municipios de San Francisco, Paratebueno, Chaguani, Caqueza, Gutierrez y Quebrada Negra. En dichos eventos se han realizado torneos de Rana, Mini Tejo y Fútbol Tenis. Se han beneficiado cerca de 500 personas. RECREANDO NUESTRAS VIDAS DEL CONFLICTO ARMADO POR LA PAZ: Convenio Interadministrativo, cuyo objetivo es la realización de un evento recreo deportivo dirigido a las víctimas del conflicto residentes del municipio de Pacho.</t>
  </si>
  <si>
    <t>GR5:1-04-01-159</t>
  </si>
  <si>
    <t>159</t>
  </si>
  <si>
    <t>Implementar en 12 provincias del territorio la estrategia de reconstrucción del tejido social en el marco de posconflicto y memoria histórica.</t>
  </si>
  <si>
    <t>Se ajustó y actualizó la estrategia de reconstrucción del tejido social al marco del posconflicto y la memoria histórica. El logro ha sido la articulación interinstitucional con la Agencia de Cundinamarca para la Paz y el Posconflicto para que la estrategia sea integral así como la presentación ante la mesa departamental de víctimas para aprobar la estrategia.</t>
  </si>
  <si>
    <t>Debido a la pandemia no hubo posibilidad de realizar la estrategia en alguna provincia ya que se requiere presencialidad.</t>
  </si>
  <si>
    <t>GR5:1-04-01-160</t>
  </si>
  <si>
    <t>160</t>
  </si>
  <si>
    <t>Brindar asistencia al 100% de los planes de prevención, protección y de contingencia, así como las alertas tempranas que se generen en el departamento para garantizar la protección de los líderes sociales y personas expuestas.</t>
  </si>
  <si>
    <t>Asistencia brindada</t>
  </si>
  <si>
    <t>Asistencia técnica</t>
  </si>
  <si>
    <t>Se realizó asistencia técnica a 360 funcionarios de los 116 municipios en las plataformas de información de la política pública de víctimas, dando a conocer los lineamientos de la política e impartiendo directrices normativas y el acompañamiento a los planes de prevención y protección de los 116 municipios junto con su caracterización. A través de la capacitación de 116 municipios en temas de sistemas de información, se fortaleció el departamento en herramientas digitales como son RUSICST, tablero PAT Vivanto, PAT, herramienta de caracterización y SIGO. De igual forma, se acompañaron 6 municipios en jornadas de caracterización con todos los protocolos de bioseguridad (Chaguaní, Vianí, Topaipí, Cabrera, Gutiérrez y Soacha). A su vez, se realizó el acompañamiento a los planes de prevención y protección a los 116 municipios.</t>
  </si>
  <si>
    <t>Existen municipios como Soacha que sobrepasan la capacidad técnica y administrativa del municipio y el departamento para cumplir al 100% su caracterización.</t>
  </si>
  <si>
    <t>GR5:1-04-01-161</t>
  </si>
  <si>
    <t>161</t>
  </si>
  <si>
    <t>Atender el 100% de los procesos de asistencia humanitaria de la población víctima del conflicto armado en el territorio.</t>
  </si>
  <si>
    <t>Mercados (ayudas humanitarias)</t>
  </si>
  <si>
    <t>Se han entregado 4400 ayudas humanitarias a población víctima del conflicto armado en articulación con la unidad de gestión de riesgos de desastres, lo anterior benefició a 13.200 víctimas del conflicto armado de 38 municipios. Adicional a ello, se realizó oferta y asistencia por parte de los profesionales a los 3 centros regionales en temas relacionados con asistencia humanitaria.</t>
  </si>
  <si>
    <t>GR5:1-04-01-162</t>
  </si>
  <si>
    <t>162</t>
  </si>
  <si>
    <t>Atender el 100% de solicitudes de generación de ingresos y cumplimiento de disposiciones legales de las familias víctimas del conflicto armado del departamento.</t>
  </si>
  <si>
    <t>Solicitudes articuladas</t>
  </si>
  <si>
    <t>En cumplimiento a la meta producto se ha realizado 21 mesas conjuntas de trabajo en 17 municipios del departamento 1 mesa de trabajo con el Ministerio de Medio ambiente, 1 mesa de trabajo con el juzgado de restitución de tierras y se ha hecho registro, seguimiento, control y asesoría en el cumplimiento de las ordenes emitidas dentro de los 166 procesos de restitución de tierras donde el departamento o sus entidades territoriales tiene ordenes judiciales por cumplir y apoyado a 20 municipios con procesos de restitución de tierras y actualización de rutas de cumplimiento judiciales logrando que las familias víctimas tengan mejorías con la informalidad en la tenencia de la tierra y en la estructura agraria inequitativa.Referente a asesorías, acompañamientos, estudios y análisis técnicos de los proyectos de generación de ingresos se han realizado el acompañamiento a 25 solicitudes.</t>
  </si>
  <si>
    <t>No se han realizados hasta la fecha proyectos de generación de ingreso, y al ser una actividad de cumplimiento de esta meta, no se ha logrado el 100%.</t>
  </si>
  <si>
    <t>GR5:1-04-01-163</t>
  </si>
  <si>
    <t>163</t>
  </si>
  <si>
    <t>Financiar la realización del 100% de las actividades de la mesa departamental de víctimas del conflicto armado.</t>
  </si>
  <si>
    <t>Actividades Mesa Departamental</t>
  </si>
  <si>
    <t>Reconocimiento y garantías VCA</t>
  </si>
  <si>
    <t>Durante la vigencia se ha realizado el reconocimiento y garantía frente a los escenarios de participación a las víctimas enmarcados en las disposiciones legales. Asimismo se realizó la conmemoración del día de la memoria y la solidaridad de las víctimas de conflicto armado, y se ha brindado apoyo, asistencia técnica, asesorías y capacitación a los 25 miembros de la mesa de participación. A su vez, se realizó rendición de cuentas en el marco del diálogo de más bienestar.</t>
  </si>
  <si>
    <t>GR5:1-04-01-164</t>
  </si>
  <si>
    <t>POLÍTICA PÚBLICA DE PARTICIPACIÓN CIUDADANA._x000D_
POLÍTICA PÚBLICA PARA LA INCLUSIÓN SOCIAL DE LAS PERSONAS CON DISCAPACIDAD</t>
  </si>
  <si>
    <t>164</t>
  </si>
  <si>
    <t>Implementar en 6 municipios priorizados el protocolo de atención integral en salud con enfoque psicosocial y diferencial diseñado por el Ministerio de Salud con base en la ley 1448 de 2011.</t>
  </si>
  <si>
    <t>Municipios prioridades con implementación de protocolo</t>
  </si>
  <si>
    <t>Municipios con implementación de protocolo de atención integral en salud con enfoque psicosocial y diferencial</t>
  </si>
  <si>
    <t>•Elaboración del Plan de implementación del protocolo de atención integral en salud con enfoque psicosocial para la población victima del conflicto armado localizada en el municipio de la palma. Desarrollo de las fases de coordinación, divulgación formación y caracterización del plan de implementación, en el municipio de la Palma.  Conformación de la mesa interna departamental de gestión integral en salud de las víctimas de conflicto armado de la secretaria de Salud de Cundinamarca.  Entrega de lineamientos técnicos para el reporte de las acciones en salud publica dirigidas a la población víctima de conflicto armado y de aquellas víctimas reconocidas y en sentencias y órdenes judiciales y administrativas.</t>
  </si>
  <si>
    <t>•Rotación de talento humano en la ESE.•El hacer las asistencias técnicas de manera virtual afecta el interés y el compromiso de los asistentes del municipio.•La mesa municipal de víctimas solicita el pago para la reunión en las mesas de participación ya que la secretaria de Salud no cuenta con el presupuesto para hacerlo.</t>
  </si>
  <si>
    <t>CUNDINAMARCA ACCESIBLE</t>
  </si>
  <si>
    <t>GR5:1-04-00-622</t>
  </si>
  <si>
    <t>Reducir en  2.455personal la población en condición de discapacidad con Pobreza multidimensional</t>
  </si>
  <si>
    <t>GR5:1-04-02-165</t>
  </si>
  <si>
    <t>165</t>
  </si>
  <si>
    <t>Brindar protección social integral a 650 personas mayores de 18 años con discapacidad mental cada año en los centros de protección de la Beneficencia de Cundinamarca.</t>
  </si>
  <si>
    <t>Personas con discapacidad mental protegidas</t>
  </si>
  <si>
    <t>Las personas con discapacidad mental protegidas por la Beneficencia reciben alojamiento, vestido, dotación personal de elementos de aseo, atención especializada en trabajo social, psicología, terapias física y ocupacional, nutrición, gerontología, enfermería, talleres productivos, recreación y ocupación del tiempo libre, servicio funerario a personas sin familia</t>
  </si>
  <si>
    <t>Protección y restablecimiento de derechos a 680 mujeres y 685 hombres mayores de 18 años y con discapacidad mental y cognitiva, víctimas de una o más violencias entre ellas, económica, física, sexual, psicológica, conflicto armado, negligencia, abandono social y familiar, desastres naturales. La meta 165 en el nuevo Plan Departamental de Desarrollo es continuación de la meta 291 del Plan de Desarrollo Unidos Podemos Más. Los recursos comprometidos y ejecutados para dar cumplimiento a esta meta, se han contratado desde febrero de 2020 hasta enero de 2021, a través de convenios de asociación con entes privados que administran los centros de atención a personas con discapacidad de la Beneficencia.</t>
  </si>
  <si>
    <t>La dificultad de la Beneficencia de Cundinamarca para cumplir a cabalidad con las metas del Plan Departamental de Desarrollo es no contar con suficientes recursos financieros para el sostenimiento de sus programas sociales, ya que no cuenta con ingresos fijos y sus ingresos dependen de venta de servicios, arrendamientos y venta de activos.  Estos dos últimos se han visto muy afectados en la presente vigencia, producto de la pandemia del covid 19</t>
  </si>
  <si>
    <t>GR5:1-04-02-166</t>
  </si>
  <si>
    <t>166</t>
  </si>
  <si>
    <t>Apoyar 6 procesos que permitan la participación de la población con discapacidad a las prácticas artísticas y culturales.</t>
  </si>
  <si>
    <t>Procesos con la participación de la población con discapacidad a las prácticas artísticas y culturales</t>
  </si>
  <si>
    <t>Dotación.</t>
  </si>
  <si>
    <t>Se aunó esfuerzos con el municipio de Fusagasugá para el fortalecimiento de los procesos de formación artística dirigida a la población en condición de discapacidad a través de la suscripción de un convenio para la  dotación de elementos acorde con las necesidades de las áreas artísticas, con el cual se benefició a 278 personas en condición de discapacidad física, sensorial auditiva, sensorial visual, sistémica, cognitiva, mental, psicosocial y múltiple.</t>
  </si>
  <si>
    <t>Demoras en los procesos administrativos a causa de la emergencia.</t>
  </si>
  <si>
    <t>GR5:1-04-02-167</t>
  </si>
  <si>
    <t>167</t>
  </si>
  <si>
    <t>Cofinanciar 13 eventos deportivos o recreativos anuales para la población con discapacidad.</t>
  </si>
  <si>
    <t>Eventos deportivos y/o recreativos realizados anualmente</t>
  </si>
  <si>
    <t>ACTIVATE LIVE: Actividad dirigida a personas con discapacidad y /o movilidad reducida la cual se transmite los días Lunes y miércoles de 3:00pm a 4:00 pm, esta sesión de entrenamiento se realiza por parte de los profesionales de cada municipio y está dividida en tres partes, parte inicial (calentamiento), parte central (contenido de la sesión) y parte final (elongación-estiramiento).ACTIVATE SIN LÍMITES: esta actividad se realizó en las vacaciones recreativas de nuestros niños, la cual consistió en la realización de diferentes sesiones de entrenamiento como; rumba kids, rumba aeróbica, aeróbicos, entre otras, contando con la participación de los siguientes municipios: Tocancipa, Ubaque, Carmen de Carupa, Sesquile, Madrid, Villeta, Soacha, San Juan de Rioseco y Mosquera.MESAS TECNICAS: Conferencias trasmitidas en vivo por medio de la página del Facebook de Indeportes, en donde se tratan temas de interés acerca del deporte social comunitario y deporte paralímpico, teniendo como invitados, talentos deportivos, profesionales en áreas a fines a la discapacidad y pioneros del futbol para ciegos, donde presentaron la metodología, entrenamientos, competencias, experiencias deportivas y personales.MARATON AEROBICA: Maratón aeróbica realizada el 19 de septiembre de 8:00 am a 4:00 pm, dirigida a personas con discapacidad, cuyo objetivo es brindar espacios recreo deportivos a esta población con diferentes habilidades y capacidades, contando con la participación de los siguientes municipios; El Colegio, Sequile, Caqueza, Topaipi, Carmen de Carupa, Cajica, Tocaima, Albán, Madrid, Fusagasugá, La Calera y La Vega, beneficiando a 900 personas. DIA DEL DEPORTISTA CUNDINAMARQUEZ: Encuentro deportivo con la Liga de futbol para ciegos, el cual se llevó a cabo en el municipio de la Mesa.ACTIVIDAD RECREODEPORTIVA: Actividad dirigida a las personas con discapacidad del municipio de Guayabal de Siquima.</t>
  </si>
  <si>
    <t>GR5:1-04-02-168</t>
  </si>
  <si>
    <t>168</t>
  </si>
  <si>
    <t>Garantizar el funcionamiento de 116 consejos de discapacidad.</t>
  </si>
  <si>
    <t>Consejos de discapacidad con garantía de funcionamiento</t>
  </si>
  <si>
    <t>Funcionamiento de 116 Consejos Municipales de Discapacidad</t>
  </si>
  <si>
    <t>Diagnostico del funcionamiento de los consejos de discapacidadCapacitación en el tema de registro de localización y caracterización de personas con discapacidad.El personal contratado para el desarrollo de las actividades de esta meta con vigencia del plan de desarrollo 2016-2020Creados y funcionando los 116 consejos municipales de DiscapacidadSe capacitaron en "Fortalecimiento De la Política Pública nacional de discapacidad e Inclusión Social" a los 116 Municipios</t>
  </si>
  <si>
    <t>GR5:1-04-02-169</t>
  </si>
  <si>
    <t>169</t>
  </si>
  <si>
    <t>Beneficiar a 2.500 cuidadores o personas con discapacidad con el subsidio monetario.</t>
  </si>
  <si>
    <t>Cuidadores o personas con discapacidad con subsidio monetario</t>
  </si>
  <si>
    <t>1970  subsidios entregados por el Valor de</t>
  </si>
  <si>
    <t>Se garantizo el giro del periodo de mayo y junio Caracterización de los beneficiariosDiagnostico del funcionamiento de los consejos de discapacidadCapacitación en el tema de registro de localización y caracterización de personas con discapacidad.El personal contratado para el desarrollo de las actividades de esta meta con vigencia del plan de desarrollo 2016-2020se aprobo por parte de la Asamblea Deparatmental la ordenanza 037 que garantiza el subsidio para los años 2021a 2024</t>
  </si>
  <si>
    <t>Falta de recursos para el segundo semestre del año 2020</t>
  </si>
  <si>
    <t>GR5:1-04-02-170</t>
  </si>
  <si>
    <t>170</t>
  </si>
  <si>
    <t>Garantizar el funcionamiento de 15 nuevos Centros provinciales de Vida Sensorial.</t>
  </si>
  <si>
    <t>Centros de vida sensorial en funcionamiento</t>
  </si>
  <si>
    <t>se elaboro proyecto de infraestructuraSe estableció un modelo tipo de acuerdo a la población a atender con el presupuesto estimado para cada unose identificaron los municipios que cuentan con inmueble y están interesados</t>
  </si>
  <si>
    <t>GR5:1-04-02-171</t>
  </si>
  <si>
    <t>171</t>
  </si>
  <si>
    <t>Coadyuvar en la operación de los Centros de Vida Sensorial en las 15 provincias.</t>
  </si>
  <si>
    <t>Provincias con coadyuva para operación de centros de vida sensorial.</t>
  </si>
  <si>
    <t>Elaboración del análisis de la población atendida en los centros de vida sensorial en los municipios y georreferenciaciónse caracterizaron 91 centros de vida sensorialEl personal contratado para el desarrollo de las actividades de esta meta con vigencia del plan de desarrollo 2016-2020</t>
  </si>
  <si>
    <t>Los Centros de Vida Sensoriales se  encuentran cerrados  y hasta el momento no se tiene determinado cuando se abren</t>
  </si>
  <si>
    <t>GR5:1-04-02-172</t>
  </si>
  <si>
    <t>ODS 8 - PROMOVER EL CRECIMIENTO ECONÓMICO SOSTENIDO, INCLUSIVO Y SOSTENIBLE, EL EMPLEO PLENO Y PRODUCTIVO Y EL TRABAJO DECENTE PARA TODOS</t>
  </si>
  <si>
    <t>172</t>
  </si>
  <si>
    <t>Implementar un sistema de información departamental para la identificación de ofertas laborales promoviendo la responsabilidad social empresarial para la inclusión.</t>
  </si>
  <si>
    <t>Sistema de información departamental implementado</t>
  </si>
  <si>
    <t>mesa de trabajo con la alta consejería para la discapacidad, agencia nacional de empleo y el DAFF para acceder a la oferta laboral que tenia cada entidad</t>
  </si>
  <si>
    <t>GR5:1-04-02-173</t>
  </si>
  <si>
    <t>173</t>
  </si>
  <si>
    <t>Atender el 90% de las solicitudes de personas en condición de discapacidad con la entrega de ayudas técnicas.</t>
  </si>
  <si>
    <t>Solicitudes de personas en condición de discapacidad atendidas</t>
  </si>
  <si>
    <t>Socialización del formato de ayudas técnicaslevantamiento de ayudas técnicas disponibleEl personal contratado para el desarrollo de las actividades de esta meta con vigencia del plan de desarrollo 2016-2020se entrego el banco de ayudas  a los 35 municipios</t>
  </si>
  <si>
    <t>GR5:1-04-02-174</t>
  </si>
  <si>
    <t>174</t>
  </si>
  <si>
    <t>Desarrollar en las 15 provincias proyectos productivos dirigidos a la población en condición de discapacidad.</t>
  </si>
  <si>
    <t>Provincias con proyectos productivos de PCD.</t>
  </si>
  <si>
    <t>Materiales y equipos</t>
  </si>
  <si>
    <t>Reglamentación del proceso de selección de los proyectos productivos de personas con discapacidadEl personal contratado para el desarrollo de las actividades de esta meta con vigencia del plan de desarrollo 2016-2020Se ejecuto lo establecido en el plan indicativo atendiendo 2 provincias del Departamento  a personas con discapacidad</t>
  </si>
  <si>
    <t>Las personas con discapacidad tuvieron restricciones durante la pandemiael comité de contratación no aprobó el proceso para la entrega de estos aportes</t>
  </si>
  <si>
    <t>GR5:1-04-02-175</t>
  </si>
  <si>
    <t>175</t>
  </si>
  <si>
    <t>Promover en las 15 Provincias del departamento la implementación de los manuales de accesibilidad y planes integrales de accesibilidad.</t>
  </si>
  <si>
    <t>Provincias con promoción de implementación de manuales y planes integrales de accesibilidad</t>
  </si>
  <si>
    <t>socialización del modelo de manual de accesibilidad con que cuenta la SecretariaParticipo en el concurso de Urbanismo Incluyente</t>
  </si>
  <si>
    <t>Reducir en 2.455 personal la población en condición de discapacidad con Pobreza multidimensional</t>
  </si>
  <si>
    <t>GR5:1-04-02-176</t>
  </si>
  <si>
    <t>176</t>
  </si>
  <si>
    <t>Implementar en el 100% de las IED de los municipios no certificados del departamento estrategias de educación inclusiva que garantice el acceso, la permanencia y la calidad de la población con discapacidad y talentos excepcionales.</t>
  </si>
  <si>
    <t>IED con estrategias de educación inclusiva implementada</t>
  </si>
  <si>
    <t>Implementación de estrategias de Educación Inclusiva</t>
  </si>
  <si>
    <t>Se han adelantado capacitaciones y asistencias técnicas frente a decreto 1421 de 2017.   Se realizó el acompañamiento a 270 IED  y 5820 estudiantes con profesionales de apoyo.Con la contratación de los profesionales de apoyo pedagógico se logró la vinculación de 272 IED en procesos de educación inclusiva; capacitación en inclusión educativa  o apoyo para la implementación del decreto 1421 de 2017, igualmente durante la vigencia se logró realizar procesos de valoración y caracterización pedagógica de estudiantes con discapacidad, registrados en el SIMAT, se avanzó en el proceso de formación y acompañamiento a los docentes en realización, seguimiento, conceptos y estrategias para elaboración del PIAR. Teniendo en cuenta la emergencia  generada por el Covid 19, se realizó  la orientación  con diferentes estrategias para  acompañamiento en casa, orientación de tareas, comunicación, pautas de crianza, hábitos de higiene, entre otras,  pese a la emergencia sanitaria por covid 19 se logró  la articulación con los centros de vida sensorial, secretarial de desarrollo social y de educación así como con comisarias de familia y hospitales. Mediante asistencias técnicas se logró orientar a la Institución Educativa en el registro de estudiante en el SIMAT sobre las nuevas  categorías de discapacidad, capacidades o talentos excepcionales y trastornos específicos en el aprendizaje escolar y el comportamiento finalizando con el acompañamiento de  5083  estudiantes con discapacidad y 373 con capacidades o talentos excepcionales, en 260 IED.</t>
  </si>
  <si>
    <t>GR5:1-04-02-177</t>
  </si>
  <si>
    <t>177</t>
  </si>
  <si>
    <t>Garantizar el 80% el cumplimiento de la política pública de discapacidad.</t>
  </si>
  <si>
    <t>Cumplimiento PP Discapacidad</t>
  </si>
  <si>
    <t>Asistencia técnica.</t>
  </si>
  <si>
    <t>Se garantiza el cumplimiento de la política pública de discapacidad Ordenanza No. 0266 de 2015, garantizando el correcto funcionamiento de los comités municipales en pro de los derechos de la población en condición de discapacidad a través de la asistencia técnica. De acuerdo a las actividades del plan de trabajo, se cumplen los instrumentos que acrediten a las personas con discapacidad, mecanismos que prioricen acceso a la justicia de personas con discapacidad, se han facilitado espacios y dotación a personas con discapacidad, se han realizado acciones de rehabilitación integral, garantizando salud y cobertura a dichas personas, y a su vez, desde la secretaría de Gobierno como secretaría técnica de la política, se realizan los comités de discapacidad departamental y se realiza el acompañamiento y asistencia técnica a los consejos municipales de discapacidad. Asimismo, se han realizado jornadas de capacitación inclusión laboral para personas con discapacidad en el sector público.</t>
  </si>
  <si>
    <t>No hay mayor articulación institucional en materia de gestión para la inclusión laboral de personas con discapacidad en el departamento.</t>
  </si>
  <si>
    <t>GR5:1-04-00-543</t>
  </si>
  <si>
    <t>Alcanzar el 100% de cobertura con programas sociales dirigidos a la población en situación de discapacidad.</t>
  </si>
  <si>
    <t>GR5:1-04-02-178</t>
  </si>
  <si>
    <t>178</t>
  </si>
  <si>
    <t>Implementar en 116 municipios acciones de salud integral para personas con discapacidad.</t>
  </si>
  <si>
    <t>Municipios con acciones de salud integral para personas con discapacidad</t>
  </si>
  <si>
    <t>Realizar asistencia tecnica en la promoción del certificado de discapacidad y el RLCPD como herramientas de información e identificación de la PCD, de acuerdo con los lineamientos expuestos en la resolución 583 y 113 de 2020.</t>
  </si>
  <si>
    <t>El proceso del ingreso presupuestal para poder desarrollar el proceso de certificación con las IPS del Departamento.</t>
  </si>
  <si>
    <t>SOCIOCULTURA, RAZA Y TRADICIÓN</t>
  </si>
  <si>
    <t>CUNDINAMARCA INDÍGENA</t>
  </si>
  <si>
    <t>GR5:1-05-00-623</t>
  </si>
  <si>
    <t>Disminur en 238 personas la  población con autorreconocimiento étnico indígena en Pobreza multidimensional</t>
  </si>
  <si>
    <t>GR5:1-05-01-179</t>
  </si>
  <si>
    <t>179</t>
  </si>
  <si>
    <t>Impulsar 6 proyectos productivos en la comunidad indígena acorde con los saberes tradicionales.</t>
  </si>
  <si>
    <t>Proyectos productivos impulsados</t>
  </si>
  <si>
    <t>1 telar e insumos</t>
  </si>
  <si>
    <t>Capacitación a 4 resguardos indígenas para la presentación de proyectos productivosproyecto productivo realizado en el resguardo de chía en el área textilparticipación en convocatoria del ministerio de Justicia y el Derecho para la financiación de tres proyectos los cuales fueron aprobados y asignados recursos</t>
  </si>
  <si>
    <t>el corto periodo del gobierno indígena</t>
  </si>
  <si>
    <t>GR5:1-05-01-180</t>
  </si>
  <si>
    <t>180</t>
  </si>
  <si>
    <t>Articular el 100% de los asentamientos indígenas con los mecanismos de gobernabilidad indígena, municipal, departamental y nacional.</t>
  </si>
  <si>
    <t>Asentamientos indígenas con articulación de mecanismos de gobernabilidad indígena, municipal, departamental y nacional</t>
  </si>
  <si>
    <t>Asistencias, Capacitaciones</t>
  </si>
  <si>
    <t>Encuentro de intercambio cultural indígenaCapacitación en emprendimiento con los 3 resguardos indígenasCapacitación en política y consejo de juventudesCapacitación a los tres resguardos en sistema general de regalíasAcompañamiento en la formulación de proyectos a los 4 resguardos indígenasEl personal profesional contratado para el desarrollo de actividades se realizo con el plan de desarrollo juntos podemos masEncuentro de mujer IndígenaActivación de la mesa Interinstitucional de trabajo en el marco de la protección de los derechos de la comunidad indígena muisca de cota con relación al desalojo de una parte del territorioOferta interinstitucional por parte de la Gobernación de Cundinamarca y entidades de Nivel Nacional en los tres resguardos El acompañamiento en la formulación y presentación ante el ministerio de Justicio de proyectos con enfoque de DDHH prevención de violencia contra la mujer. Por un valor de $169.000.000 en los tres resguardo registrados</t>
  </si>
  <si>
    <t>La conectividad con el gobierno indigena</t>
  </si>
  <si>
    <t>GR5:1-05-01-181</t>
  </si>
  <si>
    <t>ODS 5 - LOGRAR LA IGUALDAD ENTRE LOS GÉNEROS Y EMPODERAR A TODAS LAS MUJERES Y LAS NIÑAS</t>
  </si>
  <si>
    <t>181</t>
  </si>
  <si>
    <t>Impulsar la participación de 4 asentamientos indígenas en eventos que resalten la identidad cultural indígena.</t>
  </si>
  <si>
    <t>Asentamientos indígenas que participan en eventos de identidad cultural</t>
  </si>
  <si>
    <t>Acompañamiento de eventos culturales</t>
  </si>
  <si>
    <t>intercambio cultural de los resguardos indígenas del departamento con muestras ancestralesEl personal profesional contratado para el desarrollo de actividades se realizo con el plan de desarrollo juntos podemos masIntercambio de saberes culturales de mujeres indígenasConmemoración del día internacional de los pueblos indígenas. Conmemoración del día internacional de la mujer  indígena 5 septiembreEncuentro de los saberes ancestrales en el marco del día de la Raza</t>
  </si>
  <si>
    <t>ConectividadDificil desplazamiento de comunidades</t>
  </si>
  <si>
    <t>GR5:1-05-01-182</t>
  </si>
  <si>
    <t>182</t>
  </si>
  <si>
    <t>Adecuar una maloca en el resguardo indígena del municipio de Chía.</t>
  </si>
  <si>
    <t>Malocas adecuadas</t>
  </si>
  <si>
    <t>Visita de reconocimiento Visita Tecnica por Parte del ICCU quien ejecutara los recursos</t>
  </si>
  <si>
    <t>CUNDINAMARCA AFRO</t>
  </si>
  <si>
    <t>GR5:1-05-00-624</t>
  </si>
  <si>
    <t>Disminur en 171 personas la  población con autorreconocimiento étnicoafrodecendiente en Pobreza multidimensional</t>
  </si>
  <si>
    <t>GR5:1-05-02-183</t>
  </si>
  <si>
    <t>183</t>
  </si>
  <si>
    <t>Socializar a 8 grupos afrocolombianos del departamento la promoción y protección de sus derechos.</t>
  </si>
  <si>
    <t>Grupos afrocolombianos con socialización de promoción y protección de sus derechos</t>
  </si>
  <si>
    <t>capacitación a 46 organizaciones de comunidades NARP</t>
  </si>
  <si>
    <t>Formación de 100 integrantes dela comunidad NARP pertinentes a 9 municipios.Encuentro de la conmemoración de la mujer NARPReactivación de la consultiva departamental (2 Sesiones)Elección de delegados a lo diferentes establecimientos de participación departamentalEncuentro de saberes ancestrales dentro de la conmoración del día de la raza</t>
  </si>
  <si>
    <t>Conectividad</t>
  </si>
  <si>
    <t>GR5:1-05-02-184</t>
  </si>
  <si>
    <t>184</t>
  </si>
  <si>
    <t>Impulsar 8 proyectos productivos en la comunidad afrocolombiana acorde con los saberes tradicionales.</t>
  </si>
  <si>
    <t>Proyectos productivos impulsados de comunidad afrocolombiana</t>
  </si>
  <si>
    <t>Maquinaria, equipo y menaje</t>
  </si>
  <si>
    <t>Encuentros con las delegaciones afro para delimitar el tipo de proyecto productivo, los beneficiarios y la necesidad de formaciónApoyo con un proyecto productivo a la organización "Consejo de organizaciones afro de Soacha" que esta conformada por victimas del conflicto</t>
  </si>
  <si>
    <t>CUNDINAMARCA RROM</t>
  </si>
  <si>
    <t>GR5:1-05-00-625</t>
  </si>
  <si>
    <t>Disminur en 8 personas la  población con autorreconocimiento étnico Rrom en Pobreza multidimensional</t>
  </si>
  <si>
    <t>GR5:1-05-03-185</t>
  </si>
  <si>
    <t>185</t>
  </si>
  <si>
    <t>Impulsar 2 proyectos productivos en la comunidad Rrom o gitana acorde con los saberes tradicionales.</t>
  </si>
  <si>
    <t>Proyectos productivos impulsados de comunidad Rrom.</t>
  </si>
  <si>
    <t>proyecto productivo spoysdo</t>
  </si>
  <si>
    <t>Capacitación en la presentación de proyectos productivos Desarrollo de un proyecto productivo</t>
  </si>
  <si>
    <t>GR5:1-05-03-186</t>
  </si>
  <si>
    <t>186</t>
  </si>
  <si>
    <t>Impulsar la participación de la kumpania Rrom en 4 eventos que resalten la identidad cultural del pueblo Rrom que transita el departamento.</t>
  </si>
  <si>
    <t>Eventos con participación de la kumpania Rrom</t>
  </si>
  <si>
    <t>Capacitación en la articulación de acciones culturales junto con el ministerio del interior</t>
  </si>
  <si>
    <t>MÁS COMPETITIVIDAD</t>
  </si>
  <si>
    <t>PRODUCTIVIDAD, UN CAMINO DE DESARROLLO</t>
  </si>
  <si>
    <t>CUNDINAMARCA PRODUCTIVA, REGIÓN QUE PROGRESA</t>
  </si>
  <si>
    <t>GR5:2-01-00-547</t>
  </si>
  <si>
    <t>Aumentar el indicador de complejidad del aparato productivo del índice Departamental de Competitividad.</t>
  </si>
  <si>
    <t>GR5:2-01-01-187</t>
  </si>
  <si>
    <t>187</t>
  </si>
  <si>
    <t>Implementar 3 estrategias para incentivar proyectos productivos de impacto social.</t>
  </si>
  <si>
    <t>Estrategias Implementadas</t>
  </si>
  <si>
    <t>Se implementaron 3 estrategias a saber: 1) Descentralización de la entidad, prestando el servicio en los 116 municipios del departamento: 2) Cofinanciación con otras entidades(sec Competitividad)  para ampliar la línea de crédito para la reactivación económica dirigido a las micro y pequeñas empresas del departamento; 3) Mantenimiento de las líneas de crédito existentes</t>
  </si>
  <si>
    <t>1290</t>
  </si>
  <si>
    <t>AGENCIA COMERCIALIZACION E INNOVACION PA</t>
  </si>
  <si>
    <t>GR5:2-01-01-188</t>
  </si>
  <si>
    <t>188</t>
  </si>
  <si>
    <t>Disponer de una transformadora de alimentos hortícola para que preste servicios a la región.</t>
  </si>
  <si>
    <t>Trasformadora de alimentos al servicio</t>
  </si>
  <si>
    <t>1124</t>
  </si>
  <si>
    <t>SECRETARIA DE AGRICULTURA Y DES.RURAL</t>
  </si>
  <si>
    <t>GR5:2-01-01-189</t>
  </si>
  <si>
    <t>189</t>
  </si>
  <si>
    <t>Implementar 700 proyectos productivos agropecuarios sostenibles dirigidos a la población víctima del conflicto armado.</t>
  </si>
  <si>
    <t>Proyectos productivos implementados</t>
  </si>
  <si>
    <t>Equipos y Elementos para desarrollo de proyectos productivos</t>
  </si>
  <si>
    <t>Se estableció el procedimiento para el sistema integrado de gestión y control SIGC.  Así mismo se socializo el procedimiento a los enlaces de víctimas de todos los municipios del departamento. Se preseleccionaron los municipios a beneficiar de acuerdo con los representantes de las víctimas a la mesa departamental.Se seleccionó a la empresa CI WARRIORS SAS, mediante un proceso de subasta inversa donde el proponente realiza un descuento del 44,49% sobre el valor inicial, de $270.000.000, lo cual permitió una optimización del recurso realizando una reinversión de $120.123.000 con la finalidad de beneficiar un mayor número de víctimas, pasando de un número inicial de 130 proyectos productivos a 202 proyectos productivos, quienes son elegidos por la mesa municipal del subcomité de víctimas, ante la secretaría de agricultura se suscribió el contrato de suministros SADR-CT-011-2020 donde se vincula la suma de $269.998.509.•Refuerzo de capacidades de nuestros productores VCA con la entrega  de equipos y elementos que les permiten disminuir sus costos de producción, volviéndolos más competitivos.</t>
  </si>
  <si>
    <t>1120</t>
  </si>
  <si>
    <t>SRIA COMPETITIVIDAD Y DES.ECONOMICO</t>
  </si>
  <si>
    <t>GR5:2-01-01-190</t>
  </si>
  <si>
    <t>190</t>
  </si>
  <si>
    <t>Promover 3 aglomeraciones económicas de los sectores priorizados en el departamento.</t>
  </si>
  <si>
    <t>Aglomeraciones económicas promovidas</t>
  </si>
  <si>
    <t>GR5:2-01-00-548</t>
  </si>
  <si>
    <t>Aumentar los proceso de emprendimiento y productividad de la mujer cundinamarquesa.</t>
  </si>
  <si>
    <t>GR5:2-01-01-191</t>
  </si>
  <si>
    <t>191</t>
  </si>
  <si>
    <t>Impulsar 1.200 proyectos productivos de mujeres u organizaciones de mujeres, mediante el fortalecimiento técnico, económico y productivo.</t>
  </si>
  <si>
    <t>Proyectos y planes productivos de mujeres impulsados</t>
  </si>
  <si>
    <t>MAQUINARIA E INSUMOS, INSUMOS AGROPECUARIOS Y DEMAS QUE SOLICITARON LAS MUJERES TANTO DEL SECTO RURAL COMO URBANO DEL NUESTRO DEPARTAMENTO.</t>
  </si>
  <si>
    <t>PARA ESTE TRIMESTRES SE LOGRO BENEFICIAR A 124 UNIDADES PRODUCTIVAS DE 77 MUNICIPIOS LOS CUALES SE LE OTORGARON EQUIPOS E INSUMOS PARA SU SEGURIDAD ALIMENTARIA Y ADEMAS SE LOGRO INCREMENTAR SU ACCIONAR EN LOS PROCESOS DE INCLUSION SOCIAL PARA ESTE GRUPO.</t>
  </si>
  <si>
    <t>FALTA DE INTERES DE LOS MUNCIPIOS PARA LOGRAR QUE LA MUJERES TENGAN MEJOR ACCESO A LOS BENEFICIOS QUE OTORGA EL DEPARTAMENTO Y EL SEÑOR GOBERNADOR CON NUESTRO PLAN DE DESARROLLO CUNDINAMARCA REGION QUE PROGRESA.</t>
  </si>
  <si>
    <t>GR5:2-01-00-549</t>
  </si>
  <si>
    <t>Incrementar la intervención en las unidades productivas agropecuarias del departamento.</t>
  </si>
  <si>
    <t>GR5:2-01-01-192</t>
  </si>
  <si>
    <t>192</t>
  </si>
  <si>
    <t>Apoyar en los 116 municipios la prestación del servicio de asistencia técnica y extensión agropecuaria.</t>
  </si>
  <si>
    <t>Municipios con apoyo en asistencia técnica y extensión agropecuaria.</t>
  </si>
  <si>
    <t>GR5:2-01-01-193</t>
  </si>
  <si>
    <t>193</t>
  </si>
  <si>
    <t>Intervenir 8 entornos de desarrollo rural agropecuario con enfoque territorial.</t>
  </si>
  <si>
    <t>Entornos de desarrollo rural agropecuario intervenidos</t>
  </si>
  <si>
    <t>GR5:2-01-01-194</t>
  </si>
  <si>
    <t>194</t>
  </si>
  <si>
    <t>Suministrar 300 kits para el mejoramiento de la productividad agropecuaria (equipos, herramienta o maquinaria).</t>
  </si>
  <si>
    <t>Kits suministrados para el mejoramiento de la productividad agropecuaria</t>
  </si>
  <si>
    <t>Bancos de Maquinaria Agricola</t>
  </si>
  <si>
    <t>Se definió los bancos de maquinaria con base en las necesidades de los municipios y asociaciones a beneficiar, Adicionalmente se realizó el estudio de mercado y estamos en la estructuración de estudios previos para el proceso precontractual.Se adjudicó el contrato de maquinaria, con formalización de contrato por medio de acta de inicio. Estos bancos de maquinaria permiten a los agricultores sentirse respaldados ya que ayudan a optimizar su trabajo, tecnifican el campo y los cultivos, permiten la conservación de suelos, disminuyen sus costos de producción, ayudan a incrementar sus índices productivos, les permite ser más rentables y de paso adquirir mayor competitividad. Así mismo es de suma importancia tener presente el tipo de suelo en el que van a trabajar para de esa manera generar resultados positivos y que la maquinaria dé lo espera Se gestiono con el Ministerio de Agricultura 5 bancos de maquinaría por un valor de $ 999.903.468 los cuales serán entregados en el mes de diciembre en los municipios de Cachipay, Nemocón, Tibirita, Ubate y Villeta los demás bancos de maquinaria se entregaran a los municipios de: Gachancipa, La Calera, La Palma, Sesquile, Simijaca, Suesca y Zipaquira</t>
  </si>
  <si>
    <t>GR5:2-01-01-195</t>
  </si>
  <si>
    <t>195</t>
  </si>
  <si>
    <t>Formalizar 2.000 predios rurales.</t>
  </si>
  <si>
    <t>Predios rurales formalizados</t>
  </si>
  <si>
    <t>GR5:2-01-01-196</t>
  </si>
  <si>
    <t>196</t>
  </si>
  <si>
    <t>Intervenir 30.000 unidades productivas agropecuarias con el fortalecimiento de cadenas productivas a través de estrategias tecnológicas, programas de riego intrapredial y de producción en ambientes controlados, mano de obra calificada y soporte empresarial.</t>
  </si>
  <si>
    <t>Unidades productivas agropecuarias intervenidas</t>
  </si>
  <si>
    <t>1. Mejoramiento de habilidades personales 2. Apoyo a la producción con el suministro de : Insumos agropecuarios ( semillas, material vegetal, abonos,fertilizantes , embriones  entre otros.3. Compra de 750.000 kilos de papa a precio justo y sin intermediarios  y  posteriormente se entrega a población vulnerable  de municipios no productores de Papa ( en 48 municipios)4. Apoyo para el establecimiento de 40 unidades de ½ hectárea en el cultivo del cacao.5. Apoyo para el sostenimiento de 40 unidades de ½ hectárea en el cultivo del cacao.6. Apoyo para el sostenimiento de 64 unidades productivas de ½ hectárea en el cultivo de sagú.7. Apoyo para la complementación de 10 módulos apícolas.8. Apoyo para el sostenimiento de sostenimiento de al menos 253 unidades productivas de 1 hectárea en el cultivo de la papa.9. Elaboración de un documento de análisis de la información en los sistemas de cacao- sagú, papa y sistema apicola.  10. 1375 ganaderos  con mejores habilidades personales en temas de mejoramiento genético, nutricional y sanitario de sus hatos  , mejorando su producción y siendo sostenibles ambientalmente.11. 260  asociaciones agropecuarias y cooperativas de 102 municipios  recibieron  un capital de hasta $20 millones de pesos  para su reactivación económica ( inversiones en maquinaria  y equipo, compra de insumos, entre otros) lo que  ayuda a mejora sus unidades productivas ( 296 unidades productivas )</t>
  </si>
  <si>
    <t>3000 UNIDADES  PRODUCTIVAS  AGROPECUARIAS  DE  LOS SISTEMAS    DE CACAO (80) SAGU (64)  , PAPA (253)  FRUTALES Y HORTALIZAS (580)  , CAFÉ 152 , CAÑA 34,  PRADERAS (68), CULTIVOS TRANSITORIOS (35),APICOLA (10) ,GANADERÍA ( 1375 )   CON ACOMPAÑAMIENTO PROFESIONAL,   CAPACITADOS   CON TRANSFERENCIA DE TECNOLOGÍA Y   SUMINISTRO DE  MATERIALES E INSUMOS  PARA MEJORAR LAS CONDICIONES DE PRODUCTIVIDAD DE LOS MISMOS.SE ADQUIRIERON  750.000 KILOS DE PAPA DE 53 UNIDADES PRODUCTIVAS COMO APOYO A LA CRISIS  ECONÓMICA DE ESTE SECTOR.SE APOYARON 296 ASOCIACIONES CON APORTE ECONÓMICO  PARA LA ADQUISICIÓN DE MATERIALES , EQUIPOS , INSUMOS PARA FORTALECIMIENTO DE SUS SISTEMAS PRODUCTIVOS .</t>
  </si>
  <si>
    <t>GR5:2-01-01-197</t>
  </si>
  <si>
    <t>197</t>
  </si>
  <si>
    <t>Potencializar 600 proyectos productivos de organizaciones agropecuarias o municipios del departamento</t>
  </si>
  <si>
    <t>proyectos productivos potencializados</t>
  </si>
  <si>
    <t>GR5:2-01-01-198</t>
  </si>
  <si>
    <t>198</t>
  </si>
  <si>
    <t>Potencializar 3.000 proyectos productivos agropecuarios con valor agregado para población con enfoque diferencial.</t>
  </si>
  <si>
    <t>Proyectos productivos potencializados</t>
  </si>
  <si>
    <t>Para la ejecución del proyecto de gallinas se entregaron los siguientes materiales: Tejas de zinc de 0,8  m de ancho x 3,65 m de largo, calibre 35, 5  Polisombra Negra 80% 1.0mt x 4.0mt (L x A) Anti-UV, rollos de Malla Gallinero 1,8  m de ancho x 44 m de largo , Bebedero Manual, Comedero,  Acondicionador de suelos,  Microorganismos Eficaces (EM),  Fumigadora de 5 litros, plántulas de lechuga asiatica para el área pastoreo,  semillas ,  bultos x 40 K de Compost,  Concentrado para ponedora , Gallinas, se realizo un taller personalizado con la siguiente temática(Orientación para el establecimiento del galpon y de las areas de pastoreo, manejo del sistema alimentación de la gallina, preparación del suelo y rotación de los lotes de pastoreo, uso y manejo de  Biotecnologias, Recoleccion y manejo de huevos),  visitas de acompañamiento técnico</t>
  </si>
  <si>
    <t>340 MUJERES ESTABLECIERON    PROGRAMA DE " GALLINAS FELICES" PARA LA PRODUCCIÓN DE HUEVO</t>
  </si>
  <si>
    <t>1132</t>
  </si>
  <si>
    <t>SECRETARIA DE MINAS ENERGÍA Y GAS</t>
  </si>
  <si>
    <t>MINERÍA RESPONSABLE Y COMPETITIVA</t>
  </si>
  <si>
    <t>GR5:2-01-00-550</t>
  </si>
  <si>
    <t>Aumentar el porcentaje de formalización minera en Cundinamarca.</t>
  </si>
  <si>
    <t>GR5:2-01-02-199</t>
  </si>
  <si>
    <t>199</t>
  </si>
  <si>
    <t>Asistir a 700 actores mineros del departamento, en temas de buenas prácticas mineras y cumplimiento de los indicadores de formalización.</t>
  </si>
  <si>
    <t>Actores Mineros asistidos</t>
  </si>
  <si>
    <t>Asistencia técnica integral</t>
  </si>
  <si>
    <t>Se ha brindado la asistencia técnica a 126 diferentes actores mineros en las UPM'S  priorizadas y a la comunidad en el aspecto técnico - geológico y en temas administrativos y empresariales</t>
  </si>
  <si>
    <t>Establecer la confianza requerida para que los titulares  permitan ingresar a las UPM y acceder a la documentación contable</t>
  </si>
  <si>
    <t>GR5:2-01-02-200</t>
  </si>
  <si>
    <t>200</t>
  </si>
  <si>
    <t>Impulsar 10 espacios especializados para la promoción e intercambio de conocimientos de la actividad minera del departamento.</t>
  </si>
  <si>
    <t>Espacios especializados impulsados.</t>
  </si>
  <si>
    <t>Eventos de sensibilización en el autocuidado</t>
  </si>
  <si>
    <t>En conjunto con la ANM, la Secretaría de Desarrollo Social y el IDECUT se trabajó con los mineros y sus familias buscando generar conciencia y cultura en el autocuidado</t>
  </si>
  <si>
    <t>En las primeras jornadas no asistieron la cantidad convocada, asistió aproximadamente un 72% de los citados</t>
  </si>
  <si>
    <t>GR5:2-01-02-201</t>
  </si>
  <si>
    <t>201</t>
  </si>
  <si>
    <t>Potencializar 10 procesos productivos del sector minero.</t>
  </si>
  <si>
    <t>Procesos productivos del sector minero Potencializados</t>
  </si>
  <si>
    <t>Asistencia técnica administrativa a las UPM</t>
  </si>
  <si>
    <t>Potencializar y acompañar administrativamente una UPM</t>
  </si>
  <si>
    <t>Acceder a la confianza de los titulares para que suministren información contable de la UPM</t>
  </si>
  <si>
    <t>1285</t>
  </si>
  <si>
    <t>EMPRESAS PUBLICAS DE CUNDINAMARCA</t>
  </si>
  <si>
    <t>CUNDINAMARCA CIENTÍFICA E INNOVADORA</t>
  </si>
  <si>
    <t>CUNDINAMARCA CREA E INNOVA</t>
  </si>
  <si>
    <t>GR5:2-02-00-551</t>
  </si>
  <si>
    <t>Aumentar el promedio de los subpilares de investigación y propiedad industrial del índice Departamental de Competitividad.</t>
  </si>
  <si>
    <t>GR5:2-02-01-202</t>
  </si>
  <si>
    <t>202</t>
  </si>
  <si>
    <t>Realizar una investigación para la innovación en el abastecimiento de agua potable en zonas rurales.</t>
  </si>
  <si>
    <t>Avance del proceso de investigación</t>
  </si>
  <si>
    <t>GR5:2-02-01-203</t>
  </si>
  <si>
    <t>203</t>
  </si>
  <si>
    <t>Crear un centro de desarrollo para la innovación turística y cultural.</t>
  </si>
  <si>
    <t>Centro de desarrollo para la innovación turística y cultural creado</t>
  </si>
  <si>
    <t>GR5:2-02-01-204</t>
  </si>
  <si>
    <t>204</t>
  </si>
  <si>
    <t>Impulsar 3 proyectos de especialización inteligente priorizados en el marco de la comisión regional de competitividad.</t>
  </si>
  <si>
    <t>Proyectos de especialización inteligente impulsados</t>
  </si>
  <si>
    <t>GR5:2-02-01-205</t>
  </si>
  <si>
    <t>205</t>
  </si>
  <si>
    <t>Implementar 3 estrategias de investigación e innovación para la productividad y competitividad del sector minero energético.</t>
  </si>
  <si>
    <t>Estrategias de investigación e innovación del sector minero energético</t>
  </si>
  <si>
    <t>1125</t>
  </si>
  <si>
    <t>SECRETARIA DE CIENCIA  TECNOLOGIA E INNO</t>
  </si>
  <si>
    <t>CUNDINAMARCA FUENTE DE CONOCIMIENTO</t>
  </si>
  <si>
    <t>GR5:2-02-00-552</t>
  </si>
  <si>
    <t>Aumentar el puntaje del pilar de producción de conocimiento y tecnología del Índice departamental de innovación de Colombia.</t>
  </si>
  <si>
    <t>GR5:2-02-02-206</t>
  </si>
  <si>
    <t>206</t>
  </si>
  <si>
    <t>Otorgar 140 créditos condonables en formación de alto nivel para los cundinamarqueses.</t>
  </si>
  <si>
    <t>Créditos otorgados para formación de alto nivel</t>
  </si>
  <si>
    <t>GR5:2-02-02-207</t>
  </si>
  <si>
    <t>207</t>
  </si>
  <si>
    <t>Fomentar 14 semilleros de formación temprana en CTeI.</t>
  </si>
  <si>
    <t>Semilleros de Formación Temprana en CTeI fomentados</t>
  </si>
  <si>
    <t>TRASFERENCIA DE CONOCIMIENTO EN LAS COMUNIDADES DE APRENDIZAJE DE 67 MUNICIPIOS ATRAVEZ DE LA METODOLOGÍA STEM, ASI COMO CAPACITAXCXIIONES A LOS GRUPOS DE APRENDIZAJE</t>
  </si>
  <si>
    <t>EN  2020 DE LAS SE CONSOLIDARON 78 REUNIONES PRIORIZACIÓN DE PROBLEMATICAS EN BASADAS EN LA METODOLOGÍA STEM CON COMUNIDADES DE APRENDIZAJE EN 8 PRONVINCIAS (SOACHA, SÁBANA CENTRO, SÁBANA OCCIDENTE, GUAVIO, TEQUENDAMA, SUMAPAZ, RIONEGRO, GUALIVÁ)PARA EL CUIERRE DE LA VIGENCIA 2020 SE  ESTRUCTURARON DE LOS FUTUROS SEMILLEROS EN LAS 14 PROVINCIAS ASIGNADAS, Y SE DIO CONTINUIDAD A LOS CONTRATOS MEDIANTE LA ADICIÓN PARA CIERRE DE VIGENCIA 2020 CON EL CONTENIDO DE APROPIACIÓN SOCIAL DEL CONOCIMIENTO EN NIÑOS, NIÑAS Y JÓVENES DEL DEPARTAMENTO.</t>
  </si>
  <si>
    <t>LA CONECTIVIDAD EN LAS COMUNIDADES DE APRENDIZAJE UBICADAS EN ZONA RURAL DE LAS PROVINCIAS</t>
  </si>
  <si>
    <t>GR5:2-02-02-208</t>
  </si>
  <si>
    <t>208</t>
  </si>
  <si>
    <t>Incorporar 1.000 nuevos productores en procesos de ciencia y tecnología del sector agropecuario y agroindustrial.</t>
  </si>
  <si>
    <t>Productores incorporados a procesos CT.</t>
  </si>
  <si>
    <t>GR5:2-02-02-210</t>
  </si>
  <si>
    <t>210</t>
  </si>
  <si>
    <t>Vincular a 4.000 nuevos usuarios en las redes virtuales de aprendizaje para encaminar los proyectos educativos a la creación de contenido virtual.</t>
  </si>
  <si>
    <t>Usuarios vinculados a las redes virtuales de aprendizaje</t>
  </si>
  <si>
    <t>Se logró la vinculación de 602  nuevos miembros de la comunidad educativa de Cundinamarca a las redes educativas virtuales, con lo cual se logra  la visibilización proyectos académicos del Departamento.</t>
  </si>
  <si>
    <t>1128</t>
  </si>
  <si>
    <t>SECRETARIA DE TECNOLOGIAS DE LA INFORMA</t>
  </si>
  <si>
    <t>GR5:2-02-02-211</t>
  </si>
  <si>
    <t>211</t>
  </si>
  <si>
    <t>Implementar un semillero de jóvenes emprendedores TIC del departamento.</t>
  </si>
  <si>
    <t>Semillero de emprendedores TIC implementado</t>
  </si>
  <si>
    <t>GR5:2-02-00-553</t>
  </si>
  <si>
    <t>Aumentar la calificación del pilar 3 "Adopción TIC" del índice Departamental de Competitividad.</t>
  </si>
  <si>
    <t>GR5:2-02-02-212</t>
  </si>
  <si>
    <t>212</t>
  </si>
  <si>
    <t>Brindar conectividad a 8 sectores del departamento a través de la Autopista Digital de Cundinamarca ADC.</t>
  </si>
  <si>
    <t>Sectores beneficiados con la Autopista Digital de Cundinamarca - ADC</t>
  </si>
  <si>
    <t>CONECTIVIDAD A INTERNET</t>
  </si>
  <si>
    <t>SE PRESTÓ EL SERVICIO A 901 INSTITUCIONES PÚBLICAS DEL DEPARTAMENTO DE 8 SECTORES, ASÍ: AGRICULTURA: 5; CULTURA: 168; EDUCACIÓN: 499; GOBIERNO: 86; POSTCONFLICTO: 3; SALUD: 92; SEGURIDAD: 38; TURISMO: 10.</t>
  </si>
  <si>
    <t>GR5:2-02-02-213</t>
  </si>
  <si>
    <t>213</t>
  </si>
  <si>
    <t>Brindar conectividad a 100 sedes de la red de salud pública departamental.</t>
  </si>
  <si>
    <t>Sedes red de salud pública con conectividad</t>
  </si>
  <si>
    <t>LA  ADC BRINDA SERVICIO DE CONECTIVIDAD A 92 SEDES PUBLICAS DE SALUD.</t>
  </si>
  <si>
    <t>GR5:2-02-02-214</t>
  </si>
  <si>
    <t>214</t>
  </si>
  <si>
    <t>Capacitar en uso y apropiación de las TIC a cundinamarqueses pertenecientes a 6 sectores de desarrollo del departamento</t>
  </si>
  <si>
    <t>Sectores capacitados en TIC</t>
  </si>
  <si>
    <t>CAPACITACION</t>
  </si>
  <si>
    <t>11.743 CUNDINAMARQUESES SE CAPACITARON DE MANERA PRESENCIAL Y VIRTUAL, EN USO Y APROPIACIÓN DE LAS TIC</t>
  </si>
  <si>
    <t>GR5:2-02-02-215</t>
  </si>
  <si>
    <t>215</t>
  </si>
  <si>
    <t>Participar en 2 convocatorias de financiación para proyectos TIC en el departamento.</t>
  </si>
  <si>
    <t>Convocatorias presentadas</t>
  </si>
  <si>
    <t>GR5:2-02-02-216</t>
  </si>
  <si>
    <t>216</t>
  </si>
  <si>
    <t>Garantizar el funcionamiento del 100% de los centros interactivos digitales del departamento.</t>
  </si>
  <si>
    <t>Centros Interactivos Digitales en funcionamiento</t>
  </si>
  <si>
    <t>CENTROS INTERACTIVOS OPERANDO</t>
  </si>
  <si>
    <t>A LA FECHA SE ENCUENTRAN OPERATIVOS 46 CENTROS INTERACTIVOS.</t>
  </si>
  <si>
    <t>MÁS INVESTIGACIÓN, MÁS DESARROLLO</t>
  </si>
  <si>
    <t>GR5:2-02-00-554</t>
  </si>
  <si>
    <t>Aumentar el puntaje del pilar de capital humano e investigación del Índice departamental de innovación para Colombia.</t>
  </si>
  <si>
    <t>GR5:2-02-03-217</t>
  </si>
  <si>
    <t>217</t>
  </si>
  <si>
    <t>Crear 2 actores del sistema de CTeI en el departamento.</t>
  </si>
  <si>
    <t>Actores del Sistema CTeI creados.</t>
  </si>
  <si>
    <t>INFRAESTRUCTURA ADECUADOLABORATORIO DOTADOPRUEBAS ENTREGADAS</t>
  </si>
  <si>
    <t>EL FORTALECIMIENTO Y DOTACIÓN DEL LABORATORIO DE SALUD PÚBLICA DEL DEPARTAMENTO, COMPRENDE COMO ACTIVIDADES Y PRODUCTOS LA DOTACIÓN DEL LABORATORIO, LA ENTREGA DE PRUEBAS PCR Y LA INFRAESTRUCTURA ADECUADA QUE PERMITA UNA ATENCIÓN OPORTUNA Y EFICENTE PARA TODOS LOS CUNDINAMARQUESES</t>
  </si>
  <si>
    <t>LOS TIEMPOS DE ADECUACIÓN DE LA INFRAESTTRUCTURA HA TENIDO IMPREVISTOS QUE DEBEN CONTEMPLARSE PRESUPUESTALMENTE DE ACUERDO A MAYPORES Y MENORES CANTIDADES EN OBRAS QUE DEBERAN AJUSTARSE AL INTERIOR DEL PROYECTO CON ARAS DE ENCONTRAR UNA MEJOR PRESTACIÓN DE SERVICIO ACORDE A LOS REQUERIMIENTOS DEL SISTEMA DE SALUD DEL PAÍS MAXIME QUE ESTE PROYECTO FUE ORIGINADO EN BUSCA DE MITIGAR LOS IMPACTOS GENERADOS POR EL COVID-19, POR LO QUE FUE RELEVANTE ADELANTAR EL CÓMITE DIRECTIVO DEL PROYRCTO PARA LA APROBACIÓN RESPECTIVA</t>
  </si>
  <si>
    <t>GR5:2-02-03-218</t>
  </si>
  <si>
    <t>218</t>
  </si>
  <si>
    <t>Beneficiar 250 empresas que incorporen ciencia, tecnología e innovación.</t>
  </si>
  <si>
    <t>Empresas con incorporación CTeI</t>
  </si>
  <si>
    <t>GR5:2-02-03-219</t>
  </si>
  <si>
    <t>219</t>
  </si>
  <si>
    <t>Implementar 2 herramientas de análisis y evaluación provincial en CTeI.</t>
  </si>
  <si>
    <t>Herramientas de análisis y evaluación provincial en CTeI Implementadas</t>
  </si>
  <si>
    <t>GR5:2-02-03-220</t>
  </si>
  <si>
    <t>220</t>
  </si>
  <si>
    <t>Actualizar la Política Pública de Ciencia Tecnología e Innovación del departamento.</t>
  </si>
  <si>
    <t>Política de Ciencia Tecnología e Innovación actualizada</t>
  </si>
  <si>
    <t>GR5:2-02-03-221</t>
  </si>
  <si>
    <t>221</t>
  </si>
  <si>
    <t>Participar en 8 eventos de innovación y tecnología.</t>
  </si>
  <si>
    <t>Eventos de innovación y tecnología con participación</t>
  </si>
  <si>
    <t>DOTACIÓN DE KITS DE ROBOTICA A LOS MUNICPIOS QUE HAN MOSTRADO ENTERESA Y TRABAJO EN LA CIENCIA, LA TECNOLOGÍA Y LA INNOVACIÓN</t>
  </si>
  <si>
    <t>RUTAS PARA EL PROGRESO</t>
  </si>
  <si>
    <t>VÍAS MOTOR DEL DESARROLLO</t>
  </si>
  <si>
    <t>GR5:2-03-00-555</t>
  </si>
  <si>
    <t>Aumentar el puntaje del subpilar "vías a cargo del departamento en buen estado" del índice Departamental de Competitividad.</t>
  </si>
  <si>
    <t>GR5:2-03-01-224</t>
  </si>
  <si>
    <t>224</t>
  </si>
  <si>
    <t>Mejorar 350 kilómetros de vías de primer orden.</t>
  </si>
  <si>
    <t>Km mejorados</t>
  </si>
  <si>
    <t>74,65 km de vías de primer orden mejorados</t>
  </si>
  <si>
    <t>Durante la vigencia 2020 se han adelantado obras de mejoramiento en 74,65 Km de vías de primer orden, beneficiando a los municipios de: Albán, Anapoima, Bojacá, Guasca, Guatavita, La Mesa, Mosquera, Sasaima, Sesquilé, Tena y Villeta; mejorando las condiciones de transitabilidad y conectividad en las vías primarias del Departamento.</t>
  </si>
  <si>
    <t>GR5:2-03-01-225</t>
  </si>
  <si>
    <t>225</t>
  </si>
  <si>
    <t>Elaborar estudios y diseños de 300 km para proyectos de infraestructura vial.</t>
  </si>
  <si>
    <t>Km de infraestructura vial con estudios y diseños</t>
  </si>
  <si>
    <t>GR5:2-03-01-226</t>
  </si>
  <si>
    <t>226</t>
  </si>
  <si>
    <t>Mejorar 270 kilómetros de vías de segundo orden.</t>
  </si>
  <si>
    <t>GR5:2-03-01-227</t>
  </si>
  <si>
    <t>227</t>
  </si>
  <si>
    <t>Rehabilitar 130 kilómetros de vías de segundo orden.</t>
  </si>
  <si>
    <t>Km rehabilitados</t>
  </si>
  <si>
    <t>2,48 Km de vías atendidos con obras de rehabilitación.</t>
  </si>
  <si>
    <t>Durante la vigencia 2020 se han ejecutado obras de rehabilitación en 2,48 Km de vías, de los cuales 1,80 Km se ejecutaron en el municipio de Anolaima y 0,10 Km, 0,53 Km y 0,05 Km en  los municipios de San Juan de Rioseco, Vianí y Guayabal de Síquima respectivamente.Adicionalmente, se encuentran en ejecución proyectos de  rehabilitación de vías de segundo orden mediante los tres contratos de concesión del departamento, y contratos de obra pública en diferentes municipios del Departamento, de igual forma se han identificado posibles tramos de intervención en el marco del proyecto memorable "Plan 500" con el objetivo de atender las necesidades en términos de infraestructura vial en la red segundaría del Departamento.</t>
  </si>
  <si>
    <t>En el marco de la crisis sanitaria producto del virus COVID-19 la ejecución de las obras y los procesos de contratación se vieron retrasados y suspendidos durante algunos meses de la vigencia, razón por la cual se dificultó la ejecución de algunas obras de rehabilitación.</t>
  </si>
  <si>
    <t>GR5:2-03-01-228</t>
  </si>
  <si>
    <t>228</t>
  </si>
  <si>
    <t>Mantener 1.000 kilómetros de vías departamentales pavimentadas.</t>
  </si>
  <si>
    <t>Km intervenidos</t>
  </si>
  <si>
    <t>1.160 Km con mantenimiento periódico o rutinario</t>
  </si>
  <si>
    <t>Durante la vigencia 2020 se han desarrollado actividades de mantenimiento periódico y rutinario en 1.160,29 Km del departamento, beneficiando los municipios de: Agua de dios, Albán, Anapoima, Anolaima, Apulo, Bituima, Bojacá, Cachipay, Chaguaní, Chía, Cota, El Colegio, Facatativá, Funza, Girardot, Guataquí, Guayabal de Síquima, Jerusalen, La Mesa, La Tena, La Vega, Mosquera, Puli, Quipile, Ricaurte, San Antonio del Tequendama, San Juan de Rioseco, Sasaima, Soacha, Tocaima, Vianí, Villeta, Viotá, Zipacón; mejorando las condiciones de transitabilidad en las vías del Departamento.</t>
  </si>
  <si>
    <t>En el marco de la crisis sanitaria producto del virus COVID-19 la ejecución de las obras y los procesos de contratación se vieron retrasados y suspendidos durante algunos meses de la vigencia, razón por la cual se dificultó la ejecución de algunas obras de mantenimiento.</t>
  </si>
  <si>
    <t>GR5:2-03-01-229</t>
  </si>
  <si>
    <t>229</t>
  </si>
  <si>
    <t>Mantener 10.000 kilómetros de vías de segundo y tercer orden, en afirmado.</t>
  </si>
  <si>
    <t>122,81 km  atendidos con mantenimiento</t>
  </si>
  <si>
    <t>Durante la vigencia se han ejecutado oras de mantenimiento en 122,81 Km correspondientes a los municipios de: Tena, San Francisco, La Vega, Chipaque, Une, Supatá, Vergara, Cáqueza, Funza, Cucunubá y Lenguazaque. Adicionalmente, se han suscrito convenios con los municipios del Departamento para la ejecución de obras de mantenimiento a través de la entrega de maquinaria amarilla.</t>
  </si>
  <si>
    <t>GR5:2-03-01-230</t>
  </si>
  <si>
    <t>230</t>
  </si>
  <si>
    <t>Intervenir 220 puentes.</t>
  </si>
  <si>
    <t>Puentes intervenidos</t>
  </si>
  <si>
    <t>6 puentes intervenidos</t>
  </si>
  <si>
    <t>Durante la vigencia 2020 se intervinieron 6 puentes en los municipios de: Gutiérrez, Machetá, Quetame, San Francisco, Topaipí y Villagómez; mejorando las condiciones de conectividad en el Departamento.</t>
  </si>
  <si>
    <t>GR5:2-03-01-231</t>
  </si>
  <si>
    <t>231</t>
  </si>
  <si>
    <t>Atender el 100% de las emergencias viales presentadas en el departamento.</t>
  </si>
  <si>
    <t>Emergencias Atendidas</t>
  </si>
  <si>
    <t>100% de las emergencias reportadas en el departamento atendidas.</t>
  </si>
  <si>
    <t>Durante la vigencia 2020 se han atendido el 100% de las emergencias reportadas en los municipios de: Cabrera, Cota, El Colegio, Fusagasugá, Gutierrez, Medina, Nimaima, San Bernardo, Villagómez.</t>
  </si>
  <si>
    <t>GR5:2-03-01-232</t>
  </si>
  <si>
    <t>232</t>
  </si>
  <si>
    <t>Mejorar 80.000 m2 de vías urbanas en el departamento.</t>
  </si>
  <si>
    <t>Metros cuadrados intervenidos</t>
  </si>
  <si>
    <t>4.509,61 m2 de vías urbanas intervenidas con  obras de mejoramiento.</t>
  </si>
  <si>
    <t>Durante la vigencia se han ejecutado obras de mejoramiento de vías urbanas en 4.509,61 m2, beneficiando a los municipios de: Paime (1.582,29 m2), El Colegio  (295,32 m2), Nimaima (400 m2), Tibacuy (1.260 m2)  y Funza (972 m2). Actualmente se encuentran en ejecución proyectos de mejoramiento de vías urbanas en los diferentes municipios del Departamento.</t>
  </si>
  <si>
    <t>En el marco de la crisis sanitaria producto del virus COVID-19 la ejecución de las obras y los procesos de contratación se vieron retrasados y suspendidos durante algunos meses de la vigencia, razón por la cual se dificultó la ejecución de algunas obras de mejoramiento de vías urbanas; adicionalmente es necesario para la ejecución de este tipo de proyectos que los municipios cuenten con Plan Maestro de Alcantarillado, razón por la cual disminuye el número de proyectos viabilizados.</t>
  </si>
  <si>
    <t>GR5:2-03-01-233</t>
  </si>
  <si>
    <t>233</t>
  </si>
  <si>
    <t>Construir 1.050.000 de m2 de placa huella.</t>
  </si>
  <si>
    <t>101.691,30 m2 de placa huella construidos.</t>
  </si>
  <si>
    <t>Durante la vigencia 2020 se construyeron 101.691,30 m2 de placa huella, mejorando las condiciones de conectividad y transitabilidad en los municipios de: Agua de Dios, Anolaima, Cabrera, Chipaque, Choachi, El Colegio, Fusagasugá, Guachetá, Guasca, Guataquí, Guatavita, Guayabetal, Gutierrez, Junin, La Calera, La Mesa, Nilo, Nimaima, Paime, Pandi, Pasca, Ricaurte, San Bernardo, San Cayetano, San Francisco, Sesquilé, Simijaca, Soacha, Supatá, Tausa, Tena, Tibacuy, Tibirita, Tocaima, Ubalá, Ubaté, Venecia, Villapinzón y Yacopí.</t>
  </si>
  <si>
    <t>GR5:2-03-01-234</t>
  </si>
  <si>
    <t>234</t>
  </si>
  <si>
    <t>Implementar la estrategia "CuidaVía" para la intervención vial con dotación, demarcación, señalización y logística de vanguardia mundial.</t>
  </si>
  <si>
    <t>*GESTIÓN Y PROMOCIÓN DE LA SEGURIDAD VIAL – GPS” Esta estrategia entrego una   reducción de los índices de accidentalidad, el mejoramiento de los tiempos de recorridos, sin que se traduzca en favorecer la velocidad sobre la seguridad, orientación a los actores viales en el uso adecuado de la vía y reducción en el tiempo de reacción por parte de las autoridades a los incidentes y accidentes presentados*Se entrega un primer documento técnico que contiene el  diagnóstico, de un inventario de flora y fauna, una caracterización y localización de las mismas, que permita evaluar dentro del marco de seguridad vial que dentro de las proyecciones viales se deban tener en cuenta los parámetros ambientales creando una especie de armonización entre infraestructura vial (19) ciclo rutas llevadas en el departamento * (16.015) asistentes a las diferentes ciclo rutas ejecutadas por la secretaria de movilidad * (1311) bicicletas marcadas * (10.900) Bici usuarios capacitados en el uso adecuado de la bicicleta de acuerdo a la normatividad vigente* (212) Capacitaciónes  en Cultura Bici  asistentesCOMPONENTE PEDAGÓGICO SEÑALIZACIÓN Y DEMARCACIÓN Consultoría para el diagnóstico y formulación de los diseños integrales de señalización e Identificación de  los  puntos de la malla vial son propensos de ser intervenidos de manera puntual y  reducir los  posibles focos de siniestralidad en cada uno de los municipios para la mitigación de riesgos y amenazas que se deben implementar mediante el uso de señalización vial. En los municipios:Mesitas del ColegioUbaláGachancipáNocaimaSasaima</t>
  </si>
  <si>
    <t>*COMPONENTE  DESARROLLAR LA ESTRATEGIA GESTORES DE PROMOCIÓN DE SEGURIDAD VIAL – GPSSe logro el Proceso de gestión de la movilidad con aspectos de manejo de tránsito, cumplimiento de la normatividad en las vías de nuestro Departamento, reporte oportuno de accidentes o incidentes presentados en vía, apoyó a socialización y aplicación de planes piloto de movilidad. -Planes Candado. -Ciclo VíasCon la creación de un grupo  operativo:*Soacha – Sibaté: con un equipo de 24 gestores viales, 1 motorizado y 2 coordinadores operativos. *Chía – Mosquera: 29 gestores, 5 motorizados y 4 coordinadores operativos. *Se logro Mayor eficacia en los tiempos de respuesta a los incidentes presentados en las vías. Mejora de movilidad representada en menores tiempos de recorridos. BENEFICIO   2.5 millones de personas, contando con la población flotante entre Bogotá y los Municipios Aledaños a Sabana de Occidente, Sabana Centro y Soacha*COMPONENTE DOTACIÓNSe dotaron de toda su indumentaria, es decir uniformes para identificación y protección, elementos de señalización como 80 conos para intersección vial y señalización con elementos visuales para la gestión del tráfico.(El 12 de noviembre 2020) La Secretaría de Transporte y Movilidad de Cundinamarca entregó kits de seguridad vial a los municipios Cajicá, Cáqueza, Chocontá, Cota, Ricaurte, Sibaté, Vergara y Villeta. La iniciativa del ente departamental hace parte de la estrategia “Cuida Vía”, que adelanta el Gobierno Departamental en todo el territorio.“Hemos entregado ocho kits de seguridad vial a diferentes municipios de quinta y sexta categoría para que puedan solucionar sus eventualidades en temas de siniestros viales. Con este programa buscamos ofrecer  todo el apoyo en materia de seguridad vial en cada rincón de nuestro departamento*COMPONENTE PEDAGÓGICO SEÑALIZACIÓN Y DEMARCACIÓN Consultoría para el diagnóstico y formulación de los diseños integrales de señalización e Identificación de  los  puntos de la malla vial son propensos de ser intervenidos de manera puntual y  reducir los  posibles focos de siniestralidad en cada uno de los municipios para la mitigación de riesgos y amenazas que se deben implementar mediante el uso de señalización vial. En los municipios:Mesitas del ColegioUbaláGachancipáNocaimaSasaima *COMPONENTE  DESARROLLAR LA ESTRATEGIA DEL PROGRAMA DE PREVISIÓN Y PREVENCIÓN VIALSe ha desarrollado la estrategia de previsión y prevención de accidentalidad a través del acercamiento en el apoyo técnico al desarrollo de los planes locales de seguridad vial y planes estratégicos de seguridad vial con un total de 28 Profesionales los cuales realizan acompañamiento a los 116 municipios del departamento tanto en entidades públicas como privadas.*COMPONENTE ESTRATEGIA DEL PROGRAMA DE APROPIACIÓN Y PEDAGOGÍA EN EL TRANSPORTE MULTIMODALse han desarrollado acercamientos con empresas de Transporte público de pasajeros en las provincias de Sabana de Occidente, Sabana Centro, Tequendama y Sumapaz, las cuales vienen implementado sus Planes Estratégicos de Seguridad Vial y adecuando los ya existentes con el fin de disminuir la accidentalidad en el departamento.*COMPONENTE IMPLEMENTAR PARQUES PEDAGÓGICOS.Se ha identificado un parque móvil pedagógico infantil el cual está en mantenimiento con el objetivo de aplicar el uso del mismo en el 4 trimestre del año 2020*COMPONENTE FLORA Y FAUNASe  logro  el reconocimiento y  recorrido, diagnostico e inventario de flora y fauna a las siguientes vías de segundo orden departamental denominadas troncales: en las Provincia de Ubaté y  Sabana Occidente: El Rosal, Funza, Subachoque y Zipacón. Con la entrega del documento técnico  *COMPONENTE  CULTURA DEL CUIDADO- “CUIDAVÍA”Se realizaron mesas de trabajo y  de forma articulada con el  CEIS en aspectos de movilidad y protección animal para realizar campaña conjunta, donde se comprometieron las partes a promover una campaña conjunta de publicidad  (PISA EL FRENO HAY VIDA EN LA VÍA Y EVENTO INTERNACIONAL DE PROTECCIÓN DE FAUNA EN LA VÍAS)Tres jornadas de capacitación con 80 servidores públicos autoridades de tránsitoLas tres capacitaciones planeadas se pudieron cumplir por medio virtual y estuvo dirigida a autoridades de tránsito de los municipios de Sabana de Occidente y actores viales (bici usuarios y transportadores)COMPONENTE CICLO VÍAS POR  LA VIDA INTERMUNICIPALES (19) Ciclo vías llevadas acabo por el departamento * (16.015) asistentes a las diferentes ciclorrutas ejecutadas por la secretaria de movilidad * (1311) bicicletas marcadas * (10.900) Bici usuarios capacitados en el uso adecuado de la bicicleta de acuerdo a la normatividad vigente* (212) Capacitaciones  en Cultura Bici  asistentes</t>
  </si>
  <si>
    <t>EDIFICANDO PROGRESO</t>
  </si>
  <si>
    <t>GR5:2-03-00-556</t>
  </si>
  <si>
    <t>Aumentar los municipios con infraestructura productiva y competitiva.</t>
  </si>
  <si>
    <t>GR5:2-03-02-235</t>
  </si>
  <si>
    <t>235</t>
  </si>
  <si>
    <t>Embellecer 10 centros históricos o sitios atractivos como destinos turísticos.</t>
  </si>
  <si>
    <t>Centros históricos embellecidos</t>
  </si>
  <si>
    <t>GR5:2-03-02-236</t>
  </si>
  <si>
    <t>236</t>
  </si>
  <si>
    <t>Intervenir 100 unidades agroindustriales con mejoramiento de infraestructura menor.</t>
  </si>
  <si>
    <t>Unidades Agroindustriales intervenidas</t>
  </si>
  <si>
    <t>GR5:2-03-02-237</t>
  </si>
  <si>
    <t>237</t>
  </si>
  <si>
    <t>Intervenir 30 infraestructuras productivas y competitivas.</t>
  </si>
  <si>
    <t>Infraestructuras productivas y competitivas intervenidas</t>
  </si>
  <si>
    <t>1. CONSTRUCCIÓN PRIMERA ETAPA PLAZA DE FERIAS DE VILLA DE SAN DIEGO DE UBATE, CUNDINAMARCA2. ADECUACIÓN DE LAS INSTALACIONES DE LA PLAZA DE MERCADO DEL MUNICIPIO DE SAN FRANCISCO CUNDINAMARCA3.MEJORAMIENTO Y CONSTRUCCIÓN FASE I DE LA PLAZA DE MERCADO DEL MUNICIPIO DE TOCAIMA</t>
  </si>
  <si>
    <t>-Apoyamos a 25 municipios,  correspondientes a 10 provincias del Departamento con la presentación de sus proyectos de infraestructura productiva a la convocatoria 001 de 2020 adelantada por el DPS, con el fin de obtener su financiación o cofinanciación (C</t>
  </si>
  <si>
    <t>En atención a la emergencia sanitaria presentada durante la vigencia en ocasión del COVID-19, se retrasó la ejecución de obras de infraestructura productiva, dificultando la ejecución de la meta programada para la vigencia.</t>
  </si>
  <si>
    <t>GR5:2-03-02-238</t>
  </si>
  <si>
    <t>238</t>
  </si>
  <si>
    <t>Implementar la primera fase del centro de formación minero energético de Cundinamarca.</t>
  </si>
  <si>
    <t>Fases implementadas</t>
  </si>
  <si>
    <t>AL SERVICIO DE LA COMPETITIVIDAD</t>
  </si>
  <si>
    <t>GR5:2-03-00-557</t>
  </si>
  <si>
    <t>Disminuir el déficit de cobertura de servicio público de energía eléctrica.</t>
  </si>
  <si>
    <t>GR5:2-03-03-239</t>
  </si>
  <si>
    <t>239</t>
  </si>
  <si>
    <t>Conectar 1.000 usuarios al servicio de energía eléctrica en zona rural y urbana del departamento.</t>
  </si>
  <si>
    <t>Usuarios conectados al servicio de energía eléctrica</t>
  </si>
  <si>
    <t>Conexiones al servicio de energía eléctrica</t>
  </si>
  <si>
    <t>Se conectaron 278 viviendas al servicio de energía eléctrica en 21 municipios del departamento</t>
  </si>
  <si>
    <t>Retraso en la instalación de medidores por causa del Covid-19</t>
  </si>
  <si>
    <t>GR5:2-03-00-558</t>
  </si>
  <si>
    <t>Disminuir el índice ponderado de agua no contabilizada de los acueductos urbanos.</t>
  </si>
  <si>
    <t>GR5:2-03-03-240</t>
  </si>
  <si>
    <t>240</t>
  </si>
  <si>
    <t>Implementar en 60 municipios la estrategia para mejorar la eficiencia de los prestadores de servicios públicos.</t>
  </si>
  <si>
    <t>Servicio de asistencia técnicaTubería instalada</t>
  </si>
  <si>
    <t>Veinte (20) municipios del departamento con asistencia técnica instalandoo tuberia para la optimización operacional y reducción de pérdidas en los sistemas de distribución en los municipios de: Agua de Dios, Cáqueza, El Colegio, Fómeque, Gachetá, Jerusalén, La Mesa, La Vega, Manta, Nocaima, Pasca, Quetame, San Antonio del Tequendama, San Cayetano, Supatá, Tocaima, Topaipí, Vianí, Viotá, Yacopí.Por otro lado el proyecto de Metrología y control operacional de pérdidas, se encuentra en ejecución con los siguientes porcentajes de avance en los municipios de Facatativá 39%, Zipaquirá 24%, La Mesa 53%, Anapoima 60%, Nimaima 80%, Ubatè 60%, La Calera 80%,  San Juan de Rioseco 70% y Pacho  100%.</t>
  </si>
  <si>
    <t>GR5:2-03-00-559</t>
  </si>
  <si>
    <t>Incrementar la cobertura de acueducto rural.</t>
  </si>
  <si>
    <t>GR5:2-03-03-241</t>
  </si>
  <si>
    <t>241</t>
  </si>
  <si>
    <t>Conectar a 50.000 personas nuevas al servicio de acueducto rural.</t>
  </si>
  <si>
    <t>Personas nuevas con acceso al servicio de acueducto rural</t>
  </si>
  <si>
    <t>Nuevas conexiones al servicio de acueducto rural</t>
  </si>
  <si>
    <t>Se analizaron los datos arrojados por la Gran encuesta Integrada de hogares del DANE, junto con la proyección de la población departamental del DANE,  donde se obtuvo como resultado que se conectaron  24.186 nuevos habitantes en Cundinamarca  para el año 2020, los cuales fueron gestionados de manera conjunta con los municipios de Departamento. El proyecto Construcción de las redes de acueducto y alcantarillado de la urbanización de La Colina Centro Poblado Paquiló y La Popa del municipio de Beltrán, fue terminado al 100%, beneficiando a 46 nuevas conexiones para un total de 92  nuevos habitantes conectados, con 230 predios con conexión sin vivienda construidaEl proyecto Optimización redes principales y construcción de redes secundarias acueducto regional Pandi Fase III, fue terminado al 100%, beneficiando a 832 nuevas personas conectadas.</t>
  </si>
  <si>
    <t>GR5:2-03-03-242</t>
  </si>
  <si>
    <t>242</t>
  </si>
  <si>
    <t>Beneficiar a 400 acueductos rurales con mejoramiento institucional y técnico.</t>
  </si>
  <si>
    <t>Acueductos rurales con mejoramiento institucional y técnico.</t>
  </si>
  <si>
    <t>GR5:2-03-00-560</t>
  </si>
  <si>
    <t>Incrementar la cobertura de acueducto urbano.</t>
  </si>
  <si>
    <t>GR5:2-03-03-243</t>
  </si>
  <si>
    <t>243</t>
  </si>
  <si>
    <t>Conectar a 488.000 personas nuevas al servicio de acueducto urbano.</t>
  </si>
  <si>
    <t>Personas nuevas con acceso al servicio de acueducto urbano</t>
  </si>
  <si>
    <t>Nuevas conexiones al servicio de acueducto urbano</t>
  </si>
  <si>
    <t>El proyecto Construcción de la PTAP de Villagómez,  fue terminado al 100%, beneficiando a 248 nuevas conexiones para un total de 568 nuevos habitantes conectados.El proyecto Construcción de obras para la optimización del acueducto de la cabecera municipal de San Antonio del Tequendama Fase II PTAP,  fue terminado al 100%, donde se benefician a 471 conexiones nuevas para un total de 1034 personas nuevas conectadasEl proyecto Construcción del Acueducto para la Urbanización Villa de Jesus  del municipio de Guaduas, fue terminado al 100%, el cual beneficia a 302 conexiones nuevas, para un total d e 655 habitantes nuevos conectados.Se analizaron los datos arrojados por la Gran encuesta Integrada de hogares del DANE, junto con la proyección de la población departamental del DANE,  donde se obtuvo como resultado que se conectaron  148.313 nuevos habitantes en Cundinamarca  para el año 2020, los cuales fueron gestionados de manera conjunta con los municipios de Departamento.</t>
  </si>
  <si>
    <t>GR5:2-03-00-561</t>
  </si>
  <si>
    <t>Incrementar la cobertura de alcantarillado rural.</t>
  </si>
  <si>
    <t>GR5:2-03-03-244</t>
  </si>
  <si>
    <t>244</t>
  </si>
  <si>
    <t>Conectar a 60.000 personas nuevas al servicio de alcantarillado o con solución de saneamiento de aguas servidas en la zona rural</t>
  </si>
  <si>
    <t>Nuevas personas rurales conectadas al alcantarillado o con saneamiento de aguas servidas</t>
  </si>
  <si>
    <t>Nuevas conexiones al servicio de alcantarillado rural</t>
  </si>
  <si>
    <t>Terminación de 6 proyectos de construcción de unidades sanitarias, de los cuales se han entregado 294 unidades, con certificación por parte del municipio de Villapinzón (25, 61), Guachetá (40, 79), Guataquí (120, 271), Guatavita (35, 73), La Vega (42, 67 ), Fuquene (32, 61),  beneficiando a  612  nuevos habitantes.El proyecto Construcción de las redes de acueducto y alcantarillado de la urbanización de La Colina Centro Poblado Paquiló y La Popa del municipio de Beltrán, fue terminado al 100%, beneficiando a 46 nuevas conexiones para un total de 92  nuevos habitantes conectados.En complemento a lo anterior se analizaron los datos arrojados por la Gran encuesta Integrada de hogares del DANE, junto con la proyección de la población departamental del DANE,  donde se obtuvo como resultado que se conectaron  22.507 nuevos habitantes en Cundinamarca  para el año 2020, los cuales fueron gestionados de manera conjunta con los municipios de Departamento.</t>
  </si>
  <si>
    <t>GR5:2-03-00-562</t>
  </si>
  <si>
    <t>Incrementar la cobertura de alcantarillado urbano.</t>
  </si>
  <si>
    <t>GR5:2-03-03-245</t>
  </si>
  <si>
    <t>245</t>
  </si>
  <si>
    <t>Conectar a 496.000 personas nuevas al servicio de alcantarillado urbano.</t>
  </si>
  <si>
    <t>Personas nuevas con acceso al servicio de alcantarillado urbano</t>
  </si>
  <si>
    <t>Nuevas conexiones al servicio de alcantarillado urbano</t>
  </si>
  <si>
    <t>Se han conectado 39.734 nuevas personas al servicio de acueducto rural. (fuente de información prestadores de servicios públicos)El proyecto Construcción de acueducto y alcantarillado del municpio de Guayabal de siguima,  fue terminado al 100%, beneficiando a 16 nuevas conexiones para un total de 35  nuevos habitantes conectados.Adicionalmente el dia 24 de Septiembre de 2020, el comité técnico del Mecanismo de viabilización Departamental, emitio concepto de viabilidad para los proyectos:1. “Construcción Colector Sanitario Funza - Siberia en el municipio de Funza Fase I" 2. “Construcción, mejoramiento, y adecuación del  canal natural de aguas lluvias que atraviesa los barrios Santa Bárbara, Luis Carlos Galán, Las Quintas y Barrio El Centro del municipio de Guataquí.  El Ministerio de vivienda, Ciudad y Territorio - MVCT, emitió concepto técnico para el proyecto "Ampliación de la red de alcantarillado de La Gran Vía del municipio de Tena, Cundinamarca</t>
  </si>
  <si>
    <t>GR5:2-03-00-563</t>
  </si>
  <si>
    <t>Incrementar la cobertura de servicio de aseo.</t>
  </si>
  <si>
    <t>GR5:2-03-03-246</t>
  </si>
  <si>
    <t>246</t>
  </si>
  <si>
    <t>Brindar a 538.000 personas nuevas acceso al servicio público de aseo.</t>
  </si>
  <si>
    <t>Personas nuevas con acceso al servicio de aseo</t>
  </si>
  <si>
    <t>GR5:2-03-00-564</t>
  </si>
  <si>
    <t>Incrementar la cobertura del servicio público de gas combustible por redes.</t>
  </si>
  <si>
    <t>GR5:2-03-03-247</t>
  </si>
  <si>
    <t>247</t>
  </si>
  <si>
    <t>Conectar al servicio de gas combustible por redes a 20.000 usuarios nuevos.</t>
  </si>
  <si>
    <t>Nuevos usuarios conectados al servicio de gas combustible por redes.</t>
  </si>
  <si>
    <t>Conexión de gas combustible domiciliario</t>
  </si>
  <si>
    <t>Se conectaron 2.492 usuarios beneficiados con el servicio de gas domiciliario por parte del departamento de Cundinamarca, actualmente están conectados y debidamente certificados.</t>
  </si>
  <si>
    <t>Se presentaron dificultades para el avance normal de las instalaciones internas debido a que por el Covid-19, no se pudo ingresar con normalidad a los municipios y a los predios.Falta ubicación de lote para planta de almacenamiento en el Municipio de Subachoque.</t>
  </si>
  <si>
    <t>GR5:2-03-00-565</t>
  </si>
  <si>
    <t>Incrementar la cobertura urbana de suministro de agua sin riesgo.</t>
  </si>
  <si>
    <t>GR5:2-03-03-248</t>
  </si>
  <si>
    <t>248</t>
  </si>
  <si>
    <t>Implementar en 46 municipios la estrategia para mejorar la calidad del agua para consumo humano.</t>
  </si>
  <si>
    <t>Durante el mes de septiembre  se logró la terminación del proyecto Construcción de la Fase I de acueducto (ptap) del casco urbano del municipio de Villagómez por un valor de $1.001.219.418 con 248 conexiones nuevas , para un total de 992 habitantes. El proyecto Construcción de obras para la optimización del acueducto de la cabecera municipal de San Antonio del Tequendama Fase II Incluye PTAP,  fue terminado al 100%, donde se benefician a 471 conexiones nuevas para un total de 1884 personas nuevas conectadas.Se ha ejecutado el programa de Buenas pràcticas sanitarias, con jornadas de asistencia tència y capacitación a los operadores de las plantas de tratamiento de agua potable y saneamiento básico; Adicionalmente, se estructuró el proyecto de instrumentación para dotar a dieciocho (18) prestadores de elementos de control para los procesos de potabilización de los sistemas y el proyecto de rehabilitación de diez (10) Plantas de Tratamiento de Agua Potable como estrategia para mejorar los procesos de potabilización que impacte en la calidad del agua suministrada. En la fase de implementación se ha realizado la asistencia técnica para el mejoramiento en la gestión operacional, se capacitaron a los operarios en el monitoreo y control de la calidad del agua, así como el mejoramiento en cada una de las Buenas Prácticas Sanitarias. Para reducir el Índice de Riesgo de Calidad del Agua se hace énfasis en aspectos como dosis y descargas óptimas, manejo de equipos y procedimientos de laboratorio y análisis de resultados de laboratorio y así mismo el Índice de Riesgo por Abastecimiento de Agua para Consumo Humano y Buenas Prácticas Sanitarias. Se entregan conceptos y herramientas (kit de laboratorio) para controlar los parámetros físico-químicos de las distintas aguas en el proceso de potabilización (Coagulación, Floculación, Sedimentación, Filtración y desinfección) con el fin de garantizar la calidad del agua, incluyendo el uso y regulación de los sistemas de dosificación de sustancias químicas (potabilizadoras), garantizando la formación del floc, la alcalinidad y desinfección del agua, cumpliendo con los requisitos establecidos en la Resolución 2115 de 2007. de los municipios de : Anolaima, Arbeláez, Caparrapí, Chaguaní, El Peñón, Guataquí, Guayabal de Síquima, Jerusalén, Junín, La Palma, Medina, Nocaima, Pasca, Silvania, Tena, Topaipí, Venecia, Viotá, Yacopì, Zipacón.</t>
  </si>
  <si>
    <t>NUEVOS MERCADOS, + OPORTUNIDADES</t>
  </si>
  <si>
    <t>INCUBANDO EMPRESAS-INCUBANDO SUEÑOS</t>
  </si>
  <si>
    <t>GR5:2-04-00-566</t>
  </si>
  <si>
    <t>Aumentar el puntaje del pilar 8 "Entorno para los negocios" del índice Departamental de Competitividad.</t>
  </si>
  <si>
    <t>GR5:2-04-01-249</t>
  </si>
  <si>
    <t>249</t>
  </si>
  <si>
    <t>Apalancar 450 emprendedores turísticos con incentivos a través de la estrategia "Touremprender".</t>
  </si>
  <si>
    <t>Emprendedores turísticos con incentivos</t>
  </si>
  <si>
    <t>Incentivos económicos.</t>
  </si>
  <si>
    <t>Ejecución de un plan de incentivos, beneficiando a 346 emprendedores turísticos de 74 municipios, a través de la estrategia "Touremprender", contribuyendo a la reactivación económica de micro negocios empresariales y/o asociativos y/o solidarios del turismo. A través de convocatoria pública se entregaron incentivos por valor de $4.500.000 a emprendedores turísticos del departamento para la reactivación económica del turismo 2020, como compromiso de la gobernación con el sector afectados por el aislamiento físico a causa de la emergencia.</t>
  </si>
  <si>
    <t>Poca participación en las convocatorias realizadas, por lo que se debió ampliar las fechas de postulación.</t>
  </si>
  <si>
    <t>GR5:2-04-01-250</t>
  </si>
  <si>
    <t>250</t>
  </si>
  <si>
    <t>Realizar 4 convocatorias del fondo de emprendimiento departamental FED, para atender al micro, pequeño y mediano empresario.</t>
  </si>
  <si>
    <t>Convocatorias del fondo de emprendimiento departamental FED realizadas</t>
  </si>
  <si>
    <t>GR5:2-04-01-251</t>
  </si>
  <si>
    <t>251</t>
  </si>
  <si>
    <t>Apoyar 5.000 emprendimientos, como consecuencia del efecto económico por el COVID-19.</t>
  </si>
  <si>
    <t>Emprendimientos apoyados</t>
  </si>
  <si>
    <t>GR5:2-04-01-252</t>
  </si>
  <si>
    <t>252</t>
  </si>
  <si>
    <t>Fortalecer 8.000 Mipymes, esquemas asociativos y establecimientos de comercio de los sectores económicos.</t>
  </si>
  <si>
    <t>Mipymes, esquemas asociativos y establecimientos de comercio fortalecidos</t>
  </si>
  <si>
    <t>Rutas  de fortalecimiento que sirven para mejorar conocimientos y habilidades de las mipymes - Financiamiento para las micro, pequeñas y medianas empresas a través de la firma de dos convenios con la Corporación Social de Cundinamarca y con el Banco Agrario donde se han logrado desembolsar 733 créditos. -Implementación del programa Primero lo Nuestro mediante el cual se realizó la compra  directa a  57 oferentes (asociaciones de productores, mipymes y productores rurales) pertenecientes  a 34 municipios de Cundinamarca. Gracias a este programa se adquirieron 1.221.750 Huevos, 368.450 Kilos de papa , 60.716 kilos de frijol, 161.600 Kilos de Panela y 40.400 libras de café. Con los productos adquiridos se armaron 40.400 muestras comerciales entregadas en 13 municipios ( Soacha, Chía, Cajica, Zipaquira, Madrid, Mosquera, Funza, Facatativa, Manta, Zipacon, Gachancipa, Tocancipa y Girardot).</t>
  </si>
  <si>
    <t>1500  Mipymes de  102 municipios apoyadas en:  Rutas de fortalecimiento (200); Compra de productos para reactivación económica del departamento (67) ;  crédito con tasa de intereses compensada   (733)  cuyo objetivo es fortalecer el crecimiento y consolidación de las empresas, potencializar su incursión en los mercados  lo anterior obedeció a  contratación del  GR4Firma de 47 convenios con municipios para la implementacion de estrategias  de recuperación  económica y el fortalecimiento  del sector comercial  afectado por las consecuencias de la Pandemía del  COVID-19 .</t>
  </si>
  <si>
    <t>GR5:2-04-01-253</t>
  </si>
  <si>
    <t>253</t>
  </si>
  <si>
    <t>Consolidar 15 centros de integración y productividad unidos por el desarrollo "CIPUEDO".</t>
  </si>
  <si>
    <t>CIPUEDO consolidados</t>
  </si>
  <si>
    <t>Fortalecimiento de habilidades a las micro;pequeñas y medianas empresas en temas  jurídicos; administrativos y técnicos que conllevan a mejorar las actividades de  los procesos  productivos.</t>
  </si>
  <si>
    <t>La secretaría de Competitividad y Desarrollo Económico - S.C.D.E. ha fortalecido los 10 Centros de Integración y Productividad Unidos Por el Desarrollo - CIPUEDO, a través de contratación de  gestores   . Profesionales que apoyan en las provincias los  diagnósticos , asistencias técnica;  socialización de la información para acceder a las convocatorias tanto departamentales como nacionales,  créditos ofertados a Mipymes .  Acompañamiento en asuntos jurídicos, capacitación a empresarios en temas relacionados con las formas jurídicas para la creación de empresa, emprendimiento y modelo CANVAS, mercadeo y posicionamiento y  asesoría en estructuración de proyectos.</t>
  </si>
  <si>
    <t>GR5:2-04-00-567</t>
  </si>
  <si>
    <t>Mantener los subsidios a la tasa y al ICR (incentivo a la capitalización rural), a productores agropecuarios rurales asignados.</t>
  </si>
  <si>
    <t>GR5:2-04-01-254</t>
  </si>
  <si>
    <t>254</t>
  </si>
  <si>
    <t>Atender 5.000 pequeños y medianos productores con Instrumentos financieros e Incentivos relacionados con el crédito agropecuario y rural y fortalecimiento en educación financiera que permitan mejorar sus sistemas productivos.</t>
  </si>
  <si>
    <t>Pequeños y medianos productores atendidos con instrumentos de financiación</t>
  </si>
  <si>
    <t>Solicitudes Preaprobadas para créditos agropecuarios</t>
  </si>
  <si>
    <t>A la fecha se ha establecido el contacto con Finagro para adelantar el convenio para estructurar la operación técnica del mismo realizando dos mesas técnicas con esta entidad para proyectar el plan operativo de incentivos y subsidios y de educación financiera.  El 29 de Septiembre se firmo el respectivo contrato con Finagro con el contrato No. SADR-CD-CTI 008-2020 con el Registro Presupuestal 4600002757.En busca de nuevas alternativas de financiamiento para los pequeños y medianos productores  de Cundinamarca en forma individual o asociativa como personas naturales o jurídicas  que cumplan con los requisitos exigidos por esta entidad  a través de subsidios e incentivos de crédito como:1.Líneas especiales de crédito LECUNDINAMARCA: Subsidio a la tasa de interés con plazo de 36 meses2.Incentivo Territorial de Cundinamarca  ICRCUND: Consiste en una “prima de éxito” entregada al usuario luego de comprobar la ejecución de las inversiones, reduciendo el capital del crédito y por ende favoreciendo el desarrollo y la rentabilidad del proyecto.Actualmente se está construyendo el Plan Operativo del que trata la CLÁUSULA DÉCIMA PRIMERA del mencionado contrato. "PLAN OPERATIVO. El desarrollo del objeto del presente contrato y en particular, a las obligaciones que de él se deriven, se sujetarán a un Plan Operativo, el cuál será aprobado por el Comité Administrativo de que trata la Cláusula Décima del presente contrato. El Plan Operativo detallará entre otros aspectos, los objetivos propuestos, las actividades a desarrollar, las características de los incentivos y subsidios a otorgar, los resultados o productos a entregar, los roles institucionales y la distribución presupuestal de los recursos del contrato, el componente de educación financiera, entre otros."Se aprobó el Plan Operativo del convenio en fecha 30 de noviembre de 2020, así como la revisión de los contenidos de Circular Informativa con destino a los intermediarios financieros y compañías aseguradoras que será remitida por Finagro. Adicionalmente se revisaron y aprobaron las infografías relacionadas con cada uno de los componentes del contrato, las cuales serán socializas en el mes de diciembre de 2020 para conocimiento de la población a beneficiar. Con corte al 31 de diciembre de 2020 se han registrado ante la Secretaría de Agricultura y Desarrollo Rural 52 solicitudes para acceder a los incentivos y subsidios dirigidos a diferentes destinos productivos, los cuales ascienden a la suma de SEISCIENTOS TREINTA Y CINCO MILLONES SEISCIENTOS OCHENTA PESOS M/CTE ($635.680.000), los cuales se encuentran en trámites previos ante los diferentes intermediarios financieros. Una vez se surtan los  trámites correspondientes y FINAGRO realice el reporte de las operaciones inscritas en los diferentes programas, se tendrán los valores a afectar por cada uno de los programas: ICRCUND o LECUND.</t>
  </si>
  <si>
    <t>CUNDINAMARCA DEL MUNDO Y PARA EL MUNDO</t>
  </si>
  <si>
    <t>GR5:2-04-00-568</t>
  </si>
  <si>
    <t>Alcanzar el puesto 7 en el índice de competitividad turística regional de Colombia.</t>
  </si>
  <si>
    <t>GR5:2-04-02-255</t>
  </si>
  <si>
    <t>255</t>
  </si>
  <si>
    <t>Implementar un plan de medios para la promoción y difusión de la cultura del departamento.</t>
  </si>
  <si>
    <t>Programa de promoción y difusión de la cultura implementado.</t>
  </si>
  <si>
    <t>Promoción y difusión de la  cultura del departamento.</t>
  </si>
  <si>
    <t>Estrategia para promover la cultura y el turismo cultural de la sabana centro a través de una pauta publicitaria, articulación para el apoyo a las estrategias de marketing promoción y comercialización de los artesanos en el marco de la reactivación económica y transmisión del programa radial "de tour por Cundinamarca" y divulgación de las actividades y convocatorias realizadas por el IDECUT a través de emisoras.</t>
  </si>
  <si>
    <t>GR5:2-04-02-256</t>
  </si>
  <si>
    <t>256</t>
  </si>
  <si>
    <t>Implementar en 6 municipios el modelo turístico integral denominado "Pueblos Dorados".</t>
  </si>
  <si>
    <t>Municipios con implementación del modelo turístico integral "Pueblos Dorados"</t>
  </si>
  <si>
    <t>GR5:2-04-02-257</t>
  </si>
  <si>
    <t>257</t>
  </si>
  <si>
    <t>Impulsar el reconocimiento gastronómico de 50 restaurantes cundinamarqueses a través de la estrategia "Sabores de Cundinamarca".</t>
  </si>
  <si>
    <t>Restaurantes con reconocimiento gastronómico</t>
  </si>
  <si>
    <t>GR5:2-04-02-258</t>
  </si>
  <si>
    <t>258</t>
  </si>
  <si>
    <t>Impulsar 500 actores del sector turismo del área de influencia de los productos y rutas turísticas de alta calidad en el marco de la región Cundinamarca - Bogotá.</t>
  </si>
  <si>
    <t>Operadores turísticos impulsados</t>
  </si>
  <si>
    <t xml:space="preserve"> Incentivos económicos.Capaciones.Compra de artesanías.</t>
  </si>
  <si>
    <t>Implementación de las estrategias de reactivación económica del turismo tales como capacitación en los protocolos de bioseguridad en articulación con los gremios ANATO y COTELCO, programas de incentivos para artesanos y la implementación del programa de bilingüismo dirigida a prestadores de servicios turísticos. A través de la Resolución 283 de 2020 le dio apertura a la convocatoria denominada "Incentivos para la reactivación económica de los artesanos" beneficiando a 288 personas con un estímulo de 1.000.000 de pesos cada uno.</t>
  </si>
  <si>
    <t xml:space="preserve"> Falta de apoyo por parte de las administraciones municipales en la socialización de las convocatorias.</t>
  </si>
  <si>
    <t>GR5:2-04-02-259</t>
  </si>
  <si>
    <t>259</t>
  </si>
  <si>
    <t>Brindar asistencia técnica a 10 municipios en la construcción o actualización de Planes de Desarrollo turístico municipal</t>
  </si>
  <si>
    <t>municipios con asistencia técnica en Planes de Desarrollo turístico</t>
  </si>
  <si>
    <t>GR5:2-04-02-260</t>
  </si>
  <si>
    <t>260</t>
  </si>
  <si>
    <t>Formar 200 guías turísticos en habilidades y capacidades tecnológicas y bilingüismo.</t>
  </si>
  <si>
    <t>Guías turísticos formados con capacidades tecnológicas y bilingüismo</t>
  </si>
  <si>
    <t>Curso en el idioma inglés.</t>
  </si>
  <si>
    <t>Se logró aunar esfuerzos entre el centro Colombo Americano, la embajada de EEUU y el IDECUT para implementar la estrategia de biligüismo dirigida a los promotores de turismo del departamento de Cundinamarca. Se dio inicio al programa de bilingüismo dirigido a prestadores de servicios turísticos a través  de convocatoria, mediante la cual se recibieron  237 postulaciones,  quedando admitidos formalmente y con el lleno de los requisitos 140 personas. Dentro de este programa está contemplado que los participantes cursen de los niveles A0 a A2.</t>
  </si>
  <si>
    <t>Deserción de las personas inicialmente inscritas.</t>
  </si>
  <si>
    <t>GR5:2-04-02-261</t>
  </si>
  <si>
    <t>261</t>
  </si>
  <si>
    <t>Cofinanciar 150 eventos de trayectoria turística para impulsar la competitividad del sector.</t>
  </si>
  <si>
    <t>Eventos de trayectoria turística cofinanciados</t>
  </si>
  <si>
    <t>GR5:2-04-02-262</t>
  </si>
  <si>
    <t>262</t>
  </si>
  <si>
    <t>Promover la participación en 20 eventos de comercialización con impacto regional, nacional e internacional de unidades productivas.</t>
  </si>
  <si>
    <t>Eventos de comercialización promovidos</t>
  </si>
  <si>
    <t>1135</t>
  </si>
  <si>
    <t>SECRETARIA DE ASUNTOS INTERNACIONALES</t>
  </si>
  <si>
    <t>GR5:2-04-02-263</t>
  </si>
  <si>
    <t>263</t>
  </si>
  <si>
    <t>Implementar 1 estrategia de promoción de la marca territorial del departamento "Cundinamarca, EL DORADO !LA LEYENDA VIVE!".</t>
  </si>
  <si>
    <t>Estrategia de promoción de la marca territorial implementada</t>
  </si>
  <si>
    <t>Diagnóstico de la medición y valoración de la marca territorial.Narrativa Marca CundinamarcaPlaneaciòn estrategica y tactica</t>
  </si>
  <si>
    <t>Se logró  la actualización del reglamento de marca de acuerdo al nuevo plan de desarrollo, en virtud del contrato de mínima cuantía suscrito con Búho se obtuvo el diagnóstico de valoración y medición de la marca territorial, el cual se estructuró a partir de entrevistas, focus group y socializaciones con personas y entidades de diferentes sectores y zonas del Departamento, este diagnóstico fue el insumo principal para la construcción de la narrativa de marca, documento principal que orienta la comunicación estratégica de la marca y establece el tono discursivo diferenciando entre las diferentes audiencias. Como completemento a esta,  también se entregó el plan de acción de la marca  para los próximos cuatro años, también dió el aval técnico a los criterios de licenciamiento de de marca. Adicionalmente, se articularon espacios interinstitucionales para la gestión de una página web en la que se hospede la Marca Cundinamarca: http://kunamya.com/tienda/ El fortalecimiento administrativo, la planeación estratégica y el respaldo institucional que ha tenido la marca Cundinamarca en esta vigencia se debe principalmente al liderazgo de la Secretaría de Asuntos Internacionales en el comité de marca, del cual, se derivaron directrices, cuya materialización las constituye como logros correlacionados.</t>
  </si>
  <si>
    <t>GR5:2-04-02-264</t>
  </si>
  <si>
    <t>264</t>
  </si>
  <si>
    <t>Realizar 2 ferias Expo Cundinamarca.</t>
  </si>
  <si>
    <t>Ferias realizadas</t>
  </si>
  <si>
    <t>CUNDINAMARCA CREA, TRANSFORMA Y PROGRESA</t>
  </si>
  <si>
    <t>GR5:2-04-00-569</t>
  </si>
  <si>
    <t>Aumentar el subpilar "Dinámica Empresarial" del Índice Departamental de Competitividad.</t>
  </si>
  <si>
    <t>GR5:2-04-03-265</t>
  </si>
  <si>
    <t>265</t>
  </si>
  <si>
    <t>Cofinanciar 200 eventos de trayectoria en el cuatrienio que impulsen el turismo, la cultura tradicional y la circulación de artistas departamentales.</t>
  </si>
  <si>
    <t>Eventos de trayectoria cofinanciados</t>
  </si>
  <si>
    <t>Apoyo en el desarrollo de eventos</t>
  </si>
  <si>
    <t>A través de convenios interadministrativos se apoyaron eventos culturales y artísticos en actividades como soporte operativo, premiación, promoción y difusión, como parte de la reactivación del sector promoviendo y estimulando el talento local, la creación, producción, formulación y circulación artística.</t>
  </si>
  <si>
    <t>GR5:2-04-03-266</t>
  </si>
  <si>
    <t>266</t>
  </si>
  <si>
    <t>Entregar 1.500 estímulos para la concertación, circulación, generación de servicios, productos, conocimiento, emprendimientos, industrias, talentos culturales y atención de emergencias.</t>
  </si>
  <si>
    <t>Estímulos entregados.</t>
  </si>
  <si>
    <t>Estímulos económicos.</t>
  </si>
  <si>
    <t>En el marco de la emergencia el IDECUT trabajó en estrategias para brindar apoyo a los creadores, gestores y artistas cundinamarqueses  dentro de las cuales se resalta el portafolio de estímulos "corazonarte. inspírese y eche pa la casa" el cual dio inicio en el primer semestre de 2020 y continuó su etapa de implementación y entrega durante lo corrido del segundo  semestre de 2020. Adicionalmente,  a través de la Resolución N 193 del 15 de septiembre de 2020, se dio apertura a la convocatoria "CORAZONARTE cultura para cuidarte 2020", en las modalidades de bibliotecas, artes plásticas y visuales, música, teatro y circo, danza, patrimonio, literatura, cinematografía y artes audiovisuales, industrias creativas y culturales, gestión cultural y comunicaciones.</t>
  </si>
  <si>
    <t>- La dificultad de una convocatoria 100% virtual para el Idecut y la falta de recursos tecnológicos para los participantes.- Desconocimiento y falta de formalización como personas naturales de los participantes.- Falta de un sistema de información donde s</t>
  </si>
  <si>
    <t>GR5:2-04-03-267</t>
  </si>
  <si>
    <t>267</t>
  </si>
  <si>
    <t>Potencializar 40 procesos creativos culturales contemporáneos.</t>
  </si>
  <si>
    <t>Procesos creativos culturales contemporáneos potencializados</t>
  </si>
  <si>
    <t>GR5:2-04-03-268</t>
  </si>
  <si>
    <t>268</t>
  </si>
  <si>
    <t>Impulsar 6 industrias culturales innovadoras alrededor de los Pueblos Dorados.</t>
  </si>
  <si>
    <t>Industrias culturales innovadoras impulsadas alrededor de los pueblos dorados</t>
  </si>
  <si>
    <t>GR5:2-04-03-269</t>
  </si>
  <si>
    <t>269</t>
  </si>
  <si>
    <t>Impulsar 10 líneas de emprendimientos artesanales de tradición ancestral desarrollados en el departamento.</t>
  </si>
  <si>
    <t>Emprendimientos artesanales de tradición impulsados</t>
  </si>
  <si>
    <t>Curso taller y promoción y difusión.</t>
  </si>
  <si>
    <t>Implementación de estrategia que ayudó a contrarrestar el impacto social y económico de los artesanos de Cundinamarca a través de marketing, promoción y comercialización; emprendimiento social y productivo e incentivos económicos, impulsando principalmente la línea artesanal de cestería.</t>
  </si>
  <si>
    <t>Se dificultó recoger las muestras, ya que los artesanos no se podían desplazar de sus municipios debido a la pandemia.</t>
  </si>
  <si>
    <t>GR5:2-04-03-270</t>
  </si>
  <si>
    <t>270</t>
  </si>
  <si>
    <t>Contribuir con 280 eventos del sector agropecuario de carácter municipal, departamental, nacional e internacional.</t>
  </si>
  <si>
    <t>Eventos del sector agropecuario con contribución del depto.</t>
  </si>
  <si>
    <t>Bienes y elementos para ferias ganaderas, pesqueras y mercados campesinos</t>
  </si>
  <si>
    <t>Se llevó a cabo el evento Mercaton donde se beneficiaron 24 municipios del departamento de Cundinamarca y 792 cundinamarqueses, lo que permitió fomentar la economía campesina, familiar y comunitaria conectando la oferta y la demanda, disminuyendo así la intermediación y generando un costo beneficio entre los pequeños productores del departamento y los ciudadanos del Distrito Capital. La Mercaton fue un ejercicio dentro del marco de la reactivación económica que no solo permite superar dificultades generadas por la pandemia sino además subsanar algunos problemas en la comercialización de los productos del sector agropecuario.Estrategia Mercaton: Trabajo articulado entre la Gobernación de Cundinamarca en cabeza de la Secretaria de Agricultura y el Distrito Capital. Se comercializaron 18 productos  de 24 municipios  beneficiando a 792 pequeños productores  agropecuarios. Lo que se logró con esta estrategia fue mejorar la productividad rural, generación de valor agregado local, consolidación de canales de comercialización cumpliendo los objetivos que nos propusimos:•Mayores ingresos en el productor por la eliminación de intermediarios•Se promueve la organización social y la asociatividad  •Se oferto productos de alta calidad nutricional •Se contribuyó a la Seguridad Alimentaria La inversión por parte del departamento fue de $ 152.000.000 que salió antes de la armonización del presupuesto vigencia 2020 pero que el mismo se desarrolló en el mes de julio reportándose el avance en esta nueva meta del plan de desarrollo Cundinamarca región que Progresa.Se adjudico contrato a la empresa CI WARRIORS SAS, mediante un proceso de subasta inversa para entregas de bienes y elementos agropecuarios para : 8 Mercados Campesinos en los municipios de: San Antonio del Tequendama, Cachipay, Ubate, Pasca. La Calera. San Francisco, Caqueza y Gachancipa11 Ferias Ganaderas en los municipios de: Tena, Lenguazaque, Anolaima, La Mesa, Simijaca, Sesquile, Tibirita, Guayabal de Siquimia, Guasca, Bituima, Vianí6 Ferias Pesqueras en los municipios de: Girardot, Nariño, Guaduas, Puerto Salgar, Guataqui y Beltran</t>
  </si>
  <si>
    <t>GR5:2-04-03-271</t>
  </si>
  <si>
    <t>271</t>
  </si>
  <si>
    <t>Implementar la estrategia de internacionalización del departamento.</t>
  </si>
  <si>
    <t>Estrategia de internacionalización implementada</t>
  </si>
  <si>
    <t>DOCUMENTO ESTRATEGIA DE INTERNACIONALIZACIÒN Y SU PLAN DE ACCIÒN</t>
  </si>
  <si>
    <t>Se logró la Identificación de oportunidades y ventajas competitivas de los sectores del departamento, el análisis de información (datos y cifras), relacionada con promoción al comercio y la inversión extranjera, zonas francas, Sociedades de Comercialización Internacional, Plan Vallejo, análisis e identificación de los TLC (tratados comerciales) para los mercados objetivo de las exportaciones, con el fin  identificar oportunidades para las empresas y productos de exportación, se identificaron  las potencialidades y necesidades de las empresas de la región a partir de una muestra del del tejido empresarial del departamento. De igual manera y en articulación con la estructuración de la estrategia, se identificaron las necesidades de las empresas de Cundinamarca lo que nos permitió generar convenios y alianzas con 3 entidades públicas y privadas como son: AMCHAM por valor de $35.775.000 millones de pesos para el fortalecimiento empresarial de 3 empresas  de los municipios de Tenjo, Cajicá y Ubaté y dos asociaciones de los municipios de Fusagasugá y Pacho a través de la participación en escenarios de promoción en el mercado de estados Unidos, convenio con Pro Colombia por $171.775.000 millones de pesos, con el fin de validar el potencial exportador de 47 empresas del Departamento. Y se está realizò con la Universidad de la Sabana, un ciclo de profundización en inteligencia de mercados y comercio electrónico a 35 empresas del Departamento, con lo anterior se ha logrado fortalecer empresas brindándoles  herramientas para que los productos cundinamarqueses se adapten e incursionen a las condiciones y los requisitos en los mercados internacionales, se logro la construcciòn de la estrategia de internacionalizaciòn y la elaboraciòn de su plan de acciòn, documento orientador que establece los lineamientos encaminados al fortalecimiento del tejido empresarial con potencial exportador y el posicionamiento de los productos de Cundinamarca en mercados internacionales.</t>
  </si>
  <si>
    <t>GR5:2-04-03-272</t>
  </si>
  <si>
    <t>272</t>
  </si>
  <si>
    <t>Mantener 2 líneas efectivas de cooperación nacional e Internacional.</t>
  </si>
  <si>
    <t>Líneas de cooperación</t>
  </si>
  <si>
    <t>Se establecieron  5 alianzas estratégicas con entidades nacionales e internacionales por medio de las cuales se adelantaron acciones de cooperación técnica y financiera logrando generar nuevas alianzas que permitan el desarrollo en los diferentes sectores sociales y económicos del departamento, beneficiando a los 116 municipios y entidades departamentales, el resultado en gestión incorporada por $ 329.365.812.Además se realizaron  11  transferencias de conocimientos logrando fortalecer las capacidades técnicas en la población de los 116 municipios, que permiten aportar al desarrollo del  Departamento y de los Cundinamarqueses.</t>
  </si>
  <si>
    <t>UNIDOS EN UNA MISMA DIRECCIÓN</t>
  </si>
  <si>
    <t>CUNDINAMARCA PIENSA PRODUCTIVA</t>
  </si>
  <si>
    <t>GR5:2-05-00-570</t>
  </si>
  <si>
    <t>Aumentar el puntaje de Cundinamarca en el índice Departamental de Competitividad.</t>
  </si>
  <si>
    <t>GR5:2-05-01-273</t>
  </si>
  <si>
    <t>273</t>
  </si>
  <si>
    <t>Implementar el sistema de planificación agropecuaria del departamento.</t>
  </si>
  <si>
    <t>Sistema de Planificación Agropecuario departamental implementado</t>
  </si>
  <si>
    <t>Georreferenciacion de 23.000 productos en herramienta Agrosig</t>
  </si>
  <si>
    <t>Se han visitado y georreferenciado 23.000 productores agropecuarios mediante el aplicativo Agrosig con identificación de uso de suelos, cultivo e inventario pecuario que ha servido para el fortalecer el sistema de planificación agropecuaria del departamento, esto e ha realizado mediante el acompañamiento técnico de las UMATAS. Así mismo se generó la prefactibilidad del estudio de suelos para el departamento que se ejecutará en la vigencia 2021 con el cual se pretende beneficiar a 2,217 productores agropecuarios cundinamarqueses.</t>
  </si>
  <si>
    <t>GR5:2-05-01-274</t>
  </si>
  <si>
    <t>274</t>
  </si>
  <si>
    <t>Implementar un sistema de información para la competitividad.</t>
  </si>
  <si>
    <t>Sistema de información implementado</t>
  </si>
  <si>
    <t>GR5:2-05-01-275</t>
  </si>
  <si>
    <t>275</t>
  </si>
  <si>
    <t>Realizar 4 estudios o investigaciones que den cuenta de la realidad departamental en materia de competitividad</t>
  </si>
  <si>
    <t>Estudios realizado</t>
  </si>
  <si>
    <t>ACUERDOS EFECTIVOS</t>
  </si>
  <si>
    <t>GR5:2-05-00-571</t>
  </si>
  <si>
    <t>Mantener actualizado el índice de desempeño provincial de competitividad en Cundinamarca.</t>
  </si>
  <si>
    <t>GR5:2-05-02-277</t>
  </si>
  <si>
    <t>277</t>
  </si>
  <si>
    <t>Formular la Política Pública de Movilidad en Cundinamarca.</t>
  </si>
  <si>
    <t>Política Pública formulada</t>
  </si>
  <si>
    <t xml:space="preserve"> Aprobación de  la Justificación en la  primera fase de la política pública de movilidad el día 24 de septiembre del 2020 aprobada por el CODEPS (Consejo departamental de política social de Cundinamarca) a través del Director de estudios económicos y políticas publicas de la secretaria de planeación.</t>
  </si>
  <si>
    <t>Se realizo y aprobó la Justificación en la  primera fase de la política pública de movilidad el día 24 de septiembre del 2020 aprobada por el CODEPS (Consejo departamental de política social de Cundinamarca) a través del Director de estudios económicos y políticas publicas de la secretaria de planeación. La elaboración de la justificación de la Política Pública de Movilidad. Transporte Público Masivo, Férreo, Fluvial, Aéreo, No Motorizado.Análisis de las Instancias de Participación y Instancias Institucionales. Se adelantó el Plan de Acción para la Formulación.Inclusión Social sectores Discapacidad, Genero, Adulto Mayor, Infancia y Adolescencia, Grupos Étnicos, junto con las categorías Accesibilidad, Seguridad, Señalización, Infraestructura.</t>
  </si>
  <si>
    <t>1121</t>
  </si>
  <si>
    <t>SECRETARIA DEL  AMBIENTE</t>
  </si>
  <si>
    <t>MÁS SOSTENIBILIDAD</t>
  </si>
  <si>
    <t>SEGURIDAD HÍDRICA Y RECURSOS NATURALES PARA LA VIDA</t>
  </si>
  <si>
    <t>CUNDINAMARCA AL NATURAL</t>
  </si>
  <si>
    <t>GR5:3-01-00-572</t>
  </si>
  <si>
    <t>Aumentar el número de hectáreas conservadas en ecosistemas de importancia hídrica del departamento.</t>
  </si>
  <si>
    <t>GR5:3-01-01-278</t>
  </si>
  <si>
    <t>278</t>
  </si>
  <si>
    <t>Reforestar 150 hectáreas de áreas degradadas en los municipios de la Cuenca del Rio Bogotá.</t>
  </si>
  <si>
    <t>Hectáreas reforestadas</t>
  </si>
  <si>
    <t>GR5:3-01-00-573</t>
  </si>
  <si>
    <t>Aumentar el puntaje del pilar "Sostenibilidad ambiental" del índice Departamental de Competitividad.</t>
  </si>
  <si>
    <t>GR5:3-01-01-279</t>
  </si>
  <si>
    <t>279</t>
  </si>
  <si>
    <t>Implementar 6 viveros forestales de carácter regional.</t>
  </si>
  <si>
    <t>Viveros implementados</t>
  </si>
  <si>
    <t>GR5:3-01-00-574</t>
  </si>
  <si>
    <t>Disminuir el numero de brotes generados por factores de riesgo ambiental (EDA, IRAG, Intoxicaciones por sustancias químicas y ETA).</t>
  </si>
  <si>
    <t>GR5:3-01-01-280</t>
  </si>
  <si>
    <t>280</t>
  </si>
  <si>
    <t>Implementar 2 proyectos de recuperación de ecosistemas lagunares en el departamento.</t>
  </si>
  <si>
    <t>Proyectos implementados</t>
  </si>
  <si>
    <t>GR5:3-01-00-575</t>
  </si>
  <si>
    <t>Incrementar la población con tratamiento de aguas residuales urbanas domésticas.</t>
  </si>
  <si>
    <t>GR5:3-01-01-281</t>
  </si>
  <si>
    <t>281</t>
  </si>
  <si>
    <t>Implementar 4 estrategias de conservación en corredores ambientales.</t>
  </si>
  <si>
    <t>Estrategias implementadas</t>
  </si>
  <si>
    <t>GR5:3-01-00-576</t>
  </si>
  <si>
    <t>Reducir para 600.000 habitantes el riesgo de desabastecimiento de agua para consumo.</t>
  </si>
  <si>
    <t>GR5:3-01-01-282</t>
  </si>
  <si>
    <t>282</t>
  </si>
  <si>
    <t>Conservar 10.000 hectáreas localizadas en áreas de importancia hídrica.</t>
  </si>
  <si>
    <t>Hectáreas conservadas</t>
  </si>
  <si>
    <t>Con relación al avance del proyecto de restauración ecologica en predios del Depertamento, con el apoyo del contratista de OPS 041 de 2020 - José Vanegas se realizaron las siguientes actividades: * Reconocimiento de los predios en los que se realizará el proyecto piloto en los Municipios de Gutierrez ( La preciosa), Zipaquirá (Santa Barbara) y Villapinzón ( La Rinconada I) y definición de la localización de los apiarios dentro de cada uno de estos predios. *En el mes de octubre se desarrollaron mesas técnicas con los funciarios de las Alcaldias Municipales, con el fin de establecer la cantidad de colmenas a suministrar por parte de la Gobernación y el aporte que realizará el Municipio.* Se establecieron las espeficiaciones técnicas de los elementos, insumos y equipos de manejo requeridos para esta actividad. Estableciendo que a cada uno de los Municipios piloto se les entregaran: 40 colmenas con excluidos y alimentador externo, 30 de ellas con material biologico, 5 portanucleos y como parte de equipo de manejo se entregaran 10 overoles con careta, 10 guantes, 5 ahumadores, 5 palancas y 5 cepillos. por tanro se avanza en el proceso precontracual que tendra por objeto " ADQUISICIÓN E INSTALACIÓN DE ELEMENTOS DE PRODUCCIÓN, PROTECCIÓN Y MANEJO PARA IMPLEMENTAR LA ACTIVIDAD APICOLA COMO ESTRATEGIA DE RESTAURACIÓN DE PREDIOS PARA LA CONSERVACIÓN DEL RECURSO HIDRICO Y FOMENTO  DE LA PRODUCCIÓN SOSTENIBLE EN EL DEPARTAMENTO DE CUNDINAMARCA", el cual fue enviado a la unidad de contratación para su respectiva revisión.* Se gestiona con el SENA la gestión del conocimiento y certificación de las personas que participaran en el proyecto, solicitando la apertura del curso denominada "Buenas Parcticas apicolas en manejo de colmenas", los cursos inicaron en el mes de octubre y tendran una duracuón de 40 horas.</t>
  </si>
  <si>
    <t>GR5:3-01-00-577</t>
  </si>
  <si>
    <t>Aumentar en un 100% la cobertura de atención en protección y bienestar animal en el territorio cundinamarqués.</t>
  </si>
  <si>
    <t>GR5:3-01-01-283</t>
  </si>
  <si>
    <t>283</t>
  </si>
  <si>
    <t>Sembrar 1.000.000 de árboles.</t>
  </si>
  <si>
    <t>Arboles Sembrados</t>
  </si>
  <si>
    <t>Se produjeron y entregaron 40.000 árboles en los viveros de Nocaima y Caparrapí a través del convenio SA-CDCASO-010- de 2019, beneficiando los municipios de Bituima, Granada, La Mesa, La peña, La Vega, Nimaima, Pulí, Quebradanegra, Quipile, San Bernardo,Útica, Vergara, Nociama, San Francisco, Caparrapí, Chaguaní, Girardot, Yacopí y al IDACO.  Se adelantaron procesos precontractuales para apoyar con materiales y suminsitros a los viveros de Nociama y Caparrapí con recursos del año 2020, los cuales no alcanzaron a ser aprobados en la Unidad de Contratos.</t>
  </si>
  <si>
    <t>GR5:3-01-00-578</t>
  </si>
  <si>
    <t>Eliminar la incidencia de mortalidad por rabia por especies silvestres en el departamento.</t>
  </si>
  <si>
    <t>GR5:3-01-01-284</t>
  </si>
  <si>
    <t>284</t>
  </si>
  <si>
    <t>Implementar 6 proyectos encaminados al buen uso y manejo de los recursos naturales en cuencas prioritarias del departamento.</t>
  </si>
  <si>
    <t>GR5:3-01-01-285</t>
  </si>
  <si>
    <t>285</t>
  </si>
  <si>
    <t>Intervenir 42 distritos de riego legalmente constituidos en el departamento.</t>
  </si>
  <si>
    <t>Distritos de riego intervenidos</t>
  </si>
  <si>
    <t>Tuberías y accesorios para rehabilitación distritos de riego</t>
  </si>
  <si>
    <t>Se recepcionaron todas las solicitudes y necesidades de los distrito de riego. Se preseleccionaron los distritos de riego  a beneficiar de acuerdo a la necesidad para comenzar el proceso precontractual para la adquisición y entrega de elementos requeridos por ellos técnicamente.Se seleccionó a la empresa TDEPE SAS, como único proponente para lote 2 (suministro de tubería y accesorios para distritos de riego), teniendo en cuenta que no hubo subasta, el monto de descuento aplicado al valor inicial fue del 2%, lo cual permitió una reinversión del capital, pudiendo así beneficiar un distrito de riego adicional, pasando de 16 distritos a 17 incluyendo la asociación ADIRSI del municipio de Suesca, para lo anterior, se suscribió el contrato SADR-CT-009-2020 por un monto de $249.999.802.</t>
  </si>
  <si>
    <t>GR5:3-01-01-286</t>
  </si>
  <si>
    <t>286</t>
  </si>
  <si>
    <t>Elaborar 2 estudios y diseños para distrito de riego.</t>
  </si>
  <si>
    <t>Estudios y diseños elaborados</t>
  </si>
  <si>
    <t>GR5:3-01-01-287</t>
  </si>
  <si>
    <t>287</t>
  </si>
  <si>
    <t>Proveer a 350 predios rurales con reservorios que permitan almacenamiento y manejo eficiente del agua para uso agropecuario.</t>
  </si>
  <si>
    <t>Predios con reservorios de agua</t>
  </si>
  <si>
    <t>GR5:3-01-01-288</t>
  </si>
  <si>
    <t>288</t>
  </si>
  <si>
    <t>Ejecutar la transferencia del 100% de los recursos destinados a agua potable y saneamiento básico en el marco del Plan Departamental de Aguas.</t>
  </si>
  <si>
    <t>Transferencia de recursos</t>
  </si>
  <si>
    <t>Transferir los Recursos</t>
  </si>
  <si>
    <t>A la fecha se ha realizado la  transferencia del 50% de los recursos ordinarios al FIA y se tiene programado el desembolso del 50% restantes para octubre a diciembre de 2020.De los recursos Sin Situación de Fondos  - SSF del Sistema General de Participaciones - SGP, se ha legalizado el 63% y se tiene programado legalizar el 37% restante de octubre a noviembre de 2020Se realizo la transfercia de los recursos restantes para completar el 100% de los recursos</t>
  </si>
  <si>
    <t>GR5:3-01-01-289</t>
  </si>
  <si>
    <t>POLÍTICA PÚBLICA DE PARTICIPACIÓN CIUDADANA.</t>
  </si>
  <si>
    <t>289</t>
  </si>
  <si>
    <t>Implementar 7 planes de acción de las mesas técnicas del COTSACUN.</t>
  </si>
  <si>
    <t>Planes de acción COTSACUN implementados</t>
  </si>
  <si>
    <t>planes de las mesas del Cotsacun</t>
  </si>
  <si>
    <t>Implementación de 7 planes de acción de las mesas técnicas de agua, aire, alimentos seguridad alimentaria y nutrición, zoonosis, sustancias químicas, residuos sólidos y entornos saludables. Seguimiento trimestral a la ejecución de los planes de acción de las mesas técnicas de agua, aire, alimentos seguridad alimentaria y nutrición, zoonosis, sustancias químicas, residuos sólidos y entornos saludables.</t>
  </si>
  <si>
    <t>Por la pandemia se ha dificultado la visita a los municipios para hacer las reuniones con la comunidad para realizar las actividades de promoción y prevención.</t>
  </si>
  <si>
    <t>GR5:3-01-01-290</t>
  </si>
  <si>
    <t>ODS 6 - GARANTIZAR LA DISPONIBILIDAD DE AGUA Y SU GESTIÓN SOSTENIBLE Y EL SANEAMIENTO PARA TODOS</t>
  </si>
  <si>
    <t>290</t>
  </si>
  <si>
    <t>Elaborar 40 mapas de riesgo de fuentes de abastecimiento de los sistemas de acueducto ubicados en la jurisdicción de los municipios de la Cuenca del Rio Bogotá de responsabilidad departamental.​</t>
  </si>
  <si>
    <t>Mapas de riesgo Elaborados</t>
  </si>
  <si>
    <t>mapas de riesgo de fuentes de abastecimiento de los sistemas de acueducto ubicados en la jurisdicción de los municipios de la Cuenca del Rio Bogotá de responsabilidad departamental.​</t>
  </si>
  <si>
    <t>Se han elaboraron 5 mapas de riesgo de fuentes de abastecimiento de los sistemas de acueducto ubicados en los municipios de La Calera, Subachoque  y La Mesa, pertenecientes a la Cuenca del Rio Bogotá</t>
  </si>
  <si>
    <t>•Falta de recursos económicos por parte de los prestadores para la caracterización por parte de laboratorios certificados de las fuentes hídricas y para el diseño del sistema de tratamiento según la normatividad vigente.•Desconocimiento por parte de los prestadores de la normativa para vigilancia de la calidad del agua para consumo humano.</t>
  </si>
  <si>
    <t>AGUA PURA, MEJOR VIDA</t>
  </si>
  <si>
    <t>GR5:3-01-02-291</t>
  </si>
  <si>
    <t>291</t>
  </si>
  <si>
    <t>Poner en operación 15 plantas de tratamiento de aguas residuales (PTAR).</t>
  </si>
  <si>
    <t>PTAR adicionales en operación</t>
  </si>
  <si>
    <t>GR5:3-01-02-292</t>
  </si>
  <si>
    <t>292</t>
  </si>
  <si>
    <t>Implementar en 12 sistemas de acueducto el uso de fuentes o caudales de abastecimiento complementarias.</t>
  </si>
  <si>
    <t>Sistemas de acueducto con fuentes o caudales de abastecimiento</t>
  </si>
  <si>
    <t>Pozo construido</t>
  </si>
  <si>
    <t>Construcción Segunda Etapa Plan Maestro Acueducto Primera Fase Municipio El Rosal :90,50% de Ejecución pendiente permiso de energización.Adicionalmente se ha avanzado en "Reposición del Pozo Subterráneo Deudoro Aponte del Sistema de Acueducto del Casco Urbano del Municipio de Facatativá": Suspendido 97% de ejecución pendiente permiso de energización.Embalse Pantano de Arce: Se aprobaron en comité Directivo 107 los Recursos para la Adición del Contrato de Interventoría, pendiente CDR Y MODIFICATORIOS. Construcción Sistema de Acueducto de la Vereda Guangüita del Municpio de Chocontá: En Ejecución 5% de avance Construcción Acueducto Regional el Dorado Fase II-  Municipio de San Bernardo.: Suspendido 50,43% de Avance</t>
  </si>
  <si>
    <t>GR5:3-01-02-293</t>
  </si>
  <si>
    <t>293</t>
  </si>
  <si>
    <t>Construir un embalse.</t>
  </si>
  <si>
    <t>Avance de la construcción de un embalse</t>
  </si>
  <si>
    <t>GR5:3-01-02-294</t>
  </si>
  <si>
    <t>294</t>
  </si>
  <si>
    <t>Implementar un sistema de información integrado de gestión de proyectos de agua potable.</t>
  </si>
  <si>
    <t>Avance de la implementación del sistema de información integrado</t>
  </si>
  <si>
    <t>GR5:3-01-02-295</t>
  </si>
  <si>
    <t>295</t>
  </si>
  <si>
    <t>Adoptar un plan maestro de abastecimiento y seguridad hídrica de Cundinamarca - Bogotá.</t>
  </si>
  <si>
    <t>Plan adoptado</t>
  </si>
  <si>
    <t>GR5:3-01-02-296</t>
  </si>
  <si>
    <t>296</t>
  </si>
  <si>
    <t>Realizar 4 estudios de factibilidad o de detalle de embalses.</t>
  </si>
  <si>
    <t>Estudios realizados</t>
  </si>
  <si>
    <t>1203</t>
  </si>
  <si>
    <t>INSTITUTO DE PROTECCIÓN Y BIENESTAR ANIMAL</t>
  </si>
  <si>
    <t>CUNDINAMARCA AMABLE Y COMPROMETIDA CON LOS ANIMALES</t>
  </si>
  <si>
    <t>GR5:3-01-00-626</t>
  </si>
  <si>
    <t xml:space="preserve">Aumentar al 100% de cobertura de municipios con atención en protección y bienestar animal en el territorio cundinamarqués </t>
  </si>
  <si>
    <t>GR5:3-01-03-297</t>
  </si>
  <si>
    <t>297</t>
  </si>
  <si>
    <t>Cooperar en 116 municipios del departamento en protección y bienestar animal.</t>
  </si>
  <si>
    <t>Municipios Cooperados con actividades de protección y bienestar animal.</t>
  </si>
  <si>
    <t>GR5:3-01-03-298</t>
  </si>
  <si>
    <t>298</t>
  </si>
  <si>
    <t>Formular la Política Pública en Protección y Bienestar Animal.</t>
  </si>
  <si>
    <t>Política Pública en Protección y Bienestar Animal</t>
  </si>
  <si>
    <t>Documento de Justificación de la PolíticaPresentación y Acta de sesión CODEPSDecreto Borrador de creación de instancias de participaciónMatriz de Plan de Trabajo de formulación de la política  pendiente por aprobación</t>
  </si>
  <si>
    <t>Frente a la formulación de la Política Pública de Bienestar Animal y su diferentes fases se dio cumplimiento  a la Fase 1 de la Agenda Pública donde se realizó el documento de justificación de la política, se socializó la decisión de la formulación frente al CODEPS y así mismo esta instancia la validó y aprobaron la continuidad del proceso de formulación. Se generó el decreto de creación de las instancias de participación institucional y técnica el cual se socializará a la comunidad a inicios de la vigencia 2021 para que los mismos hagan los aportes que estimen necesarios y de esa manera lograr la aprobación final del mismo por parte de la Secretaria Jurídica de la Gobernación y su expedición final, así mismo se generó el plan de trabajo de la formulación de la política con la matriz PPPYBA (Política Pública de Protección y Bienestar Animal) el cual está pendiente por revisión por parte del nuevo gerente que se designara para el Instituto.</t>
  </si>
  <si>
    <t>GR5:3-01-03-299</t>
  </si>
  <si>
    <t>299</t>
  </si>
  <si>
    <t>Aumentar a 90% las coberturas de vacunación antirrábica para perros y gatos.</t>
  </si>
  <si>
    <t>Coberturas de vacunación de la población canina y felina del departamento</t>
  </si>
  <si>
    <t>cobertura de inmunizacion antirrabica de perros y gatos</t>
  </si>
  <si>
    <t>Se aumento la cobertura de vacunación felina y canina en el departamento en los 116 municipios se vacunaron 156.293 caninos y 68.894 felinos</t>
  </si>
  <si>
    <t>La presentación de la pandemia del COVID-19 retraso la actividades presenciales en los municipios, la presencia del caso de rabia animal positivo por murcielago hematofago en el Municipio de Anapoima.</t>
  </si>
  <si>
    <t>RESIDUOS SÓLIDOS AMIGABLES ALTERNATIVOS</t>
  </si>
  <si>
    <t>GR5:3-01-00-579</t>
  </si>
  <si>
    <t>Aumentar las toneladas de residuos sólidos recuperados en los municipios del departamento.</t>
  </si>
  <si>
    <t>GR5:3-01-04-300</t>
  </si>
  <si>
    <t>300</t>
  </si>
  <si>
    <t>Poner en operación 3 nuevos sistemas de aprovechamiento de residuos sólidos.</t>
  </si>
  <si>
    <t>Sistemas de aprovechamiento de residuos sólidos en operación</t>
  </si>
  <si>
    <t>GR5:3-01-04-301</t>
  </si>
  <si>
    <t>301</t>
  </si>
  <si>
    <t>Determinar 2 alternativas de disposición final de residuos sólidos para el departamento.</t>
  </si>
  <si>
    <t>Alternativas identificadas</t>
  </si>
  <si>
    <t>GR5:3-01-04-302</t>
  </si>
  <si>
    <t>302</t>
  </si>
  <si>
    <t>Potencializar 15 asociaciones provinciales de recuperadores ambientales.</t>
  </si>
  <si>
    <t>Asociaciones de recuperadores potencializadas.</t>
  </si>
  <si>
    <t>GR5:3-01-04-303</t>
  </si>
  <si>
    <t>303</t>
  </si>
  <si>
    <t>Garantizar la interventoría a la disposición final de residuos sólidos en el relleno sanitario Nuevo Mondoñedo.</t>
  </si>
  <si>
    <t>Interventoría ejecutada</t>
  </si>
  <si>
    <t>En desarrollo contrato de Adición de interventoría SA-005-2017</t>
  </si>
  <si>
    <t>GR5:3-01-04-304</t>
  </si>
  <si>
    <t>304</t>
  </si>
  <si>
    <t>Apoyar a 30 municipios en la implementación de los Planes de Gestión de Residuos Sólidos en sus diferentes componentes.</t>
  </si>
  <si>
    <t>PGIRS apoyados</t>
  </si>
  <si>
    <t>En proceso definir convenios con municipios</t>
  </si>
  <si>
    <t>GR5:3-01-04-305</t>
  </si>
  <si>
    <t>305</t>
  </si>
  <si>
    <t>Ejecutar 3 proyectos de innovación en manejo de residuos sólidos y cambio climático.</t>
  </si>
  <si>
    <t>Proyectos ejecutados</t>
  </si>
  <si>
    <t>LA RUTA DE GESTIÓN DEL RIESGO</t>
  </si>
  <si>
    <t>CONOCIMIENTO DEL RIESGO</t>
  </si>
  <si>
    <t>GR5:3-02-00-580</t>
  </si>
  <si>
    <t>Alcanzar el 100% de la identificación de amenazas y exposición al riesgo en el departamento.</t>
  </si>
  <si>
    <t>GR5:3-02-01-306</t>
  </si>
  <si>
    <t>306</t>
  </si>
  <si>
    <t>Formular el plan de emergencia y contingencia en 300 prestadores de acueducto, alcantarillado y aseo.</t>
  </si>
  <si>
    <t>Prestadores de acueducto, alcantarillado y/o aseo con plan de emergencia y contingencia formulado</t>
  </si>
  <si>
    <t>1152</t>
  </si>
  <si>
    <t>UNIDAD ADM.ESPECIAL PARA LA GESTION DEL</t>
  </si>
  <si>
    <t>GR5:3-02-01-307</t>
  </si>
  <si>
    <t>307</t>
  </si>
  <si>
    <t>Implementar la Política Pública para la Gestión del Riesgo de Desastres, priorizando las 5 provincias con mayor frecuencia de riesgo.</t>
  </si>
  <si>
    <t>Política implementada</t>
  </si>
  <si>
    <t>GR5:3-02-01-308</t>
  </si>
  <si>
    <t>308</t>
  </si>
  <si>
    <t>Realizar con la unidad móvil 80 jornadas para el fortalecimiento de las capacidades de gestión de riesgo.</t>
  </si>
  <si>
    <t>Jornadas de fortalecimiento de capacidades en gestión de riesgo con unidad móvil</t>
  </si>
  <si>
    <t>GR5:3-02-01-309</t>
  </si>
  <si>
    <t>309</t>
  </si>
  <si>
    <t>Implementar el Plan Departamental de Gestión del Riesgo.</t>
  </si>
  <si>
    <t>Plan departamental de Gestión del Riesgo implementado</t>
  </si>
  <si>
    <t>Se realizó acompañamiento técnico a los Consejos Municipales para la Gestión del Riesgo de Desastres con el fin de realizar acciones de reducción correctiva y prospectiva del riesgo para reducir la condiciones de riesgo que están presentes en el Departamento como lo son: Incendios Forestales. “Comités provinciales para la gestión del riesgo de desastres” la UAEGRD lidero  15 mesas de trabajo provincial con la participación de alcaldes, coordinadores municipales, delegados de Asojuntas, corporaciones autónomas regiones, universidades y cuerpos operativos.seminario taller  gestión integral del riesgo de desastres en cundinamarca</t>
  </si>
  <si>
    <t>Se desarrolló el primer seminario taller  gestión integral del riesgo de desastres en cundinamarca "Nuestro territorio  , nuestro progreso responsabilidad de todos " en alianza estratégica con la universidad de cundinamarca. Donde su contenido academico se referencio en los procesos de reducción, conocimiento y manejo. Se realizaron los comités provinciales para la gestión de riesgo a través de 15 mesas de trabajo provincial con la participación de alcaldes, coordinadores municipales, delegados de asojuntas, corporaciones autónomas regionales y cuerpos operativos.Se realizaron requerimientos de información a los 116 municipios para consolidar el diagnóstico que permitirá la actualización de los instrumentos   de planificación del riesgo en el departamento. Dentro del proceso mencionado anteriormente tuvo participación los 116 municipios  de Cundinamarca</t>
  </si>
  <si>
    <t>En atención a la circular 05 de 2020, no todos los municipios reportaron la información solicitada a tiempo; por lo tanto, la consolidación de información de los instrumentos, ha sido compleja dado que se requiere el reporte total de cada municipio. Si bien se realizó el seminario taller en donde se han beneficiado personas de todos los municipios, la Universidad de Cundinamarca no ha reportado la lista total de personas que serán certificadas, motivo por el cual no podemos a la fecha del 7 de diciembre indicar cuantas personas se beneficiaron pro municipio.</t>
  </si>
  <si>
    <t>REDUCCIÓN DEL RIESGO</t>
  </si>
  <si>
    <t>GR5:3-02-00-581</t>
  </si>
  <si>
    <t>Reducir la población cundinamarquesa expuesta a amenazas de origen natural.</t>
  </si>
  <si>
    <t>GR5:3-02-02-310</t>
  </si>
  <si>
    <t>310</t>
  </si>
  <si>
    <t>Beneficiar 14.000 productores agropecuarios en prevención, atención, mitigación, recuperación por emergencias y desastres; y con instrumentos e incentivos de riesgo agropecuario y rural que permitan proteger sus inversiones y actividades.</t>
  </si>
  <si>
    <t>Productores beneficiados</t>
  </si>
  <si>
    <t>Miel de CañaInsumos y Semillas</t>
  </si>
  <si>
    <t>Se hizo una adición al contrato de Insumos y Semillas para el fortalecimiento de los sistemas productivos agroalimentarios donde se beneficiará un total de 7.162 pequeños productores afectados por heladas y sequías de 60 municipios por valor de $ 1.477.999.917.Se generó contrato con Finagro por valor de $ 60.000.000 dentro del contrato total de $ 4.760.000.000 para temas de crédito agropecuario.Se gestionó con el Ministerio de Agricultura para 400 pequeños productores ganaderos de 4 municipios (Cabrera, Chipaque, Gachancipa y Sopo) 48 toneladas de miel pura de caña por las heladas presentadas en el departamento por un valor de $ 64.800.000.</t>
  </si>
  <si>
    <t>GR5:3-02-02-311</t>
  </si>
  <si>
    <t>311</t>
  </si>
  <si>
    <t>Implementar la estrategia departamental de respuesta ante eventos de desastres.</t>
  </si>
  <si>
    <t>Estrategia departamental de respuesta ante eventos de desastres implementada</t>
  </si>
  <si>
    <t>Asistencias técnicas a los municipios para la consolidación de información de los instrumentos de planificación del Plan Municipal de Gestión del Riesgo y la Estrategia ante eventos de desastres. Asimismo, se brindó capacitación mediante alianza con la Universidad de Cundinamarca.</t>
  </si>
  <si>
    <t>De acuerdo a lo establecido en la Ordenanza 066 del 2018 Art. 28 “Comités provinciales para la gestión del riesgo de desastres” la UAEGRD lidero 15 mesas de trabajo provincial con la participación de alcaldes, coordinadores municipales, delegados de Asojuntas, corporaciones autónomas regiones, universidades y cuerpos operativos. ( 15 al 22 de diciembre). Se realizaron CDGRD dados los diferentes eventos naturales, antrópicos y biológicos, que se presentaron en el departamento, soportados en las actas del CDGRD, así como la activación de los comités de conocimiento, reducción y manejo del riesgo como lo estipulan los Art. 17 al 25 de la Ordenanza 066 del 2018. De igual manera, se realizaron requerimientos de información a los 116 municipios para consolidar el diagnostico que permitirá la actualización de los instrumentos de planificación del riesgo en el departamento.Finalmente, Se desarrolló el 1er. seminario taller gestión integral del riesgo de desastres en Cundinamarca "NUESTRO TERRITORIO, NUESTRO PROGRESO, RESPONSABILIDAD DE TODOS” el cual contó con la participación de personas de Cundinamarca y de otros departamentos del país, en alianza estratégica con la Universidad de Cundinamarca donde su contenido académico se referenció en los procesos de conocimiento, reducción y manejo del riesgo apoyado por los profesionales de la UAEGRD.</t>
  </si>
  <si>
    <t>GR5:3-02-02-312</t>
  </si>
  <si>
    <t>312</t>
  </si>
  <si>
    <t>Realizar acciones orientadas a la mitigación o reducción del riesgo al 100% de los municipios que soliciten la intervención de la UAEGRD.</t>
  </si>
  <si>
    <t>municipios solicitantes con acciones de mitigación o reducción del riesgo</t>
  </si>
  <si>
    <t>Visitas técnicas y de inspección por parte de los profesionales de la UAEGRD con el fin de evaluar escenarios de riesgo y generar reporte.</t>
  </si>
  <si>
    <t>Se realizó acompañamiento mediante visitas técnicas e inspección a los municipios que solicitaron la intervención de la UAEGRD con el fin de evaluar escenarios de riesgo.</t>
  </si>
  <si>
    <t>MANEJO DE DESASTRES</t>
  </si>
  <si>
    <t>GR5:3-02-00-582</t>
  </si>
  <si>
    <t>Alcanzar la implementación del 100% de los indicadores para evaluación de la resiliencia en el departamento.</t>
  </si>
  <si>
    <t>GR5:3-02-03-313</t>
  </si>
  <si>
    <t>313</t>
  </si>
  <si>
    <t>Atender el 100% de las solicitudes de emergencias presentadas en acueducto, alcantarillado y aseo.</t>
  </si>
  <si>
    <t>Solicitudes de emergencias en agua potable y saneamiento básico atendidas</t>
  </si>
  <si>
    <t>Servicio de atención de emergencias con carrotanque y con equipo presión succión</t>
  </si>
  <si>
    <t>En el periodo de enero a diciembre de 2020 se han atendido 331 solicitudes por desabastecimiento de agua potable con carrotanque, en total 975 días de operación; 188 solicitudes por colmataciones y taponamientos en redes de alcantarillados con equipos de succión presión, en total 423 días de operación; se han ejecutado 13 obras de rehabilitación de infraestructura afectada por fenómenos naturales. Plan de Gestión del Riesgo Sectorial aprobado por el MVCT. Proyecto aprobado por la Ventanilla Departamental.Solicitud de recursos para la ejecución del proyecto en trámite CDR.</t>
  </si>
  <si>
    <t>GR5:3-02-03-314</t>
  </si>
  <si>
    <t>314</t>
  </si>
  <si>
    <t>Garantizar el funcionamiento de 2 Centros Regionales Integrales de Respuesta - CRIR.</t>
  </si>
  <si>
    <t>Centros Regionales Integrales de Respuesta - CRIR funcionando</t>
  </si>
  <si>
    <t>Se cuenta con el CRIR construido y dotado; no obstante, su funcionamiento quedará listo a fin de año y los recursos en especie que se programaron, se relacionan a personal ya contratado de la UAEGRD que brindará acompañamiento para el buen funcionamiento.</t>
  </si>
  <si>
    <t>GR5:3-02-03-315</t>
  </si>
  <si>
    <t>315</t>
  </si>
  <si>
    <t>Implementar 3 nuevas funcionalidades del sistema de información de gestión del riesgo y de alertas tempranas.</t>
  </si>
  <si>
    <t>Funcionalidades nuevas implementadas</t>
  </si>
  <si>
    <t>GR5:3-02-03-316</t>
  </si>
  <si>
    <t>316</t>
  </si>
  <si>
    <t>Crear 1 escuela departamental de bomberos de Cundinamarca.</t>
  </si>
  <si>
    <t>Escuelas de Bomberos creada</t>
  </si>
  <si>
    <t>GR5:3-02-03-317</t>
  </si>
  <si>
    <t>317</t>
  </si>
  <si>
    <t>Atender el 100% de las solicitudes de ayudas y acciones de respuesta por emergencias, calamidades o desastres.</t>
  </si>
  <si>
    <t>Se entregaron Kits de bioseguridad, Bonos alimentarios, Donaciones, Mercados , Puestos de mando unificado PMU, Tejas, Tanques de almacenamiento de agua potable, carpas allu hall.</t>
  </si>
  <si>
    <t>•Se atendió el 100% de las solicitudes de ayudas y acciones de respuesta por emergencias, calamidades o desastres, donde se beneficiaron  1720 familias por ayudas humanitarias. •Ante la pandemia de covid-19 la UAEGRD a través la subdirección de manejo ha liderado y coordinado la entrega a los 116 municipios de herramientas y equipamiento para contener y afrontar la pandemia PMU, bonos alimentarios, kits de bioseguridad, donaciones, mercados, entre otros.</t>
  </si>
  <si>
    <t>•Se han entregado directamente a las alcaldías y consejos municipales de Gestión de Riesgo las ayudas humanitarias para que realicen la entrega al beneficiario; por lo tanto, se ha disminuido el contacto directo con la comunidad como consecuencia de la emergencia por COVID 1</t>
  </si>
  <si>
    <t>EL CAMBIO ESTÁ EN TUS MANOS</t>
  </si>
  <si>
    <t>ALTERNATIVAS VERDES PARA EL CRECIMIENTO</t>
  </si>
  <si>
    <t>GR5:3-03-00-583</t>
  </si>
  <si>
    <t>Reducir las emisiones de gases de efecto invernadero de las industrias manufactureras.</t>
  </si>
  <si>
    <t>GR5:3-03-01-318</t>
  </si>
  <si>
    <t>318</t>
  </si>
  <si>
    <t>Implementar 3 sistemas de producción sostenible con el ambiente.</t>
  </si>
  <si>
    <t>Sistemas de producción sostenible implementados</t>
  </si>
  <si>
    <t>Suscripcion del Convenio Convenio SA- CDCASO – 070 de 2020  Objeto: Anuar esfuerzos técnicos, administrativos y financieros para el fortalecimiento de la gestión ambiental en el departamento a fin de promover un territorio sostenible, productivo y resiliente a los efectos del cambio climático</t>
  </si>
  <si>
    <t>GR5:3-03-01-319</t>
  </si>
  <si>
    <t>319</t>
  </si>
  <si>
    <t>Articular con el sector privado una estrategia de responsabilidad ambiental empresarial</t>
  </si>
  <si>
    <t>Estrategia de articulación implementada</t>
  </si>
  <si>
    <t>Suscripcion del Convenio Convenio SA- CDCASO – 070 de 2020  Objeto: Anuar esfuerzos técnicos, administrativos y financieros para el fortalecimiento de la gestión ambiental en el departamento a fin de promover un territorio sostenible, productivo y resiliente a los efectos del cambio climático / Se realizo la alinza estrategica con empresa de Licores de Cundinamarca, mediante Memorando de entendimiento . Se adelantan acciones en temas de huella de carbono, residuos solidos, plan de gestion ambiental , ecoetiqueta.</t>
  </si>
  <si>
    <t>GR5:3-03-01-320</t>
  </si>
  <si>
    <t>320</t>
  </si>
  <si>
    <t>Intervenir en 100 Mipymes o esquemas asociativos estrategias de mitigación en procesos productivos, negocios verdes y energías limpias, renovables y alternativas.</t>
  </si>
  <si>
    <t>MIPYMES o esquemas asociativos intervenidos</t>
  </si>
  <si>
    <t>CULTURA AMBIENTAL</t>
  </si>
  <si>
    <t>GR5:3-03-00-584</t>
  </si>
  <si>
    <t>Aumentar la cobertura en educación ambiental comunitaria e institucional.</t>
  </si>
  <si>
    <t>GR5:3-03-02-321</t>
  </si>
  <si>
    <t>321</t>
  </si>
  <si>
    <t>Ejecutar 30 jornadas de educación y cultura ambiental.</t>
  </si>
  <si>
    <t>Jornadas de educación y cultura ambiental</t>
  </si>
  <si>
    <t>GR5:3-03-02-322</t>
  </si>
  <si>
    <t>322</t>
  </si>
  <si>
    <t>Implementar 20 proyectos de educación ambiental presentados a través de los CIDEAS municipales.</t>
  </si>
  <si>
    <t>1114</t>
  </si>
  <si>
    <t>SECRETARIA DE FUNCION PUBLICA</t>
  </si>
  <si>
    <t>GR5:3-03-02-323</t>
  </si>
  <si>
    <t>323</t>
  </si>
  <si>
    <t>Implementar el 100% del sistema de gestión ambiental bajo la NTC ISO 14001: 2015 en la gobernación.</t>
  </si>
  <si>
    <t>Avance en la implementación del Sistema implementado</t>
  </si>
  <si>
    <t>Se adelanto OPS para avanzar en el cumplimiento de la documentación de la meta.</t>
  </si>
  <si>
    <t>CUNDINAMARCA RESILIENTE AL CAMBIO CLIMÁTICO</t>
  </si>
  <si>
    <t>GR5:3-03-00-585</t>
  </si>
  <si>
    <t>Alcanzar el 100% de municipios con implementación del programa de huella de carbono fase II.</t>
  </si>
  <si>
    <t>GR5:3-03-03-324</t>
  </si>
  <si>
    <t>324</t>
  </si>
  <si>
    <t>Potencializar la estrategia huella de carbono departamental.</t>
  </si>
  <si>
    <t>Estrategia huella de carbono potencializada</t>
  </si>
  <si>
    <t>Suscripcion del Convenio  SA- CDCASO – 070 de 2020  Objeto: Anuar esfuerzos técnicos, administrativos y financieros para el fortalecimiento de la gestión ambiental en el departamento a fin de promover un territorio sostenible, productivo y resiliente a los efectos del cambio climático / Se realizo la medicion de la huella de carbono de los 116 municipios, hospitales verdes y otras instituciones. Se recibio el reporte de compensacion de 32 municipios. Se adelanta la calculadora Corporativa con CAEM.</t>
  </si>
  <si>
    <t>GR5:3-03-00-586</t>
  </si>
  <si>
    <t>Reducir las emisiones de gases de efecto invernadero.</t>
  </si>
  <si>
    <t>GR5:3-03-03-325</t>
  </si>
  <si>
    <t>325</t>
  </si>
  <si>
    <t>Beneficiar 500 familias con la sustitución de estufas ecoeficientes.</t>
  </si>
  <si>
    <t>Familias beneficiadas</t>
  </si>
  <si>
    <t>GR5:3-03-03-326</t>
  </si>
  <si>
    <t>326</t>
  </si>
  <si>
    <t>Implementar 4 proyectos establecidos en el Plan Regional Integral de Cambio Climático - PRICC.</t>
  </si>
  <si>
    <t>Proyectos PRICC implementados</t>
  </si>
  <si>
    <t>GR5:3-03-03-327</t>
  </si>
  <si>
    <t>327</t>
  </si>
  <si>
    <t>Restaurar 100 hectáreas afectadas por eventos climáticos.</t>
  </si>
  <si>
    <t>Hectáreas restauradas</t>
  </si>
  <si>
    <t>GR5:3-03-03-328</t>
  </si>
  <si>
    <t>328</t>
  </si>
  <si>
    <t>Implementar estrategias de energías renovables en 50 entornos en el departamento.</t>
  </si>
  <si>
    <t>Entornos con estrategias de energías renovables</t>
  </si>
  <si>
    <t>GR5:3-03-03-329</t>
  </si>
  <si>
    <t>329</t>
  </si>
  <si>
    <t>Recolectar y llevar a destino final 120 toneladas de residuos de aparatos eléctricos y electrónicos.</t>
  </si>
  <si>
    <t>Toneladas de residuos electrónicos recolectados</t>
  </si>
  <si>
    <t>Recolección de residuos electrónicos</t>
  </si>
  <si>
    <t>Adjudicación del convenio RAEE a la firma Gaia Vitare. Recolección de 5.02 Toneladas de Residuos electrónicos</t>
  </si>
  <si>
    <t>MÁS INTEGRACIÓN</t>
  </si>
  <si>
    <t>REGIÓN, ECONOMÍA IMPARABLE</t>
  </si>
  <si>
    <t>CUNA DE LA ECONOMÍA</t>
  </si>
  <si>
    <t>GR5:4-01-00-616</t>
  </si>
  <si>
    <t>Aumentar en 0,12 puntos el Índice Departamental de Competitividad</t>
  </si>
  <si>
    <t>GR5:4-01-01-330</t>
  </si>
  <si>
    <t>330</t>
  </si>
  <si>
    <t>Beneficiar a 3.000 familias mediante la estrategia ZODAS para el abastecimiento agroalimentario de Cundinamarca y la región.</t>
  </si>
  <si>
    <t>Familias beneficiadas con la estrategia</t>
  </si>
  <si>
    <t>Se genera convenio interadministrativo de cofinanciación entre la RAPE quien aporto $69 millones, Departamento de Boyacá aportando $ 30 millones, Secretaria Distrital de Desarrollo Económico  del Distrito  aporto $ 220 millones y el Departamento de Cundinamarca aporto $ 40 millones con el objetivo de aunar esfuerzos técnicos y financieros  para el fortalecimiento de productores  y comercialización de productos  agropecuarios en torno al eje de seguridad alimentaria, producción agrícola, desarrollo rural, fortalecimiento al campesino y a organizaciones sociales de la región central  en el marco del sistema de abastecimiento y distribución de alimentos. Con estos recursos se van a atender en el año 2021 a 172 familias cundinamarquesas a través de : (1)  Desarrollo de capacidades productivas y de acceso a mercados públicos y privados (2) Escuelas de campo de última generación (3) Ruedas de negocios efectivas (4) Eficiencia en sus procesos  (5)  Acompañamiento psicosocial.</t>
  </si>
  <si>
    <t>GR5:4-01-01-331</t>
  </si>
  <si>
    <t>331</t>
  </si>
  <si>
    <t>Apoyar la adecuación y funcionamiento de 4 plantas de beneficio animal.</t>
  </si>
  <si>
    <t>Plantas de beneficio animal adecuadas y en funcionamiento</t>
  </si>
  <si>
    <t>GR5:4-01-01-332</t>
  </si>
  <si>
    <t>332</t>
  </si>
  <si>
    <t>Desarrollar una planta de abonos al servicio de la región.</t>
  </si>
  <si>
    <t>Planta de abonos regional desarrollada</t>
  </si>
  <si>
    <t>ESTUDIO DE PREFACTIBILIDAD  DONDE SE IDENTIFICA LA SITUACIÓN  DEL SECTOR ,ESTUDIOS DE MERCADO, TÉCNICO, AMBIENTAL, ADMINISTRATIVO Y FINANCIERO  PARA EL DESARROLLO DE LA PLANTA DE ABONOS .</t>
  </si>
  <si>
    <t>1129</t>
  </si>
  <si>
    <t>SECRETARIA DE INTEGRACION REGIONAL</t>
  </si>
  <si>
    <t>GR5:4-01-01-333</t>
  </si>
  <si>
    <t>333</t>
  </si>
  <si>
    <t>Cooperar en la implementación de 8 proyectos regionales estratégicos.</t>
  </si>
  <si>
    <t>Proyectos regionales apoyados</t>
  </si>
  <si>
    <t>Luego de la revisión de los planes de desarrollo de los 46 municipios de la cuenca del río Bogotá, se identificaron acciones y metas de alcance regional en diferentes temáticas que permiten la articulación de esfuerzos para el desarrollo de iniciativas y proyectos de impacto supramunicipal. Se firmaron tres (3) contratos de prestación de servicios para el apoyo técnico orientado a la recolección de información como insumo para el inicio de los proyectos.</t>
  </si>
  <si>
    <t>INDUSTRIA TURÍSTICA DIVERSA Y POTENTE</t>
  </si>
  <si>
    <t>GR5:4-01-00-588</t>
  </si>
  <si>
    <t>Aumentar el puntaje del componente de "Gestión de destino" del Índice de competitividad turística regional de Colombia.</t>
  </si>
  <si>
    <t>GR5:4-01-02-334</t>
  </si>
  <si>
    <t>334</t>
  </si>
  <si>
    <t>Estructurar un megaproyecto de infraestructura turística en la región Cundinamarca - Bogotá.</t>
  </si>
  <si>
    <t>Megaproyecto de infraestructura turística estructurado</t>
  </si>
  <si>
    <t>GR5:4-01-02-335</t>
  </si>
  <si>
    <t>335</t>
  </si>
  <si>
    <t>Potencializar siete 7 atractivos turísticos en el marco de la región Cundinamarca - Bogotá.</t>
  </si>
  <si>
    <t>Atractivos turísticos potencializados en la región Bogotá - Cundinamarca</t>
  </si>
  <si>
    <t>Apoyo para la reactivación económica y turística 3 atractivos turísticos catedral de sal de Zipaquirá,  termales el Zipa del municipio de Tabio y mina de sal de Nemocón con la adquisición de pasaportes de ingreso y pasadías,  los cuales permitirán el acceso de la población cundinamarquesa en condición de vulnerabilidad y adicionalmente, dar flujo de caja a estos sitios de interés con el fin de apoyar su sostenimiento (personal de operación, administración y logística).</t>
  </si>
  <si>
    <t>GR5:4-01-02-336</t>
  </si>
  <si>
    <t>336</t>
  </si>
  <si>
    <t>Implementar 20 alojamientos rurales “Posadas turísticas" en el marco de la región Cundinamarca - Bogotá.</t>
  </si>
  <si>
    <t>Alojamientos rurales "Posadas turísticas" implementadas</t>
  </si>
  <si>
    <t>GR5:4-01-02-337</t>
  </si>
  <si>
    <t>337</t>
  </si>
  <si>
    <t>Implementar 5 productos turísticos para fortalecer las rutas turísticas del departamento de Cundinamarca</t>
  </si>
  <si>
    <t>Productos turísticos implementados</t>
  </si>
  <si>
    <t>Capacitaciones, asistencia técnica y acompañamiento territorial.</t>
  </si>
  <si>
    <t>Creación de un nuevo producto turístico alrededor de Biciturismo en la provincia de Gualivá, Subachoque,  El Rosal, y la provincia de Sumapaz; creación circuito turístico MTB Bogotá-Región, dos localidades de Bogotá y 15 municipios de Cundinamarca. Adicionalmente, se ha fortalecido el producto de aviturismo, por medio de capacitaciones y posicionamiento en el OCTOBER BIG del municipio de San Antonio del Tequendama como el mejor lugar a nivel nacional para avistamiento de aves. Reconocimiento de los atractivos turísticos que comprenden la ruta Leyenda el Dorado en articulación con el Instituto Distrital de Turismo - IDT.</t>
  </si>
  <si>
    <t>Apoyo por parte de las administraciones municipales en la socialización de convocatorias e información publicada por el IDECUT.</t>
  </si>
  <si>
    <t>GR5:4-01-02-338</t>
  </si>
  <si>
    <t>338</t>
  </si>
  <si>
    <t>Impulsar la legalización de 100 empresarios turísticos (RNT-prestadores turísticos en Normas Técnicas Sectoriales NTS).</t>
  </si>
  <si>
    <t>Empresarios turísticos legalizados</t>
  </si>
  <si>
    <t>GR5:4-01-02-339</t>
  </si>
  <si>
    <t>339</t>
  </si>
  <si>
    <t>Realizar 3 alianzas para fortalecer la seguridad, la movilidad y la capacidad de gestión turística en el marco de la Región Cundinamarca - Bogotá.</t>
  </si>
  <si>
    <t>Alianzas para el fortalecimiento de la gobernanza implementadas</t>
  </si>
  <si>
    <t>GR5:4-01-02-340</t>
  </si>
  <si>
    <t>340</t>
  </si>
  <si>
    <t>Participar en 20 eventos de carácter internacional, nacional o regional con operadores turísticos.</t>
  </si>
  <si>
    <t>Eventos Internacionales, nacionales y regional en los que se participa con operadores turísticos</t>
  </si>
  <si>
    <t>GR5:4-01-02-341</t>
  </si>
  <si>
    <t>341</t>
  </si>
  <si>
    <t>Implementar 4 estrategias de promoción, comunicación y marketing turístico en el marco de la región Cundinamarca- Bogotá.</t>
  </si>
  <si>
    <t>Estrategias de promoción, comunicación y marketing turístico implementadas</t>
  </si>
  <si>
    <t>Estrategias de promoción ( convocatorias, concursos, post informativos, postales de atractivos turísticos, entre otros)</t>
  </si>
  <si>
    <t>Promoción de potencial turístico del departamento de Cundinamarca a través de medios de comunicación (virtuales, televisión, radio), aportando y apoyando la reactivación del sector turístico, con el cual se evidencia un incremento en la llegada de visitantes y turistas a los diferentes atractivos y destinos turísticos del departamento.</t>
  </si>
  <si>
    <t>Falta de conocimiento por parte de la población cundinamarquesa de las redes sociales que maneja el IDECUT.</t>
  </si>
  <si>
    <t>REGIÓN VERDE, REGIÓN DE VIDA</t>
  </si>
  <si>
    <t>PACTO POR EL AGUA</t>
  </si>
  <si>
    <t>GR5:4-02-00-627</t>
  </si>
  <si>
    <t>Incrementar 0,22 puntos en el puntaje del componete sostenibilidad del Indice de competitividad departamental</t>
  </si>
  <si>
    <t>GR5:4-02-01-342</t>
  </si>
  <si>
    <t>342</t>
  </si>
  <si>
    <t>Entregar la estación elevadora de Canoas, en cumplimiento de la sentencia 2001-90479 de marzo 28 de 2014 del Consejo de Estado.</t>
  </si>
  <si>
    <t>Estación elevadora de Canoas entregada</t>
  </si>
  <si>
    <t>Avance en la construcción de la Estación Elevadora</t>
  </si>
  <si>
    <t>Avance acumulado a noviembre del 12,12 % que corresponde al porcentaje de ejecución del componente de construcción, teniendo un acumulado a octubre de 11,1 % y un ejecutado en el mes de noviembre de 1,1 %. Esta informacion es del informe del mes de noviembre suministrado por el Acueducto de Bogotá.</t>
  </si>
  <si>
    <t>GR5:4-02-01-343</t>
  </si>
  <si>
    <t>343</t>
  </si>
  <si>
    <t>Cofinanciar la construcción de la PTAR Canoas en cumplimiento de la sentencia 2001-90479 de marzo 28 de 2014 del Consejo de Estado.</t>
  </si>
  <si>
    <t>Recursos aportados</t>
  </si>
  <si>
    <t>GR5:4-02-01-344</t>
  </si>
  <si>
    <t>344</t>
  </si>
  <si>
    <t>Implementar 1 instrumento para la articulación de la inversión de áreas de importancia estratégica para la conservación de recursos hídricos (art. 111 de la ley 99 de 1993)</t>
  </si>
  <si>
    <t>Instrumento de articulación implementado</t>
  </si>
  <si>
    <t>Suscripcion del Convenio SA- CDCCO - 067 de 2020  Objeto: Acuerdo de financiación entre el Programa de las Naciones Unidas para el Desarrollo (PNUD) y la Secretaria del Ambiente de la Gobernación de Cundinamarca./ Aunar esfuerzos técnicos, administrativos, financieros y operativos entre el PNUD y la Gobernación de Cundinamarca – Secretaría del Ambiente para la formulación de la Política Pública de Cambio Climático y la construcción de un instrumento de articulación territorial de la gestión del recurso hídrico, como estrategia de fortalecimiento e integración Regional. / Se adelato con Fondo Accion el desarrollo de la linea estrategica que el Departamento debe adoptar para logras el 50% de la carbono neutralidad. Documento que sera avalado  el 22 de enero de 2021, por la Direccion de Cambio CLimatcio del  Ministerio de Ambiente.   Se adelanta el ajuste del documento Consejo Superior Ambiental</t>
  </si>
  <si>
    <t>GR5:4-02-01-345</t>
  </si>
  <si>
    <t>345</t>
  </si>
  <si>
    <t>Implementar un proyecto articulado del POMCA del Río Bogotá.</t>
  </si>
  <si>
    <t>Proyecto del POMCA del Río Bogotá articulado</t>
  </si>
  <si>
    <t>TERRITORIO QUE RESPIRA</t>
  </si>
  <si>
    <t>GR5:4-02-00-590</t>
  </si>
  <si>
    <t>Reducir la participación nacional de la región en emisiones de CO2.</t>
  </si>
  <si>
    <t>GR5:4-02-02-346</t>
  </si>
  <si>
    <t>346</t>
  </si>
  <si>
    <t>Ejecutar el plan de acción de crisis climática para la región Cundinamarca - Bogotá.</t>
  </si>
  <si>
    <t>Plan de acción de crisis climática ejecutado.</t>
  </si>
  <si>
    <t>Suscripcion del Convenio SA- CDCCO - 067 de 2020  Objeto: Acuerdo de financiación entre el Programa de las Naciones Unidas para el Desarrollo (PNUD) y la Secretaria del Ambiente de la Gobernación de Cundinamarca./ Aunar esfuerzos técnicos, administrativos, financieros y operativos entre el PNUD y la Gobernación de Cundinamarca – Secretaría del Ambiente para la formulación de la Política Pública de Cambio Climático y la construcción de un instrumento de articulación territorial de la gestión del recurso hídrico, como estrategia de fortalecimiento e integración Regional.  Se recibe propuesta de PNUD para el desarrollo de  las lineas generales de las acciones a seguir para dar cumplimiento a la meta.</t>
  </si>
  <si>
    <t>GR5:4-02-02-347</t>
  </si>
  <si>
    <t>347</t>
  </si>
  <si>
    <t>Implementar una estrategia tendiente a mejorar la calidad del aire en la región Cundinamarca - Bogotá.</t>
  </si>
  <si>
    <t>Estrategia de mejoramiento de la calidad del aire implementado</t>
  </si>
  <si>
    <t>REGIÓN , CONEXIÓN INTELIGENTE</t>
  </si>
  <si>
    <t>MOVILIDAD INTELIGENTE</t>
  </si>
  <si>
    <t>GR5:4-03-00-591</t>
  </si>
  <si>
    <t>Reducir el tiempo promedio de desplazamiento entre los municipios de sabana centro, sabana de occidente, Soacha hacia Bogotá.</t>
  </si>
  <si>
    <t>GR5:4-03-01-348</t>
  </si>
  <si>
    <t>348</t>
  </si>
  <si>
    <t>Intervenir 10 conexiones viales de la ciudad -región.</t>
  </si>
  <si>
    <t>Conexiones viales de la ciudad -región intervenidas</t>
  </si>
  <si>
    <t>GR5:4-03-01-349</t>
  </si>
  <si>
    <t>349</t>
  </si>
  <si>
    <t>Construir el sistema de transporte férreo de pasajeros - Regiotram de Occidente.</t>
  </si>
  <si>
    <t>Regiotram de Occidente construido</t>
  </si>
  <si>
    <t xml:space="preserve"> Se realizan gestiones de seguimiento a la gestión predial y social para entregar al Concesionario los predios necesarios para la construcción de la obra, supervisar la entrega por parte del Concesionario a la ANI de los diseños a detalle del Km 5 para su aprobación, adelantar proceso de coordinación (cronogramas de ejecución de obras, manejo de intersecciones, priorización para el paso de intersecciones semaforizadas, aprobación de plan de manejo de tráfico) con entidades del Distrito Capital tales como, IDU, Secretaría de Movilidad, Empresa de renovación urbana, Empresa metro.</t>
  </si>
  <si>
    <t>Regiotram Occidente avanza a través de los aportes que a la fecha ha realizado el Departamento firmando así el contrato de concesión.El contrato tiene por objeto el otorgamiento de una concesión para que el Concesionario, por su cuenta y riesgo, lleve a cabo todas las actividades necesarias desde la  financiación, Estudios y Diseños, ejecución de la obras de construcción hasta la prestación del servicio público de transporte férreo de pasajeros en Bogotá y Cundinamarca, incluyendo su recaudo.  Dicho contrato se firma con el Concesionario Férrea de Occidente S.A.S. el 07 de enero del año en curso, entrando en la fase previa a partir de la firma del acta de inicio la cual fue el 24 de junio de 2020 con una duración de 18 meses.</t>
  </si>
  <si>
    <t>GR5:4-03-01-350</t>
  </si>
  <si>
    <t>350</t>
  </si>
  <si>
    <t>Construir la extensión de la troncal NQS del SITM a Soacha fases II y III.</t>
  </si>
  <si>
    <t>Extensión de la troncal NQS del SITM a Soacha fases II y III construida</t>
  </si>
  <si>
    <t>Se realizó el seguimiento a la gestión socio - predial adelantada por el gestor del proyecto, supervisión proceso precontractual de la licitación pública, para la demolición y custodia de los predios que sean adquiridos como gestión predial y seguimiento al trámite de solicitud de aprobación del Plan de Manejo Arqueológico, presentado por el ente gestor al Instituto Colombiano de Antropología e Historia – ICANH.</t>
  </si>
  <si>
    <t>La fase II se extiende desde la calle 22 de Soacha hasta el sector de El Altíco, en una longitud de 1,3 km, este tramo contará con 2 estaciones sencillas de parada y la estación intermedia de integración 3M; y la Fase III parte de la estación de integración 3M hasta el patio-portal El Vínculo, este recorrido tiene 2,6 km. ESTE PROYECTO TENDRÁ UNA EJECUCIÓN PRESUPUESTAL DE VIGENCIAS FUTURAS DE $19,961,575,098 MILLONES PARA EL AÑO 2020                Logros obtenidos año  2020•CONTRATO DE OBRA: 1.- Lote 1 Calle 24 a Calle 15 Sur. CONTRATO No. 60-EFR-2019 La fase II se extiende desde la calle 22 de Soacha hasta el sector de El Altíco, en una longitud de 1,3 km, este tramo contará con 2 estaciones sencillas de parada y la estación intermedia de integración 3M; y la Fase III parte de la estación de integración 3M hasta el patio-portal El Vínculo, este recorrido tiene 2,6 km. ESTE PROYECTO TENDRÁ UNA EJECUCIÓN PRESUPUESTAL DE VIGENCIAS FUTURAS DE $19,961,575,098 MILLONES PARA EL AÑO 2020               Logros obtenidos •CONTRATO DE OBRA: 1.- Lote 1 Calle 24 a Calle 15 Sur. CONTRATO No. 60-EFR-2019 •CONTRATO DE OBRA: 2.- Calle 15 Sur a Intercepción Av Circunvalar Sur. CONTRATO No. 61-EFR-2019</t>
  </si>
  <si>
    <t>GR5:4-03-01-351</t>
  </si>
  <si>
    <t>351</t>
  </si>
  <si>
    <t>Estructurar el proyecto de transporte masivo del corredor férreo del norte (Zipaquirá - Bogotá).</t>
  </si>
  <si>
    <t>Proyecto estructurado y contratado</t>
  </si>
  <si>
    <t>GR5:4-03-01-352</t>
  </si>
  <si>
    <t>352</t>
  </si>
  <si>
    <t>Estructurar el proyecto de transporte masivo extensión de la troncal Ciudad de Cali del sistema Transmilenio al municipio de Soacha.</t>
  </si>
  <si>
    <t>GR5:4-03-01-353</t>
  </si>
  <si>
    <t>353</t>
  </si>
  <si>
    <t>Mantener la operación del ente gestor de los proyectos de transporte masivo regional.</t>
  </si>
  <si>
    <t>Ente gestor en operación</t>
  </si>
  <si>
    <t>Se realizó seguimiento a la gestión socio - predial adelantada por el gestor del proyecto, supervisión proceso precontractual de la licitación pública, para la demolición y custodia de los predios que sean adquiridos como gestión predial y seguimiento al trámite de solicitud de aprobación del Plan de Manejo Arqueológico, presentado por el ente gestor al Instituto Colombiano de Antropología e Historia – ICANH.</t>
  </si>
  <si>
    <t>Se realizó seguimiento a la gestión socio - predial adelantada por el gestor del proyecto, supervisión proceso precontractual de la licitación pública, para la demolición y custodia de los predios que sean adquiridos como gestión predial y seguimiento al trámite de solicitud de aprobación del Plan de Manejo Arqueológico, presentado por el ente gestor al Instituto Colombiano de Antropología e Historia – ICANH.Se mantiene la operación del ente gestor de los proyectos de transporte masivo regional demanera financiera con tres desembolsos de la siguiente manera para el mes de junio , Julio yAgosto en Subvención vigencia de 2020 Res. 045-junio-2020 dirigidos a la EMPRESA FERREAREGIONAL SAS por un valor de 4.242.857.142 Millones de pesos.</t>
  </si>
  <si>
    <t>GR5:4-03-01-354</t>
  </si>
  <si>
    <t>354</t>
  </si>
  <si>
    <t>Elaborar un estudio para la viabilidad del sistema de transporte férreo de pasajeros del sur (Soacha-Bogotá).</t>
  </si>
  <si>
    <t>Estudio de viabilidad elaborado</t>
  </si>
  <si>
    <t>GR5:4-03-01-355</t>
  </si>
  <si>
    <t>355</t>
  </si>
  <si>
    <t>Implementar un plan maestro de movilidad a nivel departamental con dimensión municipal y regional.</t>
  </si>
  <si>
    <t>Plan implementado</t>
  </si>
  <si>
    <t>TERRITORIO ALIADO Y SEGURO</t>
  </si>
  <si>
    <t>GR5:4-03-00-628</t>
  </si>
  <si>
    <t>Incrementar 0,18 puntos  la dimensión de Seguridad y Justicia del Indice Departamental de Competitividad</t>
  </si>
  <si>
    <t>GR5:4-03-02-356</t>
  </si>
  <si>
    <t>356</t>
  </si>
  <si>
    <t>Implementar un plan de seguridad regional.</t>
  </si>
  <si>
    <t>Plan de seguridad regional implementado</t>
  </si>
  <si>
    <t>Primer plan integral de seguridad regional, articulando los planes integrales de seguridad y convivencia ciudadana departamental y del distrito capital beneficiando a 26 municipios frontera, el cual busca disminuir los 18 delitos de alto impacto.  Para cumplir con el avance del plan, se logran 2 componentes, la preparación y formulación y asistencia técnica. Dentro de los mismos, se realiza un documento técnico que integra el plan de seguridad regional, este mismo se articuló entre el PISCCJ Bogotá y PISCC Cundinamarca, los cuales hacen referencia a los Planes Integrales de Seguridad y Convivencia Ciudadana y en los mismos, se realiza un diagnóstico línea base de los municipios frontera con Bogotá. A su vez, se realizó asistencia técnica a los organismos de los 26 municipios frontera con Bogotá y se realizaron consejos de seguridad y comités regionales de seguridad, convivencia y justicia.  Se ha realizado el seguimiento a los 21 delitos de los 26 municipios, mes a mes así como mapeo de actores.</t>
  </si>
  <si>
    <t>GR5:4-03-02-357</t>
  </si>
  <si>
    <t>357</t>
  </si>
  <si>
    <t>Implementar un plan de defensa estratégica de los recursos naturales y de infraestructura energética.</t>
  </si>
  <si>
    <t>Plan de defensa estratégica de los recursos naturales y de infraestructura energética implementado</t>
  </si>
  <si>
    <t>Se inicia el diagnóstico del plan de defensa estratégica de recursos naturales e  infraestructura energética desde una perspectiva regional. Se plantean acciones de las mismas dentro del Plan Integral de Seguridad y Convivencia Ciudadana. Adicional a ello se generó el documento técnico que integre el plan de defensa estratégica de recursos naturales y de infraestructura energética en Bogotá y Cundinamarca.</t>
  </si>
  <si>
    <t>TERRITORIO CON SERVICIOS PÚBLICOS PARA TODOS</t>
  </si>
  <si>
    <t>GR5:4-03-00-593</t>
  </si>
  <si>
    <t>Incrementar la cobertura de municipios con sistemas de aprovechamiento de residuos sólidos.</t>
  </si>
  <si>
    <t>GR5:4-03-03-359</t>
  </si>
  <si>
    <t>359</t>
  </si>
  <si>
    <t>Acompañar una estrategia para determinar nuevos espacios de aprovechamiento de residuos en la región Cundinamarca - Bogotá.</t>
  </si>
  <si>
    <t>Estrategia articulada</t>
  </si>
  <si>
    <t>GR5:4-03-00-594</t>
  </si>
  <si>
    <t>Aumentar la continuidad del servicio urbano de agua en Cundinamarca.</t>
  </si>
  <si>
    <t>GR5:4-03-03-360</t>
  </si>
  <si>
    <t>360</t>
  </si>
  <si>
    <t>Aumentar a 11 municipios el abastecimiento de agua potable.</t>
  </si>
  <si>
    <t>Municipios con abastecimiento de agua potable.</t>
  </si>
  <si>
    <t>GR5:4-03-00-595</t>
  </si>
  <si>
    <t>Reducir la población de Soacha con necesidades básicas insatisfechas en el componente de servicios.</t>
  </si>
  <si>
    <t>GR5:4-03-03-361</t>
  </si>
  <si>
    <t>361</t>
  </si>
  <si>
    <t>Conectar a 68.000 personas el servicio de acueducto en el municipio de Soacha.</t>
  </si>
  <si>
    <t>Personas nuevas con acceso al servicio de acueducto</t>
  </si>
  <si>
    <t>nuevas conexiones al servicio de acueducto</t>
  </si>
  <si>
    <t>Hemos gestionado la conexión de 10.460 nuevos habitantes en el municipio de Soacha en colaboración con el Acueducto de Bogotá y con el Municipio, para el año 2020.se continua acompañando a los diferentes comités, así mismo se hace el respectivo seguimiento de las obras que se estan ejecuctando en el sector  con un porcentaje de avance del 45,60% de avance, para lograr su ejecución al 100%</t>
  </si>
  <si>
    <t>GR5:4-03-03-362</t>
  </si>
  <si>
    <t>362</t>
  </si>
  <si>
    <t>Conectar a 68.000 personas al servicio de alcantarillado en el municipio de Soacha.</t>
  </si>
  <si>
    <t>Personas nuevas con acceso al servicio de alcantarillado</t>
  </si>
  <si>
    <t>nuevas conexiones al servicio de alcantarillado</t>
  </si>
  <si>
    <t>Hemos gestionado la conexión de 9.628 nuevos habitantes en el municipio de Soacha en colaboración con el Acueducto de Bogotá y con el Municipio para el año 2020.se continua acompañando a los diferentes comités, así mismo se hace el respectivo seguimiento de las obras que se estan ejecuctando en el sector  con un porcentaje de avance del 45,60% de avance, para lograr su ejecución al 100%</t>
  </si>
  <si>
    <t>REGIÓN, UN TERRITORIO DE TODOS</t>
  </si>
  <si>
    <t>HÁBITAT EN ARMONÍA</t>
  </si>
  <si>
    <t>GR5:4-04-00-596</t>
  </si>
  <si>
    <t>Alcanzar 4 zonas de borde con Bogotá intervenidas con obras de transformación de entornos.</t>
  </si>
  <si>
    <t>GR5:4-04-01-363</t>
  </si>
  <si>
    <t>363</t>
  </si>
  <si>
    <t>Intervenir el entorno de 2 territorios de borde entre Cundinamarca y Bogotá.</t>
  </si>
  <si>
    <t>Territorios de borde con entornos intervenidos</t>
  </si>
  <si>
    <t>GR5:4-04-00-597</t>
  </si>
  <si>
    <t>Eliminar para 150 familias el riesgo no mitigable en la ronda del río Bogotá y en los municipios que limitan con Bogotá.</t>
  </si>
  <si>
    <t>GR5:4-04-01-364</t>
  </si>
  <si>
    <t>364</t>
  </si>
  <si>
    <t>Ejecutar 2 obras de mejoramiento de entorno y manejo ambiental en predios desocupados por familias reubicadas.</t>
  </si>
  <si>
    <t>Obras de mejoramiento de entorno y manejo ambiental ejecutadas</t>
  </si>
  <si>
    <t>JUNTOS SOMOS MÁS</t>
  </si>
  <si>
    <t>GR5:4-04-00-598</t>
  </si>
  <si>
    <t>Alcanzar el 100% de actualización de los indicadores regionales.</t>
  </si>
  <si>
    <t>GR5:4-04-02-366</t>
  </si>
  <si>
    <t>366</t>
  </si>
  <si>
    <t>Mantener actualizados el 100% de los indicadores de hechos regionales a través del ODUR y en articulación con la IDER.</t>
  </si>
  <si>
    <t>Indicadores actualizados</t>
  </si>
  <si>
    <t>A partir de la identificación, recolección y consolidación de la información base regional referente a los indicadores definidos por el ODUR en cada uno de sus ejes e indicadores, se estructuró un inventario de información con cada una de las fuentes que permitiera el análisis personalizado de cada una de ellas.Paralelamente, se creó un equipo de trabajo entre las Secretarías de Planeación y de Integración Regional de Cundinamarca y la Secretaría Distrital de Planeación para trazar una ruta de acción que permita, entre otras cosas, revalidar cada uno de los indicadores definidos en el ODUR y generar los procesos de actualización correspondientes. Es este sentido, se definió que la fuente de información actual se generaría del resultado de la nueva Encuesta Multipropósito de Bogotá y 21 municipios, la cual será contratada con el DANE. Su ejecución se plantea para finales de este año. Para este fin, la Secretaría de Integración Regional y la Secretaría de Planeación de Cundinamarca servirán de articuladoras entre Bogotá y los municipios para asegurar que dicha app logre los niveles de calidad esperados.</t>
  </si>
  <si>
    <t>1113</t>
  </si>
  <si>
    <t>SECRETARIA DE PLANEACION</t>
  </si>
  <si>
    <t>GR5:4-04-02-367</t>
  </si>
  <si>
    <t>367</t>
  </si>
  <si>
    <t>Incrementar 180 Geoservicios WEB anualmente en la Infraestructura de Datos Espaciales Regional IDER</t>
  </si>
  <si>
    <t>Geoservicios Web incrementados</t>
  </si>
  <si>
    <t>GR5:4-04-00-599</t>
  </si>
  <si>
    <t>Alcanzar la implementación de 5 proyectos regionales.</t>
  </si>
  <si>
    <t>GR5:4-04-02-368</t>
  </si>
  <si>
    <t>368</t>
  </si>
  <si>
    <t>Implementar una estrategia técnica, financiera y de gestión para fortalecer los espacios de coordinación regional existentes CIT - RAPE y otros.</t>
  </si>
  <si>
    <t>El 28 de julio se socializaron los resultados del convenio Interadministrativo SIR-CDCVI-010-2019 que tiene por objeto “Aunar esfuerzos técnicos, administrativos y financieros entre el departamento de Cundinamarca y la Región Administrativa de Planeación Especial – RAPE, para generar acciones tendientes a cumplir con el proyecto de “incentivos a la conservación”, de conformidad con las especificaciones técnicas definidas”. En el evento, al que asistieron alcaldes y beneficiarios de los 20 municipios priorizados, se entregó información que sirve como insumo para la implementación de esquemas de pagos por servicio ambientales en sus territorios.En el marco del Comité de Integración Territorial (CIT) se adelantaron acciones relacionadas con las  mesas técnicas de residuos sólidos y seguridad ciudadana. Para la primera, se realizaron tres sesiones de trabajo con representantes de las secretarías de ambiente de los 26 municipios que son¬¬¬¬¬ parte de esta instancia de coordinación regional para validar las líneas estratégicas definidas para el PIGRS y revisar propuestas de las actividades que se deben desarrollar en cada componente. Por su parte, para la mesa de seguridad ciudadana, se llevaron a cabo cuatro encuentros en los que se organizaron las primeras acciones que se van a realizar con los municipios para la socialización de los Planes Integrales de Seguridad, Convivencia y Justicia (PISCJ) Distrital y Departamental y el avance de acciones conjuntas en esta materia.De manera paralela se realizaron mesas subregionales en las que el equipo técnico del CIT trabajó con los representantes de las secretarías de planeación de los municipios para avanzar en la identificación de algunos proyectos incluidos en los planes de desarrollo municipales.Por otro lado, se avanzó en la estructuración de una propuesta para la suscripción del nuevo convenio para la operación de esta instancia de coordinación regional, con la Secretaría Distrital de Planeación y la Cámara de Comercio de Bogotá. Finalmente, en conjunto con el Ministerio de Vivienda y el CIT se organizaron encuentros para construir una matriz de priorización de proyectos regionales. Se identificaron dos para hábitat, nueve para movilidad y dos para servicios públicos. Se destaca la estructuración del sistema de ciclovías metropolitano en torno al Regiotram de Occidente que ya logró la financiación de la CAF con 450 mil euros y que contará con un componente de DOTS que puede ser de gran utilidad para todos los municipios que tienen estaciones de Regiotram.</t>
  </si>
  <si>
    <t>GR5:4-04-02-369</t>
  </si>
  <si>
    <t>369</t>
  </si>
  <si>
    <t>Apoyar 4 provincias del departamento en la adopción de esquemas de asociatividad y definición de infraestructuras y equipamientos.</t>
  </si>
  <si>
    <t>Provincias beneficiadas</t>
  </si>
  <si>
    <t>Se lideró el proceso para la conformación de la provincia Administrativa y de Planificación de Sumapaz, con la participación de diez (10) municipios, para lograr una alianza que permita alcanzar objetivos comunes que mejoren el nivel de vida de las comunidades. Se avanzó en la estructuración del esquema asociativo y de la ruta de trabajo, y se conformó el comité técnico para la elaboración del documento soporte de la PAP Sumapaz, que define su funcionamiento, financiamiento y reglas. Tres (3) municipios ya aprobaron el documento. Paralelamente se avanza en la formulación de los actos administrativos necesarios para la conformación de este esquema de asociatividad.</t>
  </si>
  <si>
    <t>GR5:4-04-02-370</t>
  </si>
  <si>
    <t>370</t>
  </si>
  <si>
    <t>Implementar una estrategia para la creación y puesta en marcha de una estructura de gobernanza subregional.</t>
  </si>
  <si>
    <t>Mediante una reforma constitucional del pasado 22 de julio, se creó la Región Metropolitana Bogotá – Cundinamarca, una figura de asociatividad regional para trabajar conjuntamente por el desarrollo integral del territorio. Resultado del trabajo articulado entre la Gobernación de Cundinamarca, la Alcaldía Mayor de Bogotá y el Congreso de la República, se definió una estrategia de participación ciudadana que comprende seis (6) audiencias públicas provinciales, doce (12) municipales y seis (6) en las localidades de Bogotá, además de otras audiencias sectoriales y poblacionales.Desde el pasado 24 de agosto se han realizado 18 audiencias públicas en las Provincias de Sabana Occidente, Sabana Centro, Soacha, Oriente-Guavio-Medina y Supamaz- la localidad de Sumapaz; Alto Magdalena, Magdalena Centro y Tequendama, y en Bajo Magdalena, Gualivá y Rionegro; en los municipios de Funza, Madrid, Mosquera, Chía, Cajicá, Sopó, Cota, La Calera y  Facatativá, y en las localidades de Suba, Usaquén, Engativá, Fontibón y Kennedy. Con corte a 30 de septiembre, se recibieron más de 1.350 propuestas y 773 intervenciones en desarrollo de las audiencias.</t>
  </si>
  <si>
    <t>GR5:4-04-02-371</t>
  </si>
  <si>
    <t>371</t>
  </si>
  <si>
    <t>Ejecutar una estrategia de identidad apropiación y conocimiento de la región Cundinamarca - Bogotá.</t>
  </si>
  <si>
    <t>Como parte de las acciones concertadas con la Alcaldía Mayor de Bogotá, se adelantaron acciones para el desarrollo de una estrategia que permita fomentar la identidad y la apropiación de la región a partir del reconocimiento de un territorio que constituye una unidad homogénea, determinada por circunstancias naturales, geográficas, históricas, culturales, sociales, ambientales, económicas y políticas. En el marco de esta estrategia se pretenden desarrollar, entre otras, acciones que resalten el valor del patrimonio natural, patrimonial y cultural de la región, que permitan que la ciudadanía consolide y apropie los rasgos esenciales de su identidad y refuerce su sentido de pertenencia a la región.</t>
  </si>
  <si>
    <t>TERRITORIO CON SENTIDO</t>
  </si>
  <si>
    <t>GR5:4-04-00-600</t>
  </si>
  <si>
    <t>Contribuir en la implementación de instrumentos de planeación del territorio en los 116 municipios.</t>
  </si>
  <si>
    <t>GR5:4-04-03-373</t>
  </si>
  <si>
    <t>373</t>
  </si>
  <si>
    <t>Actualizar el 100% de la cartografía básica y temática de los municipios priorizados, requerida para los procesos de planificación y ordenamiento.</t>
  </si>
  <si>
    <t xml:space="preserve">Actualización de cartografia Basica y tematica </t>
  </si>
  <si>
    <t>GR5:4-04-03-374</t>
  </si>
  <si>
    <t>374</t>
  </si>
  <si>
    <t>Asesorar, capacitar, acompañar y asistir a los 116 municipios del departamento en los procesos de de ordenamiento territorial y los instrumentos de planificación, gestión y financiación.</t>
  </si>
  <si>
    <t>Municipios con Asistencia Técnica en OT e instrumentos de planificación, gestión y financiación</t>
  </si>
  <si>
    <t>MÁS GOBERNANZA</t>
  </si>
  <si>
    <t>GESTIÓN PÚBLICA INTELIGENTE</t>
  </si>
  <si>
    <t>GESTIÓN DE EXCELENCIA</t>
  </si>
  <si>
    <t>GR5:5-01-00-601</t>
  </si>
  <si>
    <t>Aumentar el índice de desempeño institucional.</t>
  </si>
  <si>
    <t>GR5:5-01-01-376</t>
  </si>
  <si>
    <t>376</t>
  </si>
  <si>
    <t>Mantener certificados los 4 procesos correspondientes a la Secretaría de Educación, de acuerdo con las especificaciones técnicas del Ministerio de Educación Nacional.</t>
  </si>
  <si>
    <t>Procesos certificados</t>
  </si>
  <si>
    <t>Del 3 al 6 de noviembre de 2020, se llevó a cabo la auditoría de seguimiento de los 4 subprocesos certificados de la Secretaría de Educación por parte de ICONTEC, ente certificador contratado para tal fin. Se logró el objetivo y se mantienen los cuatro (4) subprocesos certificados: Subproceso Gestión de la Calidad del servicio educativo en Educación Preescolar, Básica y Media, Gestión de cobertura del servicio educativo, Gestión del Talento Humano de las IED y Atención al Ciudadano. EL auditor dejo una no conformidad menor por la  calidad de las respuestas de PQRS, sin descuidar la oportunidad, teniendo en cuenta que la tendencia es a la baja  manteniendo el incumplimiento.</t>
  </si>
  <si>
    <t>GR5:5-01-01-377</t>
  </si>
  <si>
    <t>377</t>
  </si>
  <si>
    <t>Certificar el sistema de gestión de seguridad de la información ISO 27001:2013.</t>
  </si>
  <si>
    <t>Sistema certificado</t>
  </si>
  <si>
    <t>Se asigno recurso en especie en una OPS para adelantar actividades tendientes a documentar el sistema de seguridad de la información.</t>
  </si>
  <si>
    <t>GR5:5-01-01-378</t>
  </si>
  <si>
    <t>378</t>
  </si>
  <si>
    <t>Mantener 2 certificaciones del sistema integral de gestión y control, ISO 9001:2015 e ISO 45001:2018.</t>
  </si>
  <si>
    <t>Certificaciones mantenidas</t>
  </si>
  <si>
    <t>Dos certificaciones</t>
  </si>
  <si>
    <t>Se cuenta con una avance al 100% de la meta, culminando la auditoria externa de Icontec en donde nos recomiendan continuar con las certificaciones ISO 9001:2015 e ISO 45001:2018</t>
  </si>
  <si>
    <t>GR5:5-01-01-379</t>
  </si>
  <si>
    <t>379</t>
  </si>
  <si>
    <t>Beneficiar a 58 funcionarios del nivel profesional para el acceso y permanencia en estudios universitarios de especialización.</t>
  </si>
  <si>
    <t>Funcionarios beneficiados</t>
  </si>
  <si>
    <t>GR5:5-01-01-380</t>
  </si>
  <si>
    <t>380</t>
  </si>
  <si>
    <t>Implementar la primera fase de la infraestructura de datos espaciales.</t>
  </si>
  <si>
    <t>Fase implementada</t>
  </si>
  <si>
    <t>Servicios de información actualizados.</t>
  </si>
  <si>
    <t>Se actualizó el geoportal de mapas y estadística, con los sitios de datos abiertos, mapas, actualización de cartografía y aplicaciones de soporte a las entidades.</t>
  </si>
  <si>
    <t>Sin dificultades.</t>
  </si>
  <si>
    <t>GR5:5-01-01-381</t>
  </si>
  <si>
    <t>381</t>
  </si>
  <si>
    <t>Implementar el sistema de gestión de calidad en el laboratorio de salud pública acorde a los requisitos de la Resolución 1619 de 2015 y a la norma ISO IEC 17025:2017.</t>
  </si>
  <si>
    <t>Avance en implementación del Sistema de gestión de calidad en el laboratorio</t>
  </si>
  <si>
    <t>sistema de gestión implementado de acuerdo a los requisitos de la resolución 1619 de 2015 y a la norma ISO IEC 17025:2017</t>
  </si>
  <si>
    <t>El laboratorio de salud publica obtuvo la aprobación para el proyecto fortalecimiento de las capacidades de investigación y desarrollo para atender problemáticas asociadas con agentes biológicos para la salud pública, a través del mejoramiento del laboratorio de salud pública de Cundinamarca por 4.500.000.000 Convocatoria del fondo de CTEI del SGR para el fortalecimiento de laboratorios regionales con potencial de prestar servicios científicos y tecnológicos para atender problemáticas asociadas con agentes biológicos de alto riesgo para la salud humana.</t>
  </si>
  <si>
    <t>Se mantiene la dificultad con la conectividad en el laboratorio. Debido a la emergencia sanitaria por causa del Coronavirus COVID-19, y el aumento en el volumen de muestras recibidas, se brinda apoyo por parte de todo el personal en algunas actividades del área clínica. Sin embargo el laboratorio de salud pública continua dando cumplimiento a la vigilancia de los eventos de interés en salud pública, la vigilancia y control  sanitario</t>
  </si>
  <si>
    <t>GR5:5-01-01-382</t>
  </si>
  <si>
    <t>382</t>
  </si>
  <si>
    <t>Implementar en el 100% de las Empresas Sociales del Estado el plan de mejoramiento de la calidad.</t>
  </si>
  <si>
    <t>ESE con plan de mejoramiento suscrito</t>
  </si>
  <si>
    <t>Diagnóstico de los cuatro componentes del Sistema Obligatorio de Garantía de la Calidad en las 14 regiones de salud y en la ESE Hospital Universitario de la Samaritana para la formulación del Plan de mejoramiento de la Calidad 2020-2023.  Se cuenta con 14  planes de mejoramiento formulados para desarrollar durante el cuatrienio articulados con el premio Departa mental de Fortalecimiento de la Autoridad sanitaria en sus 2 categorías (uno) 1.Secretaria de Salud Líder y categoría 2. Región de Salud líderContar con el 100% de planes de mejora de la calidad formulados 2020 - 2023 y con el diagnóstico de las 14 Regiones de Salud en cuanto a los 4 componentes del SOGC de la atención en salud.Articulación de la gestión de calidad con la implementación de las 14 Regiones de salud Reconocimiento otorgado a través del premio Departamental al fortalecimiento de la autoridad sanitaria lo cual ha permitido difundir los logros en calidad de las 14 Regiones de Salud a nivel departamental, Nacional e Internacional</t>
  </si>
  <si>
    <t>Desarticualación al interior de las ESE en temas de calidad y la gestión institucional. Desconocimiento del trabajo con enfoque de Región.</t>
  </si>
  <si>
    <t>TRÁMITES SIMPLES, GOBIERNO CERCANO</t>
  </si>
  <si>
    <t>GR5:5-01-00-602</t>
  </si>
  <si>
    <t>Incrementar la satisfacción de los usuarios de la Gobernación de Cundinamarca.</t>
  </si>
  <si>
    <t>GR5:5-01-02-383</t>
  </si>
  <si>
    <t>383</t>
  </si>
  <si>
    <t>Asistir 5.000 solicitudes de procesos de titulación de predios urbanos y rurales en el departamento.</t>
  </si>
  <si>
    <t>1.428 predios en proceso por sesión a título gratuito y 283 declaratoria de titularidad logrando formalizar la propiedad de aquellos predios baldíos y fiscales en eventos como la falsa tradición, ocupación y posesión, estimulando el desarrollo urbano y rural, mejorar la calidad de vida de los ocupantes y poseedores de los predios convirtiendo en patrimonio los predios que ocupan los municipios y los particulares, desarrollando un mercado inmobiliario con seguridad jurídica que funcione en forma abierta, ágil y transparente. Mediante las 300 asistencias técnicas en la formalización de la propiedad de predios baldíos y fiscales, en los 116 municipios del departamento de Cundinamarca, se ha logrado en esta primera etapa de 2020 concientizar y adquirir la cultura por parte de los 538 funcionarios de las administraciones municipales y comunidad cundinamarquesa, de la importancia de la legalización de la titulación de los predios que ocupan. Con lo anterior, se logra en proceso de formalización de predios 1.428 por cesión a título gratuito y 283 por declaratoria. Así mismo, se logró llevar a cabo alianzas estratégicas de apoyo técnico, logístico y humano, con entidades públicas actoras del proceso, como la Superintendencia de Notariado y Registro (SNR), Agencia Nacional de Tierras, Ministerio de Vivienda, Ciudad y Territorio, Instituto Geográfico Agustín Codazzi (IGAC), Secretarías de Educación y Agricultura, y el Instituto Departamental de Acción Comunal (IDACO), todo para el beneficio de la comunidad en su legalización de predios.</t>
  </si>
  <si>
    <t>Que los municipios no cuentan con el recurso humano, técnico, logístico y económico, para el proceso de la formalización de la propiedad de predios baldíos y fiscales.Mayor compromiso político por parte de las administraciones municipales  y Concejos Municipales, para los procesos de cesión a título gratuito y venta, de predios fiscales con uso habitacional y comercial, respectivamente.Los municipios no cuentan con el instrumento de ordenamiento territorial actualizado (EOT, PBOT y POT) de conformidad con el estado real del uso del suelo y ubicación de los mismos, en consecuencia, dificulta el proceso para la expedición de las certificaciones de usos del suelo por parte de las Secretarías de planeación municipal.Los actores del proceso no cuentan con los recursos económicos para los levantamientos topográficos y certificados planos prediales catastrales.Demora en la expedición de las certificaciones de carencia de identidad registral,  calificación de los títulos, aperturas de folios de matrículas inmobiliarias y registro de las resoluciones, por parte de las Oficinas de Registro de Instrumentos Públicos.</t>
  </si>
  <si>
    <t>GR5:5-01-02-384</t>
  </si>
  <si>
    <t>384</t>
  </si>
  <si>
    <t>Mantener en los 53 hospitales públicos la estrategia de humanización en la prestación de servicios de salud.</t>
  </si>
  <si>
    <t>Hospitales con estrategia de Humanización mantenida</t>
  </si>
  <si>
    <t>Hospitales con estrategia de Humanización</t>
  </si>
  <si>
    <t>MSe dio continuidad a los Nodos de Humanización con 11 encuentros desde el mes de abril, con asistencias técnicas y capacitaciones  mensuales contamos con la participación de la Lideres SIAU, Lideres SAC de las IPS y alcaldías, articulando acciones y temas  con: Salud Mental, Secretaria de la mujer, Alta consejería para la felicidad y Ministerio de salud y protección social- Realizamos nuestro Nodo de Humanización felicidad y participación ciudadana con el tema Desafíos de la salud en tiempos de pandemia, Metodología de la Defensoría del pueblo, tuvimos la participación de las Referentes de Humanización de 51 Hospitales y 27 Alcaldías, entre otros invitados de la Gobernación de Cundinamarca, para un total de 621 participantes en total.Al mes de Diciembre completamos 54 reuniones con la Mesa de dignificación de servicios de salud, de la Defensoría del Pueblo, creando y validando los cuatro módulos, que están siendo validados con los colaboradores de IPS del departamento de CundinamarcaCurso virtual de Humanización en la atención materna y perinatal tuvimos la participación de 22 hospitales y 79 personas certificadas en el curso, Aplicamos encuesta de satisfacción a 79 participantes del curso para generar nuevos ajustes Realizamos nuestra primera inducción de manera virtual a los colaboradores de la secretaria de salud con énfasis en Atención Centrada en las Personas para un total de 91 personas de cada una de las Direcciones.Se aplicó encuesta de satisfacción de cliente externo a 53 Gerentes, 116 alcaldes, 116 líderes del sistema de atención al ciudadano de las alcaldías, 18 veedores, 110 líderes de Comités de Participación Social en Salud, 37 miembros de asociación de usuarios y 160 usuarios del Laboratorio de Salud Pública. Participamos en la Validación externa de la política pública Nacional de humanización con el Ministerio de Salud realizando aportes al documento técnico y al plan de Acción como ente territorial en (6) reuniones Creación y validación de los cuatro módulos de la metodología de Dignificación de Servicios de Salud con enfoque en derechos humanos con la Defensoría del Pueblo</t>
  </si>
  <si>
    <t>•Las reuniones virtuales con algunos municipios por la disponibilidad de la RED</t>
  </si>
  <si>
    <t>GR5:5-01-02-385</t>
  </si>
  <si>
    <t>385</t>
  </si>
  <si>
    <t>Implementar la estrategia "Me muevo por Cundinamarca" para modernizar los procesos de trámites y servicios al ciudadano de la Secretaría de Movilidad.</t>
  </si>
  <si>
    <t>1. Creación de 3 nuevas sedes operativas de servicios en tránsito que permitirá una mayor y mejor atención, así como la reducción en tiempo y costos de desplazamiento de nuestros ciudadanos.2. Planes de choque para mejorar la atención de las PQRS.</t>
  </si>
  <si>
    <t>*Componente Sedes operativas Creación de 3 sedes operativas ubicadas en losmunicipios de Arbeláez, Tocancipa y Puerto Salgar, mediante el decreto 514 del 17 de noviembre de 2020. Para de esta manera aumentar la cobertura de Aumentar la eficacia, eficiencia y efectividad de las instituciones públicas del departamento con el fortalecimiento de capacidades administrativas, financieras, tecnológicas y jurídicas que permitan aumentar los niveles de confianza de la comunidad en el sector público.*Componente Unidad Móvil Puesta en funcionamiento de la unidad móvil de servicios en los municipios más apartados de nuestro Departamento, con el fin de orientar y atender las necesidades de nuestros ciudadanos, en lo que respecta a trámites y servicios, en especial relacionados con comparendos;para una atención a más de 400 personas.atención de nuestra Secretaria en el Departamento y así agilizar y mejorar la atención de nuestros usuarios. Puesta en marcha de Unidad Móvil de Atención y promoción de servicios de movilidad en los municipios de:Municipio          capacitaciones Medina                   25Paratebueno          45Cachipay                70puerto salgar          12Supata                    36Tibirita                    16Cabrera                  24Medina                   18Arbelaez                 72Granada                181Paratebueno           35Total beneficiarios  534  En atención y temáticas de transporte y movilidad    .*COMPONENTE PQRSMejoramiento en tiempos de respuesta a PQRS por parte de la dirección de servicios sedes operativas en tránsito y sus gerencias, mejorando la satisfacción de nuestros usuarios; es por ello que para el año 2020 a la fecha se han evacuado satisfactoriamente más de 1700 PQRS. Asímismo se ha implementado y fortalecido una atención personaliza y telefónica con nuestros usuarios, a fin de satisfacer sus requerimientos de manera más pronta, por supuesto bajo la salvaguarda de todos los protocolos de bioseguridad y el cuidado a la vida.</t>
  </si>
  <si>
    <t>Indiscutiblemente la dificultad durante este año fue la emergencia sanitaria del COVID_19, que afecto considerablemente la prestación de nuestros servicios: Las medidas gubernamentales, tales como la restricción en la prestación de nuestros servicios, los aislamientos obligatorios y preventivos que impidieron el cumplimiento al 100% de nuestras actividades, ya que muchas de ellas dependían de la presencialidad no solo de nuestros funcionarios sino de los ciudadanos que requerían la atención. Así mismo, el reto de trabajar desde la virtualidad, las dificultades propias de estructurar plataformas y sistemas de atención virtual de nuestros trámites y servicios; la falta de información y documentación que reposaba solo en las instalaciones y equipos de cada oficina; los inconvenientes relacionados con la conectividad; la falta de comunicación clara y veraz entre todos los actores de nuestros servicios.</t>
  </si>
  <si>
    <t>1103</t>
  </si>
  <si>
    <t>SECRETARIA GENERAL</t>
  </si>
  <si>
    <t>GR5:5-01-02-386</t>
  </si>
  <si>
    <t>386</t>
  </si>
  <si>
    <t>Formular una Política Pública Departamental de Atención al Usuario.</t>
  </si>
  <si>
    <t>política Pública Formulada</t>
  </si>
  <si>
    <t>GR5:5-01-02-387</t>
  </si>
  <si>
    <t>387</t>
  </si>
  <si>
    <t>Modernizar los 3 canales de atención al usuario.</t>
  </si>
  <si>
    <t>Canales modernizados (Presencial, virtual y telefónico)</t>
  </si>
  <si>
    <t>Modernización y mantenimiento de los canales de atención</t>
  </si>
  <si>
    <t>En la vigencia 2020 se realizó la modernización del canal de atención telefónico, en donde el total de los recursos de inversión fueron destinados y ejecutados en la estrategia contact center, así logrando garantizar la prestación del servicio a más 274.000 usuarios que interactúan a través del canal telefónico.Para el canal virtual se logró habilitar la línea de WhatsApp como otra estrategia de interacción y comunicación virtual con los usuarios de la Gobernación de Cundinamarca.Por último la Secretaría General y la dirección de Atención al Usuario mantuvieron en funcionamiento el canal de atención presencial, adoptando los protocolos de bioseguridad necesarios para la atención presencial en el marco de la emergencia sanitaria causada por el  COVID-19.</t>
  </si>
  <si>
    <t>La principal dificultad para esta meta fue la restricción en la apropiación de los recursos para la modernización y mantenimiento de los canales de atención, pues aún se presentan dificultades como la integración de la plataforma que usa el Contact Center con la tecnología que existe actualmente en la Gobernación. También se requiere modernizar el aplicativo mercurio, las instalaciones físicas de la Gobernación de Cundinamarca en principios de accesibilidad y por ultimo realizar la parametrización y adopción de la ventanilla única virtual con el propósito de dar cumplimiento a los principios de racionalización de trámites.</t>
  </si>
  <si>
    <t>GR5:5-01-02-388</t>
  </si>
  <si>
    <t>388</t>
  </si>
  <si>
    <t>Realizar 15 ferias de servicios con la oferta institucional de la gobernación.</t>
  </si>
  <si>
    <t>Ferias de servicios realizados</t>
  </si>
  <si>
    <t>GR5:5-01-02-389</t>
  </si>
  <si>
    <t>389</t>
  </si>
  <si>
    <t>Implementar 4 aplicaciones para modernizar la prestación del servicio de la Secretaría General.</t>
  </si>
  <si>
    <t>Aplicaciones implementadas</t>
  </si>
  <si>
    <t>MEJORES INSTITUCIONES , MÁS EFICIENCIA</t>
  </si>
  <si>
    <t>GR5:5-01-00-603</t>
  </si>
  <si>
    <t>Aumentar el índice de desempeño institucional de entidades territoriales del departamento.</t>
  </si>
  <si>
    <t>GR5:5-01-03-390</t>
  </si>
  <si>
    <t>390</t>
  </si>
  <si>
    <t>Dotar el 100% de los cuerpos de bomberos en el departamento.</t>
  </si>
  <si>
    <t>Cuerpos de Bomberos Dotados</t>
  </si>
  <si>
    <t>GR5:5-01-03-391</t>
  </si>
  <si>
    <t>391</t>
  </si>
  <si>
    <t>Intervenir 50 entes territoriales, corporaciones o casa de gobierno con construcción, adecuación o dotación.</t>
  </si>
  <si>
    <t>Casas o concejos Adecuados</t>
  </si>
  <si>
    <t>Casa de gobierno construida</t>
  </si>
  <si>
    <t>Se realiza adición para continuar con la construcción de la casa de Gobierno del municipio de Nimaima, la cual inició desde el periodo de gobierno anterior.</t>
  </si>
  <si>
    <t>GR5:5-01-03-392</t>
  </si>
  <si>
    <t>392</t>
  </si>
  <si>
    <t>Implementar un plan de fortalecimiento integral de las capacidades de gestión de la administración departamental y sus municipios.</t>
  </si>
  <si>
    <t>Plan de Fortalecimiento integral implementado</t>
  </si>
  <si>
    <t>La implementación de un plan de fortalecimiento integral de las capacidades de gestión de la administración departamental y sus municipios, se ha avanzado en el desarrollado del plan de asistencia técnica municipal y departamental el cual contempla temas como: •Ordenamiento Territorial (ajuste planes, Plusvalía, Comisiones de ordenamiento)•Planes de desarrollo municipal (Formulación, Plan indicativo, plan de acción, rendición de cuentas, empalme y seguimiento)•Banco de proyectos (estructuración de proyectos de inversión)•Finanzas municipales (presupuesto, capacidad de endeudamiento)•Políticas Públicas (Formulación, seguimiento y evaluación)•Inversión por regalías (Estructuración de proyectos de inversión, seguimiento y evaluación). Seguimiento y evaluación plan departamental de desarrollo- Optimización creación de procesos administrativos en la secretaria de planeación.</t>
  </si>
  <si>
    <t>GR5:5-01-03-393</t>
  </si>
  <si>
    <t>POLÍTICA PÚBLICA DE PARTICIPACIÓN CIUDADANA._x000D_
POLÍTICA PÚBLICA DE FELICIDAD Y BIENESTAR SUBJETIVO_x000D_
POLÍTICA PÚBLICA SEGURIDAD ALIMENTARIA Y NUTRICIONAL.</t>
  </si>
  <si>
    <t>393</t>
  </si>
  <si>
    <t>Mantener el 90% de las acciones de Inspección, Vigilancia y Control en los objetos sanitarios de los municipios categorías 4,5 y 6.</t>
  </si>
  <si>
    <t>Acciones de Inspección, Vigilancia y Control en los objetos sanitarios de los municipios categorías 4,5 y 6.</t>
  </si>
  <si>
    <t>Se realizan acciones de vigilancia y control sanitario en los 103 municipios del departamento categoría 4,5 y 6 de responsabilidad departamental a los sujetos y objetos susceptibles de inspección, contribuyendo a mejorar la calidad de vida de los cundinamarqueses y a la no presentación de enfermedades transmitidas por alimentos, intoxicaciones por sustancias químicas potencialmente tóxicas, enfermedad diarreica aguda por la mala calidad del agua.</t>
  </si>
  <si>
    <t>Por la pandemia por COVID -19 el cierre y la demora en la reapertura de algunos sujetos y objeto susceptibles de inspección vigilancia y control sanitario</t>
  </si>
  <si>
    <t>GR5:5-01-03-394</t>
  </si>
  <si>
    <t>394</t>
  </si>
  <si>
    <t>Apalancar financieramente el 100% de las ESE de la red pública departamental y la EAPB CONVIDA.</t>
  </si>
  <si>
    <t>ESE apalancadas - EAPB apalancada</t>
  </si>
  <si>
    <t>Apoyo financiero para el fortalecimiento de la prestación del Servicio de Salud en el Nivel Territorial a 53 Empresas sociales del Estado y la EPS CONVIDA, por un valor  $ 81.436 millones de pesos.   Con el apalancamiento financiero brindado a las (53) Empresas Sociales del Estado y a CONVIDA EPS, se ha logrado subsanar parte del déficit presupuestal y se ha apoyado la emergencia sanitaria presentada por la pandemia del COVID  19 en estas entidades, garantizando el funcionamiento y la oportuna prestación en servicios de salud a los cundinamarqueses. Se realizo el giro de 14.280 millones para la adquisición de insumos críticos para la atención de pacientes y transporte de personal asistencial como respuesta a la Emergencia ocasionada por la pandemia COVID 19.</t>
  </si>
  <si>
    <t>El comportamiento irregular del recaudo de las rentas cedidas de salud y la incertidumbre en cuento a ventas de servicios y reconocimiento en las ESE del departamento dificultó la planificación del apalancamiento financiero para el apoyo de la operación de la red pública</t>
  </si>
  <si>
    <t>GR5:5-01-03-395</t>
  </si>
  <si>
    <t>395</t>
  </si>
  <si>
    <t>Mantener al 100% el apoyo a la gestión administrativa y financiera en la red pública departamental de salud.</t>
  </si>
  <si>
    <t>ESE con apoyo administrativo y financiero</t>
  </si>
  <si>
    <t>Mediante las trasferencias de ley realizadas a los tribunales de ética médica, odontológica y enfermería aportamos al cumplimiento de los objetivos propuestos así mismo con las transferencias al hospital universitario de la samaritana y Colciencias para realizar mejores labores en el departamento ayudados de un apoyo a la gestión administrativa y financiera de la secretaria de salud</t>
  </si>
  <si>
    <t>debido al bajo recaudo no se han podido realizar  a tiempo las transferencias a colciencias y al Hospital universitario</t>
  </si>
  <si>
    <t>GR5:5-01-03-396</t>
  </si>
  <si>
    <t>396</t>
  </si>
  <si>
    <t>Asistir al 100% de entidades territoriales municipales y hospitales de la red pública en el proceso de planeación estratégica.</t>
  </si>
  <si>
    <t>Entidades asistidas</t>
  </si>
  <si>
    <t>• Se realiza asistencia técnica a las dependencias de la secretaria de salud para la actualización, seguimiento y control de los planes y  proyectos de inversión de la secretaria de Salud de Cundinamarca en los instrumentos definidos por Secretaria de Planeación Departamental.Se realizó asistencia técnica a los 116 municipios sobre los planes territoriales de salud, para su formulación, seguimiento, control y reporte. Se realiza asistencia técnica a los 53 hospitales de la red pública departamental en formulación, seguimiento y evaluación del Plan Indicativo y del POA de los planes hospitalarios. Se realiza asistencia técnica a las dependencias de la secretaria de salud para la actualización, seguimiento y control de los planes y proyectos de inversión de la secretaria de Salud de Cundinamarca en los instrumentos definidos por Secretaria de Planeación Departamental.</t>
  </si>
  <si>
    <t>En las reuniones virtuales con los municipios la conectividad afecta la realización de las asistencias técnicas</t>
  </si>
  <si>
    <t>GR5:5-01-03-397</t>
  </si>
  <si>
    <t>397</t>
  </si>
  <si>
    <t>Cofinanciar en los 116 municipios la UPC del régimen subsidiado.</t>
  </si>
  <si>
    <t>municipios cofinanciados</t>
  </si>
  <si>
    <t>Unidad de Pago por Capitación del Régimen Subsidiado (UPC-S) en los 116 municipios</t>
  </si>
  <si>
    <t>Se logra cofinanciar la unidad de pago por capacitación del Régimen Subsidiado (UPC-S) en los 116 municipios del departamento con el fin de garantizar la afiliación de la población al régimen subsidiado y se efectuó seguimiento para promover acceso a los servicios de salud con oportunidad y calidad en garantizar que sean atendidos en su totalidad los requerimientos de prestación de servicios de tecnologías en salud no incluidos dentro del plan de beneficios solicitados por los usuarios a cargo del departamento.  Y con respecto con el registro contable de la LMA, se debe fortalecer los conceptos. Se propuso la realización de un piloto para avanzar con los secretarios de Hacienda y Contadores de los municipios.</t>
  </si>
  <si>
    <t>GR5:5-01-03-398</t>
  </si>
  <si>
    <t>398</t>
  </si>
  <si>
    <t>Adecuar la infraestructura de 6 bienes inmuebles propiedad del departamento.</t>
  </si>
  <si>
    <t>Bienes Inmuebles adecuados</t>
  </si>
  <si>
    <t>GR5:5-01-03-399</t>
  </si>
  <si>
    <t>399</t>
  </si>
  <si>
    <t>Adquirir 5 bienes inmuebles.</t>
  </si>
  <si>
    <t>Bienes Inmuebles adquiridos</t>
  </si>
  <si>
    <t>CONSERVACIÓN DE NUESTRA MEMORIA</t>
  </si>
  <si>
    <t>GR5:5-01-00-604</t>
  </si>
  <si>
    <t>Aumentar la calificación del índice de desempeño institucional en la política de gestión documental.</t>
  </si>
  <si>
    <t>GR5:5-01-04-400</t>
  </si>
  <si>
    <t>400</t>
  </si>
  <si>
    <t>Implementar en el 100% de las dependencias del sector central el Programa de Gestión Documental.</t>
  </si>
  <si>
    <t>Dependencias del sector central con Programa ejecutado</t>
  </si>
  <si>
    <t>Se realizaron capacitaciones frente a la política archivística y la implementación del programa de Gestión Documental principalmente la aplicación de las tablas de retención documental y la aplicación del formato único de inventario documental.Se custodiaron 1.600 mts cuadrados, que corresponde el 50% a la Secretaría de Salud, 25% Secretaría de Educación y el otro 25% corresponde a las demás dependencias de la Gobernación de Cundinamarca.</t>
  </si>
  <si>
    <t>Para la vigencia 2020 se realizaron 146 asistencias técnicas a la dependencias del sector central, como tema principal de las asistencias fue la aplicación de la política archivística, y el programa de Gestión Documental en todas las entidades del sector central, especialmente la implementación de los instrumentos archivísticos como lo son las tablas de retención documental, tablas de valoración y el Formato Único inventario documental, se logró la convalidación de las tablas de retención documental de la Gobernación de Cundinamarca y se realizo la custodia de archivo de 1.600 mts cuadrados, que corresponde el 50% a la Secretaría de Salud, 25% Secretaría de Educación y el otro 25% corresponde a las demás dependencias de la Gobernación de Cundinamarca.</t>
  </si>
  <si>
    <t>GR5:5-01-04-401</t>
  </si>
  <si>
    <t>401</t>
  </si>
  <si>
    <t>Digitalizar 750.000 folios de archivo histórico.</t>
  </si>
  <si>
    <t>Folios Digitalizado</t>
  </si>
  <si>
    <t>GR5:5-01-04-402</t>
  </si>
  <si>
    <t>402</t>
  </si>
  <si>
    <t>Prestar asistencia técnica a las entidades descentralizadas y entes Municipales de los 116 municipios del departamento de Cundinamarca.</t>
  </si>
  <si>
    <t>Municipios asistidos en el sistema departamental de archivo</t>
  </si>
  <si>
    <t>Se realizo asistencias técnicas a las entidades descentralizadas del departamento de Cundinamarca sobre la política archivística, como tema principal la aplicación e implementación de las tablas de retención documental.</t>
  </si>
  <si>
    <t>Para el año 2020, se capacitaron a los 116 Municipios del departamento de Cundinamarca, en colaboración con el Archivo General de la Nación, gracias al acuerdo de voluntades firmado el 27 de abril del año 2020, se ha llegado por medio de plataforma virtual a cada uno de los Municipios del departamento con asistencias técnicas sobre la aplicación de uno de los instrumentos archivísticos como tema principal se tuvo en cuenta la política archivística, especialmente cómo realizar las Tablas de Retención Documental. De esta manera se ha cumplido con el 100% para la vigencia del año 2020.</t>
  </si>
  <si>
    <t>Por la emergencia sanitaria no se pudieron realizar capacitaciones más dinámicas y las asistencias técnicas se realizaron por demanda por parte de los Municipios del departamento de Cundinamarca.</t>
  </si>
  <si>
    <t>CUNDINAMARCA EJEMPLARIZANTE</t>
  </si>
  <si>
    <t>GR5:5-01-00-605</t>
  </si>
  <si>
    <t>Aumentar el Índice de transparencia y acceso a la información - ITA.</t>
  </si>
  <si>
    <t>GR5:5-01-05-404</t>
  </si>
  <si>
    <t>404</t>
  </si>
  <si>
    <t>Realizar 4 rendiciones de cuentas de niños, niñas, adolescentes y jóvenes.</t>
  </si>
  <si>
    <t>Rendiciones realizadas</t>
  </si>
  <si>
    <t>Informe de Rendición de CuentasCartilla de promoción de rendición de cuentas de NNA</t>
  </si>
  <si>
    <t>Se completo la fase 1 de alistamiento establecida en el decreto 311 de 2018Articulación con planeación del comité técnico de rendición publica de cuentas de NNAEl personal contratado para el desarrollo de las actividades de esta meta con vigencia del plan de desarrollo 2016-2020Se realizo la rendiciobn de cuentas de forma virtual de NNA y jovenes</t>
  </si>
  <si>
    <t>Pnademia</t>
  </si>
  <si>
    <t>GR5:5-01-05-405</t>
  </si>
  <si>
    <t>405</t>
  </si>
  <si>
    <t>Implementar al 100% la ruta anual de seguimiento y rendición de cuentas de la gestión del departamento.</t>
  </si>
  <si>
    <t>Ruta implementada</t>
  </si>
  <si>
    <t>En cuanto a la implementación de la ruta de rendición de cuentas, el departamento bajo el liderazgo de la Secretaría de Planeacion en la vigencia 2020 se diseñó la estrategia “Desde Cundinamarca Rendimos Cuentas”, que a partir de medios digitales promueve la relación estado-ciudadano frente a la actual emergencia sanitaria.  La cual en su fase de aprestamiento, inició con la identificación y caracterización de los grupos de interés por sector, de sus necesidades de información y preferencia de canales de comunicación, siguiendo los lineamientos del Departamento Nacional de Planeación – DNP, se activó el Comité de Rendición de Cuentas, establecido mediante el Decreto 358 de 2020, el cual aprobó la estrategia, el plan de comunicaciones y el cronograma para el desarrollo de los 5 espacios de dialogo o encuentro virtual y la audiencia pública de rendición de cuentas en diciembre 2020.Bajo un proceso participativo y transparente, con los grupos de interés se priorizaron los temas estratégicos de los diálogos de Rendición de Cuentas por cada una de las líneas estratégicas del PDD, a partir de la aplicación de encuestas virtuales.Adicionalmente, en la fase de ejecución con el liderazgo de los Secretarios de Despacho, del 19 de octubre al 13 de noviembre de 2020, se adelantan encuentros ciudadanos virtuales inclusivos, los cuales han sido trasmitidos a través de Sala virtual TIC, “El Dorado Radio” y plataformas digitales. A la fecha se han realizado 2 diálogos, +SOSTENIBILIDAD con participación mayor a 600 personas y el diálogo +INTEGRACIÓN con 400 Personas</t>
  </si>
  <si>
    <t>1104</t>
  </si>
  <si>
    <t>SECRETARIA JURIDICA</t>
  </si>
  <si>
    <t>GR5:5-01-00-606</t>
  </si>
  <si>
    <t>Reducir la actividad judicial en contra del departamento.</t>
  </si>
  <si>
    <t>GR5:5-01-05-406</t>
  </si>
  <si>
    <t>406</t>
  </si>
  <si>
    <t>Ejecutar un plan integral de apoyo jurídico a los funcionarios del nivel central, descentralizado y a los municipios.</t>
  </si>
  <si>
    <t>Plan de apoyo jurídico ejecutado</t>
  </si>
  <si>
    <t>CAPACITACIONES EN EL DECRETO LEGISLATIVO  806 DE 2020;  POLÍTICA DE DEFENSA JURÍDICA DE  MIPG Y SECOP II y BOLETINES JURIDICOS.</t>
  </si>
  <si>
    <t>El 26 de junio de  2020, se llevó a cabo conversatorio virtual sobre el Decreto Legislativo 806 del 04 de junio de 2020 - Medidas para implementar las tecnologias de la información y las comunicaciones en las actuaciones judiciales, agilizar los procesos judiciales y flexibizar la atención a los usuarios del servicio de la justicia, en el marco del Estado de Emergencia Económica, Social y Ecológica. Con la asistencia de 98 funcionarios, distribuidos así: 76 de 50 municipios de Cundinamarca, 16 del Sector Central y 06 del Sector Descentralizado del Departamento de Cundinamarca.    El 24 de julio de 2020, se brindó capacitación en la Política de Defensa Jurídica del Sitema Integrado de Planeación y Gestión MIPG, a 120 funcionarios, distribuidos así: 83 de 44 municipios; 27 del Sector Central y 10 del Sector Descentralizado del Departamento de Cundinamarca.Capacitación en SECOP II, Durante las semanas comprendidas entre el 27/07/2020 a 31/07/2020, 10/08/2020 a 14/08/2020, 24/08/2020 a 28/08/2020, se capacitó a 76 funcionarios de 13 municipios.Durante el Segundo semestre 2020, se emitieron boletines jurídicos dirigidos a los funcionarios del Sector Central y Descentralizado de la Gobernación de Cundinamarca de fechas: 31/07/2020, 01/08/2020 y 11/12/2020.En el Segundo semestre 2020, se emitieron boletines jurídicos dirigidos a los municipios del Departamento de Cundinamarca de fechas: 11/12/2020. .</t>
  </si>
  <si>
    <t>1106</t>
  </si>
  <si>
    <t>SECRETARIA HACIENDA</t>
  </si>
  <si>
    <t>EFICIENCIA FINANCIERA</t>
  </si>
  <si>
    <t>GR5:5-01-00-607</t>
  </si>
  <si>
    <t>Aumentar el índice de desempeño fiscal del departamento.</t>
  </si>
  <si>
    <t>GR5:5-01-06-407</t>
  </si>
  <si>
    <t>407</t>
  </si>
  <si>
    <t>Implementar 4 planes de fiscalización tributaria y operativa de los tributos departamentales.</t>
  </si>
  <si>
    <t>Planes implementados</t>
  </si>
  <si>
    <t>SERVICIO DE FISCALIZACIÓN, VISITAS DE CONTROL Y PROCESOS DE AUDITARÍAS TRIBUTARIA -  SE PREVIENE EL RIESGO LA SALUD Y LA VIDA DE LOS CIUDADANOS, SE PREVIENE EFECTOS EN SALUD PÚBLICA AL CONTROLAR LA ILEGALIDAD Y SACAR DEL MERCADO PRODUCTOS ADULTERADOS O FALSIFICADOS. ASÍ MISMO, SE REDUCE LA EVASIÓN.</t>
  </si>
  <si>
    <t>SE IMPLEMENTÓ Y MANTUVO LOS PLANES DE FISCALIZACIÓN TRIBUTARIA, SE PERMITIÓ PROMOVER, IMPULSAR Y ESTABLECER QUE LA ADMINISTRACIÓN EJERZA DE MANERA DIRECTA EL CONTROL CONTRA LA ILEGALIDAD DE LAS RENTAS DEPARTAMENTALES, DISMINUYENDO LOS ÍNDICES DE EVASIÓN Y ELUSIÓN TRIBUTARÍA- LUCHA CONTRA LA ILEGALIDAD, CONTRABANDO Y LA ADULTERACIÓN –  APREHENSIONES DE LICORES, CIGARRILLOS Y ALCOHOL.SE ATACÓ LA DELINCUENCIA QUE PONE EN RIESGO LA SALUD Y LA VIDA DE LOS CIUDADANOS, SE PREVIENE EFECTOS EN SALUD PÚBLICA AL CONTROLAR LA ILEGALIDAD Y SACAR DEL MERCADO PRODUCTOS ADULTERADOS O FALSIFICADOS. ASÍ MISMO, SE REDUCE LA EVASIÓN Y EL CONTRABANDO AL INCENTIVAR LA COMPRA DE PRODUCTOS EN SITIOS CONFIABLES; LO QUE EFECTO AYUDA PARA EL RECAUDO TRIBUTARIO Y CON EL MISMO, EL MEJORAMIENTO EN INVERSIÓN SOCIAL.</t>
  </si>
  <si>
    <t>SE DIFICULTÓ Y RETRASÓ LOS PROCESOS CONTRACTUALES RELACIONADOS CON LA META, EN ESPECIAL LOS DE APOYO A LA GESTIÓN Y PRESTACIÓN DE SERVICIOS, DEBIDO A LA CUARENTENA NACIONAL DECRETADA POR EL GOBIERNO NACIONAL Y DISTRITAL, CON OCASIÓN DE LA PANDEMIA MUNDIAL DENOMINADA CORONAVIRUS – COVID -19. DE IGUAL FORMA, POR LA PANDEMIA Y CON EL CIERRE MASIVO DE ESTABLECIMIENTOS ABIERTOS AL PÚBLICO Y FABRICAS DE CIGARRILLO Y LICOR SE DIFICULTÓ EL PROCESO DE VISITAS DE CONTROL, AUDITORIAS Y DEMÁS PROCESOS DE FISCALIZACIÓN.</t>
  </si>
  <si>
    <t>GR5:5-01-06-408</t>
  </si>
  <si>
    <t>408</t>
  </si>
  <si>
    <t>Potencializar el proceso de recaudo para 5 tributos departamentales con herramientas tecnológicas.</t>
  </si>
  <si>
    <t>Tributo potencializado</t>
  </si>
  <si>
    <t>Servicio a la ciudadanía de virtualidad de los servicios de la Secretaría de Hacienda - al recaudo de impuestos y cobro coactivo, aplicación de web service, pago PSE, y salas virtuales, facilitando a los contribuyentes la consulta, liquidación y pago de sus obligaciones tributarias, lo que permite la atención directa en casa a la ciudadanía, lo cual redunda en el ahorro en costos de desplazamientos y tiempo.</t>
  </si>
  <si>
    <t>Se logró el fortalecimiento y potenciar los sistemas de información de la Secretaría de Hacienda, que permiten el desarrollo y la continuidad en la operación tecnológica de la plataforma SAP y aplicaciones no SAP, que comprende, entre otros aspectos: Soporte de los procesos de liquidación y recaudo de impuestos, soporte de la operación del impuesto de Registro Inmobiliario, continuidad a los proyectos en ejecución, seguimiento al Plan de Desarrollo Departamental, pagos electrónicos para impuesto sobre vehículos, botón PSE, recaudo a través de código de barras para impuesto sobre vehículos, nuevo esquema de operación para interacción y reporte desde entidades bancarias, Reactivación módulo SAP de impuestos sobre vehículos.Se fortaleció la información organizada, centralizada, segura, y veraz, que conlleve a lograr una mayor precisión en los datos recaudados de la administración; parametrización de la gestión del impuesto, tasas y contribuciones; unificación, estandarización y racionalización de procedimientos y procesos; mitigación de riesgos en errores de información y servicio más ágil y seguro para el contribuyente.En general se logró la virtualización de servicios al recaudo de impuestos y cobro coactivo, aplicación de web service, pago PSE, y salas virtuales, facilitando a los contribuyentes la consulta, liquidación y pago de sus obligaciones tributarias, lo que permite la atención directa en casa a la ciudadanía, lo cual redunda en el ahorro en costos de desplazamientos y tiempo.</t>
  </si>
  <si>
    <t>Se dificultó y retrasó los procesos contractuales relacionados con la meta, debido a la cuarentena nacional decretada por el Gobierno Nacional y Distrital, con ocasión de la pandemia mundial denominada coronavirus – covid -19.</t>
  </si>
  <si>
    <t>GR5:5-01-06-409</t>
  </si>
  <si>
    <t>409</t>
  </si>
  <si>
    <t>Potencializar 5 procesos transversales a la gestión financiera.</t>
  </si>
  <si>
    <t>Proceso potencializado</t>
  </si>
  <si>
    <t>Servicios administrativos de funcionamiento y gestión de la Secretaría de Hacienda</t>
  </si>
  <si>
    <t>Se logró potenciar la Secretaría de Hacienda en su gestión administrativa y financiera. Así mismo, se logra dinamizar la integración de los distintos procesos administrativos, logrando apoyar al talento humano disponible para contribuir al desarrollo de los procesos; mejorar la oportunidad en la prestación de los servicios de los usuarios; mejorar continuamente en las actividades administrativas, técnicas y profesionales en términos de planificación, manejo y organización de la documentación producida y recibida, con el objetivo de disponer de la documentación organizada, para uso de la administración en el servicio al ciudadano y del propio Departamento de Cundinamarca.</t>
  </si>
  <si>
    <t>Se dificultó y retrasó los procesos contractuales relacionados con la meta, en especial los de apoyo a la gestión y prestación de servicios, debido a la cuarentena nacional decretada por el Gobierno Nacional y Distrital, con ocasión de la pandemia mundial denominada coronavirus – covid -19. En tanto, la consecuencia a la limitación a la movilidad, circulación de personas y cierres de varias actividades empresariales, laborales y entidades estatales causaron en consecuencia un retardo de algunas actividades propias de la función del estado y de la misma Gobernación de Cundinamarca.</t>
  </si>
  <si>
    <t>1184</t>
  </si>
  <si>
    <t>SECRETARIA DE PRENSA Y COMUNICACIONES</t>
  </si>
  <si>
    <t>EMPODERAMIENTO SOCIAL</t>
  </si>
  <si>
    <t>CONFIANZA FUERZA DE GOBIERNO</t>
  </si>
  <si>
    <t>GR5:5-02-00-609</t>
  </si>
  <si>
    <t>Aumentar la percepción favorable de la opinión pública sobre la administración departamental.</t>
  </si>
  <si>
    <t>GR5:5-02-01-412</t>
  </si>
  <si>
    <t>412</t>
  </si>
  <si>
    <t>Crear la red departamental de radio de Cundinamarca y conectar a las emisoras del departamento.</t>
  </si>
  <si>
    <t>Red departamental de radio de Cundinamarca creada</t>
  </si>
  <si>
    <t>A la fecha, El Dorado Radio tiene al aire 27 programas que están divididos en noticieros, programas de entretenimiento, musicales, de emprendimiento, protección animal, empoderamiento, secretarías y direcciones de las diferentes entidades de la Gobernación de Cundinamarca. También se realizan transmisiones de eventos especiales que realiza la gobernación, tanto en la frecuencia 99.5 FM, como en el Facebook Live que tiene un alcance de 2 mil personas y hasta 110 personas conectadas en vivo, aproximadamente. En otros aspectos, se realizó un filtro de las 12.500 canciones que se tenían, actualizando los diferentes géneros para contar con 5.500 canciones hasta la fecha. En el mismo sentido, se empezó con la creación del archivo sonoro de la emisora y se realizan semanalmente en promedio entre 8 a 10 cuñas para las diferentes entidades de la gobernación. Durante los espacios musicales diarios, se tiene una sección especial donde suenan los artistas y agrupaciones de Cundinamarca con sus canciones éxito. Al día se programan cada hora una de estas canciones, es decir, en promedio 9 artistas al día. A su vez se han gestionado alianzas, conectando a las emisoras comunitarias y comerciales del departamento, creando gremialidad comunicacional identificados como “La Ruta del Dorado” y “Aliados Dorado Radio”, generando espacios de expresión, información, promoción cultural, educación y formación, entre otros, que confluyen en la unión y la comprensión de nuestra diversidad social y cultural en el Departamento de Cundinamarca. Por último mencionar que en el mes de enero del presente año el número de seguidores de la emisora "El Dorado Radio" en Twitter, Facebook, Instagram y YouTube era de 10.397 y a la fecha esta cifra se incrementó a 24.217.</t>
  </si>
  <si>
    <t>Notables intermitencias que dificultan la señal de frecuencia 99.5 FM.                                                      Cortes inesperados de energía que impiden la permanencia en el aire.</t>
  </si>
  <si>
    <t>GR5:5-02-01-413</t>
  </si>
  <si>
    <t>413</t>
  </si>
  <si>
    <t>Fortalecer el desempeño en internet y redes sociales del 50% de los periódicos, emisoras y canales de televisión del departamento.</t>
  </si>
  <si>
    <t>Medios de comunicación fortalecidos en desempeño de internet y redes sociales</t>
  </si>
  <si>
    <t>GR5:5-02-01-414</t>
  </si>
  <si>
    <t>414</t>
  </si>
  <si>
    <t>Implementar una estrategia de promoción, fortalecimiento y consolidación de la imagen del departamento.</t>
  </si>
  <si>
    <t>Para incrementar el avance de la meta  se realizó la organización y fortalecimiento de la Secretaría de Prensa y Comunicaciones. Esta organización es evidente en la nueva estructuración organizacional de la secretaría, como también en el fortalecimiento con personal profesional, capacitado, con experiencia e idóneo para cumplir esta meta.En el segundo trimestre de 2020, que corresponde de abril a junio, se registraron 1.116 publicaciones, superando un 316% las publicaciones en medios de comunicación del trimestre anterior y en un 625% en el último reporte de la administración anterior. En el tercer trimestre de 2020, que corresponde a los meses de julio, agosto y septiembre, se tuvo un registro de 2.912 publicaciones en medios de comunicación, superando al segundo trimestre de 2020 en un 161%. Paralelamente a la gestión que se realizó con los medios de comunicación, también se adelantó una estrategia digital que permite fortalecer la imagen de la gobernación. En Facebook en enero se tenían 37.562 seguidores y en octubre  78.457 logrando incrementar los seguidores en un 108% y frente al alcance, de 44.700 se llegó a 827.602, lo que significa que se superó en 1.751% el alcance. En twitter se pasó de tener 36.592 seguidores en mayo, a tener 42.458 en octubre, reflejando un aumento del 16% y en Instagram de mayo a octubre de 2020 se aumentó un 69.1% los seguidores y el alcance aumentó un 437.3%.</t>
  </si>
  <si>
    <t>LIDERAZGO CIUDADANO</t>
  </si>
  <si>
    <t>GR5:5-02-00-610</t>
  </si>
  <si>
    <t>Aumentar la calificación del índice de desempeño institucional en la política de participación ciudadana.</t>
  </si>
  <si>
    <t>GR5:5-02-02-415</t>
  </si>
  <si>
    <t>415</t>
  </si>
  <si>
    <t>Implementar 116 plataformas municipales de juventudes en el departamento.</t>
  </si>
  <si>
    <t>Plataformas municipales implementadas</t>
  </si>
  <si>
    <t>Plataforma Departamental procesos de formación.</t>
  </si>
  <si>
    <t>Conformación de la plataforma departamental de juventudesActualización de las plataformas municipalesEl personal profesional contratado para las actividades de esta meta se realizo con recursos del plan de desarrollo unidos podemos masrealización de actividades de participación juvenil de manera presencial.</t>
  </si>
  <si>
    <t>falta de conectividad.</t>
  </si>
  <si>
    <t>GR5:5-02-02-416</t>
  </si>
  <si>
    <t>416</t>
  </si>
  <si>
    <t>Impulsar en las 15 provincias del departamento procesos de formación en empoderamiento, liderazgo político y social en los jóvenes.</t>
  </si>
  <si>
    <t>Procesos de formación realizados</t>
  </si>
  <si>
    <t>procesos de formación.</t>
  </si>
  <si>
    <t>Capacitación de jóvenes rurales con capacitaciónCapacitación a jóvenes de comunidades étnicasEl personal profesional contratado para las actividades de esta meta se realizo con recursos del plan de desarrollo unidos podemos mas.</t>
  </si>
  <si>
    <t>falta de conectividad.no prespecialidad dificulta la interacción con los jóvenes.</t>
  </si>
  <si>
    <t>GR5:5-02-02-417</t>
  </si>
  <si>
    <t>417</t>
  </si>
  <si>
    <t>Impulsar en los 116 municipios los consejos municipales de juventud.</t>
  </si>
  <si>
    <t>Consejos municipales establecidos</t>
  </si>
  <si>
    <t>Capacitación en elección de concejos municipales de juventud</t>
  </si>
  <si>
    <t>Capacitación en elección de concejos municipales de juventud en  municipios del departamento a los coordinadores de juventud.</t>
  </si>
  <si>
    <t>aplazamiento de las elecciones  por temas de salud publica.</t>
  </si>
  <si>
    <t>GR5:5-02-02-418</t>
  </si>
  <si>
    <t>418</t>
  </si>
  <si>
    <t>Asistir técnica y logísticamente a los 117 consejos de política social.</t>
  </si>
  <si>
    <t>Consejo asistidos</t>
  </si>
  <si>
    <t>guía "Orientadora del Sistema nacional De bienestar Familiar"</t>
  </si>
  <si>
    <t>Reunión del CODEPS DEPARTAMENTALMesa departamental de Inclusión Social (5 Sesiones)Actualización del link en la plataforma de la gobernación de Cundinamarca del CODEPS Convocatoria y conformación de la Mesa Departamental de Inclusión Social (se han realizado tres de las cuatro requeridas)Emisión de circular CODEPS 002 dirigida a los 116 MunicipiosAsistencias técnicas a los COMPOS a 78 Municipios Fortalecimiento a los 117 Consejos de Política Social atreves de la guía "Orientadora del Sistema nacional De bienestar Familiar" en consunto con el ICBF</t>
  </si>
  <si>
    <t>GR5:5-02-02-419</t>
  </si>
  <si>
    <t>419</t>
  </si>
  <si>
    <t>Garantizar el funcionamiento de las 116 instancias de participación de niños, niñas y adolescentes.</t>
  </si>
  <si>
    <t>Instancias de participación en funcionamiento</t>
  </si>
  <si>
    <t>Giaa orientadora de las instancias del sistema nacional de bienestar familiar</t>
  </si>
  <si>
    <t>Activación de la mesa departamental Participación de NNASe garantizo la participación y asistencia de 6 niños de las instancias de participación al CODEPS departamental.Asistencia técnica a los municipios que no cuentan con la instancia de participación activa79 instancias activas de participación</t>
  </si>
  <si>
    <t>La participación de los niños ocasionado por la pandemis</t>
  </si>
  <si>
    <t>GR5:5-02-02-420</t>
  </si>
  <si>
    <t>420</t>
  </si>
  <si>
    <t>Implementar el 40% del Plan de la Política Pública de Participación Ciudadana.</t>
  </si>
  <si>
    <t>Avance de implementación</t>
  </si>
  <si>
    <t>Cundinamarca llega al cuarto puesto del departamento con el mejor puntaje en la Política de Participación Ciudadana en la Gestión Pública a través de: Garantizar la apropiación de conocimientos y fortalecer de las capacidades de gestión a través de la asistencia técnica de mecanismos de participación, instancias de participación, veedurías ciudadanas y socialización de la política pública a los 116 municipios con 1.763 beneficiados. Posicionamiento del departamento de Cundinamarca entre los mejores a nivel nacional en las iniciativas de participación ciudadana.  premio de “Colombia Participa 2020” Nominados entre los 3 finalistas al premio “Colombia Participa 2020” del Ministerio del Interior Categoría Gobernación. Posicionamiento de los espacios de participación del departamento a través de 2 ferias de servicios realizadas en la provincia de Sumapaz y Tequendama con la presencia de más de 110 asistentes. Fortalecimiento de la participación ciudadana a través del diseño y formulación del Modelo estándar de presupuestos participativos. Creación, instalación y posesión del Consejo Departamental de Participación Ciudadana según decreto 010 de 2018. Acompañamiento técnico, humano y financiero a las elecciones atípicas del municipio de Sutatausa. Con la aplicación CUNCEJAPP se garantiza el acceso a 1.178 concejales y 257 ediles  del departamento con noticias, información de interés en la gestión pública, así como la creación de redes para el intercambio de información relevante.</t>
  </si>
  <si>
    <t>Debido a la pandemia, hubo dificultad para llegar al territorio de manera presencial y también, difícil acceso a través de los medios virtuales.</t>
  </si>
  <si>
    <t>GR5:5-02-02-421</t>
  </si>
  <si>
    <t>421</t>
  </si>
  <si>
    <t>Implementar un plan de fortalecimiento integral que garantice la sana convivencia y participación efectiva de las propiedades horizontales.</t>
  </si>
  <si>
    <t>GR5:5-02-02-422</t>
  </si>
  <si>
    <t>422</t>
  </si>
  <si>
    <t>Implementar una estrategia que permita fortalecer las capacidades técnicas y administrativas del Consejo Territorial de Planeación.</t>
  </si>
  <si>
    <t>Una estrategia</t>
  </si>
  <si>
    <t>Consejeros Territoriales capacitados y con mayor conocimiento en temas de Región metropolitana e instrumentos de Seguimiento y Evaluación a los Planes de Desarrollo, lo cual permitirá actualizar sus conocimientos y mejorar su papel de Consejero.</t>
  </si>
  <si>
    <t>Fortalecimiento de las capacidades y habilidades de los Consejeros Territoriales, por medio de capacitación en temas como Región metropolitana – e instrumentos de Seguimiento y Evaluación a los Planes de Desarrollo, lo cual permitió actualizar sus conocimientos en estos temas y mejorar su papel de Consejero.</t>
  </si>
  <si>
    <t>Debido a la pandemia, los eventos presenciales previstos debieron postergarse y realizar  talleres virtuales bajo otra temática.</t>
  </si>
  <si>
    <t>GR5:5-02-02-423</t>
  </si>
  <si>
    <t>423</t>
  </si>
  <si>
    <t>Conformar en las 53 ESE juntas asesoras comunitarias.</t>
  </si>
  <si>
    <t>Juntas asesoras Conformadas</t>
  </si>
  <si>
    <t>Se definieron los criterios metodológicos de construcción para conformación de juntas asesoras comunitarias en los 53 hospitales, para producir decreto reglamentario (según ordenanza 07),  se depende de la aprobación del documento de red por parte del Ministerio, donde se encuentran inmersas estas juntas asesoras comunitarias, para continuar proceso metodológico y posibles ajustes.Asistencia técnica efectiva de forma continua y permanente en formas de participación social en salud, Política Publica de participación social, defensoria del usuario y sensibilizacion en la metodología de construcción de las juntas asesoras comunitarias, para desarrollo e implementacion de estos temas en alcaldias y hospitales del Departamento</t>
  </si>
  <si>
    <t>Algunas personas se inscriben al Curso virtual y no completan el curso, las TICs no han podido por ausencia de personal asistirnos ante fallas o problemas en la plataforma virtual y hemos tenido que solucionarlos nosotros, cambios de referentes de participación en hospitales y alcaldias que afectan la continuidad de las acciones de participación,  dificultad para verificar físicamente la implementacion y funcionamiento de las formas de participación social en alcaldias y hospitales, baja conectividad y tecnología que coarta el ejercicio de asistencia técnica que por la pandemia se limito  a la virtualidad, demoras  por parte del Ministerio en la revisión de aspectos técnicos del documento de red, que dilata y estaciona la continuidad de la preparación del decreto que reglamentara la  metodología de conformación de las juntas asesoras comunitarias.  Demoras  por parte del Ministerio en la revisión de aspectos tecnicos del documento de red, que dilata y estaciona la continuidad de la preparación del decreto que reglamentara la  metodología de conformación de las juntas asesoras comunitarias</t>
  </si>
  <si>
    <t>1204</t>
  </si>
  <si>
    <t>INST DEPARTAMENTAL DE ACCION COMUNAL</t>
  </si>
  <si>
    <t>FUERZA COMUNAL</t>
  </si>
  <si>
    <t>GR5:5-02-00-611</t>
  </si>
  <si>
    <t>Aumentar la participación de las juntas de acción comunal en proyectos de desarrollo comunitario.</t>
  </si>
  <si>
    <t>GR5:5-02-03-424</t>
  </si>
  <si>
    <t>424</t>
  </si>
  <si>
    <t>Formar 3.000 organizaciones comunales del departamento en acción comunal.</t>
  </si>
  <si>
    <t>Organizaciones comunales formadas y capacitadas</t>
  </si>
  <si>
    <t>Capacitación y formación a afiliados de organizaciones comunales de Cundinamarca, en temas relacionados con el proceso de elecciones comunales 2021, constitución de juntas, capacitación en convivencia y conciliación, asesorías y capacitación en temas legales.</t>
  </si>
  <si>
    <t>Se desarrollaron actividades de formación y capacitación dirigidas a afiliados de las organizaciones comunales del Departamento. Los temas tratados son relacionados con el proceso de elecciones comunales 2021, constitución de juntas, capacitación en convivencia y conciliación, asesorías y capacitación en temas legales.  Se llevaron a cabo jornadas de capacitación en 64 municipios del Departamento, en las cuales participaron 1302 personas afiliadas a 217 organismos de acción comunal</t>
  </si>
  <si>
    <t>Limitados desplazamientos y participación de funcionarios y afiliados a organismos comunales por disposiciones gubernamentales.</t>
  </si>
  <si>
    <t>GR5:5-02-03-425</t>
  </si>
  <si>
    <t>425</t>
  </si>
  <si>
    <t>Realizar 3 encuentros que incentiven a la participación de los dignatarios de las organizaciones comunales del departamento.</t>
  </si>
  <si>
    <t>Encuentros realizados</t>
  </si>
  <si>
    <t>GR5:5-02-03-426</t>
  </si>
  <si>
    <t>426</t>
  </si>
  <si>
    <t>Implementar un modelo de gestión, control, vigilancia y red de apoyo para las organizaciones comunales.</t>
  </si>
  <si>
    <t>Implementación del modelo de gestión control y vigilancia para las organizaciones comunales del departamento</t>
  </si>
  <si>
    <t>Se dio inicio a actividades de recolección de información en campo y levantamiento inicial de un pre-diagnostico  para el diseño de un modelo de gestión, control, vigilancia y red de apoyo para las organizaciones comunales.</t>
  </si>
  <si>
    <t>GR5:5-02-03-427</t>
  </si>
  <si>
    <t>427</t>
  </si>
  <si>
    <t>Realizar 1450 obras dirigidas al desarrollo comunitario del departamento.</t>
  </si>
  <si>
    <t>Obras de desarrollo comunitario realizadas.</t>
  </si>
  <si>
    <t>A Diciembre 31 de 2020:  126 obras se han ejecutado en un 100%,  22 obras se han ejecutado en más de un 50%,  2 obras tienen un avance de menos de 50% y 4 obras no presentan avance aún, estas corresponden a la construcción de salones comunales.</t>
  </si>
  <si>
    <t>A 31 de Diciembre 2020 se ha llevado a cabo una convocatoria pública dirigida a los organismos comunales de Cundinamarca con el propósito de promover el desarrollo comunal y la reactivación económica de las Juntas de acción comunal y de los municipios del Departamento como consecuencia de la pandemia por covid-19, a través de la ejecución de obras de desarrollo comunitario y de impacto social.En el desarrollo de la convocatoria 01 de 2020, se obtuvo una participación de 351 proyectos comunales de los cuales superaron a FASE 2 DE VIABILIDAD DE INTENCIÓN DEL PROYECTO un total de 260 propuestas de las cuales finalmente los organismos comunales que sortearon esta fase y continuaron FASE 3 VIABILIDAD TÉCNICA SOCIAL Y FINANCIERA fueron 154 proyectos presentados por el mismo número de organizaciones comunales. FONDECUN ha perfeccionado convenios solidarios con las juntas de acción comunal seleccionadas.  Se han efectuando los pagos correspondientes a cada uno de los convenios solidarios suscritos y se están realizando visitas de acompañamiento social a  la comunidad beneficiada.A Diciembre 31 de 2020:  126 obras se han ejecutado en un 100%,  22 obras se han ejecutado en más de un 50%,  2 obras tienen un avance de menos de 50% y 4 obras no presentan avance aún, estas corresponden a la construcción de salones comunales.</t>
  </si>
  <si>
    <t>GR5:5-02-03-428</t>
  </si>
  <si>
    <t>428</t>
  </si>
  <si>
    <t>Dotar a 2.200 organismos comunales con herramientas de gestión y funcionamiento para el ejercicio pleno de la acción comunal.</t>
  </si>
  <si>
    <t>Organismos comunales fortalecidos con herramientas de gestión.</t>
  </si>
  <si>
    <t>Se realiza inventario de requerimientos de equipos y elementos solicitados por las organizaciones de acción comunal a fin de determinar  las posibilidades de atenderlas. Se realizó proceso contractual para el suministro de elementos con destino a organismos comunales del Departamento, por valor de $200.000.000, monto agotable para 33 organismos comunales de segundo grado (Asojuntas), los cuales están en proceso de selección y a los que se les hará entrega de su respectiva dotación durante el primer trimestre del 2021.</t>
  </si>
  <si>
    <t>GR5:5-02-03-429</t>
  </si>
  <si>
    <t>429</t>
  </si>
  <si>
    <t>Ejecutar 170 proyectos de innovación comunal, ciencia, tecnología e innovación, conformación de empresa y buenas prácticas para el desarrollo sostenible con organismos comunales.</t>
  </si>
  <si>
    <t>Proyectos de innovación comunal, conformación de empresa, desarrollo sostenible.</t>
  </si>
  <si>
    <t>Se recepcionó solicitud de la Asociación de Juntas de acción comunal ASORURALVI del municipio de Villeta Cundinamarca, para la adecuación y equipamiento del  “CENTRO DE RECREACIÓN Y ENCUENTRO COMUNAL Y COMUNITARIO” como proyecto de innovación comunal para conformación de empresa con organismos comunales, con presupuesto de $300.000.000 para su ejecución.Se suscribió contrato interadministrativo entre IDACO y La Empresa Inmobiliaria y de servicios logísticos de Cundinamarca para la ejecución. Con acta de Inicio del 20/11/2020.</t>
  </si>
  <si>
    <t>CUNDINAMARCA + DIGITAL</t>
  </si>
  <si>
    <t>TU GOBERNACIÓN A UN CLIC</t>
  </si>
  <si>
    <t>GR5:5-03-00-612</t>
  </si>
  <si>
    <t>Ascender en el índice nacional de gobierno digital de las gobernaciones.</t>
  </si>
  <si>
    <t>GR5:5-03-01-430</t>
  </si>
  <si>
    <t>POLÍTICA PÚBLICA PARA EL MANEJO DE LA INFORMACIÓN PARA TOMA DE DECISIONES INTELIGENTES E INFORMADAS PARA EL SECTOR SALUD_x000D_
POLÍTICA PÚBLICA DE CIENCIA, TECNOLOGÍA E INNOVACIÓN - CTEL</t>
  </si>
  <si>
    <t>430</t>
  </si>
  <si>
    <t>Aumentar al 80% la implementación del plan de acción de la política pública del manejo de la información en el sector salud.</t>
  </si>
  <si>
    <t>Plan de acción implementado</t>
  </si>
  <si>
    <t>Plan de acción de la política pública del manejo de la información en el sector salud implementado</t>
  </si>
  <si>
    <t>se realizo el proceso de contratacion de una ups de 20 kva para la CLÍNICA SAN RAFAEL DUMIAN DEL MUNICIPIO DE GIRARDOT DESTINADOS A ATENDER LA CONTINGENCIA GENERADA POR LA PANDEMIA CORONAVIRUS (COVID-19)”,  se realizo la implementacion de la plataforma covid - 19 en los municipios de sabana centro, Se realizaron reuniones con los desarrolladores; se realiza la socializacion de los aplicativos de la Secretaria de salud y se les entrego la documentación de  Mango a los ingenieros desarrolladores. Actualmente se estan realizando ajustes a los servicios de Mango. tambien esta trabajando en ajustes de la plataforma Covid - 19, se están realizando los ajustes con los lineamientos de la Secretaria de TICs en lo pertinente a la definición de necesidades del  SISTEMA INTEGRADO DE INFORMACION EN SALUD para su pertinente viabilizacion,  se realizo seguimientos a los Sistemas de Información Hospitalaria HIS de la Red Hospitalaria,  se adelanto el proceso de contratación para el apalancamiento  de actualizacion y manteniemiento de los sistemas de informacion de los HIS, se realizo   seguimiento a la implementación de los sistemas de información de la secretaria de salud (Mango, Ficha Familiar,  SIUS).  se realizó actualización del HUB PUBLICO RADAR SALUD ( https://coronavirus-cundinamarca-cundinamarca-map.hub.arcgis.com/ ) para la publicación en el micrositio de la secretaria de salud además se ha realizado socialización de HUB y TABLERO DE COBTROL COVID 19 con las diferentes direcciones, Se realizó seguimiento a la información de CAMAS UCI y CAMAS INTERMEDIO UCI con el Centro Regulador de Urgencias (CRUE) TABLERO DE CONTROL,  realizaron reuniones  sostenidas entre el comité de la secretaria de salud que actúa como representante ante el observatorio de salud de Bogotá – SALUDATA y el equipo referente del Distrito Capital, se viabiliza el proyecto de Modernización Tecnológica del Laboratorio de Salud Pública del Departamento de Cundinamarca, se realiza el apoyo en la aplicación del proceso de facturación electrónica al interior de la Secretaria de Salud de Cundinamarca, se realiza Seguimiento al proceso de implementación de la funcionalidad para facturación electrónica, logrando la entrada en producción de 51 hospitales de la red pública del Departamento desde el 1 de octubre de 2020, cumpliendo con la fecha inicial establecida por la DIAN, de la misma manera, se está llevando a cabo el seguimiento a la etapa de postproducción del mencionado proceso,  además se realiza la convocatoria y logística para las reuniones encaminadas al inicio del proceso de estructuración de las redes regiones de salud con cada uno de los hospitales del Departamento que las conforman, con el fin de socializar el diagnóstico inicial del estado actual, de aspectos relacionados con sus sistemas de información , y así, establecer la logística de trabajo, se realiza soporte, monitoreo y seguimiento sobre la plataforma  Gestamos SIUS, Mango, Ficha familiar y radar salud, respecto al envío de información  desde los hospitales de la red pública del Departamento, además de garantizar la estabilidad y disponibilidad de la aplicación, ademas se realiza Reunión telemedicina centros de referencia con los hospitales Funza, Facatativá, Villeta y Fusagasugá donde se trató el tema de centros de referencia para prestar servicios bajo la modalidad de telemedicina</t>
  </si>
  <si>
    <t>Retraso por parte del personal en el suministro de  información y verificación  de las  fuentes información de las personas vulnerables de Covid 19</t>
  </si>
  <si>
    <t>GR5:5-03-01-431</t>
  </si>
  <si>
    <t>431</t>
  </si>
  <si>
    <t>Apoyar al 100% de las entidades del sector central de la gobernación en la implementación de la Política de Gobierno Digital.</t>
  </si>
  <si>
    <t>Entidades del sector central apoyadas en la implementación de la política de gobierno digital</t>
  </si>
  <si>
    <t>capacitación, soporte técnico</t>
  </si>
  <si>
    <t>Articulación con 25 dependencias del sector central de la Gobernación de Cundinamarca, se desarrollaron actividades de capacitación, soporte técnico en micrositios del portal web institucional, y revisión de proyectos TIC.</t>
  </si>
  <si>
    <t>GR5:5-03-01-432</t>
  </si>
  <si>
    <t>432</t>
  </si>
  <si>
    <t>Brindar asistencia a los 116 municipios en la implementación de la Política de Gobierno Digital.</t>
  </si>
  <si>
    <t>Municipios asistidos en implementación de Política de Gobierno Digital</t>
  </si>
  <si>
    <t>Capacitación</t>
  </si>
  <si>
    <t>Elaboración del cronograma de actividades y capacitaciones en los municipios, se desarrollaron capacitaciones, relacionadas con los componentes de la Política de Gobierno Digital en articulación con el Ministerio TIC, en temas como: Transformación Digital, PETIC, Acuerdo Marco de Precios entre otros.</t>
  </si>
  <si>
    <t>GR5:5-03-01-433</t>
  </si>
  <si>
    <t>433</t>
  </si>
  <si>
    <t>Soportar 9 sistemas de información estratégicos para el cumplimiento de la Política de Gobierno Digital.</t>
  </si>
  <si>
    <t>Sistemas de información soportados</t>
  </si>
  <si>
    <t>soporte sistemas de información</t>
  </si>
  <si>
    <t>Se han mantenido disponibles los servicios soportados en los sistemas de información: mercurio, isolución, Sistema de seguimiento al plan de desarrollo,  kactus, SAGA, integración registraduría, supervisa, banco de proyectos, SWIM</t>
  </si>
  <si>
    <t>GR5:5-03-01-434</t>
  </si>
  <si>
    <t>434</t>
  </si>
  <si>
    <t>Realizar anualmente el seguimiento a la implementación del plan estratégico de TIC – PETIC.</t>
  </si>
  <si>
    <t>seguimiento anual a la implementación del PETIC</t>
  </si>
  <si>
    <t>TECNOLOGÍA MODERNA, SOLUCIONES RÁPIDAS</t>
  </si>
  <si>
    <t>GR5:5-03-00-613</t>
  </si>
  <si>
    <t>Incrementar el "Índice de gobierno digital para el Estado" del índice Departamental de Competitividad.</t>
  </si>
  <si>
    <t>GR5:5-03-02-435</t>
  </si>
  <si>
    <t>435</t>
  </si>
  <si>
    <t>Mantener en funcionamiento el 100% de la infraestructura tecnológica de los datacenter principal y alterno de la gobernación.</t>
  </si>
  <si>
    <t>Infraestructura tecnologíca mantenida</t>
  </si>
  <si>
    <t>actualización infraestructura tecnológica</t>
  </si>
  <si>
    <t>SE EXTIENDE LA GARANTÍA DE LOS EQUIPOS DEL DATACENTER PRINCIPAL. SE ADQUIRIERON CINTAS CINTAS BACKUP. Y SE ADJUDICÓ EL PROCESO EXTENSIÓN DE GARANTÍAS DE LA UNIDAD DE POTENCIA ININTERRUMPIDA (UPS) QUE ALIMENTA EL DATACENTER PRINCIPAL</t>
  </si>
  <si>
    <t>GR5:5-03-02-436</t>
  </si>
  <si>
    <t>436</t>
  </si>
  <si>
    <t>Adquirir 120 equipos de computo para uso institucional.</t>
  </si>
  <si>
    <t>Equipos de computo para uso institucional adquiridos</t>
  </si>
  <si>
    <t>computadores portátiles</t>
  </si>
  <si>
    <t>SE ADQUIRIERON 35 COMPUTADORES PARA EL SERVICIO DE LOS FUNCIONARIOS DEL NIVEL CENTRAL DE LA GOBERNACIÓN</t>
  </si>
  <si>
    <t>GR5:5-03-02-437</t>
  </si>
  <si>
    <t>437</t>
  </si>
  <si>
    <t>Soportar 6 plataformas de uso corporativo de la gobernación.</t>
  </si>
  <si>
    <t>plataformas de uso corporativo soportadas</t>
  </si>
  <si>
    <t>plataformas soportadas</t>
  </si>
  <si>
    <t>PLATAFORMAS SOPORTADAS:   1. VIDEOCONFERENCIA DEPARTAMENTAL. 2. SEGURIDAD INFORMATICA. 3. REPUESTOS PARA LA INFRAESTRUCTURA DE CÓMPUTO DEL NIVEL CENTRAL, 4.  LICENCIAMIENTO PARA EL DEPARTAMENTO DE CUNDINAMARCA. 5. CORREO ELECTRÓNICO (ALMACENAMIENTO) 6. INFRAESTRUCTURA DE DATOS (IPV6)</t>
  </si>
  <si>
    <t>GR5:5-03-02-438</t>
  </si>
  <si>
    <t>438</t>
  </si>
  <si>
    <t>Soportar 9 plataformas habilitadoras de la arquitectura empresarial de TI.</t>
  </si>
  <si>
    <t>Plataformas soportadas</t>
  </si>
  <si>
    <t>Soporte plataformas habilitadoras</t>
  </si>
  <si>
    <t>SE HAN MANTENIDO DISPONIBLES LOS SERVICIOS ASOCIADOS A LAS PLATAFORMAS:  1. BUS DE INTEGRACIÓN. 2. ORACLE. 3. BIZAGI. 4. SAP (SOPORTE CON EL FABRICANTE). 5. PRIMER Y SEGUNDO NIVEL DE SOPORTE SAP. 6. MOODLE 7. SOPORTE PORTAL WEB 8. SQLSERVER 9. OVM</t>
  </si>
  <si>
    <t>CUNDINAMARCA SEGURA Y JUSTA</t>
  </si>
  <si>
    <t>INSTITUCIONES PROTECTORAS</t>
  </si>
  <si>
    <t>GR5:5-04-00-614</t>
  </si>
  <si>
    <t>Reducir la tasa de homicidios a nivel departamental.</t>
  </si>
  <si>
    <t>GR5:5-04-01-440</t>
  </si>
  <si>
    <t>440</t>
  </si>
  <si>
    <t>Atender 1.000 solicitudes para fortalecer la seguridad, convivencia y orden público en el departamento de Cundinamarca</t>
  </si>
  <si>
    <t>Vehículos a la fuerza pública, mantenimiento  parque automotor, pagos, asistencia técnica</t>
  </si>
  <si>
    <t>A través de la asistencia técnica, se logró que 107 municipios del departamento aprobarán sus planes integrales de seguridad y convivencia ciudadana, 3 en ajustes finales y 3 en la elaboración del diagnóstico. El plan integral de seguridad y convivencia ciudadana departamental ha logrado avanzar en un 15%, a través del cumplimiento de los 5 ejes Lucha contra el delito (Prevención y disuasión del delito, disminución del delito, operatividad e investigación), Convivencia legalidad y derechos humanos (Familia, entorno protector, cultura ciudadana y territorios de Paz, disrupción de los comportamientos contrarios a la convivencia), Inversión tecnología y bienes (Inteligencia e investigación criminal para anticipar y mitigar el delito, construcción, adecuación, dotación e inversión para la seguridad y convivencia ciudadana, ciudadanos cyberseguros), Cundinamarca diversa incluyente y justa (Prevalencia de los derechos de los niños, niñas y adolescentes, una buena juventud, mayores protegidos, mujeres en Cundinamarca, Cundinamarca incluyente) Fortalecimiento institucional (espacios estratégicos de coordinación y ciudad región). Socialización a 71 municipios del Plan Integral de Seguridad y Convivencia Ciudadana departamental, se logró la articulación interinstitucional entre el departamento y sus territorios en pro de la seguridad y convivencia ciudadana, llegando a 256 personas. Capacitación a 81 municipios frente a cobro coactivo de las infracciones impuestas  por violación al código nacional de convivencia y seguridad ciudadana, nociones y aplicaciones del proceso del CNCSC.  Se beneficiaron a 503 personas, que se verá reflejado en la recuperación de cartera que pueda realizar cada una de las entidades territoriales que adelanten el respectivo proceso frente a los morosos de las infracciones impuestas. Se logra incentivar la denuncia frente a los diferentes delitos del departamento a través del pago de recompensas. Para el año 2020 se han pagado 100.000.000 cte. Se realizaron 34 convenios interadministrativos con los respectivos municipios para mantenimiento y combustible del parque automotor con un total de $777.220.000. 1 de suministro y 33 de mantenimiento. Al fondo rotatorio de Policía nacional se invirtió $400.000.000 mc/te para aportar al uso de 144 días con el Helicóptero Halcón como arma eficaz contra la inseguridad y las bandas delincuenciales.  Se garantizó la seguridad y pie de fuerza para la jornada de elecciones atípicas del municipio de Sutatausa. $3.000.000.000 invertidos para fortalecer al ejército y dotarlos con material balístico$1.217.810.376 invertidos para fortalecer la movilidad de la fuerza pública con la entrega de 9 camionetas.</t>
  </si>
  <si>
    <t>GR5:5-04-01-441</t>
  </si>
  <si>
    <t>441</t>
  </si>
  <si>
    <t>Implementar un plan de atención integral y reacción bajo el concepto de seguridad humana.</t>
  </si>
  <si>
    <t>Asistencia técnica, parques automotores mantenidos</t>
  </si>
  <si>
    <t>Frente a los diferentes componentes de asistencia técnica, se ha generado divulgación de datos y cultura ciudadana frente a los delitos y violencias del departamento, no solo a través de redes sociales sino en el programa Estamos Seguros todos los lunes en el Dorado Radio. Asimismo, se ha brindado asistencia técnica a los comités de lucha contra la trata de personas  para su creación y activación, así como prevenir e informar a la comunidad sobre los delitos de la trata de personas. Se está creando los esquemas integrados de reacción articulada, y se han fortalecido al programa de atención psicojurídica DUPLAS a través de la atención, asesoría y coordinación de los procesos de asistencia los casos de violencia contra la mujer. En ella se ha brindado asistencia a las víctimas de los municipios de Funza, Facatativá, Subachoque, Chía, Zipaquirá, Cota, Tenjo, Madrid y Soacha.Se realizó actualización y ajuste de la estrategia “Cundinamarca, cultura de paz y convivencia” y se realiza su socialización en las diferentes provincias y sus respectivos municipios. A ella se llega a 99 municipios de los 116 y se encuentran 1.746 ciudadanos beneficiados en la primera fase. Asimismo, con la estrategia de territorios de paz, se busca llegar a los territorios con mayor índice de violencia y en este cuatrienio, se han llegado a 22 municipios de las 15 provincias, llegando a los alcaldes, secretarios de gobierno, inspectores de policía, personeros municipales, comandantes de policía, juntas de acción comunal, directores de emisoras comunitarias y de ciudadanía beneficiando a 150 ciudadanos. Se han realizó acciones de prevención de delitos, diálogo como herramienta de solución de conflictos, programa radial “el vigilante”. Actividades de emprendimiento, campañas de sensibilización para disminuir accidentes de tránsito, prevención de violencia intrafamiliar, rutas de atención en casos de violencia contra la mujer y prevención de delitos informáticos, convivencia y bullying, entre otros. Se dotó y se apoyo a municipios en la seguridad, justicia y cultura ciudadana.Se ha venido trabajando en el fortalecimiento del observatorio de seguridad y convivencia ciudadana y la línea 1,2,3 ha venido funcionando, garantizando que los cundinamarqueses puedan acudir y denunciar cualquier delito. En la línea de emergencia 123 de Cundinamarca, los operadores brindan el re direccionamiento de las llamadas a los canales de policía, servicio de emergencias médicas y canal psicosocial para la atención oportuna de estos. En lo transcurrido del año se han recibido aproximadamente 290 llamadas, de las cuales el pedido efectivo son del 16%, logrando 6.000 llamadas por  mes. Se logra entonces, canalizar alrededor de 50.000 procesos, efectivos, para disminuir los delitos, evitar suicidios, entre los servicios más importantes. En la actualidad se cuenta con un grupo de 17 operadores y 6 psicosociales los cuales prestan un servicio continuo de 24 horas, los 7 días de la semana para los 116 municipios. El observatorio de seguridad en los 11 meses de año, ha logrado consolidar 7 fuentes directas de información con las que se nutre el sistema de información y se hacen los reportes del observatorio. El observatorio de seguridad y convivencia logra la meta de consolidarse como una herramienta de gestión para la toma de decisiones, el monitoreo de las cifras de criminalidad, violencia y convivencia en el departamento y fuente veraz de información conciliada con varias entidades. Gracias al monitoreo del Observatorio, la Gobernación cuenta con información de fuentes directas que avalan el éxito de la política integral de seguridad ciudadana del departamento y eso se demuestra con los resultados de los 11 primeros meses del año dónde hemos reducidos en un 13,3% los 21 delitos de mayor impacto social comparado con el mismo periodo del año anterior. 17 de estos 21 delitos han presentado una disminución siendo los más relevantes el secuestro que disminuyó en un 96,2% pasando de 26 casos a solo 1 en todo el departamento, los hurtos en todas sus modalidades -exceptuando el de bicicletas que ha aumentado-, se registró una disminución significativa en los delitos sexuales pasando de 786 casos a 590 casos en todo el departamento equivalente a un 25% menos casos que el año anterior.La reducción del homicidio en un 9,6 % durante lo corrido del año es importante y refleja también el éxito de las políticas de convivencia y tolerancia social. Sin embargo es importante decir que cuatro delitos no se han podido reducir y algunos de ellos tienen relación con los efectos de la pandemia y la nueva realidad: ciberdelitos, estafa, violencia intrafamiliar y hurto de bicicletas. Con estas excepciones, todos los demás indicadores del observatorio son positivos comprados con las estadísticas del año anterior. Adicional hemos reactivado los tableros de control geo referenciados con la información de los 116 municipios, los cuales son de libre acceso para consulta de cualquier ciudadano. Se está consolidado por parte de los contratistas información sobre delitos de mayor impacto en el departamento de Cundinamarca, esto con el objetivo de alimentar los informes mensuales arrojados por el observatorio de seguridad y convivencia ciudadana que se encuentran en el micro sitio de la Secretaria de Gobierno,</t>
  </si>
  <si>
    <t>Cumplimiento al Decreto No. 457 del 22 de marzo de 2020. Por el cual se imparten instrucciones en virtud de la emergencia sanitaria generada por la pandemia Covid-19: El confinamiento que se realizó en los primeros meses de aparición del Covid 19, no permitió la presencia en los municipios. La falta de conectividad en algunos municipios y sus entidades públicas. El desconocimiento de la importancia del tema de cultura ciudadana por parte de algunos funcionarios, siendo un poco resistentes a participar en la socialización y en el diagnóstico.</t>
  </si>
  <si>
    <t>GR5:5-04-01-442</t>
  </si>
  <si>
    <t>442</t>
  </si>
  <si>
    <t>Implementar una estrategia integral para prevenir, controlar y combatir el microtráfico en los municipios del departamento.</t>
  </si>
  <si>
    <t>Se inició a formular la estrategia para prevenir, controlar y combatir el microtráfico en los municipios, se está realizando un diagnóstico preliminar de microtráfico logrando un documento técnico de la estrategia de prevención, control y mitigación del microtráfico en el departamento de Cundinamarca y un diagnóstico preliminar de la misma.Se ha brindado asistencia técnica territorial a los  116 municipios frente al consumo de SPA y código de convivencia y demás normas que rigen. Se han aumentando las labores de control a través del aumento de fuerza pública en los corredores de las provincias y fortalecimiento de operativos de control y mitigación del delito y se ha mantenido el apoyo en la realización de procesos de captura de GAO.</t>
  </si>
  <si>
    <t>DERECHOS HUMANOS, FUERZA DE LA IGUALDAD</t>
  </si>
  <si>
    <t>GR5:5-04-00-615</t>
  </si>
  <si>
    <t>Aumentar el índice de acceso efectivo a la justicia.</t>
  </si>
  <si>
    <t>GR5:5-04-02-443</t>
  </si>
  <si>
    <t>443</t>
  </si>
  <si>
    <t>Implementar un plan de garantía convivencia, justicia y derechos humanos en el departamento de Cundinamarca amparado desde la constitución política.</t>
  </si>
  <si>
    <t>335 actores municipales con conocimientos en la creación , implementación y fortalecimiento de los comités de derechos humanos y derecho internacional humanitario municipales en los 116 municipios del departamento.Articulación para la actualización de la ruta de protección individual y/o colectiva del Departamento de Cundinamarca, en favor de líderes y lideresas de organizaciones y movimientos sociales y comunales, y defensores y defensoras de derechos humanos que se encuentren en situación de riesgo.En proceso de actualización del Plan Integral de Prevención de violaciones a derechos humanos e infracciones al derecho internacional humanitario del Departamento de Cundinamarca.A la fecha se han realizado asistencias técnicas en la creación, implementación y fortalecimiento de los comités de DDHH y DIH municipales.Conformación del comité de migraciones venezolanos para el departamento de Cundinamarca, bajo la coordinación de la Secretaría de Cooperación y Enlace Territorial. La Secretaría de Gobierno, a través de la Dirección de Convivencia, Justicia y Derechos Humanos, tiene a cargo la ejecución de los protocolos de retorno voluntario y regularización de migrantes. Se llevó a cabo la elección del representante de organizaciones no gubernamentales que trabajan por la promoción y defensa de los derechos humanos, ante el Consejo Departamental de Paz, Reconciliación y Convivencia de fecha 22 de mayo de 2020.Se llevó a cabo el I Comité Departamental de Derechos Humanos y Derecho Internacional Humanitario de fecha 21 de agosto de 2020, con la participación de todos los miembros del Comité. .</t>
  </si>
  <si>
    <t>GR5:5-04-02-444</t>
  </si>
  <si>
    <t>444</t>
  </si>
  <si>
    <t>Implementar un plan de libertad religiosa, de cultos y conciencia que involucre a los sectores interreligiosos en la construcción de tejido social.</t>
  </si>
  <si>
    <t>196 actores institucionales beneficiados en 64 municipios, con conocimiento permanente en la creación, implementación y fortalecimiento de los comités de libertad religiosa, de cultos y conciencia municipales, así como en la formulación de la Política Pública de libertad religiosa, de cultos y conciencia en los municipios del departamento de Cundinamarca. Debido a la pandemia COVID 19, se realiza gestión y articulación para la entrega de 3.469 ayudas humanitarias al sector interreligioso del departamento de Cundinamarca en el marco del Programa Presidencial Colombia Está Contigo Un Millón de Familias.</t>
  </si>
  <si>
    <t>GR5:5-04-02-445</t>
  </si>
  <si>
    <t>445</t>
  </si>
  <si>
    <t>Implementar una estrategia de atención para adolescentes y jóvenes ofensores e infractores de la ley penal.</t>
  </si>
  <si>
    <t>Se han venido realizando seguimiento a la suscripción de convenios administrativos para el funcionamiento de los CETRAS y se ha brindado asistencia técnica a los circuitos judiciales priorizados. A su vez, se viene realizando la caracterización de los 14 cetrasSe realiza el diagnóstico y se implementa el plan de acción del comité departamental de Cundinamarca del SRPA en la línea estratégica Diseño de Política Pública y Desarrollo Normativo, en la línea de subprevención desde la formulación de la estrategia de prevención del delito, teniendo en cuenta la política pública departamental de infancia y adolescencia, generando revisión documental y metodológica de lineamientos nacionales en prevención de la vinculación de adolescentes y jóvenes en la vida delictiva, y desarrollo de metodologías de prevención.</t>
  </si>
  <si>
    <t>GR5:1-02-03-446</t>
  </si>
  <si>
    <t>446</t>
  </si>
  <si>
    <t>Construir 6 hogares de atención al adulto mayor</t>
  </si>
  <si>
    <t>Hogares de atención al adulto mayor Construidos</t>
  </si>
  <si>
    <t>GR5:1-04-01-447</t>
  </si>
  <si>
    <t>447</t>
  </si>
  <si>
    <t>Apoyar a los 116 municipios con la estrategia de caracterización, diagnóstico y/o seguimiento de la población víctima del conflicto armado del Departamento para identificar el goce efectivo de sus derechos</t>
  </si>
  <si>
    <t>N.A</t>
  </si>
  <si>
    <t>GR5:1-04-01-448</t>
  </si>
  <si>
    <t>448</t>
  </si>
  <si>
    <t>Fortalecer los 3 centros regionales de atención a la población víctimas del conflicto armado con dotación, adecuación y/o asesoramiento técnico</t>
  </si>
  <si>
    <t>1136</t>
  </si>
  <si>
    <t>AGENCIA PUBLICA DE EMPLEODE CUND-APEC</t>
  </si>
  <si>
    <t>GR5:2-05-02-449</t>
  </si>
  <si>
    <t>449</t>
  </si>
  <si>
    <t>Lograr que 50.000 personas accedan a las ofertas de empleo generadas por las empresas del Departamento de Cundinamarca</t>
  </si>
  <si>
    <t>Personas con acceso a ofertas de empleo generadas por empresas del Departamento</t>
  </si>
  <si>
    <t>GR5:4-01-01-450</t>
  </si>
  <si>
    <t>450</t>
  </si>
  <si>
    <t>Promover la comercialización e innovación, con enfoque regional, de los productos y servicios de 1.000 organizaciones, Mipymes y productores de Cundinamarca</t>
  </si>
  <si>
    <t>Organizaciones, Mipymes y productores de Cund con promoción de productos y servicios</t>
  </si>
  <si>
    <t>GR5:3-02-02-451</t>
  </si>
  <si>
    <t>451</t>
  </si>
  <si>
    <t>Cofinanciar los estudios básicos de riesgo para 13 municipios del departamento realizando la elaboración y desarrollo de análisis y evaluación del riesgo de desastres para la inclusión en los instrumentos de planeación y toma de decisiones a nivel territorial</t>
  </si>
  <si>
    <t>Municipios con estudios básicos de riesgo cofinanciados</t>
  </si>
  <si>
    <t>1230</t>
  </si>
  <si>
    <t>AGENCIA CATASTRAL DE CUNDINAMARCA</t>
  </si>
  <si>
    <t>GR5:5-01-00-608</t>
  </si>
  <si>
    <t>Aumentar el porcentaje de los municipios con índice de desempeño fiscal mayor a 65%.</t>
  </si>
  <si>
    <t>GR5:5-01-06-452</t>
  </si>
  <si>
    <t>452</t>
  </si>
  <si>
    <t>Realizar la actualización catastral en 25 municipios del departamento de Cundinamarca</t>
  </si>
  <si>
    <t>Municipios con actualización catastral realizada</t>
  </si>
  <si>
    <t>GR5:5-01-06-453</t>
  </si>
  <si>
    <t>453</t>
  </si>
  <si>
    <t>Realizar 30.000 trámites de conservación catastral en el departamento de Cundinamarca</t>
  </si>
  <si>
    <t>Trámites de conservación catastral realizados</t>
  </si>
  <si>
    <t>GR5:5-01-01-454</t>
  </si>
  <si>
    <t>454</t>
  </si>
  <si>
    <t>Implementar un plan de transparencia, integridad, evaluación y cultura del control para la prevención, generación de valor, satisfacción y confianza en el servicio al ciudadano</t>
  </si>
  <si>
    <t>Por modificación en Plan de Desarrollo esta meta será trasladada para otra dependencia. No presenta avance</t>
  </si>
  <si>
    <t>Aporte vigencia por indicador cuatrienio</t>
  </si>
  <si>
    <t>P</t>
  </si>
  <si>
    <t>DA</t>
  </si>
  <si>
    <t>Atender a 4.000 afiliados y beneficiarios con actividades de bienestar que ofrece la Corporación Social.</t>
  </si>
  <si>
    <t>Realizar 2 juegos deportivos o encuentros para comunales y campesinos.</t>
  </si>
  <si>
    <t>Juegos realizados</t>
  </si>
  <si>
    <t>GR5:1-01-00-509</t>
  </si>
  <si>
    <t>Aumentar el porcentaje de población que realiza actividad física en su tiempo libre.</t>
  </si>
  <si>
    <t>Dotar 1.200 escuelas de formación del departamento con implementación deportiva y recreativa.</t>
  </si>
  <si>
    <t>Cofinanciar la construcción o adecuación de 65 escenarios deportivos en el departamento.</t>
  </si>
  <si>
    <t>Actualizar a 6.000 directivos docentes y docentes de las IED en conocimientos disciplinares, prácticas pedagógicas, competencias socio emocionales y de gestión.</t>
  </si>
  <si>
    <t>GR5:1-01-03-038</t>
  </si>
  <si>
    <t>038</t>
  </si>
  <si>
    <t>Implementar la “Escuela de Rectores”.</t>
  </si>
  <si>
    <t>Escuela de rectores implementada</t>
  </si>
  <si>
    <t>Capacitación y Formación a directivos  docente mediante la Escuela de Rectores</t>
  </si>
  <si>
    <t>La Escuela de Rectores (Directivos docentes) de Cundinamarca,  se desarrolló durante toda la vigencia 2020  a través de la alianza entre la Fundación Alquería Cavelier, Universidad de la Sabana y Secretaría de Educación de Cundinamarca en la cual se capacitaron a 244 directivos docentes entre rectores y coordinadores de las 275 instituciones educativas de los municipios no certificados del Departamento, en temas como liderazgo directivo y educación remota, gobernabilidad sin presencialidad, educación remota en EE rurales y urbanas,  liderazgo directivo: un factor de calidad, autoliderazgo, autoconocimiento, y auto gestión emocional del directivo, liderazgo directivo: hacia un liderazgo autentico, liderazgo distribuido en la dirección de instituciones educativas, introducción a la educación comparada: posibilidades para el rector, marco legal y normativo para el rector, rol del rector y las funciones del rector. Así las cosas se logro la implementación de la escuela de rectores con un total de 299 rectores inscritos en el curso, y con un número de aprobados de 244 rectores que cumplieron con todas las especificaciones y asistencias del curso, esta formación de los rectores permitirá tener un mejor desempeño administrativo pedagógico y de liderazgo que busca brindar una educación de calidad.</t>
  </si>
  <si>
    <t>Beneficiar al 100% de los docentes, directivos docentes y administrativos de las IED, con el plan de bienestar laboral y de incentivos de acuerdo a su reglamentación.</t>
  </si>
  <si>
    <t>Mejorar 6.000 viviendas urbanas y rurales con enfoque diferencial y territorial.</t>
  </si>
  <si>
    <t>Mejorar integralmente 10 barrios y entornos rurales en los municipios del departamento.</t>
  </si>
  <si>
    <t>Ejecutar 10 procesos de acompañamiento social en las intervenciones de mejoramiento de las condiciones de habitabilidad de viviendas, barrios y entornos.</t>
  </si>
  <si>
    <t>Apoyar la construcción y adquisición de 300 viviendas urbanas y rurales para Población Víctima del Conflicto Armado en el Departamento de Cundinamarca</t>
  </si>
  <si>
    <t>GR5:1-01-03-053</t>
  </si>
  <si>
    <t>053</t>
  </si>
  <si>
    <t>Ejecutar 10 procesos de acompañamiento social para la integralidad de las intervenciones de construcción de vivienda.</t>
  </si>
  <si>
    <t>Procesos de acompañamiento social</t>
  </si>
  <si>
    <t>Apoyar la adquisición de 4.700 viviendas rurales y urbanas VIS y VIP.</t>
  </si>
  <si>
    <t>Viviendas adquiridas VIS y VIP</t>
  </si>
  <si>
    <t>Apoyar la adquisición de 300 viviendas urbanas y rurales en sitio propio en el departamento.</t>
  </si>
  <si>
    <t>Viviendas adquiridas</t>
  </si>
  <si>
    <t>Apoyar la reubicación de 300 familias de las zonas de alto riesgo no mitigable.</t>
  </si>
  <si>
    <t>Implementar al 50% la Política de Hábitat y Vivienda del departamento.</t>
  </si>
  <si>
    <t>Avance en la implementación de política</t>
  </si>
  <si>
    <t>GR5:1-02-00-516</t>
  </si>
  <si>
    <t>Aumentar la población con apropiación de hábitos y estilos de vida saludables en el departamento.</t>
  </si>
  <si>
    <t>Beneficiar a 12.000 niños y niñas menores de 5 años con riesgo de desnutrición con complementos nutricionales.</t>
  </si>
  <si>
    <t>Beneficiar a 8.000 madres gestantes y lactantes con bajo peso con complementos nutricionales.</t>
  </si>
  <si>
    <t>Renovar el 100% de los PEI de las IED de los municipios no certificados de Cundinamarca.</t>
  </si>
  <si>
    <t>PEI de las IED renovados</t>
  </si>
  <si>
    <t>GR5:1-02-01-075</t>
  </si>
  <si>
    <t>POLÍTICA PÚBLICA PARA LA GESTIÓN DEL RIESGO DE DESASTRES_x000D_
POLÍTICA PÚBLICA MANEJO INTEGRAL DE RESIDUOS SÓLIDOS</t>
  </si>
  <si>
    <t>075</t>
  </si>
  <si>
    <t>Beneficiar al 100% de las IED de los municipios no certificados con estrategias para consolidar los proyectos pedagógicos en PEGR y PRAES.</t>
  </si>
  <si>
    <t>IED beneficiadas con estrategias</t>
  </si>
  <si>
    <t>Beneficiar a 40.000 estudiantes con estrategias de carácter pedagógico, deportivo y cultural.</t>
  </si>
  <si>
    <t>Actualizar en el 100% de IED de los municipios no certificados del departamento los manuales y comités de convivencia escolar.</t>
  </si>
  <si>
    <t>Instituciones educativas con manual de convivencia actualizado y con seguimiento</t>
  </si>
  <si>
    <t>GR5:1-02-01-080</t>
  </si>
  <si>
    <t>080</t>
  </si>
  <si>
    <t>Implementar en 161 Instituciones Educativas del departamento la estrategia “Escuela de Familia”.</t>
  </si>
  <si>
    <t>Instituciones educativas con escuelas de familia implementadas</t>
  </si>
  <si>
    <t>GR5:1-02-01-081</t>
  </si>
  <si>
    <t>081</t>
  </si>
  <si>
    <t>Formular un plan decenal de educación 2023-2032 "Cundinamarca progresa transformando vidas".</t>
  </si>
  <si>
    <t>Plan Decenal de Educación 2023-2032 Formulado</t>
  </si>
  <si>
    <t>GR5:1-02-01-082</t>
  </si>
  <si>
    <t>082</t>
  </si>
  <si>
    <t>Dotar con infraestructura tecnológica y de comunicaciones a 411 sedes priorizando las IED rurales de los municipios no certificados.</t>
  </si>
  <si>
    <t>Sedes Dotadas</t>
  </si>
  <si>
    <t>Se realizó la entrega de 2.168 equipos a 19 sedes  con los cuales se beneficiaran  estudiantes y profesores permitiendo un mejor manejo  y apropiación de de las Tics, estos  equipos fueron entregados por  parte de computadores para educar del Ministerio de Educación Nacional. Por otra parte se realizó la  comprá de  licencias  Office 365 para 275 IED  mediante el  contrato  SE-SA-170-2020, lo cual permite tener equipos con software actualizado en cada una de las 275 IED de los municipios no certificados del Departamento.</t>
  </si>
  <si>
    <t>Garantizar anualmente el servicio de internet a 1.400 sedes educativas priorizando las sedes rurales.</t>
  </si>
  <si>
    <t>GR5:1-02-01-084</t>
  </si>
  <si>
    <t>084</t>
  </si>
  <si>
    <t>Dotar con emisoras a 120 instituciones educativas.</t>
  </si>
  <si>
    <t>IED dotadas con emisoras escolares</t>
  </si>
  <si>
    <t>GR5:1-02-01-093</t>
  </si>
  <si>
    <t>093</t>
  </si>
  <si>
    <t>Brindar atención integral en educación inicial a 5.000 niños de las IED de los municipios no certificados.</t>
  </si>
  <si>
    <t>Niños de educación inicial beneficiados con atención integral</t>
  </si>
  <si>
    <t>Brindar atención integral en educación inicial a 4.000 menores de 5 años en zonas urbanas, rurales y rurales dispersas de los municipios no certificados.</t>
  </si>
  <si>
    <t>Beneficiar a 52.000 estudiantes con subsidio de transporte escolar o alojamiento anualmente.</t>
  </si>
  <si>
    <t>Beneficiar a 1.097 sedes educativas con elementos para ambientes de aprendizaje, priorizando las sedes rurales.</t>
  </si>
  <si>
    <t>GR5:1-02-01-101</t>
  </si>
  <si>
    <t>101</t>
  </si>
  <si>
    <t>Mejorar 176 comedores escolares y cocinas para la ampliación de jornada única en zonas rurales.</t>
  </si>
  <si>
    <t>Comedores y cocinas escolares mejorados</t>
  </si>
  <si>
    <t>Cocinas y Comedores mejorados</t>
  </si>
  <si>
    <t>Se terminó    el mejoramiento de 4 cocinas y comedores de la línea de convocatoria comedor / cocina,  en conjunto con el  MEN mediante gestión no incorporada,   se realizó la entrega a la comunidad educativa, con lo cual, se mejoran las condiciones  de saneamiento y preparación de alimentos para la prestación del servicio educativo a los estudiantes de grado 0 al grado 11 de 4  sedes educativas.</t>
  </si>
  <si>
    <t>Beneficiar 650 deportistas a través del "Plan Estrellas" y el "Plan Incentivos", con miras a participar en los eventos del ciclo olímpico y paralímpico.</t>
  </si>
  <si>
    <t>Articular 200 instituciones educativas con el SENA para ofrecer programas pertinentes con el contexto.</t>
  </si>
  <si>
    <t>GR5:1-02-02-113</t>
  </si>
  <si>
    <t>113</t>
  </si>
  <si>
    <t>Articular 40 IEC con instituciones de educación superior para el fortalecimiento a las competencias básicas y certificación de saberes.</t>
  </si>
  <si>
    <t>GR5:1-02-02-115</t>
  </si>
  <si>
    <t>115</t>
  </si>
  <si>
    <t>Brindar orientación vocacional a 4.000 estudiantes de las IED de los municipios no certificados y con más baja tasa de transición a educación superior.</t>
  </si>
  <si>
    <t>Estudiantes con orientación vocacional</t>
  </si>
  <si>
    <t>Realizar el acompañamiento a 20 procesos bandisticos municipales con la banda Sinfónica Juvenil de Cundinamarca.</t>
  </si>
  <si>
    <t>Mantener 300 instructores anualmente para el desarrollo de los espacios de deporte formativo en sus áreas rurales y urbanas.</t>
  </si>
  <si>
    <t>Dotar los Centros Vida de las 15 provincias del departamento.</t>
  </si>
  <si>
    <t>Provincias con centro de vida dotados</t>
  </si>
  <si>
    <t>GR5:1-02-03-138</t>
  </si>
  <si>
    <t>POLÍTICA PÚBLICA DE ENVEJECIMIENTO Y VEJEZ._x000D_
POLÍTICA PÚBLICA DE JUVENTUD.</t>
  </si>
  <si>
    <t>138</t>
  </si>
  <si>
    <t>Mantener la operación de las 200 IED con educación para adultos por ciclos en jornada nocturna y fines de semana.</t>
  </si>
  <si>
    <t>IED en operación</t>
  </si>
  <si>
    <t>Prestación del servicio de Educación para adultos</t>
  </si>
  <si>
    <t>Se logró la atención de la población matriculada en los Ciclos Lectivos Especiales Integrados en las jornadas nocturna y fin de semana, en las 203 Instituciones Educativas Oficiales que tienen autorizado la prestación del servicio educativo de educación formal para jóvenes y adultos, mediante el pago de horas extras a docentes.</t>
  </si>
  <si>
    <t>Por la falta de asignación de recursos no se logró llevar a cabo la compra de material pedagógico, dotación a las IED y formación de docentes.</t>
  </si>
  <si>
    <t>Atender a 500 personas mayores de 18 años consumidoras de sustancias psicoactivas.</t>
  </si>
  <si>
    <t>1231</t>
  </si>
  <si>
    <t>Formular una Política Pública de Paz.</t>
  </si>
  <si>
    <t>Política pública de paz formulada</t>
  </si>
  <si>
    <t>Implementar una estrategia intersectorial que articule la oferta pública y de cooperación para la consolidación de la paz en los Municipios más afectados por el conflicto armado.</t>
  </si>
  <si>
    <t>Estrategia intersectorial implementada</t>
  </si>
  <si>
    <t>Brindar protección social integral a 1.500 personas mayores de 18 años con discapacidad mental cada año en los centros de protección de la Beneficencia de Cundinamarca.</t>
  </si>
  <si>
    <t>Beneficiar a 2.000 cuidadores o personas con discapacidad con el subsidio monetario.</t>
  </si>
  <si>
    <t>Dotar a los Centros de Vida Sensorial en las 15 provincias.</t>
  </si>
  <si>
    <t>Provincias con centros de vida sensorial dotados.</t>
  </si>
  <si>
    <t>Garantizar el 100% del cumplimiento del Plan de Implementación de la Política Pública de Discapacidad.</t>
  </si>
  <si>
    <t>Cumplimiento Plan de Implementación</t>
  </si>
  <si>
    <t>GR5:1-05-00-544</t>
  </si>
  <si>
    <t>Alcanzar el 100% de la población indígena beneficiada con estrategias que dignifiquen su cultura e identidad.</t>
  </si>
  <si>
    <t>GR5:1-05-00-545</t>
  </si>
  <si>
    <t>Alcanzar el 100% de la población étnica beneficiada con estrategias que dignifiquen su cultura e identidad.</t>
  </si>
  <si>
    <t>GR5:1-05-00-546</t>
  </si>
  <si>
    <t>Alcanzar el 100% de la población Rrom beneficiada con estrategias que dignifiquen su cultura e identidad.</t>
  </si>
  <si>
    <t>Implementar en los 116 municipios el plan de extensión agropecuaria.</t>
  </si>
  <si>
    <t>Municipios con Implementación del PDEA</t>
  </si>
  <si>
    <t>Consolidar 116 bancos de maquinaria para el mejoramiento de la productividad agropecuaria.</t>
  </si>
  <si>
    <t>Bancos de maquinaria consolidados</t>
  </si>
  <si>
    <t>Potencializar 150 organizaciones de productores agropecuarios.</t>
  </si>
  <si>
    <t>Organizaciones de productores potencializados</t>
  </si>
  <si>
    <t>Potencializar 100 procesos productivos del sector minero.</t>
  </si>
  <si>
    <t>GR5:2-02-02-209</t>
  </si>
  <si>
    <t>209</t>
  </si>
  <si>
    <t>Formar a 1.000 docentes y directivos en el uso y apropiación de las nuevas tecnologías para la producción de contenidos pedagógicos.</t>
  </si>
  <si>
    <t>Docentes formados.</t>
  </si>
  <si>
    <t>Se logró la formación de  600 docentes y directivos docentes, en 109 Instituciones Educativas Departamentales de 75 municipios del Departamento en el uso y apropiaciòn de las nuevas tecnologìas, con apoyo del MINTIC,  donde se fortalecìo la educación virtual, que permitirá a los docentes tener mejores herramientas para el manejo de las TIC.</t>
  </si>
  <si>
    <t>Brindar conectividad al 100% de la red de salud pública departamental.</t>
  </si>
  <si>
    <t>Conexión a la red de salud pública.</t>
  </si>
  <si>
    <t>Capacitar en uso y apropiación de las TIC a 100.000 cundinamarqueses.</t>
  </si>
  <si>
    <t>Ciudadanos con capacitación TIC</t>
  </si>
  <si>
    <t>Garantizar el funcionamiento de 90 centros interactivos digitales.</t>
  </si>
  <si>
    <t>Centros interactivos digitales en servicio</t>
  </si>
  <si>
    <t>GR5:2-02-03-222</t>
  </si>
  <si>
    <t>222</t>
  </si>
  <si>
    <t xml:space="preserve">Financiar 100 proyectos de investigación, innovación y negocios verdes de las IED de los municipios no certificados del departamento, en el uso y apropiación de la ciencia, tecnología e innovación. 
</t>
  </si>
  <si>
    <t>Proyectos de investigación, innovación y negocios verdes financiados</t>
  </si>
  <si>
    <t>GR5:2-02-03-223</t>
  </si>
  <si>
    <t>223</t>
  </si>
  <si>
    <t>Dotar 86 sedes educativas priorizando las rurales con componentes de ciencia, tecnología e innovación en el área de la robótica.</t>
  </si>
  <si>
    <t>Sedes educativas dotadas</t>
  </si>
  <si>
    <t>Mejorar 120.000 m2 de vías urbanas en el departamento.</t>
  </si>
  <si>
    <t>Construir un millón de m2 de placa huella.</t>
  </si>
  <si>
    <t>Intervenir 70 unidades agroindustriales con mejoramiento de infraestructura menor.</t>
  </si>
  <si>
    <t xml:space="preserve">Unidades Agroindustriales intervenidas
 </t>
  </si>
  <si>
    <t>Intervenir 20 infraestructuras productivas y competitivas.</t>
  </si>
  <si>
    <t>Conectar a 60.000 personas nuevas al servicio de alcantarillado rural.</t>
  </si>
  <si>
    <t>Personas nuevas con acceso al servicio de alcantarillado rural</t>
  </si>
  <si>
    <t>Apalancar 80 emprendedores turísticos con incentivos a través de la estrategia "Touremprender".</t>
  </si>
  <si>
    <t>Fortalecer 6.000 Mipymes, esquemas asociativos y establecimientos de comercio de los sectores económicos priorizados del departamento.</t>
  </si>
  <si>
    <t>Mipymes fortalecidas</t>
  </si>
  <si>
    <t>Impulsar 50 operadores turísticos del área de influencia de los productos y rutas turísticas de alta calidad en el marco de la región Cundinamarca - Bogotá.</t>
  </si>
  <si>
    <t>Implementar 10 planes de desarrollo turístico.</t>
  </si>
  <si>
    <t>Planes de desarrollo turístico implementados</t>
  </si>
  <si>
    <t>Formar 100 guías turísticos en habilidades y capacidades tecnológicas y bilingüismo.</t>
  </si>
  <si>
    <t>Cofinanciar 250 eventos de trayectoria turística para impulsar la competitividad del sector.</t>
  </si>
  <si>
    <t>Cofinanciar 280 eventos del sector agropecuario de carácter municipal, departamental, nacional e internacional.</t>
  </si>
  <si>
    <t>Eventos del sector agropecuario cofinanciados</t>
  </si>
  <si>
    <t>Realizar un estudio o investigación sobre la realidad de la competitividad en el departamento.</t>
  </si>
  <si>
    <t>Estudio realizado</t>
  </si>
  <si>
    <t>GR5:2-05-02-276</t>
  </si>
  <si>
    <t>276</t>
  </si>
  <si>
    <t>Implementar la fase 1 de la estrategia de competitividad de Cundinamarca.</t>
  </si>
  <si>
    <t>Fase I de la estrategia de competitividad implementada</t>
  </si>
  <si>
    <t>Cofinanciar la elaboración de 2 estudios y diseños para distrito de riego.</t>
  </si>
  <si>
    <t>Estudios y diseños cofinanciados</t>
  </si>
  <si>
    <t>Implementar un plan maestro de abastecimiento y seguridad hídrica de Cundinamarca - Bogotá.</t>
  </si>
  <si>
    <t>INSITITUTO DE PROTECCIÓN Y BIENESTAR ANIMAL DE CUNDINAMARCA</t>
  </si>
  <si>
    <t>Poner en operación 3 nuevos sistemas de aprovechamiento de residuos sólidos y orgánicos.</t>
  </si>
  <si>
    <t>Beneficiar 5.000 productores agropecuarios en prevención, atención, mitigación, recuperación por emergencias y desastres; y con instrumentos e incentivos de riesgo agropecuario y rural que permitan proteger sus inversiones y actividades.</t>
  </si>
  <si>
    <t>Intervenir el 80% de los escenarios de riesgo de desastres con acciones de mitigación.</t>
  </si>
  <si>
    <t>Escenarios de riesgo intervenidos.</t>
  </si>
  <si>
    <t>Garantizar el funcionamiento de 15 Centros Regionales Integrales de Respuesta - CRIR.</t>
  </si>
  <si>
    <t>GR5:4-01-00-587</t>
  </si>
  <si>
    <t>Incrementar el puntaje de productividad, competitividad y complementariedad económica del Índice de ciudades modernas.</t>
  </si>
  <si>
    <t>Implementar 5 productos o rutas de alta calidad para el turismo internacional, nacional y regional.</t>
  </si>
  <si>
    <t>Productos turísticos de alta calidad implementados</t>
  </si>
  <si>
    <t>GR5:4-02-00-589</t>
  </si>
  <si>
    <t>Incrementar el puntaje de sostenibilidad de Cundinamarca en el Índice de Ciudades Modernas.</t>
  </si>
  <si>
    <t>GR5:4-03-00-592</t>
  </si>
  <si>
    <t>Incrementar el puntaje de seguridad de Cundinamarca en el Índice de Ciudades Modernas.</t>
  </si>
  <si>
    <t>GR5:4-03-02-358</t>
  </si>
  <si>
    <t>358</t>
  </si>
  <si>
    <t>Implementar un plan maestro regional de equipamientos en seguridad, defensa y justicia.</t>
  </si>
  <si>
    <t>Se han venido adelantando acciones entre la secretaría distrital de seguridad, convivencia y justicia y la secretaría de Gobierno del departamento de Cundinamarca para plantear las acciones que integra el plan maestro de seguridad y convivencia.  Asimismo, se está formulando el diagnóstico de equipamientos, seguridad y convivencia del departamento de Cundinamarca.</t>
  </si>
  <si>
    <t>No es factible cumplir con la meta a cabalidad.</t>
  </si>
  <si>
    <t>Intervenir 4 territorios de bordes entre Cundinamarca y Bogotá.</t>
  </si>
  <si>
    <t>Territorios de borde intervenidos</t>
  </si>
  <si>
    <t>Ejecutar 4 obras de mejoramiento de entorno y manejo ambiental en predios desocupados por familias reubicadas.</t>
  </si>
  <si>
    <t>GR5:4-04-01-365</t>
  </si>
  <si>
    <t>365</t>
  </si>
  <si>
    <t>Reasentar 150 familias en riesgo no mitigable sobre la ronda del río Bogotá y en los municipios que limitan con Bogotá.</t>
  </si>
  <si>
    <t>Familias reubicadas en zonas seguras y libre de riesgos</t>
  </si>
  <si>
    <t>Mantener actualizado el 100% de la Infraestructura de Datos Espaciales Regional.</t>
  </si>
  <si>
    <t>Infraestructura de Datos Espaciales Regional actualizada</t>
  </si>
  <si>
    <t>GR5:4-04-03-372</t>
  </si>
  <si>
    <t>372</t>
  </si>
  <si>
    <t>Implementar una estrategia integral de estructuración de proyectos en el área de influencia del corredor Regiotram de occidente.</t>
  </si>
  <si>
    <t>,,PESO PONDERADO (%) GENERACIÓN,, 1. Identificar las zonas, escalas y productos cartográficos a actualizar, según necesidades identificadas por las diferentes secretarías,,5,0% 2. Generar los productos asociados, cartogrfía básica, ortofotomosaicos e imágenes digitales de terreno y superficie asoiciados, a través de su gestión contractual,,60,0% VALIDACIÓN Y VERIFICACIÓN,, 3. Verificar la calidad</t>
  </si>
  <si>
    <t>Cofinanciar 25 municipios del departamento en los procesos de revisión y ajuste de sus planes de ordenamiento territorial o estudios básicos de gestión del riesgo.</t>
  </si>
  <si>
    <t>Municipios cofinanciados</t>
  </si>
  <si>
    <t>1134</t>
  </si>
  <si>
    <t>CONTROL INTERNO</t>
  </si>
  <si>
    <t>GR5:5-01-01-375</t>
  </si>
  <si>
    <t>375</t>
  </si>
  <si>
    <t>Implementar un modelo de operación integral para la evaluación del Sistema de Control Interno hacia las normas internacionales de auditoría.</t>
  </si>
  <si>
    <t>Modelo de Operación Integral para la Evaluación del Sistema de Control Interno del Departamento Implementado</t>
  </si>
  <si>
    <t>Material virtual con las diapositivas de la información transmitida en las respectivas capacitacionesCapacitaciones y los conocimientos compartidos con 3120 funcionarios en todas las Secretarías y procesos de la Gobernación de Cundinamarca</t>
  </si>
  <si>
    <t>Se realizó capacitación en “Rol de la Oficina de Control Interno en tiempos de Crisis, de acuerdo a los lineamientos del Departamento Administrativo de Función Pública (DAFP) y el Instituto de Auditores Internos de Colombia IIA.Durante la vigencia 2020 todas las capacitaciones recibieron un puntaje de 9/10 de acuerdo con encuestas que evaluaron el impacto de estas y son las que más participantes han tenido buscando optimizar y llegar a un modelo integral para la evaluación del Sistema de Control Interno hacia las normas internacionales de auditoría.Se construyó la herramienta PLAN DE ACCIÓN la cual se maneja en Google Drive, y tiene como objetivo hacer seguimiento detallado de cada una de las actividades relacionadas a las salidas del proceso, se controla la ejecución del proceso y se monitorea la asignación de cargas laborales a cada uno de los colaboradores, así mismo se actualizaron y crearon herramientas que responden a las expectativas de las partes interesadas a fin de facilitar la toma de decisiones del nivel directivo, buscando orientación hacia el fortalecimiento del sistema de control interno y el logro de los objetivos institucionales, es así como durante la vigencia 2020 se ha actualizado el 24% de la documentación y se han creado 02 documentos nuevos.El Diagnóstico a partir del Reconocimiento de capacidades Normas Internacionales de Auditoría se ha convertido en el reto más grande del equipo, es así como se creó el Blog de Evaluación y Seguimiento, en el que se vienen documentando aspectos claves a tener en cuenta en la generación de los informes que se realizan.  Esta misma herramienta ha sido de gran utilidad para enfrentar la alta rotación de personal que se presenta, pues los colaboradores nuevos tienen una herramienta que permite entender más fácilmente el quehacer del proceso.Desde la Gobernación de Cundinamarca, a través de la Oficina de Control Interno se realizó un diagnóstico de las capacidades institucionales de las oficinas de control interno centradas en temas como: Arquitectura institucional, Evaluación del Control Interno y el Fortalecimiento de las capacidades, así mismo se analizó los resultados del Índice de Desempeño Institucional, el cual es medido por el Departamento Administrativo de Función Pública (DAFP), el cual es medido a través del Formulario Único de Reporte de Avances de la Gestión – MIPG (FURAGEn cuanto al Desarrollo del Componente tecnológico se Instruyó a las personas encargadas en cada entidad de la adquisición de software para que los programas de computador que se adquieran estén respaldados por los documentos de licenciamiento o transferencia de propiedad respectivos” se recomienda que toda dependencia al momento de adquirir equipos tanto  software como  hardware, debe contar con el visto bueno de la secretaria de las de TICS (fichas técnicas) con el fin de que cumplan con los lineamientos técnicos y no se viole lo correspondiente a derechos de autor.En aras de fomentar la cultura del control, la Oficina de Control Interno identificó que la mayoría de los servidores desconocen el Sistema de Control, lo cual ha aumentado la desconfianza institucional, personal y la de los ciudadanos para con la entidad. La experiencia consistió en fortalecer la confianza personal, ciudadana e institucional aplicando de forma novedosa y didáctica el Sistema de Control Interno basado en la Psicología Positiva Organizacional y el Coaching utilizando herramientas cómo Mindfulness Meditación, grupos e Indagación Apreciativa. En el año 2020 la Oficina de Control Interno llevo a cabo 3 fases de capacitaciones en 5 temas claves de la 7 Dimensión del MIPG y la Política de Control Interno: 1. Líneas de Defensa, 2. Sistema de Control Interno, 3. Criterios diferenciales, 4. FURAG, y 5. Confianza personal e institucional. En total se capacitaron 3120 funcionarios en todas las secretarías y procesos de la gobernación de Cundinamarca.A través de la actualización del Modelo Integrado de Planeación y de Gestión, la estructura MECI Avanzado, 7ª Dimensión de MIPG, en su primera evaluación del primer semestre del año 2020, la Gobernación de Cundinamarca presenta un avance del  92%, ubicándose en un nivel alto. Lo que permite concluir que en MIPG los cinco componentes del Sistema de Control Interno, se encuentran operando de manera integral y articulada, pero existen aspectos por mejorar. Esta calificación motiva a seguir comprometidos en el cumplimiento de la misión institucional, con enfoque de fortalecimiento y mejora continua.</t>
  </si>
  <si>
    <t>•La falta de experticia por parte de los auditores para interpretar y concluir respecto a los resultados observados de la solidez de los controles y su impacto en la gestión de los riesgos.•Las debilidades en el uso de herramientas tecnológicas para realizar este trabajo de manera remota•La no disponibilidad de la información, en formato digital, que soporta la ejecución de los controles existentes dada la situación actual que obligó al trabajo remoto.•El desconocimiento de la estructura del sistema de control interno y las responsabilidades de las líneas de defensa, así como lo referente al proceso gestión de los riesgos, por parte de los servidores públicos encargados del tema en cada proceso y dependencia evaluada.Las Secretarias de Hábitat y Vivienda, Planeación y Secretaría Jurídica, tuvieron cierre de 1 Hallazgo como No Eficaz cada una, al no cumplirse con las actividades propuestas.</t>
  </si>
  <si>
    <t>Mantener certificados los 4 procesos correspondientes a la Secretaría de Educación en la norma ISO 21001:2018.</t>
  </si>
  <si>
    <t>Formular una Política Pública Departamental de Atención al Ciudadano.</t>
  </si>
  <si>
    <t>Modernizar los 3 canales de atención al ciudadano.</t>
  </si>
  <si>
    <t>Digitalizar 1.600.000 folios de archivo histórico.</t>
  </si>
  <si>
    <t>Promover en el 100% de los municipios del departamento la implementación del Sistema Departamental de Archivo.</t>
  </si>
  <si>
    <t>GR5:5-01-05-403</t>
  </si>
  <si>
    <t>403</t>
  </si>
  <si>
    <t>Implementar un plan de transparencia, integridad, evaluación y cultura de control.</t>
  </si>
  <si>
    <t>Plan de integridad, control y evaluación territorial implementado</t>
  </si>
  <si>
    <t>Material con las diapositivas de la información transmitida en las respectivas capacitaciones y demás actividades.Conocimiento socializado y compartido.</t>
  </si>
  <si>
    <t>A nivel territorial, el control interno a través de la evaluación, la integridad, la transparencia y la cultura del control, impactan en la inversión eficaz de los recursos, lo que se traduce en ciudadanos beneficiados y, por ende, el incremento de la confianza hacia la gestión institucional: Se brindó Asesoría y acompañamiento a 23 municipios que han demandado asistencia técnica en temas como: Comité Departamental de Auditorías, Evaluación Covid-19, SCI y Líneas de Defensa, Fortalecimiento Institucional OCI, Planeación institucional, Planes de Mejoramiento, Asistencia FURAG y MIPG, Informe de control Interno, Informe Pormenorizado, Participación Ciudadana, Rol OCI Empalme, Sigep, MIPG y SCI.Desde la Gobernación de Cundinamarca, a través de la Oficina de Control Interno se realizó un diagnóstico de las capacidades institucionales de las oficinas de control interno entes municipales.Durante el 2020 la Oficina de control Interno ejecuto un total de 83 actividades de apoyo al departamento de Cundinamarca relacionadas con asistencias técnicas, asesorías, PQR y capacitaciones en una variedad de temas importantes para el departamento, municipios y personas naturales. Todas las actividades llevadas a cabo fueron dirigidas a Municipios, ESE´S, entidades descentralizadas, personerías, supervisores, procuradurías, contralorías, oficinas de control interno y personas naturales.</t>
  </si>
  <si>
    <t>•Las debilidades en el uso de herramientas tecnológicas para realizar este trabajo de manera remota•La no disponibilidad de la información, en formato digital, dada la situación actual que obligó a la no presencialidad.</t>
  </si>
  <si>
    <t>GR5:5-01-06-410</t>
  </si>
  <si>
    <t>410</t>
  </si>
  <si>
    <t>Implementar un plan de gestión tributaria para los municipios.</t>
  </si>
  <si>
    <t>Plan de gestión tributaria implementado</t>
  </si>
  <si>
    <t>GR5:5-01-06-411</t>
  </si>
  <si>
    <t>411</t>
  </si>
  <si>
    <t>Implementar una estrategia de gestión catastral del orden departamental.</t>
  </si>
  <si>
    <t>Prestación del Servicio catastral para 71 municipios del Departamento a través de la agencia catastral de Cundinamarca.</t>
  </si>
  <si>
    <t>En cuanto a la Implementación de una estrategia de gestión catastral del orden departamental, se adelantó:•Estructuración, formulación y aprobación del proyecto “Fortalecimiento de la gestión tributaria municipal en el Departamento de Cundinamarca” •Habilitación de Cundinamarca como gestor catastral para 71 municipios del departamento (Resolución 727 de agosto 12 de 2020)•Inició proceso de Empalme IGAC - Departamento (Septiembre 1 de 2020)•Creación de la Agencia Catastral de Cundinamarca (Decreto Ordenanzal N°427 de septiembre 25 de 2020)</t>
  </si>
  <si>
    <t>Llevar a internet y redes sociales el 50% de los periódicos, emisoras y canales de televisión del departamento.</t>
  </si>
  <si>
    <t>Medios de comunicación con plan de posicionamiento digital.</t>
  </si>
  <si>
    <t>Realizar 650 obras dirigidas al desarrollo comunitario del departamento.</t>
  </si>
  <si>
    <t>Actualizar el Plan Estratégico de TIC articulado con el pacto nacional de transformación digital y el plan de desarrollo.</t>
  </si>
  <si>
    <t>Plan estratégico actualizado</t>
  </si>
  <si>
    <t>Actualizar el 10% de la infraestructura tecnológica de los datacenter principal y alterno de la gobernación.</t>
  </si>
  <si>
    <t>Infraestructura tecnología actualizada</t>
  </si>
  <si>
    <t>Renovar el 20% de la infraestructura computacional de uso institucional.</t>
  </si>
  <si>
    <t>Infraestructura computacional actualizada</t>
  </si>
  <si>
    <t>GR5:5-03-02-439</t>
  </si>
  <si>
    <t>439</t>
  </si>
  <si>
    <t>Diseñar la arquitectura de datos que garantice la estandarización e interoperabilidad institucional.</t>
  </si>
  <si>
    <t>Diseño de la Arquitectura de datos</t>
  </si>
  <si>
    <t>Financiar el 80% de las solicitudes de las autoridades de seguridad, convivencia y orden público de Cundinamarca.</t>
  </si>
  <si>
    <t>Solicitudes financiadas</t>
  </si>
  <si>
    <t>Implementar un plan de garantía de convivencia, justicia y DDHH en Cundinamarca en el marco del respeto, atención y protección a las diversidades históricas, culturales, religiosas, étnicas y sociales amparadas en la constitución política.</t>
  </si>
  <si>
    <t>ENTIDADES</t>
  </si>
  <si>
    <t>1103 SECRETARIA GENERAL</t>
  </si>
  <si>
    <t>1104 SECRETARIA JURIDICA</t>
  </si>
  <si>
    <t>1105 SECRETARIA DE GOBIERNO</t>
  </si>
  <si>
    <t>1106 SECRETARIA HACIENDA</t>
  </si>
  <si>
    <t>1108 SECRETARIA DE EDUCACION</t>
  </si>
  <si>
    <t>1113 SECRETARIA DE PLANEACION</t>
  </si>
  <si>
    <t>1114 SECRETARIA DE FUNCION PUBLICA</t>
  </si>
  <si>
    <t>1120 SRIA COMPETITIVIDAD Y DES.ECONOMICO</t>
  </si>
  <si>
    <t>1121 SECRETARIA DEL  AMBIENTE</t>
  </si>
  <si>
    <t>1123 SRIA DE TRANSPORTE Y MOVILIDAD</t>
  </si>
  <si>
    <t>1124 SECRETARIA DE AGRICULTURA Y DES.RURAL</t>
  </si>
  <si>
    <t>1125 SECRETARIA DE CIENCIA  TECNOLOGIA E INNO</t>
  </si>
  <si>
    <t>1126 SECRETARIA DESARROLLO INCLUSION</t>
  </si>
  <si>
    <t>1128 SECRETARIA DE TECNOLOGIAS DE LA INFORMA</t>
  </si>
  <si>
    <t>1129 SECRETARIA DE INTEGRACION REGIONAL</t>
  </si>
  <si>
    <t>1130 SECRETARIA DE LA MUJER Y EQUIDAD DE GENE</t>
  </si>
  <si>
    <t>1131 SECRETARIA DE  HABITAT Y VIVIENDA</t>
  </si>
  <si>
    <t>1132 SECRETARIA DE MINAS ENERGÍA Y GAS</t>
  </si>
  <si>
    <t>1133 ALTA CONSEJERÍA PARA LA FELICIDAD</t>
  </si>
  <si>
    <t>1135 SECRETARIA DE ASUNTOS INTERNACIONALES</t>
  </si>
  <si>
    <t>1136 AGENCIA PUBLICA DE EMPLEO DE CUNDINAMARCA</t>
  </si>
  <si>
    <t>1152 UNIDAD ADM.ESPECIAL PARA LA GESTION DEL</t>
  </si>
  <si>
    <t>1184 SECRETARIA DE PRENSA Y COMUNICACIONES</t>
  </si>
  <si>
    <t>1197 SECRETARIA DE SALUD</t>
  </si>
  <si>
    <t>1202 AGENCIA DPTAL PARA LA PAZ Y POSTCONFLICT</t>
  </si>
  <si>
    <t>1203 INSTITUTO DE PROTECCIÓN Y BIENESTAR ANIMAL</t>
  </si>
  <si>
    <t>1204 INST DEPARTAMENTAL DE ACCION COMUNAL</t>
  </si>
  <si>
    <t>1207 BENEFICENCIA DE CUND. (702-Ordz30-2006)</t>
  </si>
  <si>
    <t>1208 INST.DPTAL PARA LA RECREACION Y EL DEPOR</t>
  </si>
  <si>
    <t>1215 CORPORACION SOCIAL DE CUNDINAMARCA CSC</t>
  </si>
  <si>
    <t>1220 INST. DEPARTAMENTAL DE CULTURA TURISMO</t>
  </si>
  <si>
    <t>1223 INSTITUTO DE INFRAESTRUCTURA .I.C.C.U</t>
  </si>
  <si>
    <t>1230 AGENCIA CATASTRAL</t>
  </si>
  <si>
    <t>1263 UNIDAD ADM.ESPECIAL DE PENSIONES DEL DEP</t>
  </si>
  <si>
    <t>1285 EMPRESAS PUBLICAS DE CUNDINAMARCA</t>
  </si>
  <si>
    <t>1290 AGENCIA DE COMERCIALIZACIÓN</t>
  </si>
  <si>
    <t>Fecha de Aprobación: 05/03/2019</t>
  </si>
  <si>
    <t>FECHA GENERACION REPORTE</t>
  </si>
  <si>
    <t>Impacto del COVID-19 en ejecución de la meta</t>
  </si>
  <si>
    <t xml:space="preserve">Recursos Gestión No Incorporada
(Ingrese valor en pesos)
</t>
  </si>
  <si>
    <t>Nombre(s) de la(s) entidad(es) que aporta(n) los recursos</t>
  </si>
  <si>
    <t>Decreto Modernización y estructuración del Comité de Atención al Usuario</t>
  </si>
  <si>
    <t>Por gestión de la Secretaría General se dio activación del Comité de Atención al Usuario el 29 de Marzo de 2021</t>
  </si>
  <si>
    <t>Dificultad en la asignación de recursos para la vigencia actual</t>
  </si>
  <si>
    <t xml:space="preserve">Mantenimiento del canal virtual, telefonico y presencial. </t>
  </si>
  <si>
    <t>Canal Virtual: Se puso a disposición (2) dos Salas Virtuales como mecanismo del canal de atención virtual a 
disposición de los usuarios, las cuales son atendidas en tiempo real y sincronizado 
por parte de personal disponible en el horario habilitado para el canal presencial a 
través de la plataforma de comunicación denominada Meet Google.
Canal Presencial: Se ha adelantado los ajustes razonables dentro de las instalaciones de complejo arquitectonico Gobernación de Cundinamarca fortaleciendo los criterios de accesibildad para personas en condicion de discapacidad. De igual forma se realizo capacitacion de Accesibilidad, atención oncluyente y lenguajes de señas y  a 40 funcionarios del Departamento de Cundinamarca.
Canal Telefonico:En la línea de atención telefónica a la fecha se han atendo aproximadamente 
17.000 interacciones. El nivel de atención de la línea telefónica es del 99% lo cual 
quiere decir que hay atención oportuna en cada una de las solicitudes que nos 
generan los usuarios a través de este canal telefónico.</t>
  </si>
  <si>
    <t>Se realizaron ferias virtual orientadas a los siguientes municipios: Suesca,Gachancipá,Beltrán, Gachetá y Lenguazaque.</t>
  </si>
  <si>
    <t xml:space="preserve">Se realizo feria virtual de servicios atraves de la plataforma de la Emisora Dorado Radio, dando cobertura a (5) municipios del departamento de Cundinamarca. </t>
  </si>
  <si>
    <t xml:space="preserve">Dificultad en la asignación de recursos para la vigencia actual, por lo tanto se esta dado aprovechamiento al canal virtual y Emisora Dorado Radio. </t>
  </si>
  <si>
    <t xml:space="preserve">implementación de una app </t>
  </si>
  <si>
    <t>Se han obtenido los siguientes avances:
1. Revisión total de la plantilla entregada por la Secretaría de las TIC, que registra en SAGA.
2. Depuración total de la plantilla consignada en la plataforma SAGA.
3. Consolidación y revisión de la información contenida en la nueva plantilla que será objeto de cargue masivo.
4. Recopilación y suministro de nueva información de georreferenciación.
5Actualización y revisión de la información de bienes inmuebles de propiedad del Departamento
Construcción de la base espacial que contiene la georreferenciación de cada uno de los Bienes
Inmuebles de propiedad del Departamento de Cundinamarca
 Estructuración técnica para la puesta en funcionamiento de la interfaz o visor que permitirá la consulta
de cada uno de los Bienes Inmuebles con los componentes de cada uno de estos.
 Elaboración de los diagramas de flujo de trabajo necesarios para la programación de la herramienta.</t>
  </si>
  <si>
    <t xml:space="preserve">bienes muebles adecuados </t>
  </si>
  <si>
    <t xml:space="preserve">Se ha realizado a la fecha la adecuación de dos bienes inmuebles piso 9 y unidad administrativa especial de gestión del riesgo </t>
  </si>
  <si>
    <t>Asistencias técnicas a las dependencias del sector central de la Gobernación de Cundinamarca</t>
  </si>
  <si>
    <t>La Secretaría General -Dirección de Gestión Documental, para el mes de noviembre 2021, se programaron 20 visitas a dependencias del sector central de la Gobernación de Cundinamarca, a las secretarias de:
• Secretaria de transporte y movilidad: Oficia asesora jurídica, dirección de política sectorial, gerencia de planeación de transporte e infraestructura, gerencia de seguridad vial y comportamiento de tránsito, gerencia de estudios sectoriales y de servicios, dirección de servicios de movilidad sedes operáticas en tránsito, gerencia de coordinación sedes operativas y servicios en tránsito, oficina de procesos administrativos, gerencia de control y vigilancia del transporte.
• Jefatura de gabinete: despacho del secretario, oficina de protocolo, gerencia de buen gobierno.
• Secretaria de privada: despacho del secretario.
• Despacho del gobernador: oficina de control interno disciplinario, oficina de control interno, alta consejería para la felicidad.
• Secretaria de hábitat y vivienda social: oficina financiera, dirección de planeación y gestión de proyectos, dirección de seguimiento y control a la inversión, dirección de política habitacional y titulación predial. Transporte de archivo de la sede central de la Gobernación de Cundinamarca a la bodega de custodia
Se ha realizado el proceso de custodia de 38.419 cajas
Se ha realizado inventario documental de 542 cajas</t>
  </si>
  <si>
    <t xml:space="preserve">Asistencias técnicas en implementación de la Politica de Gestión Documental </t>
  </si>
  <si>
    <t>Se realizaron asistencias técnicas a las siguientes entidades: AsoGualiva, para un total de 1 asistencia técnica lo cual equivale a un 1,13% de avance.
Para el día 26 de mayo del presente año de forma conjunta las entidades municipales y descentralizadas, la Dirección de Gestión Documental y en alianza con el Archivo General de la Nación, se realizó una capacitación a entidades Municipales y descentralizadas del Departamento de Cundinamarca, cumpliendo con el 25% y un acumulado del 30,17%. De igual manera en el mes de mayo se realizó una asistencia técnica a la asociación de Gualivá con el objeto de identificar como se elaboran las tablas de retención documental.  En el tercer trimestre del año 2021, el Concejo Departamental de Archivo -CDA-, de acuerdo con una de sus funciones de evaluar Tablas de Retención Documental - TRD y las Tablas de Valoración Documental - TVD de las entidades públicas y privadas que cumplen funciones públicas en el departamento, incluyendo las de los municipios, aprobadas por los Comités Internos de Archivo.
Emitió el concepto favorable de cinco (5) Tablas de retención documental -TRD- y dos (2) Tablas de valoración documental -TVD-
 En el periodo de noviembre, se emitió el concepto favorable por parte del Concejo Departamental de Archivo -CDA- de cinco (10) Tablas de retención documental -TRD- correspondientes a: 
Instituto de vivienda de Chía
Alcaldía de municipal de Ubaté
Alcaldía municipal Zipacón
Concejo municipal de Zipacón
Inmobiliaria de Cundinamarca 
Instituto, deporte, cultura y turismo Subachoque
Empresa de servicios públicos emsertenjo S.A. E.S.P de tengo
Alcaldía municipal de Bituima 
Empresa de acueducto, alcantarillado y aseo de Madrid
Empresa de licores de Cundi
9 tablas de retención documental y 2 tablas de valoración documental al concejo Departamental de archivo a:
Alcaldía municipal de Gachancipa 
Empresa de acueducto y Alcantarillado Funza
Hospital la samaritana 
Empresa de servicios públicos emserchia de chia 
Concejo municipal Mosquera 
Personeria municipal de Funza
Hospital nuestra señora de las Mercedes Funza</t>
  </si>
  <si>
    <t>El servicio de asistencia técnica para el cumplimiento de la Circular 01 de 2021 relacionada con la entrega de cargos de Jefes de Control Interno o quien haga sus veces, ofrece acompañamiento y asesoría en la entrega de documentación de la gestión del responsable de control interno en las Empresas Sociales del Estado, Entidades Descentralizadas Departamentales y Municipios. De 172 entidades, se contactaron un total de 104 entidades, de estas 14 mencionaron que no requerian acompañamiento y asesoría, por lo que a 30 de noviembre se brinda acompañamiento a 90 entidades
Esta actividad se enfocva en promover la transpartencia de la gestión de los Jefes de Control Interno o quien haga sus veces.
Se participo en el fortalecimiento de la formulación de la política de Servicio al Ciudadano con la asignación y entrega de recursos financieros. 
Se capacitó a 21 funcionarios de la OCI en el Marco Internacional para la Practica Profesional de la Auditoría Interna (MIPP).
Se realizo autoevaluación en el cumplimiento de las Normas del MIIP, como punto de partida para las oportunidades de mejora del proceso de evaluación y seguimiento.
Se actualizaron 3 documentos del Proceso de Seguimiento y Evaluación con el fin de fortalecer los controles internos.
Las acgtividades descritas se enfocan en el fortalecimiento de la integridad de las actividades de aseguramiento y consultoría.
Una vez se ejecute el contrato se tendrán los logros esperados para esta actividad</t>
  </si>
  <si>
    <t>Fecha de Aprobación: 25/02/2021</t>
  </si>
  <si>
    <t xml:space="preserve">Durante el mes de abril de 2021, se realizaron tres visitas guiadas virtuales al Congreso de la República, con la Asistencia de 154 estudiantes de 06 colegios de las provincias de Almeidas, Alto Magdalena y Bajo Magdalena. Los días 26, 27 y 28 de mayo de 2021, se realizaron tres visitas guiadas virtuales al Congreso de La República, con 200 estudiantes de IED de las Provincias de Gualivá, Guavio, Magdalena centro.En el mes de junio de 2021, se canceló la suma de $7.000.000 con cargo a la a la invitación pública de mínima cuantía SJ-CMC-001 de 2021. Desde el primero y en el segundo trimestre de 2021, dos estudiantes de las facultades de derecho de las Universidades Libre y de La Sabana, de conformidad con los Convenios Suscritos por la Secretaría de la Función Pública Nos. 046 y 039 de 2020, respectivamente, vienen realizando prácticas laborales en la Secretaría Jurídica. Durante los   días  28, 29 y 30 de julio de 2021, se realizarón tres (03) visitas guiadas virtuales al Congreso de la República, con la asistencia de 180 estudiantes  de IED de las Provincias de Médina, Oriente, Rionegro.   Realizaron prácticas laborales en la Secretaría Jurídica, dos estudiantes de las facultades de derecho de las Universidades Libre y de La Sabana, de conformidad con los Convenios Nos. 046 y 039 de 2020, suscritos por la Secretaría de la Función Pública.       
En el mes de agosto de 2021, los días 25, 26 Y 27 de  agosto de 2021: En cumplimiento de la actividad “Ruta de la Democracia”, se realizaron tres (03) visitas guiadas virtuales al Congreso de la República, con la asistencia de 183 estudiantes de las siguientes Provincias, Municipios y Colegios: Sabana Centro: Tocancipa: “IED Técnico Comercial Tocancipa; “IED Técnico Industrial”, “IED Rural La Fuente-Tocancipa  (30); Tabio: “IERD Diego Gómez de Mena, “IED José de San Martín (33). Sabana Occidente: Mosquera: “IE. Oficiales de Mosquera (30); El Rosal: “IED. Campo Alegre” (30); “IDE José María Obando” (30). Soacha: Sibaté: “Institución Educativa Departamental Sibaté” (30).   Se emitió la Segunda Edición del Boletín Jurídico Virtual,digido a los funcionarios del Sector Central, Descentralizado y a los 116 municipios del Departamento de Cundinamarca,Continene información sobre las Leyes Nos. 2138/2021;2088/2021; Estatutaria 2097 /2021; 2101/2021 ; 2140/ 2021; 2108/2021; Concepto 178131 del 21 de mayo de 2021 del DAFP;Ley 680/2021; Ley 2125/2021; Res.971/2021 MINSALD; Concepto 178131 del 21 de mayo de 2021 del DAFP; Concepto ANDJDE 20211030037751. Realizaron prácticas laborales en la Secretaría Jurídica, dos estudiantes de las facultades de derecho de las Universidades Libre y de La Sabana, de conformidad con los Convenios Nos. 046 y 039 de 2020, respectivamente,  suscritos por la Secretaría de la Función Pública.
En el mes de septiembre de 2021, los días 28, 29 Y 30 de  Septiembre de 2021: En cumplimiento de la actividad “Ruta de la Democracia”, se realizaron tres (03) visitas guiadas virtuales al Congreso de la República, con la asistencia de 176  estudiantes de las siguientes Provincias, Municipios y Colegios: SUMAPAZ: San Bernardo: “IED San Bernardo y IERD Andes”  (30); Silvania: “IED Silvania” (30). TEQUENDAMA:  San Antonio del Tequendama: “IED Mariano Santamaría” y I.E.D. San Antonio del Tequendama” (31); Tena: “IED Fidel Cano” (15). UBATE: Fúquene: “I.E.D. Nacionalizado y I. E Instituto Técnico Comercial Capellanía (40); Cucunubá “IED. Divino Salvador y Peñas” (30). 
(i) Se emitieron dos Boletines Jurídico Virtuales, a cargo de la Dirección de Conceptos y Estudios Jurídicos de la Secretaría Jurídica, dirigido a los funcionarios del Sector Central, Descentralizado y a los 116 municipios del Departamento de Cundinamarca, los cuales contienen información sobre: a) Decreto 952 de 2021, que reconoce la experiencia previa al título como experiencia profesional válida para efectos de los procesos de inserción laboral y productiva de jóvenes entre los 14 y 28 años en el sector público. b) Ley 2144 de 2021, dictó normas encaminadas a salvaguardar, fomentar y reconocer la gastronomía colombiana como integrante del patrimonio cultural. c) Ley 2129 del 4 de agosto de 2021 y la Sentencia C-519 de 2019 los padres podrán elegir el orden de los apellidos de sus hijos en el Registro Civil de Nacimiento. d) Ley 2148 del 24 de agosto de 2021 modificó el artículo 24 de la ley 1551 de 2012 de organización y funcionamiento de los municipios, entre otros. ii) Se realizaron prácticas laborales en la Secretaría Jurídica, dos estudiantes de las facultades de derecho de las Universidades Libre y de La Sabana, de conformidad con los Convenios Nos. 046 y 039 de 2020, suscritos por la Secretaría de la Función Pública, respectivamente,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En el mes de Octubre  de 2021:  i) El día 06 se pagó a través de la Tesorería del Departamento de Cundinamarca, la suma de veinticuatro millones novecientos noventa mil pesos m/cte ($24.990.000.oo), correspondiente a la invitación pública de mínima cuantía REDJURISTA SAS, SJ-CMC-002 de 2021, por la suma de $24.990.000, OBJETO: “Contratar la suscripción de una plataforma de actualización Jurídica, Tributaría, Laboral y Administrativa de interés general , con accerso a códigos, Jurisprudencia y Actualización en tiempo real de los portales Especializados que confdorman la solución informativa". 
ii) Realizaron prácticas laborales en la Secretaría Jurídica, dos estudiantes de las facultades de derecho de las Universidades del Bosque y Externado. 
El 18 de noviembre de 2021, El Secretario Jurídico Dr. Freddy Gustavo Orjuela Hernández, celebró Contrato de prestación de servicios profesionales No. SJ-CPS-024-2021, con la Cámara de Comercio de Bogotá, OBJETO: “PRESTACIÓN DE SERVICIOS PROFESIONALES PARA ADELANTAR TALLERES DE SENSIBILIZACIÓN EN LOS MECANISMOS ALTERNATIVOS DE SOLUCIÓN DE CONFLICTOS - MASC, EN EL MARCO DEL PLAN DEPARTAMENTAL DE DESARROLLO "CUNDINAMARCA, REGIÓN QUE PROGRESA”. Por valor de $ 7.873.299.
Durante el mes de noviembre de 2021: (i) Se emitieron dos Boletines Jurídico Semanales y uno mensual Virtuales, a cargo de la Dirección de Conceptos y Estudios Jurídicos de la Secretaría Jurídica, dirigido a los funcionarios del Sector Central, Descentralizado y a los 116 municipios del Departamento de Cundinamarca, los cuales contienen información sobre: a) Decreto 1408 de 2021, Obligatoria presentación del carnet de vacunación contra el Covid- 19. b) Decreto 1415 de 2021, se reglamenta la protección laboral reforzada para madres o padres cabeza de familia, personas con limitaciones físicas o mentales y los pre pensionados en el sector público. c) Ley 2157 de 2021 ley de “borrón y cuenta nueva”. d)Resolución 4286 de 2021, Reglamentación de las elecciones de Consejos Municipales de Juventudes. e) Fallo de 26/098/2021, Consejo de Estado, Inhabilidad para Contralores Territoriales. f)la incidencia de la ley 2159 de 2021 “ley de presupuesto” en las entidades territoriales. g) Circular 013 de 2021 expedida por el Gobernador del Departamento de Cundinamarca y Circular Conjunta 100-006 De 2021 expedida por el Departamento Administrativo de la Presidencia De La República y el director del Departamento Administrativo de la Función Pública, restricciones en la nómina y en la contratación estatal con ocasión de las elecciones a la presidencia, vicepresidencia y congreso.  entre otros. ii) Se realizó práctica laboral en la Secretaría Jurídica, por parte de una estudiante de la facultad de derecho de las Universidad Externado, de conformidad Convenio, suscrito por la Secretaría de la Función Pública,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t>
  </si>
  <si>
    <t xml:space="preserve">En el primer trimestre 2021, se realizaron 04 capacitaciones, Asesoría y Acompañamiento, beneficiando 272 funcionarios de los 116 municipios y  397 del Sector Central y Descentralizado, 02 ESE`s del Deparrtamento de Cundinamarca. Temas: Calificación riesgos y provisión contable en procesos judiciales; diligenciamiento FURAG; liquidación sentencias judiciales;reforma Código  de procedimiento administrativo y de lo contencioso administrativo. Se emitieron 06 boletines jurídicos dirigidos a los 116 municipios, Sector Central y Descentralizado de Cundinamarca; con el ánimo de fortalecer la gestión de las administraciones municipales y departamental de Cundinamarca. Se aceptó la oferta de la firma REDJURISTAS SAS, SJ-CMC-016- de 2021, dentro de la invitación pública de mínima cuantía SJ-CMC-002 de 2021, por la suma de $24.990.000. Durante los días 8, 15 y 22 de junio de 2021, se realizaron tres capacitaciones, cuyo tema fue el Código General Discilinario Ley 1952 de 20219. Durante el segundo trimestre de 2021, se emitieron boletines jurídicos, dirigido a los funcionarios del Sector Central, Descentralizado y  los 116 municipios del Departamento de Cundinamarca. Durante los   días  28, 29 y 30 de julio de 2021, se realizarón tres (03) visitas guiadas virtuales al Congreso de la República, con la asistencia de 180 estudiantes  de IED de las Provincias de Médina, Oriente, Rionegro.   Realizaron prácticas laborales en la Secretaría Jurídica, dos estudiantes de las facultades de derecho de las Universidades Libre y de La Sabana, de conformidad con los Convenios Nos. 046 y 039 de 2020, suscritos por la Secretaría de la Función Pública. En el mes de agosto de 2021: Se realizaron 03 visitas guiadas al Congreso de la república, con la asistencia de 183 alumnos de IED de las Provincias de Sabana Centro, Sabana Occidente, Soacha . Se emitió el segundo boletín jurídico virtual, dirigdo a los funcionarios de la Gobernación y los 116 municipios de Cundinamarca. Dos Estudiantes de las Universidaes Libre y Sabana,  realizaron prácticas laborales en la Secretaría Jurídica.  
En el mes de septiembre de 2021, los días 28, 29 Y 30 de  Septiembre de 2021: En cumplimiento de la actividad “Ruta de la Democracia”, se realizaron tres (03) visitas guiadas virtuales al Congreso de la República, con la asistencia de 176  estudiantes de las siguientes Provincias, Municipios y Colegios: SUMAPAZ: San Bernardo: “IED San Bernardo y IERD Andes”  (30); Silvania: “IED Silvania” (30). TEQUENDAMA:  San Antonio del Tequendama: “IED Mariano Santamaría” y I.E.D. San Antonio del Tequendama” (31); Tena: “IED Fidel Cano” (15). UBATE: Fúquene: “I.E.D. Nacionalizado y I. E Instituto Técnico Comercial Capellanía (40); Cucunubá “IED. Divino Salvador y Peñas” (30). 
(i) Se emitieron dos Boletines Jurídico Virtuales, a cargo de la Dirección de Conceptos y Estudios Jurídicos de la Secretaría Jurídica, dirigido a los funcionarios del Sector Central, Descentralizado y a los 116 municipios del Departamento de Cundinamarca, los cuales contienen información sobre: a) Decreto 952 de 2021, que reconoce la experiencia previa al título como experiencia profesional válida para efectos de los procesos de inserción laboral y productiva de jóvenes entre los 14 y 28 años en el sector público. b) Ley 2144 de 2021, dictó normas encaminadas a salvaguardar, fomentar y reconocer la gastronomía colombiana como integrante del patrimonio cultural. c) Ley 2129 del 4 de agosto de 2021 y la Sentencia C-519 de 2019 los padres podrán elegir el orden de los apellidos de sus hijos en el Registro Civil de Nacimiento. d) Ley 2148 del 24 de agosto de 2021 modificó el artículo 24 de la ley 1551 de 2012 de organización y funcionamiento de los municipios, entre otros. ii) Se realizaron prácticas laborales en la Secretaría Jurídica, dos estudiantes de las facultades de derecho de las Universidades Libre y de La Sabana, de conformidad con los Convenios Nos. 046 y 039 de 2020, suscritos por la Secretaría de la Función Pública, respectivamente,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En el mes de Octubre  de 2021:  i) El día 06 se pagó a través de la Tesorería del Departamento de Cundinamarca, la suma de veinticuatro millones novecientos noventa mil pesos m/cte ($24.990.000.oo), correspondiente a la invitación pública de mínima cuantía REDJURISTA SAS, SJ-CMC-002 de 2021, por la suma de $24.990.000, OBJETO: “Contratar la suscripción de una plataforma de actualización Jurídica, Tributaría, Laboral y Administrativa de interés general , con accerso a códigos, Jurisprudencia y Actualización en tiempo real de los portales Especializados que confdorman la solución informativa". 
ii) Realizaron prácticas laborales en la Secretaría Jurídica, dos estudiantes de las facultades de derecho de las Universidades del Bosque y Externado. 
El 18 de noviembre de 2021, El Secretario Jurídico Dr. Freddy Gustavo Orjuela Hernández, celebró Contrato de prestación de servicios profesionales No. SJ-CPS-024-2021, con la Cámara de Comercio de Bogotá, OBJETO: “PRESTACIÓN DE SERVICIOS PROFESIONALES PARA ADELANTAR TALLERES DE SENSIBILIZACIÓN EN LOS MECANISMOS ALTERNATIVOS DE SOLUCIÓN DE CONFLICTOS - MASC, EN EL MARCO DEL PLAN DEPARTAMENTAL DE DESARROLLO "CUNDINAMARCA, REGIÓN QUE PROGRESA”. Por valor de $ 7.873.299.
Durante el mes de noviembre de 2021: (i) Se emitieron dos Boletines Jurídico Semanales y uno mensual Virtuales, a cargo de la Dirección de Conceptos y Estudios Jurídicos de la Secretaría Jurídica, dirigido a los funcionarios del Sector Central, Descentralizado y a los 116 municipios del Departamento de Cundinamarca, los cuales contienen información sobre: a) Decreto 1408 de 2021, Obligatoria presentación del carnet de vacunación contra el Covid- 19. b) Decreto 1415 de 2021, se reglamenta la protección laboral reforzada para madres o padres cabeza de familia, personas con limitaciones físicas o mentales y los pre pensionados en el sector público. c) Ley 2157 de 2021 ley de “borrón y cuenta nueva”. d)Resolución 4286 de 2021, Reglamentación de las elecciones de Consejos Municipales de Juventudes. e) Fallo de 26/098/2021, Consejo de Estado, Inhabilidad para Contralores Territoriales. f)la incidencia de la ley 2159 de 2021 “ley de presupuesto” en las entidades territoriales. g) Circular 013 de 2021 expedida por el Gobernador del Departamento de Cundinamarca y Circular Conjunta 100-006 De 2021 expedida por el Departamento Administrativo de la Presidencia De La República y el director del Departamento Administrativo de la Función Pública, restricciones en la nómina y en la contratación estatal con ocasión de las elecciones a la presidencia, vicepresidencia y congreso.  entre otros. ii) Se realizó práctica laboral en la Secretaría Jurídica, por parte de una estudiante de la facultad de derecho de las Universidad Externado, de conformidad Convenio, suscrito por la Secretaría de la Función Pública,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t>
  </si>
  <si>
    <t>Inevitablemente el Covid-19, impactó la ejecución de las actividades programadas dentro de la meta de producto a cargo de la Secretaría Jurídica, por cuanto nos vimos en la necesidad de restructurar la realización de algunas de estas de manera virtual, toda vez, que estaban programadas para llevarse a cabo de forma presencial, esto es, asistiendo a los municipios o convocando a los funcionarios de las entidades territoriales o estudiantes de estas a la ciudad de Bogotá, de acuerdo con el requerimiento de cada una de estas.</t>
  </si>
  <si>
    <t>Se garantiza el funcionamiento de 2 casas de acogida las cuales tienen como propósito garantizar a las mujeres que viven situaciones de violencia o que han vivido hechos victimizante, cuenten con un lugar para salvaguardarse temporalmente en el que les sea posible a ellas y a sus personas dependientes proteger su vida e integridad personal. Hasta la fecha han sido beneficiados 123 personas, entre ellos 40 mujeres y 73 niños, niñas y adolescentes. Adicional a ello, se ha logrado aumentar el número a 25 cupos más con relación al cuatrienio anterior de las casas de acogida, propiciando entornos de bienestar en el territorio en pro de las mujeres y fortalecimiento a la dignidad e integridad personal de las mismas. Adicional a ello, se benefician 73 niños, niñas y adolescentes hijos de estas mamás víctimas de violencia. La casa de acogida, presta servicios de alojamiento, alimentación, kit de aseo, traslado, vestuario de ser necesario, seguridad, orientación psicológica, jurídica y de trabajo social, además de disponibilidad de área de enfermería. El funcionamiento de las casas se realiza mediante el convenio de la Cruz Roja el cual se suscribió en el mes del 10 de junio de 6 meses y 20 días por lo cual el funcionamiento se garantiza hasta el 31 de diciembre de la presente vigencia (convenio 175 de 2020). Adicional a ello se brinda asistencia técnica para la ruta y servicio de la casa de acogida a 33 municipios de 10 provincias asesorando a los mismos a cómo funciona el servicio brindado. Actualmente en 2021 tiene 25 cupos.
Para el año 2021  el convenio ya se encuentra firmado, bajo el siguiente número de convenio  SGO-CDCASO-298-2021, este convenio  de asociación se encuentra firmado con la cruz roja colombiana seccional Cundinamarca y Bogotá para el programa en la vigencia 2021. Se disponen de dos inmuebles para el funcionamientos de Casa de Acogida, uno de los inmuebles se dispone por parte de la Secretaria General y el otro por parte del asociado. Los dos inmuebles cumplen con los requisitos minimos de infraestructura contemplados en la resolución 595 del 2020 mediante la operación del convenio 175 del 2020 se han atendido de enero al mes de abril del 2021, 33 casos.
Se remite certificacion a ministerio de salud para solicitar focalizacion del departamento en asignacion de recursos para medidas de atencion en la vigencia 2021 (actividad que se desarrolla en un solo momento del año).</t>
  </si>
  <si>
    <t> </t>
  </si>
  <si>
    <t xml:space="preserve">Durante los meses de enero a abril el programa casa de acogida funcionó mediante el convenio de asociación 175 del 2020, el convenio ya se encuentra firmado SGO-CDCASO-298-2021 con la cruz roja colombiana seccional Cundinamarca y Bogotá para el programa en la vigencia 2021.
En la actualidad existen dos inmuebles para el funcionamiento de las Casas de Acogida, uno de los inmuebles lo dispone la Secretaria General y el otro por parte del asociado.
Los Inmuebles están adecuados para el alojamiento de mujeres víctimas y sus dependientes, los cumplen con los requisitos mínimos de infraestructura contemplados en la resolución 595 del 2020, se remite certificación a ministerio de salud para solicitar focalización del departamento en asignación de recursos para medidas de atención en la vigencia 2021 (actividad que se desarrolla en un solo momento del año).
El programa de casa de acogida se dividen 2 infraestructuras e identificadas como: Casa Azul y Casa amarilla, en la casa azul cuenta con población distribuida así: 5 Mujeres, 6 NNA, para un total de 11 personas, dicha casa cuenta con 9 cupos disponibles. Se realiza ingreso de sistema familiar proveniente de Girardot, En la casa de acogida amarilla, la población está distribuida así: 5 Mujeres, 5 NNA, 5 Sistemas familiares, para un total de 10 personas atendidas.   25 cupos disponibles.  
En la actualidad a 31 de Octubre la casa de acogida azul cuenta con poblacion distribuida asi: 5 Mujeres, 9 NNA, 5 Sistemas familiares, para un total de 14 personas, dicha casa cuenta con 6 cupos disponibles. Se realiza ingreso de sistema familiar proveniente de La Mesa , Frente a la casa de acogida amarilla, la poblacion esta distribuida asi: 6 Mujeres, 6 NNA, 6 Sistemas familiares, para un total de 12 personas atendidas y 23 cupos disponibles.                                                               </t>
  </si>
  <si>
    <t>CRUZ ROJA COLOMBIANA - SECCIONAL CUNDINAMARCA Y BOGOTÁ NIT: 860.070.301-1</t>
  </si>
  <si>
    <t xml:space="preserve">Asistencia técnica </t>
  </si>
  <si>
    <t>Implementar la estrategia de tejido social, en el marco del posconflicto y memoria historica.</t>
  </si>
  <si>
    <t xml:space="preserve">Se realizó asistencia técnica a 360 funcionarios de los 116 municipios en las plataformas de información de la política pública de víctimas, dando a conocer los lineamientos de la política e impartiendo directrices normativas y el acompañamiento a los planes de prevención y protección de los 116 municipios junto con su caracterización. A través de la capacitación de 116 municipios en temas de sistemas de información, se fortaleció el departamento en herramientas digitales como son RUSICST, tablero PAT Vivanto, PAT, herramienta de caracterización y SIGO. De igual forma, se acompañaron 6 municipios en jornadas de caracterización con todos los protocolos de bioseguridad (Chaguaní, Vianí, Topaipí, Cabrera, Gutiérrez y Soacha). A su vez, se realizó el acompañamiento a los planes de prevención y protección a los 116 municipios. Asimismo se está realizando la actualización del plan de contigencia del departamento el cual está para su aprobación en el marco del subcomité de prevención y protección de no repetición. Adicional a ello se ha canalizado 25 solicitudes de presuntas amenazas de activación de ruta y la impresión de 500 cartillas de la ruta de prevención y protección en el departamento . </t>
  </si>
  <si>
    <t xml:space="preserve">Solicitudes atentidas </t>
  </si>
  <si>
    <t>Se realizó actualización del plan de contigencia del departamento el cual está para su aprobación en el marco del subcomité de prevención y protección de no repetición.  Adicional a ello se ha canalizado 25 solicitudes de presuntas amenazas de activación de ruta y la impresión de 500 cartillas de la ruta de prevención y protección en el departamento. Se realizo capacitación a la vez que se entrego cartillas como refuerzo de la inducción.  Se realizo seguimiento a alerta temprana 010 - 21 y  Se celebró el Segundo Subcomité de Prevención y Protección de Garantías de no Repetición. Se celebró la Sexta Sesón de la Mesa Técnica de Amanezados y se llevo a cabo seguimiento a alerta temprana 010 - 21, los Municipios beneficiados fueron Mosquera, Funza, Cota, Chía, Sopo, La Calera, Guasca, Choachií Ubaque, chipaque, se solicitaron los CDP Número: 7100011759 $31231847  - 7100012018 $31231847  - 7100012387 $ 4984281 - 7100015863 $ 7552025, con el fin de asesorias, asistencias tecnicas en la formulacion y actualizacion de los planes de prevencion, proteccion y de contingencia de los municipios y del departamento, Acompañamiento y asesoramiento a Comites de Justicia Transicional, Impresión y publicación documentos.</t>
  </si>
  <si>
    <t>Se han entregado 4400 ayudas humanitarias a población víctima del conflicto armado en articulación con la unidad de gestión de riesgos de desastres, lo anterior benefició a 13.200 víctimas del conflicto armado de 38 municipios. Adicional a ello, se realizó oferta y asistencia por parte de los profesionales a los 3 centros regionales en temas relacionados con asistencia humanitaria.  Para 2021 se está adelantando el proceso a través de la plataforma colombia compra eficiente por un valor de 100.000.000 para 1.000 mercados y se han visitado 20 municipios (Soacha, Albán, Fusagusagá, Vianí, Villapinzón, PuertoSalgar, Caparrapí, Pulí, Pasca, Guaduas, San Juan de Rioseco, Nilo, Ricaurte, La Peña, Quebradanegra, Guataquí, Sasaima, Utica, Facatativá y Girardot) de entrega de 505 mercados. Se está realizando el proceso contractual para la adqusicion de cerca de dos mil ayudas humanitarias en la vigencia del año 2021. Ya se cuenta con CDP, los respectivos conceptos precontractuales y estudios previos, con los que se busca beneficiar a las familias victimas del conflicto de los Municipios de: Nocaima, Apulo, Silvania, Villagomez, Cachipay, Simijaca, Venecia, Pandi, Guatavita, San Cayetano, Granada, Agua De Dios, Villeta, Chipaque, Medina, Guayabetal.</t>
  </si>
  <si>
    <t xml:space="preserve">Mercados </t>
  </si>
  <si>
    <t>Se está adelantando el proceso a través de la plataforma colombia compra eficiente por un valor de 195.000.000 con dos CDP No. 7100012311 por valor de  $ 100.000.000 y CDP No. 7100012685 por valor de $ 95.000.000 para 2.000 mercados y se han visitado 20 municipios (Soacha, Albán, Fusagusagá, Vianí, Villapinzón, PuertoSalgar, Caparrapí, Pulí,Pasca, Guaduas, San Juan de Rioseco, Nilo, Ricaurte, La Peña, Quebradanegra, Guataquí, Sasaima, Utica, Facatativá y Girardot) y se han entregado  505 mercados y se focalizo a la población mas vulnerable. Se está realizando el proceso contractual para la adqusicion de cerca de dos mil ayudas humanitarias en la vigencia del año 2021. Ya se cuenta con CDP, los respectivos conceptos precontractuales y estudios previos, se tienen priorizados los Municipios de:  Nocaima, Apulo, Silvania, Villagomez, Cachipay, Simijaca, Venecia, Pandi, Guatavita, San Cayetano, Granada, Agua De Dios, Villeta, Chipaque, Medina, Guayabetal. Se realizó la suscripcion del contrato sgo-sasi-302-2021 para la adquisicion de mercados como ayuda humanitaria para la poblacion victima. Los Municipios beneficiados estan por definirse, se estan ejecutando el contrato SGO-SASI-302-2021, por valor de $ 99.961.091 para la adquisición y entrega de mercados a victimas del conflcto armado, las cuales han sido previamente priorizadas.</t>
  </si>
  <si>
    <t xml:space="preserve">En cumplimiento a la meta producto se ha realizado 21 mesas conjuntas de trabajo en 17 municipios del departamento 1 mesa de trabajo con el Ministerio de Medio ambiente, 1 mesa de trabajo con el juzgado de restitución de tierras y se ha hecho registro, seguimiento, control y asesoría en el cumplimiento de las ordenes emitidas dentro de los 166 procesos de restitución de tierras donde el departamento o sus entidades territoriales tiene ordenes judiciales por cumplir y apoyado a 20 municipios con procesos de restitución de tierras y actualización de rutas de cumplimiento judiciales logrando que las familias víctimas tengan mejorías con la informalidad en la tenencia de la tierra y en la estructura agraria inequitativa.Referente a asesorías, acompañamientos, estudios y análisis técnicos de los proyectos de generación de ingresos se han realizado el acompañamiento a 25 solicitudes. En 2021 se realizó una asistencia técnica a los 116 municipios beneficiando a 127 enlaces de víctimas y 15 asistencias provinciales de proceso para solicitud de generación de ingresos. Se realizo asesoría y acompañamiento en la formulación de proyectos de generación de ingresos en MGA para vincular en el banco de proyectos a 5 Municipios: Viota, Gutierrez, Pandi, Facatativa y Gachala. Los días 16 y 27 de abril y 6 y 14 de mayo de 2021 se asistio a las  mesas técnicas con la URT, la Procuraduría, la Defensoría del Pueblo y el Juzgado de restitución de tierras con la finalidad de revisar la estrategia y evento de la feria de servicios en los municipios de La Palma y Yacopí . se genero reporte de cumplimiento dentro de los procesos de restitución de tierras,  realizaron mesa de trabajo con el enlace municipal de víctimas del municipio Yacopí, donde se identificaron las posibles estrategias para socializar el protocolo ante la población víctima. Se realizorevisión, registro y traslado de los autos y sentencias notificadas al departamento de Cundinamarca provenientes de los juzgados de restitución de tierras, se  Realizo la revisión de los procesos de restitución de tierras donde los municipios han reportado que no han podido cumplir la orden de exoneración del pago del impuesto predial a causa de la falta de actualización por parte del IGAC o de notariado y registro. Se realizó una mesa de trabajo con la Unidad de Restitución de Tierras donde se revisó uno a uno los procesos, Se asistio a mesa de trabajo con la Agencias para la Paz y el Posconflicto de Cundinamarca para revisar el cumplimiento de las ordenes emitidas dentro de los procesos de justicia y paz, se brindo asesoría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Brinde asesoría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mesa técnica con la CAR, Gestión del Riesgo, Secretaría del Medio Ambiente y Gobierno para revisar los avances en el cumplimiento del proceso 2015-00015-00. mesa técnica convocada por la URT, el Juzgado de Restitución de Tierras, la Procuraduría, la Agencia Catastral de Cundinamarca y Dirección de Víctimas para revisar el avance en el cumplimiento de ordenes respecto de catastro. Convoque y realicé la primera sesión del  grupo interinstitucional para el seguimiento  cumplimiento de las ordenes judiciales emanadas de los procesos de restitución de tierras del departamento de Cundinamarca.  Comité Territorial de Justicia Transicional del municipio de La Palma. asesoría a los enlaces municipales de víctimas de Bituima y La Calera sobre el proceso y procedimiento que se debe adelantar para la exoneración del pago del impuesto predial de los predios restituidos.  Realice la revisiónen la plataforma de la rama judicial de los procesos de restitución de tierras donde los municipios han reportado imposibilidad en la exoneración del pago del impuesto predial de los procesos. </t>
  </si>
  <si>
    <t>Se brindó asistencia técnica a los 116 municipios con una asistencia de 127  enlaces municipales de víctimas para lo relacionado con los trámites del proceso de restitución de tierras y se realizó una capacitación de la ruta y la metodología para la presentación de proyectos de generación de ingresos con una asistencia de 97 enlaces. Se realizan asesorias y acompañamientos relacionados con la formulacion de proyectos de generacion de ingresos en MGA para vincular en el banco de proyectos a 5 municipios  a de Viota, Gutierrez, Pandi, Facatativa y Gachala.  Mesas técnicas con la URT, la Procuraduría, la Defensoría del Pueblo y el Juzgado de restitución de tierras con la finalidad de revisar la estrategia y evento de la feria de servicios en los municipios de La Palma y Yacopí donde se va a capacitar a la población sobre los proyectos de generación de ingresos. revisión, registro y traslado de los autos y sentencias notificadas al departamento de Cundinamarca provenientes de los juzgados de restitución de tierras, revisión de los procesos de restitución de tierras donde los municipios han reportado que no han podido cumplir la orden de exoneración del pago del impuesto predial a causa de la falta de actualización por parte del IGAC o de notariado y registro. Mesa de trabajo con la Agencias para la Paz y el Posconflicto de Cundinamarca para revisar el cumplimiento de las ordenes emitidas dentro de los procesos de justicia y paz. aAesoría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SeCONTRATO- Sonia Lizeth Lombana
RPC 4600006338 SONIA LIZETH LOMBANA AMORTEGUI. Se realizo mesa de trabajo con el enlace municipal de víctimas de Yacopí donde revisamos unos a unos los procesos de restitución de tierras donde se tienen pendientes por cumplir, Asistí a la mesa técnica con la CAR, Gestión del Riesgo, Secretaría del Medio Ambiente y Gobierno para revisar los avances en el cumplimiento del proceso 2015-00015-00.
Asistí a mesa técnica convocada por la URT, el Juzgado de Restitución de Tierras, la Procuraduría, la Agencia Catastral de Cundinamarca y Dirección de Víctimas para revisar el avance en el cumplimiento de ordenes respecto de catastro. Convoque y realicé la primera sesión del  grupo interinstitucional para el seguimiento  cumplimiento de las ordenes judiciales emanadas de los procesos de restitución de tierras del departamento de Cundinamarca. Asistí a la continuación del Comité Territorial de Justicia Transicional del municipio de La Palma. Brinde asesoría a los enlaces municipales de víctimas de Bituima y La Calera sobre el proceso y procedimiento que se debe adelantar para la exoneración del pago del impuesto predial de los predios restituidos.  Realice la revisiónen la plataforma de la rama judicial de los procesos de restitución de tierras donde los municipios han reportado imposibilidad en la exoneración del pago del impuesto predial, Municipios beneficiados La Palma, Yacopí, Quipile, Puerto Salgar, Bituima y Pacho. Se realizo solicitud de CDP Número 7100017788 por valor de $ 50.000.000 para el Municipio de Pulí dentro del Proyecto de generación de ingresos para familias victimas de la violencia, así mismo se solicicto RPC Número 4600007812 para el Municipio de Granada por valor de $ 32.000.000 con el fin de apoyar proyectos de generación de ingresos para familias victimas del conflicto armado.</t>
  </si>
  <si>
    <t>Durante la vigencia se ha realizado el reconocimiento y garantía frente a los escenarios de participación a las víctimas enmarcados en las disposiciones legales. Asimismo se realizó la conmemoración del día de la memoria y la solidaridad de las víctimas de conflicto armado, y se ha brindado apoyo, asistencia técnica, asesorías y capacitación a los 25 miembros de la mesa de participación. A su vez, se realizó rendición de cuentas en el marco del diálogo de más bienestar. Actualmente se están realizando compras de computadores y elementos de identificación a las víctimas representantes de la mesa.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Desde la Dirección de Atención Integral a Victimas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t>
  </si>
  <si>
    <t xml:space="preserve">Garantía de participación a víctimas </t>
  </si>
  <si>
    <t>Se ha avanzado en 3 asistencias técnicas a los miembros de la mesa departamental de víctimas. Se ha realizado el pago de tres resoluciones a los miembros de la mesa departamental de Participación efectiva de victimas.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Los beneficiarios son los 26 miembros de la Mesa Departamental de Participación Efectiva de Victimas, de acuerdo a la ley 1448 de 2011 y sus decretos reglamentarios. Desde la Dirección de Atención Integral a Victimas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 Se realizó convenio con los municipios de VILLETA y RICAURTE para la conmemoracion del dia de la memoria y solidaridad con las victimas. Los beneficiarios son los 26 miembros de la Mesa Departamental de Participación Efectiva de Victimas, de acuerdo a la ley 1448 de 2011 y sus decretos reglamentarios, se ejecutarón los contratos Número: SGO-CDCVI-309-2021 con el Municipio de Villeta por valor de $ 20.000.000 para la conmemoración del día de la memoría y solidaridad con las victimas y contrato Número SGO-CDCVI-310-2021 con el Municipio de Ricaurte por valor de $ 20.000.000 para la conmemoración del día de la memoría y solidaridad con las victimas, se realizo contrato Número SGO-CMC-270-2021 con Excellence Colombia SAS por valor de $ 4.000.000 para el Desarrollo de los requerimientos para la ejecucion del plan de trabajo de la Mesa Departamental. pago de la resolución Número 68 de 2021 por valor de $ 30.570.713 para los integrantes de la Mesa Departamental de Victimas.</t>
  </si>
  <si>
    <t xml:space="preserve">Se garantiza el cumplimiento de la política pública de discapacidad Ordenanza No. 0266 de 2015, garantizando el correcto funcionamiento de los comités municipales en pro de los derechos de la población en condición de discapacidad a través de la asistencia técnica. De acuerdo a las actividades del plan de trabajo, se cumplen los instrumentos que acrediten a las personas con discapacidad, mecanismos que prioricen acceso a la justicia de personas con discapacidad, se han facilitado espacios y dotación a personas con discapacidad, se han realizado acciones de rehabilitación integral, garantizando salud y cobertura a dichas personas, y a su vez, desde la secretaría de Gobierno como secretaría técnica de la política, se realizan los comités de discapacidad departamental y se realiza el acompañamiento y asistencia técnica a los consejos municipales de discapacidad. Asimismo, se han realizado jornadas de capacitación inclusión laboral para personas con discapacidad en el sector público. Actualmente se ajusta el plan de implementación de la política pública de discapacidad y se realizo el primer comite departamental de discapacidad. </t>
  </si>
  <si>
    <t>Asistencia Técnica</t>
  </si>
  <si>
    <t>Las asistencias técnicas que se realizaron en los tres primeros trimestres de 2021 ( corte 30 septiembre de 2021), llegaron a un total de 46 asistencias, 19 de forma presencial y 27 de forma virtual, incluyendo entidades departamentales y municipios. Para un total de 366 de personas asistidas, cuyo objetivo fue maximizar la calidad de la implementación de las Política Pública de Discapacidad ordenanza 0266/2015.  A la fecha, se ha realizado para la vigencia 2021, dos (2) Comités Departamentales de Discapacidad: para las fechas 8 de septiembre de 2021 y 14 de abril de 2021, convocadas por la Secretaría de Gobierno, en particular, Dirección de Convivencia, Justicia y Derechos Humanos. Al mismo tiempo, tuvo lugar la Mesa Técnica de Discapacidad Departamental  el día 9 de agosto de 2021.</t>
  </si>
  <si>
    <t>Entrega de la información solicitada a las diferentes secretarías, la emergencia sanitaria ocasionada por el covid-19.</t>
  </si>
  <si>
    <t>Primer plan integral de seguridad regional, articulando los planes integrales de seguridad y convivencia ciudadana departamental y del distrito capital beneficiando a 26 municipios frontera, el cual busca disminuir los 18 delitos de alto impacto.  Para cumplir con el avance del plan, se logran 2 componentes, la preparación y formulación y asistencia técnica. Dentro de los mismos, se realiza un documento técnico que integra el plan de seguridad regional, este mismo se articuló entre el PISCCJ Bogotá y PISCC Cundinamarca, los cuales hacen referencia a los Planes Integrales de Seguridad y Convivencia Ciudadana y en los mismos, se realiza un diagnóstico línea base de los municipios frontera con Bogotá. A su vez, se realizó asistencia técnica a los organismos de los 26 municipios frontera con Bogotá y se realizaron consejos de seguridad y comités regionales de seguridad, convivencia y justicia.  Se ha realizado el seguimiento a los 21 delitos de los 26 municipios, mes a mes así como mapeo de actores.
Dentro del plan de seguridad regional los equipos de trabajo analizaron los PISCC Departamental, Bogota y de cada uno de los Municipios frontera para organizar protocolos en conjunto con el Distrito, que garanticen la judialización efectiva y disminuir la inseguridad en la región Bogotá- Cundinamarca. Se realizó capacitación sobre la ley 399 de 2011 "Comites de Seguridad" para que lo desarrollen en cada uno de los municipios asignados. Adicionalmente de acuerdo con los avances en el documento y el trabajo articulado con los Municipios acogidos dentro del Plan regional, se ha proyectado el levantamiento de necesidades como insumo para la dotación en cumplimiento con la planeación presupuestal.   Los profesionales de apoyo han hecho presencia institucion, en los territorios asignados, con el fin de articular acciones con la instituciones de inteligencia en los siguientes municipios:  Cota, Chia, Tabio, Tenjo, Cajicá, Zipaquirá, Soacha, Sesquilé, La Calera, Tocancipá, Sopó,Mosquera, Chipaque, Choachí, Ubaque,Zipacón, Facatativa, Bojacá, Funza, Madrid, Subachoque,Fusagasugá, Granada, Pasca, Silvania, Sibaté.
Se diseño una matriz para que los profesionales de apoyo analicen los delitos de mayor impacto y frecuencia y establecer acciones con el distrito capital.
Se impartió una capacitación a coordinadores y equipo de apoyo sobre PISCC y Región Metropolitana, y cada profesional de apoyo viene analizando el PISCC, Departamental, Distrital y el del Municipio Asignado.
Se capacitó al equipo en los temas: Región Metropolitana, Observatorio de Seguridad, Agenda Metropolitana, Contenidos de Comunicación. Se solicitó por parte de la Gerencia para que allegue el avance del diagnostico.
Acompañamiento al comité de seguridad,  seguimiento a los delitos de mayor impacto, implementación del plan de seguridad regional, problemas frontera del Municipio La Calera.
Acompañamiento al comité de Seguridad y operativos en la localidad Ciudad Bolivar.
Se realizó capacitación sobre la ley 399 de 2011 "Comites de Seguridad" para que lo desarrollen en cada uno de los municipios asignados.  Se realizaron asistencias técnicas Asistencia técnica presencial/Virtual, seguimiento a los delitos de mayor impacto Meta 356, - Municipio de Tocancipa, Cajicá, Zipacón, La Calera, Alcaldía local de Chapinero, Sibaté, Alcaldía local de Kennedy, Soacha, Fusagasugá, Granada, Pasca, Cota, Tenjo, Mosquera
Se  envío a la Dirección, el primer borrador de documento de articulación entre el Pisccj Bogotá y Piscc Cundinamarca.</t>
  </si>
  <si>
    <t xml:space="preserve">Dentro del plan de seguridad regional los equipos de trabajo analizaron los PISCC Departamental, Bogota y de cada uno de los Municipios frontera para organizar protocolos en conjunto con el Distrito, que garanticen la judicialización efectiva y disminuir la inseguridad en la región Bogotá- Cundinamarca.  Se realizó capacitación sobre la ley 399 de 2011 "Comités de Seguridad" para que lo desarrollen en cada uno de los municipios asignados. Adicionalmente de acuerdo con los avances en el documento y el trabajo articulado con los Municipios acogidos dentro del Plan regional, se ha proyectado el levantamiento de necesidades como insumo para la dotación en cumplimiento con la planeación presupuestal.   Los profesionales de apoyo han hecho presencia institución, en los territorios asignados, con el fin de articular acciones con la instituciones de inteligencia en los siguientes municipios:  Cota, Chia, Tabio, Tenjo, Cajicá, Zipaquirá, Soacha, Sesquilé, La Calera, Tocancipá, Sopó, Mosquera, Chipaque, Choachí, Ubaque, Zipacón, Facatativá, Bojacá, Funza, Madrid, Subachoque, Fusagasugá, Granada, Pasca, Silvania, Sibaté y la alcaldía local Ciudad Bolivar.
Se diseño una matriz para que los profesionales de apoyo analicen los delitos de mayor impacto y frecuencia y establecer acciones con el distrito capital.
Se impartió una capacitación a coordinadores y equipo de apoyo sobre PISCC y Región Metropolitana, y cada profesional de apoyo viene analizando el PISCC, Departamental, Distrital y el del Municipio Asignado.Dentro de la planeación presupuestal de la Secretaría de Gobierno se encuentra el rubro presupuestal 5/356/CC Implementar plan de seguridad regional, con una apropiación presupuestal a 30 de septiembre de 2021   de $1.200.000.000 y un saldo de apropiación por valor de $ 10.352.684
Durante el periodo se realizó entrega del segundo avance del documento técnico de articulación de los sistemas de inteligencia de los organismos de seguridad y justicia que operan en la región, realizaron presencia institucional, en los territorios asignados, con el propósito de adelantar el documento en mención.                                                              
Se realizó reunión con el Comité de Integración Territorial - CIT y y se trató el tema de la articulación de sistemas de inteligencia, entrega del segundo avance del documento técnico de los protocolos conjuntos para garantizar la judicialización efectiva y disminuir la inseguridad en la región Bogotá-Cundinamarca.                                         
Se entregó el segundo avance del documento técnico de articulación entre el PISCCJ Bogotá y PISCC Cundinamarca para beneficiar la región con las instituciones participes, al igual del documento de técnico que integra el plan de seguridad regional.                                                                                                                         
Se llevaron a cabo reuniones con la Secretaría de Seguridad, Convivencia y Justicia, del Distrito en donde se abordó el programa, Región Corazón, en el que se contempla la realización de Consejos de Seguridad Regional.   Se participó en el Comité de Integración Territorial (CIT), mesa preparatoria para un encuentro regional, el grupo de trabajo participó en Consejo de Seguridad Especial para Soacha en el mes de septiembre.  Participación en los consejos de seguridad en el Municipio de Subachoque y La Calera.            
Se brindaron 6 asistencias técnicas presenciales en los municipios de Sibaté, Mosquera, Facatativá y Choachí donde se trataron temas de acciones de mitigación a los delitos de mayor impacto, lesiones personales, violencia intrafamiliar y implementación del plan de defensa de los recursos naturales e infraestructura energética, plan de riesgo escalonado, y activos estratégicos.
Se capacitó al equipo en los temas: Región Metropolitana, Observatorio de Seguridad, Agenda Metropolitana, Contenidos de Comunicación. Se solicitó por parte de la Gerencia para que allegue el avance del diagnóstico. Brindaron acompañamiento al comité de seguridad, seguimiento a los delitos de mayor impacto, implementación del plan de seguridad regional, problemas frontera del Municipio La Calera y la localidad Ciudad Bolívar.
Se realizaron asistencias técnicas Asistencia técnica presencial/Virtual, seguimiento a los delitos de mayor impacto en los municipios frontera para la Meta 356, - Municipio de Tocancipa, Cajicá, Zipacón, La Calera, Alcaldía local de Chapinero, Sibaté, Alcaldía local de Kennedy, Soacha, Fusagasugá, Granada, Pasca, Cota, Tenjo, Mosquera
Se impartió capacitación a coordinadores y equipo de apoyo sobre PISCC Departamental y Distrital.  Se cuenta con un documento borrador base de articulación, Bogotá-Cundinamarca.                                                                 
Se capacitó al equipo de trabajo en los temas: plan de trabajo, cifras de delitos, región Metropolitana, plan de seguridad, región corazón, marco normativo, plan de asistencia técnica.                                                                 
Acompañamiento a los consejos de seguridad, seguimiento a los delitos de mayor impacto, acompañamiento a operativos, implementación del plan de seguridad regional en las localidades de Tunjuelito, Usaquén, Santafé y en el municipio de Sibaté. 
Para el periodo de 30 de Octubre Los contratistas de apoyo, entregan el tercer desarrollo del documento técnico de articulación de los sistemas de inteligencia de los organismos de seguridad y justicia que operan en la región. Se realizó mesas de trabajo con los contratistas de la meta para el desarrollo de la actividades propuestas.
Los contratistas, entregan el tercer avance del documento técnico de los protocolos conjuntos para garantizar la judicialización efectiva y disminuir la inseguridad en la región Bogotá-Cundinamarca.     Así mismo hicieron presencia institucional, en los territorios asignados, con el propósito de adelantar el documento en mención.
Los contratistas entregan el tercer avance del documento técnico de articulación entre el PISCCJ Bogotá y PISCC Cundinamarca para beneficiar la región.                                                                                                                Así mismo hicieron presencia institucional, en los territorios asignados, con el propósito de adelantar el documento en mención.
Los contratistas encargados entregaron el tercer avance del documento de técnico que integra el plan de seguridad regional.  Así mismo hicieron presencia institucional, en los territorios asignados, con el propósito de adelantar el documento en mención.   Actividades realizadas:  Por parte de la Gerencia, se orientó al equipo de trabajo, en la elaboración de los documentos técnicos, a través de reuniones grupales y mesas de trabajo presenciales en la Secretaría  de Gobierno.
Para el día 20 de  Octubre se llevó a cabo reunió con la Secretaría de Seguridad, Convivencia y Justicia, del Distrito en donde se abordó el programa, Región Corazón, en el que se contempla la realización de  Consejos de Seguridad Regional.   Se participó en el Comité de Integración Territorial (CIT),  mesa preparatoria  para un encuentro regional.                                                                                                                                                                                                                    Por parte de los profesionales de apoyo, participaron en los consejos de seguridad en el Municipio de Fusagasugá y Pasca el día 25 de Octubre.       
Se realizaron 9 asistencias técnicas presenciales en los   delitos de mayor impacto, violencia intrafamiliar, violencia juvenil, violencia sexual en los municipios de Sabana Centro, Sibaté, Cota, Soacha,  en la comuna 2,  Fusagasugá, Pasca, Soacha. Corregimiento 1, Comuna 2.                                  </t>
  </si>
  <si>
    <t>Se inicia el diagnóstico del plan de defensa estratégica de recursos naturales e  infraestructura energética desde una perspectiva regional. Se plantean acciones de las mismas dentro del Plan Integral de Seguridad y Convivencia Ciudadana. Adicional a ello se generó el documento técnico que integre el plan de defensa estratégica de recursos naturales y de infraestructura energética en Bogotá y Cundinamarca.
 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realizó capacitación sobre  el plan de defensa estratégica de los recursos naturales y de estructura energética entre Bogotá y Cundinamarca.
Presentación del equipo de trabajo, para el seguimiento del plan de defensa de los recusos naturales y de infraestructura energetica. Solicitud de información de activos estrategicos. Meta 357, en los Municipios de Tocancipá, Sesquilé, Tenjo, Fusa, Granadas, Pasca, Funza, Zipacón, Bojacá, Madrid, Mosquera, Chipaque
Se vienen adelantando las gestiones con las autoridades de las localidades, borde, con el proposito de articular acciones con el Distrito, para implementar el plan de defensa estrategica de recursos naturales e infraestructura energetica.</t>
  </si>
  <si>
    <t xml:space="preserve"> 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realizó capacitación sobre  el plan de defensa estratégica de los recursos naturales y de estructura energética entre Bogotá y Cundinamarca. 
Presentación del equipo de trabajo, para el seguimiento del plan de defensa de los recusos naturales y de infraestructura energetica. Solicitud de información de activos estrategicos. Meta 357, en los Municipios de Tocancipá, Sesquilé, Tenjo, Fusa, Granadas, Pasca, Funza, Zipacón, Bojacá, Madrid, Mosquera, Chipaque 
Se vienen adelantando las gestiones con las autoridades de las localidades, borde, con el proposito de articular acciones con el Distrito, para implementar el plan de defensa estrategica de recursos naturales e infraestructura energetica.</t>
  </si>
  <si>
    <t xml:space="preserve">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viene adelantando la capacitación sobre el plan de defensa estratégica de los recursos naturales y de estructura energética entre Bogotá y Cundinamarca.
Se está en el análisis del Plan de Riesgo Departamental y Distrital, donde se establecen acciones y programas generales para atender los fenómenos naturales que se presentan en los municipios borde con Bogotá. En la actualidad se encuentra en construcción el documento con la información relativa a los activos estratégicos.
Dentro del componente de Planeación financiera se encuentra la dotación a la fuerza pública y/o organismos judiciales para implementar el plan de defensa estratégica de recursos naturales al igual que se vienen adelantando las gestiones con las autoridades de las localidades borde con el propósito de articular acciones con el Distrito, para implementar el plan de defensa estratégica de recursos naturales e infraestructura energética.
Se realiza entrega del segundo avance del documento técnico del plan de defensa estratégica de los recursos naturales y de estructura energética entre Bogotá y Cundinamarca; al igual se realizó de la segunda entrega del  documento técnico del Plan de Riesgo escalonado y se adelantó presencia institucional, en los territorios asignados se adelantaron mesas de trabajo para el desarrollo del documento técnico con el equipo de trabajo designado
Se cumplió con la segunda entrega del documento técnico de los activos estratégico al igual que se llevó a cabo reunión con el Comité de Integración Territorial - CIT y dentro de los temas a trataron fueron la mesa preparatoria de seguridad, convivencia y justicia, para definir los lineamientos en la protección de activos estratégicos.
Dentro del componente de Planeación financiera se encuentra la dotación a la fuerza pública y/o organismos judiciales para implementar el plan de defensa estratégica de recursos naturales, con una apropiación presupuestal a 30 de septiembre de 2021 de $800.000.000.
Para el periodo hasta el 31 de Octubre del 2021, Los contratistas encargados realizaron entregan del tercer avance del  documento técnico  del plan de defensa estratégica de los recursos naturales y de estructura energética entre Bogotá y Cundinamarca.  Hicieron presencia institucional, en los territorios asignados, con el proposito de adelantar el documento en mención.  Actividades realizadas:  Por parte de la Gerencia, se orientó al equipo de trabajo,en la elaboración de los documentos técnicos,  a traves de reuniones grupales y mesas de trabajo presenciales en la Secretaría  de Gobierno
Los contratistas realizan la tercera entrega del documento técnico del Plan de Riesgo escalonado, Así mismo hicieron presencia institucional, en los territorios asignados, con el propósito de adelantar el documento en mención. Actividades realizadas:  Por parte de la Gerencia, se orientó al equipo de trabajo, en la elaboración de los documentos técnicos a traves de reuniones grupales y mesas de trabajo presenciales en la Secretaría  de Gobierno.                 
Los  contratistas realizaron tercera entrega del documento técnico de los activos estratégicos, se llevó a cabo una reunión con el Comité de Integración Territorial - CIT y dentro de los temas a tratar, se encuentra la mesa preparatoria de seguridad,  convivencia y justicia,  para definir los lineamientos en la protección de activos estratégicos.
Dentro del componente de Planeación financiera se encuentra la dotación a la fuerza pública y/o organismos judiciales para implementar el plan de defensa estratégica de recursos naturales, con una apropociacion  presupuestal a 30 de octubre de 2021   de $852.700.000, CDP, por valor de $ 640.046.090, y RPC, por valor de $ 206.955.158.
Se llevó a cabo reunión con la Secretaría de Seguridad, Convivencia y Justicia, del Distrito, cuyo delegados para el tema de infraestructura vital son el Doctor Gonzalo Rojas, la Doctora Liliana Mesias, Freddy Forero,  Juan Garcia, Daniel Londoño y la Doctora Leidy Garzón, de la Secretaría de Integración Regional,  con la participación de  la Ingeniera Erika Pastor, coordinadora de la meta 357,  se trató el tema de la protección de activos estratégicos, plan de defensa de los recursos naturales e infraestructura energética. 
Se llevó a cabo reunión con el Comité de Integración Territorial - CIT y se trató el tema de la protección de activos estratégicos, plan de defensa de los recursos naturales e infraestructura energética.  Se agendó reunión con la secretaría de seguridad, convivencia y justicia para tratar los temas de Infraestructura Vital.                                                                                                                                                                                                                         </t>
  </si>
  <si>
    <t>1.443 predios en proceso por sesión a título gratuito y 283 declaratoria de titularidad logrando formalizar la propiedad de aquellos predios baldíos y fiscales en eventos como la falsa tradición, ocupación y posesión, estimulando el desarrollo urbano y rural, mejorar la calidad de vida de los ocupantes y poseedores de los predios convirtiendo en patrimonio los predios que ocupan los municipios y los particulares, desarrollando un mercado inmobiliario con seguridad jurídica que funcione en forma abierta, ágil y transparente. Mediante las 300 asistencias técnicas en la formalización de la propiedad de predios baldíos y fiscales, en los 116 municipios del departamento de Cundinamarca, se ha logrado en esta primera etapa de 2020 concientizar y adquirir la cultura por parte de los 538 funcionarios de las administraciones municipales y comunidad cundinamarquesa, de la importancia de la legalización de la titulación de los predios que ocupan. Con lo anterior, se logra en proceso de formalización de predios 1.428 por cesión a título gratuito y 283 por declaratoria. Así mismo, se logró llevar a cabo alianzas estratégicas de apoyo técnico, logístico y humano, con entidades públicas actoras del proceso, como la Superintendencia de Notariado y Registro (SNR), Agencia Nacional de Tierras, Ministerio de Vivienda, Ciudad y Territorio, Instituto Geográfico Agustín Codazzi (IGAC), Secretarías de Educación y Agricultura, y el Instituto Departamental de Acción Comunal (IDACO), todo para el beneficio de la comunidad en su legalización de predios. Para 2021, se llevan 1.111 asistencias técnicas, beneficiando 109 municipios, y se ha logrado la titulación de 41 predios de uso institucional en los municipios de Chipaque (16), El  Colegio (19), Nocaima (05) y Simijacá (01)</t>
  </si>
  <si>
    <t>Se han realizado 1,111 asistencias técnicas y jurídicas entre Enero y  Octubre de 2021 , para la formalización de la propiedad de predios baldíos y fiscales (área urbana y rural) en 109 municipios del departamento de Cundinamarca, en cumplimiento de la meta producto 383 del PDD para la vigencia 2021. Así  mismo, un logro acumulado de 41 predios de uso institucional debidamente saneados y formalizados entre las vigencias de 2020 y 2021.</t>
  </si>
  <si>
    <t>Falta de recurso humano, técnico, logístíco, ecónómico, voluntad política por parte de los municipios y la pandemia del COVID 19,  han dificultado en la vigencia de 2021 que la meta producto 383 del PDD secumpla en el 100% para la formalización de la propiedad de predios baldíos y fiscales en los municipios del departamento de Cundinamarca (Área urbana y rural).</t>
  </si>
  <si>
    <t>Dificultad para la realización de reuniones en sitios cerrados, recurso tecnológico deficiente para realizar las actividades programadas, dificultad de acceso a zonas alejadas por cierres de algunos municipios.</t>
  </si>
  <si>
    <t>Mediante sesión del 24 de marzo de 2020 la junta Departamental de Bomberos de Cundinamarca se reunió de manera virtual y por unanimidad se aprobó que los recursos fueran trasladados a la Unidad Administrativa Especial para la Gestión del Riesgo de Cundinamarca en razón a la emergencia sanitaria COVID-19,  por un valor de $502.140.090; los cuales mediante el Decreto Departamental numero 212 del 24 de abril de 2020 se autorizo el traslado presupuestal.
Para los fines legales pertinentes se anexa copia del acta de junta Departamental de bomberos y el decreto que autoriza el traslado presupuestal.
Se realizó la inscripcion de dignatarios cbv:  gachala, mosquera, gacheta ,suesca, zipaquira, guasca, tenjo, paratebueno,viota , anolaima, simijaca, san juan de rioseco. Se Realizó la arobacion de estatutos cbv: suesca,zipaquira, guasca, tenjo,  Paratebueno , simijaca, Quebradanegra.
Se realizó la creacion de cuerpos de bomberos voluntarios: viota,suesca personeria definitiva , paratebueno personeria definitiva. Se realizó la inscripcion de revisor fiscal gachala,mosquera , gacheta , suesca, guasca,tenjo, paratebueno,viota
Anolaima, simijaca, san juan de rioseco. Se realizó proceso administrativos sancionatorios cbv : ricarte, puli, sibate, cota.
Se realizó la inscripcion de dignatarios cbv:  gachala, mosquera, gacheta ,suesca, zipaquira, guasca, tenjo, paratebueno,viota , anolaima, simijaca, san juan de rioseco, fusagasugá, guayabetal, chía, arbelaez  y chocontá
Se realizó la aprobacion de estatutos cbv: suesca,zipaquira, guasca, tenjo, paratebueno , simijaca.
Se realizó la creacion de cuerpos de bomberos voluntarios: viota,suesca personeria definitiva , paratebueno personeria definitiva.
Se realizó la inscripcion de revisor fiscal gachala,mosquera , gacheta , suesca, guasca,tenjo, paratebueno,viota, anolaima, simijaca, san juan de rioseco.
Se realizó proceso administrativos sancionatorios cbv : ricarte, puli, sibate, cota.
Se realizó informe de condiciones de operatividad en: nocaima, sopó
Se realizó informe de inspección y vigilancia al cuerpo de bomberos voluntarios en: san juan de rioseco, tocancipá
Se realizó seguimiento al plan de mejoramiento cuerpo de bomberos voluntarios de: ricaurte
Se realizó proceso de verificación de condiciones técnicas, operativas, legales, administrativas y financieras del cuerpo de bomberos voluntarios de: zipaquirá.
Solicitud predio bomberos:  respuesta al cbv de utica;  procedimientos y listas de chequeo para el suit función publica gobernación de Cundinamarca:  se elaboran listas de chequeo y procedimientos para los trámites administrativos de los cbv del departamento de Cundinamarca- gestion de calidad.
Apoyo contestación tutela Carlos Julio Rincón : se apoya al doctor Eduardo Ordoñez para contestar tutela adjuntando soportes documentales.
Convocatoria coordinador ejecutivo de bomberos se realiza la convocatoria para recepcionar hojas de vida y se publica. 
certificaciones de cuerpos de bomberos voluntarios: Paratebueno, Guayabetal.</t>
  </si>
  <si>
    <t xml:space="preserve">Se Realizó La Inscripción De Dignatarios Cbv:  Gachalá, Mosquera, Gacheta, Suesca, Zipaquirá, Guasca, Tenjo, Paratebueno, Viotá, Anolaima, Simijaca, San Juan De Rioseco, Tocancipá. Se Realizó La Aprobación De Estatutos Cbv: Suesca, Zipaquirá, Guasca, Tenjo, Paratebueno, Simijaca, Quebrada negra.
Se realizó la creación de cuerpos de bomberos voluntarios: Viotá, Suesca Personería Definitiva, Paratebueno Personería Definitiva. Se Realizó La Inscripción De Revisor Fiscal Gáchala, Mosquera, Gacheta , Suesca, Guasca, Tenjo, Paratebueno ,Viotá ,Anolaima, Simijaca, san juan de Rioseco.
Se realizó procesos administrativos sancionatorios Cbv: Ricaurte, pulí, Sibaté, cota. Se realizó la inscripción de dignatarios Cbv:  Gachalá, Mosquera, Gacheta, Suesca, Zipaquirá, Guasca, Tenjo, Paratebueno, Viotá, Anolaima, Simijaca, San Juan De Rioseco, Fusagasugá, Guayabetal, Chía, Arbeláez, Chocontá y Sibaté. Se realizó la aprobación de estatutos Cbv: Suesca, Zipaquirá, Guasca, Tenjo, Paratebueno, Simijaca. Se realizó la creación de cuerpos de bomberos voluntarios: Viotá, Suesca Personería Definitiva, Paratebueno Personería Definitiva, Pasca Y Tibirita. Se realizó la inscripción de revisor fiscal Gachalá, Mosquera, Gacheta, Suesca, Guasca, Tenjo, Paratebueno, Viotá, Anolaima, Simijaca, San Juan De Rioseco. Se realizó procesos administrativos sancionatorios Cbv: Ricarte, Pulí, Sibaté, Cota. Se realizó informe de condiciones de operatividad en: Nocaima, sopó
Se realizó informe de inspección y vigilancia al cuerpo de bomberos voluntarios en: san juan de Rioseco, Tocancipá. Se realizó seguimiento al plan de mejoramiento cuerpo de bomberos voluntarios de: Ricaurte Se realizó proceso de verificación de condiciones técnicas, operativas, legales, administrativas y financieras del cuerpo de bomberos voluntarios de: Zipaquirá.
Solicitud predio bomberos:  respuesta al Cbv de utica; procedimientos y listas de chequeo para el suit función pública gobernación de Cundinamarca:  se elaboran listas de chequeo y procedimientos para los trámites administrativos de los Cbv del departamento de Cundinamarca- gestión de calidad.
Apoyo contestación tutela Carlos Julio Rincón: se apoya al doctor Eduardo Ordoñez para contestar tutela adjuntando soportes documentales.
Convocatoria coordinador ejecutivo de bomberos se realiza la convocatoria para recepcionar hojas de vida y se publica. 
Certificaciones de cuerpos de bomberos voluntarios: Paratebueno, Guayabetal.
Proceso Administrativos Sancionatorio: 2020-004:  auto 010 de 2021 cierre etapa probatoria, comunicaciones, traslado alegatos de conclusión; 2020-003: auto 009 de 2021 auto decreta cierre de averiguación preliminar 2020-001. se reciben alegados de conclusión, se elaboran comunicaciones, PARA FALLO EN PRIMERA INSTACIA 2020-001
Respuesta derechos de petición veeduría bomberil, respuesta Señor Carlos Julio Rincón Creación De Cuerpos De Bomberos: se resuelve la petición de la alcaldía de Tena.
Capacitación Virtual:  Alcaldía de Zipaquirá tema sobretasa bomberil; Alcaldía de Supatá tema Reactivación CBV de Supatá;
DNBC temas de Competencia de las Secretarias de Gobierno Departamentales  Inscripción De Dignatarios Cbv:  Sibaté
Certificaciones De Cuerpos De Bomberos Voluntarios: Ricaurte.        Respuesta Solicitud Certificación Cbv San Bernardo;  Proceso Administrativo fallo proceso 2020-001 en contra Cbv Ricaurte Respuesta Solicitud Copia De La Personería Jurídica Cbv De Chipaque; Aprobación De Reforma De Estatutos E Inscripción De Dignatarios Cbv La Mesa; Fallo Proceso 2020-004 En Contra Cbv Cota; Respuesta Solicitud De Copias Actas Elección De Dignatarios Cbv Cogua;
Remisión Por Competencia A La Dnbc Quejas De La Alcaldía De Nilo; Se Formulan Cargos Dentro Del Proceso 2020-003 En Contra Cbv Sibate; Certificación Personería Jurídica Cbv De Agua De Dios; Respuesta Cambio De Dignatarios Cbv San Cayetano Se Expidió Circular Departamental Recordando La Inscripción De Los Revisores Fiscales De Los Cbv Por Periodos Anuales. 
 Para el periodo hasta el 31 de octubre se realizó respuesta solicitud certificación cbv tenjo; se realizó constancia de ejecutoria resolución 57 del 06 de septiembre de 2021 proceso administrativo sancionatorio 2020-001 en contra cbv ricaurte; constancia ejecutoria resolución 64 del 13 de septiembre de 2021 proceso administrativo sancionatorio 2020-004 en contra cbv cota; respuesta derecho de petición solicitado por la personería municipal de cota - información en estado de operatividad cbv de cota; solicitud de ejecución sobretasa bomberil cbv de sopo; notificación por aviso auto 011 del 20 de septiembre de 2021  auto de formulación de cargos proceso administrativo sancionatorio 2020-003 en contra cbv de Sibaté; respuesta al cbv de Pandí sobre inscripción de revisor fiscal; se proyecta ayuda memoria junta departamental de bomberos de Cundinamarca,  revisión jurídica a las hojas de vida presentadas para el cargo de coordinador ejecutivo de bomberos; respuestas a las hojas de vida presentadas para el cargo de coordinador ejecutivo de bomberos; remisión por competencia petición hecha al cbv de chia.                                                                                                                                                                            </t>
  </si>
  <si>
    <t>Se realiza adición para continuar con la construcción de la casa de Gobierno del municipio de Nimaima, la cual inició desde el periodo de gobierno anterior. Se realiza dotación al municipio de San Juan de Rioseco</t>
  </si>
  <si>
    <t xml:space="preserve">Se ha realizado la revisión de los proyectos presentados a través de la plataforma bizagi para la confinanciación de casas de gobierno de los municipios de San bernardo, el Peñón, Silvania, Guachetá, Jerusalen, Girardot, Caparrapí, Tabio, Gama. Se realizó la dotación del municipio de San Juan de Rioseco al concejo municipal por un valor de $30.500.000 </t>
  </si>
  <si>
    <t>Cundinamarca llega al cuarto puesto del departamento con el mejor puntaje en la Política de Participación Ciudadana en la Gestión Pública a través de: Garantizar la apropiación de conocimientos y fortalecer de las capacidades de gestión a través de la asistencia técnica de mecanismos de participación, instancias de participación, veedurías ciudadanas y socialización de la política pública a los 116 municipios con 1.763 beneficiados. Posicionamiento del departamento de Cundinamarca entre los mejores a nivel nacional en las iniciativas de participación ciudadana.  premio de “Colombia Participa 2020” Nominados entre los 3 finalistas al premio “Colombia Participa 2020” del Ministerio del Interior Categoría Gobernación. Posicionamiento de los espacios de participación del departamento a través de 2 ferias de servicios realizadas en la provincia de Sumapaz y Tequendama con la presencia de más de 110 asistentes. Fortalecimiento de la participación ciudadana a través del diseño y formulación del Modelo estándar de presupuestos participativos. Creación, instalación y posesión del Consejo Departamental de Participación Ciudadana según decreto 010 de 2018. Acompañamiento técnico, humano y financiero a las elecciones atípicas del municipio de Sutatausa. Con la aplicación CUNCEJAPP se garantiza el acceso a 1.178 concejales y 257 ediles  del departamento con noticias, información de interés en la gestión pública, así como la creación de redes para el intercambio de información relevante.                                                                                                                                                                                                                                                                        Para el periodo 2021, Socialización de la política pública de participación ciudadana en los 116 municipios del Departamento de manera virtual, haciendo sen participes alcaldes, secretarios de gobierno, personeros y concejales de los municipios. Socialización de manera presencial en las provincias del Sumapaz, Tequendama, Gualivá, Bajo Magdalena, Rio Negro y Sabana Centro en todo lo que tiene que ver con los mecanismos de participación dando alcance a 800 personas. Actualización de la aplicación de Cuncejapp y contratación del personal que van a realizar las asesorías y acompañamientos a los concejales a través de la aplicación. Actualización de las bases de datos de los concejales y ediles del Departamento. Asistencias técnicas en tema de veeduría ciudadana. Reunión del primer comité de procesos electorales para la preparación de las próximas elecciones de Senado y Cámara. Alianza estratégica entre el departamento (Secretaría de Gobierno) con la Esap y Fenacon para llevar a cabo diplomado de participación ciudadana. Adelantos en diplomado conjunto con IDACO para los comunales de Departamento. Se han realizado cuatro ferias de servicios para fortalecer la participación ciudadana, contando con la participación de la Contraloría, Registraduría, Feacon y la Esap. Alianza estratégica con la oficina de participación ciudadana del Distrito para apoyar la construcción de un sistema Departamental de participación ciudadana. Diseño y envió del manual de funcionamiento del aplicativo Cuncejapp a personas interesadas en el Departamento de Cundinamarca. Actualización del micrositio en la página de la secretaría de Gobierno. Convocatoria y realización de la primera sesión del Consejo Departamental de Participación Ciudadana para iniciar trabajo con cada una de las mesas creadas en dicho órgano llegando a los 116 municipios del Departamento. Creación del grupo de trabajo que adelantará acciones en cuanto a la elección de Concejos Municipales de Juventud llegando a los 116 municipios del Departamento. Convocatoria a la mesa técnica de seguimiento a indicadores con el fin de acompañar la primera sesión del Consejo Departamental de Participación Ciudadana para continuar con la implementación de la Política Publica de Participación Ciudadana. Establecer las metas relacionadas con la implementación de la política publica de participación ciudadana con las demás secretarías de la gobernación. Adelanto de la creación del grupo de trabajo para la realización de la encuesta bienal sobre participación ciudadana. Adelantó el proceso para la creación del plan de Medios. Adelanto de la construcción del sistema Departamental de Participación Ciudadana. Adelanto de gestiones con la secretaría de las TICS para solicitud de acompañamiento a la creación de la plataforma WEB y la aplicación móvil PARTICIPAAP.                                                                                                                                                                                                                                                                                                                           Capacitación a (Diplomado) a 457 concejales, personeros y ediles del departamento. La fundación Solidaridad por Colombia realiza la socialización de la política publica de participación ciudadana. Revisión del plan de medios. La dirección de asuntos municipales esta al frente de encuesta bienal 2021 en el Departamento, organizando todo lo referente a la misma y realizo un borrador de la encuesta para el plan piloto. Se resuelven las solicitudes recibidas a través de la aplicación cuncejapp.</t>
  </si>
  <si>
    <t xml:space="preserve">Se inició la elaboración y divulgación del plan de medios de la participación ciudadana a través de cronograma provincial de la política pública. Adicional a ello se brindó asistencia técnica presencial a los municipios de la Peña y San Francisco a solicitud de los mismos, para revisar temas relacionados con veedurías ciudadanas. Se actualiza la aplicación Cuncejapp y se lleva a cabo la contratación del personal que va a realizar las asesorías y acompañamiento a los concejales a través de la aplicación, se adelanta la actualización de bases de datos de los concejos y ediles del Departamento. Se socializó La PPPC en cuatro provincias, las cuales son: Gualivá, Bajo Magdalena, Rio negro y sabana centro para un total de 4 socializaciones a 34 municipios. Se brindo asistencia técnica y acompañamiento a los municipios:  puerto salgar y La Peña y San Francisco, especialmente en veedurías ciudadanas. Se realizo el primer comité de procesos electorales para la preparación de las próximas elecciones de senado y cámara. Se realizo una alianza estratégica entre el departamento (secretaria de Gobierno) ESAP y FENACON con el fin de aunar esfuerzos y llevar a cabo el diplomado en participación ciudadana para toda la población que lo quiera adquirir, con el fin de fortalecer la participación ciudadana. Se adelantó un diplomado en conjunto con IDACO para fortalecer a los comunales del departamento.
Se llevaron a cabo 4 ferias de servicios para fortalecer la participación ciudadana en la cual contamos con la participación de la contraloría, Registraduría, Feancon y la ESAP - se realizó el acompañamiento al municipio de San Francisco en la socialización del proyecto 009 de 2020 que se aplicó en esta vigencia. Se adelanto alianza estratégica con la oficina de participación ciudadana del distrito para apoyar la construcción de un sistema departamental de participación ciudadana. Se realizó asistencia técnica incentivando a los municipios para la creación y dotación de las oficinas de participación ciudadana o crear un coordinador municipal de la misma. Para socializar la información con la comunidad en eventos como las rendiciones de cuentas se elaboró requerimiento dirigido a la secretaría de las TIC's solicitando la funcionalidad del aplicativo y pagina web Participapp.
Se inició la elaboración y divulgación del plan de medios de la participación ciudadana a través de cronograma provincial de la política pública. Se actualiza la aplicación Cuncejapp y se lleva a cabo la contratación del personal que va a realizar las asesorías y acompañamiento a los concejales a través de la aplicación. Se diseñó y envió el manual de funcionamiento del aplicativo Cuncejapp a cada uno de los miembros del grupo de trabajo y personas interesadas en el Departamento de Cundinamarca. Adicional se adelantó la actualización del micrositio en la página de la secretaria de Gobierno y se adelanta la actualización de bases de datos de los concejos y ediles del departamento. Se convocó y realizó la primera sesión del Consejo Departamental de Participación Ciudadana con el fin de iniciar el trabajo en cada una de las mesas creadas en dicho órgano llegando a los 116 municipios del Departamento. Se creó el grupo de trabajo que adelantara las acciones en cuanto a la elección de Concejos Municipales de juventud, logrando llegar a los 116 municipios. Se definieron actividades con el asesor a cargo del proceso de la puesta marcha del aplicativo participapp.
Se realizó contratación de profesional en comunicación social para proyectar el plan de medios de participación ciudadana para llegar a los 116 municipios del Departamento. Se realizó asistencia técnica a los municipios con el fin de fundamentar la necesidad de la creación de oficinas municipales que se dediquen a fomentar la participación ciudadana. Se convocó la mesa técnica de seguimiento a indicadores con el fin de acompañar la primera sesión del Consejo Departamental de Participación Ciudadana y continuar en el trabajo de la implementación de la Política Pública de Participación Ciudadana en el Departamento.
Se establecieron las metas relacionadas con la implementación de la política pública de participación ciudadana con las demás secretarias de la Gobernación con el fin de articular el trabajo con los enlaces de cada una de las secretarías. Se adelanto la creación del grupo de trabajo para la realización de la encuesta bienal sobre participación ciudadana en el departamento. Se creó el grupo de trabajo que adelantara las acciones en cuanto a la elección de Concejos Municipales de juventud. Se adelanto la creación del plan de medios.
Se adelanto la construcción del sistema departamental de participación ciudadana. se dio tramite a las solicitudes hechas a través de la aplicación Cuncejapp. 3 de manera telefónica y 11 por medio de WhatsApp. socialización PP participación ciudadana provincias de medina, oriente y alto Magdalena, beneficiando a 20 municipios. socialización elección consejos municipales de juventud, contando con la asistencia de 20 municipios. Se adelanto la creación del plan de medios con el que se busca llegar a los 116 municipios del departamento. Se adelanto la construcción del sistema departamental de participación ciudadana. Se realizó asistencia técnica a 20 municipios con el fin de comunicar y motivar sobre la importancia de la creación y dotación de las oficinas de participación ciudadana, o crear un coordinador municipal de la misma.                                                                                                                                                                                                                                                                                                                             
Se dio tramite a las solicitudes recibidas en el aplicativo cuncejapp. Se realizó seguimiento a la creación de consejos territoriales de planeación en los 116 municipios del Departamento. Se adelanto convenio interinstitucional para realizar la encuesta bianual sobre participación ciudadana. Se realizó sesión del comité para la coordinación y seguimiento de los procesos electorales de Cundinamarca con el fin de rendir informe sobre actualización del calendario electoral e informe de inscripción de listas a elección de consejo municipal y local de juventud. Se dio inicio al Diplomado para capacitar a 457 (concejales, personeros y ediles) del departamento. Se gestionó apoyo económico para la movilidad de los ediles del Departamento al Congreso Nacional de ediles que llevara cabo del 7 al 10 de octubre en Riohacha, se realizó entrega de carnets a los ediles del Departamento. Entrega plan de medios para revisión y socialización.                                                                                                                                                            Se esta llevando a cabo el Diplomado a 457 concejales, personeros y ediles del departamento. A través de la fundación Solidaridad por Colombia se han llevado a cabo socialización de la política publica de participación ciudadana. EL plan de medios se entregó y esta en revisión. La dirección de asuntos municipales  organizo el equipo de trabajo que llevara a cabo la encuesta bienal 2021 en el Departamento, con ello realizo un borrador de la encuesta para el plan piloto. Se dio tramite a las solicitudes realizadas por los municipios a través de la aplicación cuncejapp.                                                                                             </t>
  </si>
  <si>
    <t>Se realizó la contratación de personal para iniciar la consolidación de documento  del plan de fortalecimiento a la sana convivencia que se avanzó durante el año 2020 y se socializará durante el año 2021. Se elaboró plan de trabajo, se eligieron los municipios a intervenir teniendo en cuenta la existencia de conjuntos residenciales: Madrid, Mosquera, Facatativá, Funza, Fusagasugá, La Mesa, Ricaurte, Girardot, Soacha, Cajicá, Zipaquirá, Chía, Cota, Sopó, Tocancipá y Gachancipá</t>
  </si>
  <si>
    <t>Se realiza asistencia técnica al municipio de Silvania para que mejore su Plan Integral de Seguridad y Convivencia Ciudadana. Adicional a ello, se realizó un convenio interadministrativo para aunar esfuerzos técnicos, administrativos y financieros con el municipio de Fuquene para apoyar a la fuerza pùblica en combustible y mantenimiento del parque automotor garantizando la seguridad en el CAI ambiental del Fuquene en cumplimiento de la acción popular, se entregaron bonos a polícia del señor gobernador.
Durante estos primeros cuatro meses de la vigencia 2021 se ha hecho presencia en 10 provincias del Departamento mediante los Consejos de Seguridad, brindando asistencia técnica con cada uno de los programas y fortaleciendo la imagen institucional
Desde el inicio de año se elaboró un plan de accion que permitiera dar cumplimiento al PISCC Departamental dentro de los plazos concertados, para ello, se alimenta una matriz con cada una de las actividades desarrolladas, que permite evidenciar el porcentaje de avance en cada una de las lineas estrategicas, teniendo un consolidado final
1.El día 16 de abril de2021 se realizó reunión en las instalaciones de la alcaldia del municipio de Guaduas con el el doctor Pablo Andres Neussa Mestre Secretario de gobierno encargado y el doctor Pablo Alexis Ospina Inspector de Policia, en reperesentacion de la secretaria de Gobierno de Cundinamarca estuvo la doctora Lida JannethCaycedo.Se indago sobre la implementación del PISCC , el cual según infomación del doctor Pablo Ospina se implemento desde el mes de diciembre del 2020. Se le infoma a la doctora Lida el cronograma de actividades programadas para el mes de mayo dentro del marco de cumplimiento del PISCC municipal.
Nos encontramos realizando el levantamiento de información con el fin de obtener el diagnóstico de las necesidades de cámaras de seguridad
Se atendieron las diferentes solicitudes de los Municipios Anapoima, Tibacuy, Ubaque recepcionadas por el aplicativo mercurio en temas de fortalecimiento a la seguridad y el orden público , se ha realizado una visita para evaluar solicitud de dotación para el Concejo de Gachetá. La Secretaría  no ha definido recursos para este tipo de intervenciones, Se avanza en el seguimiento de cuatro proyectos de construcción, tres estaciones de policía con el Ministerio  en Cundinamarca en convenios tripartitos y la casa de gobierno de Nimaima que fue adicionada en 2020. Se han delegado contratistas de apoyo para la supervisión de cada uno de los convenios. Los cuatro proyectos son obras nuevas. Se tiene prevista una adición para el convenio de Guasca. Con estas obras se beneficiarán los siguinetes municipios Guasca, Villapinzón, Ricaurte, Nimaima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estudios:Supatá, Tibirita, el Peñon, La Palma, El Rosal, Villagómez. Paime, san Bernardo, Sasaima, Gama, San Antonio del Tequendama, Junín, Caparrapí, Guaduas, el Colegio, Puerto Salgar, Guayabetal
Se realiza supervisión a cuatro(4) convenios interadministrativos en ejecución :Guasca, Villapinzón, Ricaurte, Nimaima, una(1) interventoría de contrato de obra en liquidación SGO SAMC-228- 2019 , CAE- Girardot y  se adelantan venticuatro (24) procesos de liquidación de contratos interadministrativos realizados con los siguientes municipio: simijaca, Cogua, san Fracisco, La vega, gachetá, Zipacón , Une, Zipaquirá, Soacha, Vergara, Quipile, Arbelaez, Facatativá,Susa, Bituima, paratebueno  orientados a infraestructura procesos de liquidación de convenios interadministrativos
Se ha realizado visitas según compromisos del señor Gobernador en trámite de la gestión de proyectos a Diecinueve(19)  proyectos orientados a Casas de Gobierno, Comando Aereo, estaciones de Policía  y casa de Justicía,  en diecisiete (17) municipios de cundinamarca Supatá, Tibirita, el Peñon, La Palma, El Rosal, Villagómez. Paime, san Bernardo, Sasaima, Gama, San Antonio del Tequendama, Junín, Caparrapí, Guaduas, el Colegio, Puerto Salgar, Guayabetal
Se avanza en la evaluación de proyectos de adecuación par tres proyectos: Tibirita( comisaría de familia). San Antonio de tequendama ( casa de Gobierno), Caparrapí ( casa de Gobierno y estación de policía))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arquitectonicos para poder verificar la idoneidad del presupuesto.
 se ha realizado la verificación ambiental , según la resolución 29 de 2020 de la Secretaría de gobierno para adecuación de  dos proyectos San bernardo CASA DE GOBIERNO), sasaima (CASA DE GOBIERNO)
Se atendieron las diferentes solicitudes de los Municipios recepcionadas por el aplicativo mercurio en temas de fortalecimiento a la seguridad y el orden público
1.El día 16 de abril de 2021 se realizó una reunión en las instalaciones de la alcaldía del municipio de Guaduas con el  doctor Pablo Andrés Neussa Mestre Secretario de gobierno encargado y el doctor Pablo Alexis Ospina Inspector de Policía, en representación de la secretaria de Gobierno de Cundinamarca estuvo la doctora Lida JannethCaycedo.Se indago sobre la implementación del PISCC , el cual según información del doctor Pablo Ospina se implemento desde el mes de diciembre del 2020. Se le informa a la doctora Lida el cronograma de actividades programadas para el mes de mayo dentro del marco de cumplimiento del PISCC municipal.                         2.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3.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4.El día 10 de mayo de 2021 se realizo reunión en el municipio de San Antonio del Tequendama con el doctor Fabio Alberto Osuna y el doctor Hernán Tiberio Correa, en dicha reunión se evidencia que la implementación se esta realizando pero el seguimiento no se efectúa a través de la matriz de seguimiento, por lo que de manera inmediata el doctor Hernán propone una capacitación a los actores de manera urgente. 5.El día 10 de mayo de 2021 se lleva a cabo en la alcaldía de la Mesa con la doctora Angelica Cotrino secretaria de gobierno y el doctor Hernán Correa, en este municipio se han llevado acabo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6.El día 19 de mayo de 2021 se realiza capacitación sobre la implementación y seguimiento al PISCC en coordinación con secretaria de  gobierno  de la alcaldía de Zipacón y presidida por del doctor Hernán Correa. 7.El día 19 de mayo se brinda capacitación sobre la implementación y seguimiento al PISCC en la alcaldía de Anolaima por parte del doctor Hernán Correa. 8.El día 20 de mayo se brinda capacitación sobre la implementación y seguimiento al PISCC en la alcaldía de San Antonio del Tequendama por parte del doctor Hernán Correo. 9.El día 11 de mayo de 2021 se llevo acabo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10.El día 12 de mayo de 2021 se llevo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11.El día 14 de mayo se llevo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12. El día 14 de mayo de 2021 se realizo una reunión en la alcaldía de Mesitas del colegio entre secretaría de Gobierno doctora Martha Bibiana Parada Martínez y la doctora Angela Segura Atuesta,la doctora Martha Bibiana Parada Martínez realiza una breve reseña del PISCC y de las líneas estratégicas contempladas en el PISCC;se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trazadas.13.El día 12 de mayo del 2021 se realizo una reunión en la alcaldía del municipio de Nocaima en donde se realizo la presentación por parte del doctor Leoviceldo Beltrán contratista de la secretaria de Gobierno de la Gobernación, se indago con la doctora Paula Velásquez secretaria de gobierno d ella alcaldía respecto a los avances del PISCC municipal.14.El día 18 de mayo de 2021 se realiza reunión en le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mismo.15.El día 5 de mayo del 2021 se llevo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16.El día 15 de mayo de 2021 se llevo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17.El día 21 de mayo de 2021 se desarrolló una reunión en la alcaldía del municipio de la Palma entre la doctora María Paula Cárdenas secretaria de gobierno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18. El día 6 de mayo del 2021 se lleva a cabo una reunión en la alcaldía de Villagoméz,ha dicha reunión asiste la doctora Karen Fajardo Secretaría de Gobierno, el doctor Misael Duarte Alcalde del Municipio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19.El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 metas trazadas.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Se realizó el levantamiento de la información de los grupos de interes de la Dirección, por parte del equipo de territorio del Observatorio de Seguridad y orden Público
Se suscribieron los siguientes convenios: 1. SGO-CMC-290-2021- 2. SGO - CDCVI - 304-2021- 3. SGO-CDCVI-302-2021.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
PISCC JULIO "1-El día 9 de julio de 2021, se realizó reunión en el municipio de Viotá con la  doctora, Sandra Patricia Peñuela, quien se desempeña como secretaria de gobierno y asuntos administrativos y los contratista de la secretaria de Gobierno, Angela Segura y Luis Carlos contratistas de la secretaria de Gobierno,  la reunión se realizó en las instalaciones de la Alcaldía Municipal en donde se tuvo un primer acercamiento, la doctora González  está actualmente al frente del tema PISCC en el municipio. 2- El día 9 de julio, se realizó reunión en el municipio de Apulo  con la  doctora, Claudia Rosas Maldonado, quien se desempeña hace una semana como secretaria general y de gobierno  y los  contratistas Luis Carlos Pinzón  y Angela Segura quien presta asesoría en la implementación y seguimiento a los PISCC municipales, la reunión se realizó en las instalaciones de la Alcaldía Municipal donde se tuvo un primer acercamiento, la doctora Rosas  está actualmente al frente del tema PISCC en el municipio.  3-El día 9 se llevo a cabo una reunión con el doctor José Alfonso Mancera Guerrero quien se desempeña como inspector de policía en la inspección del Triunfo  y los contratistas de la secretaria de Gobierno, Luis Carlos Pinzón y Angela Segura quien hace parte del equipo de PISCC,la reunión se realizó en las instalaciones de la inspección de policía de la inspección del Triunfo Se socializo con el doctor Mancera la matriz de seguimientos de las líneas de acción del PISCC municipal la cual se había enviado el día 2 de junio de 2021.  4-El día 9 de Julio  se realizó reunión con el doctor Gilberto Moreno Vargas secretario de gobierno del municipio de Anapoima y los contratista de la secretaria de Gobierno, Luis Carlos Pinzón y Angela Segura quien brinda asistencia técnica a los PISCC municipales. La reunión se llevo acabo en las instalaciones de la alcaldía de Anapoima.  5-El día 14 de Julio de 2021 se llevo a cabo una reunión virtual con La doctora Carolyn Otalora trabajadora social de la comisaria de Familia, la   doctora, Sandra Patricia Peñuela, y los contratistas de la secretaria de Gobierno, Luis Carlos Pinzón  y Angela Segura quien brinda asistencia técnica en temas del PISCC. En esta reunión se socializo la matriz de seguimiento de las líneas estratégicas del PISCC municipal.  6-El día 10 de julio de 2021 se llevo a cabo la reunión virtual con e contratistas de la secretaria de gobierno de la Gobernación de Cundinamarca: Hernán Tiberio Correa, Jhon Ever Prieto, Diego Ramírez de y Leonardo Rivera, además el señor Secretario de gobierno de Cachipay Dr. Jorge Dicson Gama, la Inspectora de Policía, el Comandante de Policía, el Director de Deportes, y las juntas de acción comunal entre otros, donde se  presto asistencia técnica brindando conocimiento en la implementación y seguimiento del PISCC municipal. de Cachipay.  7-El día 14 de julio de 2021, se realizo reunión en  la Alcaldía de Simijaca, a fin de prestar la asistencia técnica en el tema de implementación y seguimiento del piscc municipal, visita atendida por el Alcalde Municipal, el señor Fiscal, la Comisaría de Familia, el –Comandante de Policía y, el Secretario de Gobierno. 8-El día 14 de Julio de 2021, se realizo reunión en  la Alcaldía de Guachetá, la reunión fue presidida por el contratista Hernán Tiberio Correa y conto con la participación  del señor Alcalde, el Secretario de Gobierno, el encargado del Enlace y Participación Ciudadana, la Almacenista y el Asesor Jurídico del Despacho, a quienes se les brindó asistencia técnica en el tema del PISCC municipal.  9-El día 21 de Julio de 2021, el contratista Hernán Tiberio Correa se reunió en  la Alcaldía del municipio del El Rosal, donde  brindó la asistencia técnica sobre el PISCC municipal. Asistieron el señor Secretario de Gobierno y su asistente.  10-El día 12 de julio del 2021  la contratista Lida Janneth Caycedo  realizó una reunión con la Secretaria de Gobierno del municipio de Guayabal de Siquima, doctora Juana Moreno y la doctora María Fernanda en su calidad de Comisaría de familia del municipio, se revisó el PISCC municipal, y se pactaron con la comisaria una serie de actividades que consisten en capacitaciones en temas que pretenden fortalecer temas tales como la prevención de casos de violencia intrafamiliar.  11- El día 22 de julio de 2021 se llevo a cabo una reunión con la contratista Lida Janneth Caycedo en las instalaciones de la alcaldía municipal de Bajaca, secretaría de gobierno, con el Dr.  Nelson Eduardo Cotes, en su calidad de asesor de despacho, se realizó reunión en compañía de los compañeros de las diferentes estrategias de sabana de occidente, en la cual cada uno presento su estrategia.  12- El día 22 de julio de 2021, se llevo a cabo una reunión  en las instalaciones de la alcaldía municipal de Facatativá, secretaría de gobierno, con el Dr. Oscar Ramírez  en su calidad de secretario de gobierno, la reunión conto con la presencia de  los contratistas  de las diferentes estrategias, por parte de la estrategia PISCC la contratista Lida Janneth Caycedo acordó una segunda reunión para conocer las estrategias a tratar en el municipio y saber el apoyo requerido. 13- El 1 de Julio  el contratista Pablo Bernal de la Secretaria de Gobierno brindo asistencia técnica en el municipio de Guasca por  solicitud de la Doctora Yuli Catherine Rodríguez secretaria de gobierno, asistieron el comandante de estación del municipio el teniente Edison Jiménez, la encargada del “PISCC” Angie Rodríguez Ortiz.  14- El día 08 de Julio se realizó mesa de trabajo presencial en el despacho de la alcaldía municipal de Vergara presidida por el contratista Leoviceldo Beltrán Ramírez, con la participación del secretario de gobierno y la directora de orden público.  15-El día 16 de julio se realizó reunión presencial en el despacho de la alcaldía municipal de Quebradanegra, con la participación del contratista Leoviceldo Beltrán Ramírez de la secretaria de gobierno. En dicha reunión se realizó la elaboración del borrador del POAI para el 2021 y su respectivo borrador del plan de acción para adelantar los procesos de implementación.  16-El día 28 de julio se realiza reunión en el municipio de Subachoque con la presencia del contratista Felipe Tovar de la secretaria de gobierno ,se hace la presentación de cada uno de los servicios ofertados por la Secretaria de Gobierno de Cundinamarca. Para el caso específico del PISCC, se resalta inicialmente el trabajo que se desarrolló en conjunto con la secretaria de gobierno municipal en el año 2020, que conllevo a la formulación del Plan Integral de Seguridad y Convivencia Ciudadana “SUBACHOQUE POR EL CAMINO CORRECTO 2020 – 2023”. 17- El día 28 de julio se reúnen en la alcaldía de Madrid los contratistas de la Secretaria Gobierno de Cundinamarca, para el tema de PISCC asiste el contratista Gerardo Mancera, manifiestan al Doctor Víctor Andrés Rusinque – Coordinador PISCC del Municipio de Madrid, las directrices de la Dirección de Seguridad y orden público de la Secretaria de Gobierno de Cundinamarca.  18- El día 21 de julio se reunieron en la alcaldía del municipio de Cáqueza la doctora Marylin Vergara secretaria de Gobierno y el contratista Xiomara González y Gerardo Mancera, este ultimo realiza su presentación y manifiesta la disposición para brindar las asistencia técnica para la implementación y seguimiento al PISCC municipal.  19-El día 28 de julio se reunieron la doctora Yenny Secretaria de Gobierno del Municipio de Paratebueno y el contratista Gerardo Mancera contratista de la secretaria de Gobierno. El motivo de esta visita es hacer un acompañamiento en la implementación y ejecución del PISCC municipal. 20-El día 29 de julio se llevo acabo una reunión en el municipio de Paime, asistió por parte de la secretaria de gobierno de Cundinamarca el contratista Hugo Chávez , el secretario general y de gobierno de la alcaldía el doctor Walter Riveros y la inspectora de policía Ingrid Díaz, en esta reunión el contratista ofrece sus servicios como asesor en e implementación y seguimiento al PISCC Municipal."
Se atendieron 12 solicitudes recepcionadas por el aplicativo mercurio en temas de fortalecimiento a la seguridad y el orden público
Se brindaron 14 asistencias técnicas en los municipios de Apulo, Anapoima, La Calera,Zipacón,  Cachipay, la mesa, San Antonio de Tequendama, el Rosal, Anolaima, Vergara, Nocaima y Mesitas del Colegio con temas de  seguimiento las actividades propuesta en el PISCC municipal, revisión de la matriz para  ajustar el PISCC, implementación del PISCC municipal,  capacitación sobre los instrumentos de seguimiento y evaluación del PISCC, elaboración del POAI para el 2021 del PISCC municipal.
Se realizo capacitación en el municipio de Mesitas del Colegio sobre Microtráfico, Conformación de frentes de seguridad ciudadana y cultura ciudadana, estas actividades están dentro de las líneas estratégicas contempladas en el PISCC municipal, la capacitación conto con la asistencia de los presidentes, vicepresidentes, secretarios, delegados de las juntas de acción comunal, la secretaria de gobierno de la alcaldía municipal la doctora Martha Parada, con la presencia del doctor Julián Quijano asesor de la secretaria de Gobierno de la Gobernación de Cundinamarca y los contratistas, Luis Carlos Pinzón de la meta de cultura ciudadana, Cesar Rivera microtráfico, Angela Segura PISCC.
INFRAESTRUCTURA Durante el periodo reportado se han realizado solicitudes de diferentes proyectos orientados a estaciones de policía. Se llevo a cabo reunión con el ministerio del interior para la estación de policía Guayabetal, adicionalmente se lleva a cabo el trámite de adición para un convenio con el ministerio del interior para aportar recursos en una adición. Se realizan visitas técnicas y levantamiento arquitectónico del CAI de Fúquene, evaluación de estudios de proyectos en trámite de estructuración. Se adelanta supervisiones de convenios en proceso de ejecución convenios tripartito ministerio del interior en guasca, villa pinzón y Ricaurte. Se realiza acompañamiento a municipios en procesos de gestión de recursos ante el ministerio. Se Brinda acompañamiento a la gestión predial del CAI de Girardot
Los temas ambientales son requisitos de verificación comprendidos en la resolución 029 de 2020 cai ambiental de Fúquene y Se realizan supervisiones a proyectos de vigencias 2017-2018-2019 en proceso de liquidación. trámites de seguimiento a la viabilizarían de proyectos, verificación de requisitos prediales frente a proyectos, verificación de cumplimiento de requisitos ambientales.
Convenios:  Proyecto convenios para aunar esfuerzos técnicos administrativos y financieros para el mantenimiento, combustible y dotación  de  la fuerza púbica.</t>
  </si>
  <si>
    <t>A través de la asistencia técnica, se logró que 107 municipios del departamento aprobarán sus planes integrales de seguridad y convivencia ciudadana, 3 en ajustes finales y 3 en la elaboración del diagnóstico. El plan integral de seguridad y convivencia ciudadana departamental ha logrado avanzar en un 15%, a través del cumplimiento de los 5 ejes Lucha contra el delito (Prevención y disuasión del delito, disminución del delito, operatividad e investigación), Convivencia legalidad y derechos humanos (Familia, entorno protector, cultura ciudadana y territorios de Paz, disrupción de los comportamientos contrarios a la convivencia), Inversión tecnología y bienes (Inteligencia e investigación criminal para anticipar y mitigar el delito, construcción, adecuación, dotación e inversión para la seguridad y convivencia ciudadana, ciudadanos cyberseguros), Cundinamarca diversa incluyente y justa (Prevalencia de los derechos de los niños, niñas y adolescentes, una buena juventud, mayores protegidos, mujeres en Cundinamarca, Cundinamarca incluyente) Fortalecimiento institucional (espacios estratégicos de coordinación y ciudad región). Socialización a 71 municipios del Plan Integral de Seguridad y Convivencia Ciudadana departamental, se logró la articulación interinstitucional entre el departamento y sus territorios en pro de la seguridad y convivencia ciudadana, llegando a 256 personas. Capacitación a 81 municipios frente a cobro coactivo de las infracciones impuestas  por violación al código nacional de convivencia y seguridad ciudadana, nociones y aplicaciones del proceso del CNCSC.  Se beneficiaron a 503 personas, que se verá reflejado en la recuperación de cartera que pueda realizar cada una de las entidades territoriales que adelanten el respectivo proceso frente a los morosos de las infracciones impuestas. Se logra incentivar la denuncia frente a los diferentes delitos del departamento a través del pago de recompensas. Para el año 2020 se han pagado 100.000.000 cte. Se realizaron 34 convenios interadministrativos con los respectivos municipios para mantenimiento y combustible del parque automotor con un total de $777.220.000. 1 de suministro y 33 de mantenimiento. Al fondo rotatorio de Policía nacional se invirtió $400.000.000 mc/te para aportar al uso de 144 días con el Helicóptero Halcón como arma eficaz contra la inseguridad y las bandas delincuenciales.  Se garantizó la seguridad y pie de fuerza para la jornada de elecciones atípicas del municipio de Sutatausa. $3.000.000.000 invertidos para fortalecer al ejército y dotarlos con material balístico$1.217.810.376 invertidos para fortalecer la movilidad de la fuerza pública con la entrega de 9 camionetas. Para 2021 se realiza asistencia técnica al municipio de Silvania para que mejore su Plan Integral de Seguridad y Convivencia Ciudadana. Adicional a ello, erealizó un convenio interadministrativo para aunar esfuerzos técnicos, administrativos y financieros con el municipio de Fuquene para apoyar a la fuerza pùblica en combustible y mantenimiento del parque automotor garantizando la seguridad en el CAI ambiental del Fuquene en cumplimiento de la acción popular, se entregaron bonos a polícia del señor gobernador.
PISCC
o Se realiza asistencia técnica al municipio de Silvania para que mejore su Plan Integral de Seguridad y Convivencia Ciudadana.
o Desde el inicio de año se elaboró un plan de acción que permitiera dar cumplimiento al PISCC Departamental dentro de los plazos concertados, para ello, se alimenta una matriz con cada una de las actividades desarrolladas, que permite evidenciar el porcentaje de avance en cada una de las líneas estratégicas, teniendo un consolidado final.
o El día 16 de abril de 2021 se realizó reunión en las instalaciones de la alcaldía del municipio de Guaduas con el Dr. Pablo Andres Neussa Mestre secretario de gobierno encargado y el doctor Pablo Alexis Ospina Inspector de Policía, en representación de la secretaría de Gobierno de Cundinamarca estuvo la doctora Lida Janneth Caycedo. Se indagó sobre la implementación del PISCC, el cual según infomación del doctor Pablo Ospina se implementó desde el mes de diciembre del 2020. Se le informa a la doctora Lida el cronograma de actividades programadas para el mes de mayo dentro del marco de cumplimiento del PISCC municipal.
o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o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o El día 10 de mayo de 2021 se realizó reunión en el municipio de San Antonio del Tequendama con el doctor Fabio Alberto Osuna y el doctor Hernán Tiberio Correa, en dicha reunión se evidencia que la implementación se está realizando, pero el seguimiento no se efectúa a través de la matriz de seguimiento, por lo que de manera inmediata el doctor Hernán propone una capacitación a los actores de manera urgente.
o El día 10 de mayo de 2021 se lleva a cabo en la alcaldía de la Mesa con la doctora Angelica Cotrino secretaria de gobierno y el doctor Hernán Correa, en este municipio se han llevado a 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o El día 19 de mayo de 2021 se realiza capacitación sobre la implementación y seguimiento al PISCC en coordinación con secretaria de gobierno de la alcaldía de Zipacón y presidida por del doctor Hernán Correa.
o El día 19 de mayo se brinda capacitación sobre la implementación y seguimiento al PISCC en la alcaldía de Anolaima por parte del doctor Hernán Correa.
o El día 20 de mayo se brinda capacitación sobre la implementación y seguimiento al PISCC en la alcaldía de San Antonio del Tequendama por parte del doctor Hernán Correo.
o El día 11 de mayo de 2021 se llevó a 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o El día 12 de mayo de 2021 se llevó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o El día 14 de mayo se llevó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o El día 14 de mayo de 2021 se realizó una reunión en la alcaldía de Mesitas del colegio entre secretaría de Gobierno doctora Martha Bibiana Parada Martínez y la doctora Angela Segura Atuesta ,la doctora Martha Bibiana Parada Martínez realiza una breve reseña del PISCC y de las líneas estratégicas contempladas en el PISCC; 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
o El día 12 de mayo del 2021 se realizó una reunión en la alcaldía del municipio de Nocaima en donde se realizó la presentación por parte del doctor Leoviceldo Beltrán contratista de la secretaria de Gobierno de la Gobernación, se indago con la doctora Paula Velásquez secretaria de gobierno d ella alcaldía respecto a los avances del PISCC municipal.
o El día 18 de mayo de 2021 se realiza reunión en el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
o El día 5 de mayo del 2021 se llevó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o El día 15 de mayo de 2021 se llevó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21 de mayo de 2021 se desarrolló una reunión en la alcaldía del municipio de la Palma entre la doctora María Paula Cárdenas secretaria de gobierno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6 de mayo del 2021 se lleva a cabo una reunión en la alcaldía de Villagoméz, a dicha reunión asiste la doctora Karen Fajardo Secretaría de Gobierno, el doctor Misael Duarte Alcalde del Municipio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las metas trazadas.
a) Mediante correo electrónico se hace la solicitud formal a la Policía Nacional de la base de datos de los delitos reportados en el departamento de Cundinamarca de los meses de enero, febrero, marzo y abril, si como la del año 2020.
b)  Elaboración de informe trimestral a partir del procesamiento y análisis de los delitos de alto impacto reportados en el departamento para el mes de enero, febrero y marzo.
c) Elaboración de informe par la provincia de alto y bajo magdalena para ser socializada en un consejo de seguridad
d) Contestación de requerimiento por parte de la secretaria de salud del departamento donde se realizó un informe especial sobre los delitos contra la vida y la integridad personal de la provincia de Sumapaz
e) Se extrajo cifras del comportamiento de delitos de los diferentes provincias para la entrega a cada contratista asignados en asistencia técnica para su respectivo análisis (Gualivá, Rionegro, Soacha, Medina y Oriente, Sabana Centro, Almeidas, Guavio, Sumapaz, sabana occidente)
f) Elaboración de informe y comparativo del comportamiento de delitos ambientales reportados en el departamento de Cundinamarca
g) Avance en la contratación de prestación de servicios, formulación del plan del producto. y reorganización del observatorio de seguridad asignando los contratistas encargados de las diferentes provincias para poder iniciar con las asistencias provinciales correspondientes
h) Se realizó el levantamiento de la información de los grupos de interés de la Dirección, por parte del equipo de territorio del Observatorio de Seguridad y orden Público
APOYO A LA FUERZA PÚBLICA
o Se realizó un convenio interadministrativo para aunar esfuerzos técnicos, administrativos y financieros con el municipio de Fúquene para apoyar a la fuerza pública en combustible y mantenimiento del parque automotor garantizando la seguridad en el CAI ambiental del Fúquene en cumplimiento de la acción popular, se entregaron bonos a policía del señor gobernador.
o Se atendieron las diferentes solicitudes de los Municipios Anapoima, Tibacuy, Ubaque recepcionadas por el aplicativo mercurio en temas de fortalecimiento a la seguridad y el orden público
o Se ha realizado una visita para evaluar solicitud de dotación para el Concejo de Gachetá. La Secretaría no ha definido recursos para este tipo de intervenciones.
o Se atendieron las diferentes solicitudes de los Municipios recepcionadas por el aplicativo mercurio en temas de fortalecimiento a la seguridad y el orden público
Se realizó el levantamiento de la información de los grupos de interes de la Dirección, por parte del equipo de territorio del Observatorio de Seguridad y orden Público
Se suscribieron los siguientes convenios:
1. SGO-CMC-290-2021
2. SGO - CDCVI - 304-2021
3. SGO-CDCVI-302-2021
CONSEJOS DE SEGURIDAD
o Durante estos primeros cuatro meses de la vigencia 2021 se ha hecho presencia en 10 provincias del Departamento mediante los Consejos de Seguridad, brindando asistencia técnica con cada uno de los programas y fortaleciendo la imagen institucional.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CÁMARAS DE SEGURIDAD
o Nos encontramos realizando el levantamiento de información con el fin de obtener el diagnóstico de las necesidades de cámaras de seguridad.
INFRAESTRUCTURA
o Se avanza en el seguimiento de cuatro proyectos de construcción, tres estaciones de policía con el Ministerio en Cundinamarca en convenios tripartitos y la casa de gobierno de Nimaima que fue adicionada en 2020.
o Se han delegado contratistas de apoyo para la supervisión de cada uno de los convenios. Los cuatro proyectos son obras nuevas. Se tiene prevista una adición para el convenio de Guasca. Con estas obras se beneficiarán los siguientes municipios Guasca, Villapinzón, Ricaurte, Nimaima.
o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 Supatá, Tibirita, el Peñón, La Palma, El Rosal, Villagómez. Paime, san Bernardo, Sasaima, Gama, San Antonio del Tequendama, Junín, Caparrapí, Guaduas, el Colegio, Puerto Salgar, Guayabetal
o Se realiza supervisión a cuatro(4) convenios interadministrativos en ejecución :Guasca, Villapinzón, Ricaurte, Nimaima, una(1) interventoría de contrato de obra en liquidación SGO SAMC-228- 2019 , CAE- Girardot y  se adelantan veinticuatro (24) procesos de liquidación de contratos interadministrativos realizados con los siguientes municipio: Simijaca, Cogua, San Francisco, La vega, Gachetá, Zipacón , Une, Zipaquirá, Soacha, Vergara, Quipile, Arbeláez, Facatativá, Susa, Bituima, Paratebueno  orientados a infraestructura procesos de liquidación de convenios interadministrativos.
o Se ha realizado visitas según compromisos del señor Gobernador en trámite de la gestión de proyectos a Diecinueve (19) proyectos orientados a Casas de Gobierno, Comando Aéreo, estaciones de Policía y casa de Justicia, en diecisiete (17) municipios de Cundinamarca Supatá, Tibirita, el Peñón, La Palma, El Rosal, Villagómez. Paime, san Bernardo, Sasaima, Gama, San Antonio del Tequendama, Junín, Caparrapí, Guaduas, el Colegio, Puerto Salgar, Guayabetal
o Se avanza en la evaluación de proyectos de adecuación par tres proyectos: Tibirita (comisaría de familia). San Antonio de Tequendama (casa de Gobierno), Caparrapí (casa de Gobierno y estación de policía))
o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arquitectónicos para poder verificar la idoneidad del presupuesto.
o Se ha realizado la verificación ambiental, según la resolución 29 de 2020 de la Secretaría de gobierno para adecuación de dos proyectos San bernardo CASA DE GOBIERNO), Sasaima (CASA DE GOBIERNO)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t>
  </si>
  <si>
    <t>Se realiza asistencia técnica al municipio de Silvania para que mejore su Plan Integral de Seguridad y Convivencia Ciudadana. Adicional a ello, se realizó un convenio interadministrativo para aunar esfuerzos técnicos, administrativos y financieros con el municipio de Fuquene para apoyar a la fuerza pública en combustible y mantenimiento del parque automotor garantizando la seguridad en el CAI ambiental del Fuquene en cumplimiento de la acción popular, se entregaron bonos a polícia del señor gobernador.
Durante estos primeros cuatro meses de la vigencia 2021 se ha hecho presencia en 10 provincias del Departamento mediante los Consejos de Seguridad, brindando asistencia técnica con cada uno de los programas y fortaleciendo la imagen institucional 
Desde el inicio de año se elaboró un plan de acción que permitiera dar cumplimiento al PISCC Departamental dentro de los plazos concertados, para ello, se alimenta una matriz con cada una de las actividades desarrolladas, que permite evidenciar el porcentaje de avance en cada una de las lineas estrategicas, teniendo un consolidado final
1.El día 16 de abril de2021 se realizó reunión en las instalaciones de la alcaldia del municipio de Guaduas con el el doctor Pablo Andres Neussa Mestre Secretario de gobierno encargado y el doctor Pablo Alexis Ospina Inspector de Policia, en reperesentacion de la secretaria de Gobierno de Cundinamarca estuvo la doctora Lida JannethCaycedo.Se indago sobre la implementación del PISCC , el cual según infomación del doctor Pablo Ospina se implemento desde el mes de diciembre del 2020. Se le infoma a la doctora Lida el cronograma de actividades programadas para el mes de mayo dentro del marco de cumplimiento del PISCC municipal.
Nos encontramos realizando el levantamiento de información con el fin de obtener el diagnóstico de las necesidades de cámaras de seguridad
Se atendieron las diferentes solicitudes de los Municipios Anapoima, Tibacuy, Ubaque recepcionadas por el aplicativo mercurio en temas de fortalecimiento a la seguridad y el orden público , se ha realizado una visita para evaluar solicitud de dotación para el Concejo de Gachetá. La Secretaría  no ha definido recursos para este tipo de intervenciones, Se avanza en el seguimiento de cuatro proyectos de construcción, tres estaciones de policía con el Ministerio  en Cundinamarca en convenios tripartitos y la casa de gobierno de Nimaima que fue adicionada en 2020. Se han delegado contratistas de apoyo para la supervisión de cada uno de los convenios. Los cuatro proyectos son obras nuevas. Se tiene prevista una adición para el convenio de Guasca. Con estas obras se beneficiarán los siguinetes municipios Guasca, Villapinzón, Ricaurte, Nimaima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estudios:Supatá, Tibirita, el Peñon, La Palma, El Rosal, Villagómez. Paime, san Bernardo, Sasaima, Gama, San Antonio del Tequendama, Junín, Caparrapí, Guaduas, el Colegio, Puerto Salgar, Guayabetal
Se realiza supervisión a cuatro(4) convenios interadministrativos en ejecución :Guasca, Villapinzón, Ricaurte, Nimaima, una(1) interventoría de contrato de obra en liquidación SGO SAMC-228- 2019 , CAE- Girardot y  se adelantan venticuatro (24) procesos de liquidación de contratos interadministrativos realizados con los siguientes municipio: simijaca, Cogua, san Fracisco, La vega, gachetá, Zipacón , Une, Zipaquirá, Soacha, Vergara, Quipile, Arbelaez, Facatativá,Susa, Bituima, paratebueno  orientados a infraestructura procesos de liquidación de convenios interadministrativos
Se ha realizado visitas según compromisos del señor Gobernador en trámite de la gestión de proyectos a Diecinueve(19)  proyectos orientados a Casas de Gobierno, Comando Aereo, estaciones de Policía  y casa de Justicía,  en diecisiete (17) municipios de cundinamarca Supatá, Tibirita, el Peñon, La Palma, El Rosal, Villagómez. Paime, san Bernardo, Sasaima, Gama, San Antonio del Tequendama, Junín, Caparrapí, Guaduas, el Colegio, Puerto Salgar, Guayabetal
Se avanza en la evaluación de proyectos de adecuación par tres proyectos: Tibirita( comisaría de familia). San Antonio de tequendama ( casa de Gobierno), Caparrapí ( casa de Gobierno y estación de policía))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arquitectonicos para poder verificar la idoneidad del presupuesto.
 se ha realizado la verificación ambiental , según la resolución 29 de 2020 de la Secretaría de gobierno para adecuación de  dos proyectos San bernardo CASA DE GOBIERNO), sasaima (CASA DE GOBIERNO)
Se atendieron las diferentes solicitudes de los Municipios recepcionadas por el aplicativo mercurio en temas de fortalecimiento a la seguridad y el orden público
1.El día 16 de abril de 2021 se realizó una reunión en las instalaciones de la alcaldía del municipio de Guaduas con el  doctor Pablo Andrés Neussa Mestre Secretario de gobierno encargado y el doctor Pablo Alexis Ospina Inspector de Policía, en representación de la secretaria de Gobierno de Cundinamarca estuvo la doctora Lida JannethCaycedo.Se indago sobre la implementación del PISCC , el cual según información del doctor Pablo Ospina se implemento desde el mes de diciembre del 2020. Se le informa a la doctora Lida el cronograma de actividades programadas para el mes de mayo dentro del marco de cumplimiento del PISCC municipal.                         2.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3.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4.El día 10 de mayo de 2021 se realizo reunión en el municipio de San Antonio del Tequendama con el doctor Fabio Alberto Osuna y el doctor Hernán Tiberio Correa, en dicha reunión se evidencia que la implementación se esta realizando pero el seguimiento no se efectúa a través de la matriz de seguimiento, por lo que de manera inmediata el doctor Hernán propone una capacitación a los actores de manera urgente. 5.El día 10 de mayo de 2021 se lleva a cabo en la alcaldía de la Mesa con la doctora Angelica Cotrino secretaria de gobierno y el doctor Hernán Correa, en este municipio se han llevado acabo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6.El día 19 de mayo de 2021 se realiza capacitación sobre la implementación y seguimiento al PISCC en coordinación con secretaria de  gobierno  de la alcaldía de Zipacón y presidida por del doctor Hernán Correa. 7.El día 19 de mayo se brinda capacitación sobre la implementación y seguimiento al PISCC en la alcaldía de Anolaima por parte del doctor Hernán Correa. 8.El día 20 de mayo se brinda capacitación sobre la implementación y seguimiento al PISCC en la alcaldía de San Antonio del Tequendama por parte del doctor Hernán Correo. 9.El día 11 de mayo de 2021 se llevo acabo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10.El día 12 de mayo de 2021 se llevo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11.El día 14 de mayo se llevo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12. El día 14 de mayo de 2021 se realizo una reunión en la alcaldía de Mesitas del colegio entre secretaría de Gobierno doctora Martha Bibiana Parada Martínez y la doctora Angela Segura Atuesta,la doctora Martha Bibiana Parada Martínez realiza una breve reseña del PISCC y de las líneas estratégicas contempladas en el PISCC;se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trazadas.13.El día 12 de mayo del 2021 se realizo una reunión en la alcaldía del municipio de Nocaima en donde se realizo la presentación por parte del doctor Leoviceldo Beltrán contratista de la secretaria de Gobierno de la Gobernación, se indago con la doctora Paula Velásquez secretaria de gobierno d ella alcaldía respecto a los avances del PISCC municipal.14.El día 18 de mayo de 2021 se realiza reunión en le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mismo.15.El día 5 de mayo del 2021 se llevo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16.El día 15 de mayo de 2021 se llevo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17.El día 21 de mayo de 2021 se desarrolló una reunión en la alcaldía del municipio de la Palma entre la doctora María Paula Cárdenas secretaria de gobierno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18. El día 6 de mayo del 2021 se lleva a cabo una reunión en la alcaldía de Villagoméz,ha dicha reunión asiste la doctora Karen Fajardo Secretaría de Gobierno, el doctor Misael Duarte Alcalde del Municipio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19.El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 metas trazadas.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Se realizó el levantamiento de la información de los grupos de interes de la Dirección, por parte del equipo de territorio del Observatorio de Seguridad y orden Público
Se suscribieron los siguientes convenios: 1. SGO-CMC-290-2021- 2. SGO - CDCVI - 304-2021- 3. SGO-CDCVI-302-2021.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
PISCC JULIO "1-El día 9 de julio de 2021, se realizó reunión en el municipio de Viotá con la  doctora, Sandra Patricia Peñuela, quien se desempeña como secretaria de gobierno y asuntos administrativos y los contratista de la secretaria de Gobierno, Angela Segura y Luis Carlos contratistas de la secretaria de Gobierno,  la reunión se realizó en las instalaciones de la Alcaldía Municipal en donde se tuvo un primer acercamiento, la doctora González  está actualmente al frente del tema PISCC en el municipio. 2- El día 9 de julio, se realizó reunión en el municipio de Apulo  con la  doctora, Claudia Rosas Maldonado, quien se desempeña hace una semana como secretaria general y de gobierno  y los  contratistas Luis Carlos Pinzón  y Angela Segura quien presta asesoría en la implementación y seguimiento a los PISCC municipales, la reunión se realizó en las instalaciones de la Alcaldía Municipal donde se tuvo un primer acercamiento, la doctora Rosas  está actualmente al frente del tema PISCC en el municipio.  3-El día 9 se llevo a cabo una reunión con el doctor José Alfonso Mancera Guerrero quien se desempeña como inspector de policía en la inspección del Triunfo  y los contratistas de la secretaria de Gobierno, Luis Carlos Pinzón y Angela Segura quien hace parte del equipo de PISCC,la reunión se realizó en las instalaciones de la inspección de policía de la inspección del Triunfo Se socializo con el doctor Mancera la matriz de seguimientos de las líneas de acción del PISCC municipal la cual se había enviado el día 2 de junio de 2021.  4-El día 9 de Julio  se realizó reunión con el doctor Gilberto Moreno Vargas secretario de gobierno del municipio de Anapoima y los contratista de la secretaria de Gobierno, Luis Carlos Pinzón y Angela Segura quien brinda asistencia técnica a los PISCC municipales. La reunión se llevo acabo en las instalaciones de la alcaldía de Anapoima.  5-El día 14 de Julio de 2021 se llevo a cabo una reunión virtual con La doctora Carolyn Otalora trabajadora social de la comisaria de Familia, la   doctora, Sandra Patricia Peñuela, y los contratistas de la secretaria de Gobierno, Luis Carlos Pinzón  y Angela Segura quien brinda asistencia técnica en temas del PISCC. En esta reunión se socializo la matriz de seguimiento de las líneas estratégicas del PISCC municipal.  6-El día 10 de julio de 2021 se llevo a cabo la reunión virtual con e contratistas de la secretaria de gobierno de la Gobernación de Cundinamarca: Hernán Tiberio Correa, Jhon Ever Prieto, Diego Ramírez de y Leonardo Rivera, además el señor Secretario de gobierno de Cachipay Dr. Jorge Dicson Gama, la Inspectora de Policía, el Comandante de Policía, el Director de Deportes, y las juntas de acción comunal entre otros, donde se  presto asistencia técnica brindando conocimiento en la implementación y seguimiento del PISCC municipal. de Cachipay.  7-El día 14 de julio de 2021, se realizo reunión en  la Alcaldía de Simijaca, a fin de prestar la asistencia técnica en el tema de implementación y seguimiento del piscc municipal, visita atendida por el Alcalde Municipal, el señor Fiscal, la Comisaría de Familia, el –Comandante de Policía y, el Secretario de Gobierno. 8-El día 14 de Julio de 2021, se realizo reunión en  la Alcaldía de Guachetá, la reunión fue presidida por el contratista Hernán Tiberio Correa y conto con la participación  del señor Alcalde, el Secretario de Gobierno, el encargado del Enlace y Participación Ciudadana, la Almacenista y el Asesor Jurídico del Despacho, a quienes se les brindó asistencia técnica en el tema del PISCC municipal.  9-El día 21 de Julio de 2021, el contratista Hernán Tiberio Correa se reunió en  la Alcaldía del municipio del El Rosal, donde  brindó la asistencia técnica sobre el PISCC municipal. Asistieron el señor Secretario de Gobierno y su asistente.  10-El día 12 de julio del 2021  la contratista Lida Janneth Caycedo  realizó una reunión con la Secretaria de Gobierno del municipio de Guayabal de Siquima, doctora Juana Moreno y la doctora María Fernanda en su calidad de Comisaría de familia del municipio, se revisó el PISCC municipal, y se pactaron con la comisaria una serie de actividades que consisten en capacitaciones en temas que pretenden fortalecer temas tales como la prevención de casos de violencia intrafamiliar.  11- El día 22 de julio de 2021 se llevo a cabo una reunión con la contratista Lida Janneth Caycedo en las instalaciones de la alcaldía municipal de Bajaca, secretaría de gobierno, con el Dr.  Nelson Eduardo Cotes, en su calidad de asesor de despacho, se realizó reunión en compañía de los compañeros de las diferentes estrategias de sabana de occidente, en la cual cada uno presento su estrategia.  12- El día 22 de julio de 2021, se llevo a cabo una reunión  en las instalaciones de la alcaldía municipal de Facatativá, secretaría de gobierno, con el Dr. Oscar Ramírez  en su calidad de secretario de gobierno, la reunión conto con la presencia de  los contratistas  de las diferentes estrategias, por parte de la estrategia PISCC la contratista Lida Janneth Caycedo acordó una segunda reunión para conocer las estrategias a tratar en el municipio y saber el apoyo requerido. 13- El 1 de Julio  el contratista Pablo Bernal de la Secretaria de Gobierno brindo asistencia técnica en el municipio de Guasca por  solicitud de la Doctora Yuli Catherine Rodríguez secretaria de gobierno, asistieron el comandante de estación del municipio el teniente Edison Jiménez, la encargada del “PISCC” Angie Rodríguez Ortiz.  14- El día 08 de Julio se realizó mesa de trabajo presencial en el despacho de la alcaldía municipal de Vergara presidida por el contratista Leoviceldo Beltrán Ramírez, con la participación del secretario de gobierno y la directora de orden público.  15-El día 16 de julio se realizó reunión presencial en el despacho de la alcaldía municipal de Quebradanegra, con la participación del contratista Leoviceldo Beltrán Ramírez de la secretaria de gobierno. En dicha reunión se realizó la elaboración del borrador del POAI para el 2021 y su respectivo borrador del plan de acción para adelantar los procesos de implementación.  16-El día 28 de julio se realiza reunión en el municipio de Subachoque con la presencia del contratista Felipe Tovar de la secretaria de gobierno ,se hace la presentación de cada uno de los servicios ofertados por la Secretaria de Gobierno de Cundinamarca. Para el caso específico del PISCC, se resalta inicialmente el trabajo que se desarrolló en conjunto con la secretaria de gobierno municipal en el año 2020, que conllevo a la formulación del Plan Integral de Seguridad y Convivencia Ciudadana “SUBACHOQUE POR EL CAMINO CORRECTO 2020 – 2023”. 17- El día 28 de julio se reúnen en la alcaldía de Madrid los contratistas de la Secretaria Gobierno de Cundinamarca, para el tema de PISCC asiste el contratista Gerardo Mancera, manifiestan al Doctor Víctor Andrés Rusinque – Coordinador PISCC del Municipio de Madrid, las directrices de la Dirección de Seguridad y orden público de la Secretaria de Gobierno de Cundinamarca.  18- El día 21 de julio se reunieron en la alcaldía del municipio de Cáqueza la doctora Marylin Vergara secretaria de Gobierno y el contratista Xiomara González y Gerardo Mancera, este ultimo realiza su presentación y manifiesta la disposición para brindar las asistencia técnica para la implementación y seguimiento al PISCC municipal.  19-El día 28 de julio se reunieron la doctora Yenny Secretaria de Gobierno del Municipio de Paratebueno y el contratista Gerardo Mancera contratista de la secretaria de Gobierno. El motivo de esta visita es hacer un acompañamiento en la implementación y ejecución del PISCC municipal. 20-El día 29 de julio se llevo acabo una reunión en el municipio de Paime, asistió por parte de la secretaria de gobierno de Cundinamarca el contratista Hugo Chávez , el secretario general y de gobierno de la alcaldía el doctor Walter Riveros y la inspectora de policía Ingrid Díaz, en esta reunión el contratista ofrece sus servicios como asesor en e implementación y seguimiento al PISCC Municipal."
Se atendieron 12 solicitudes recepcionadas por el aplicativo mercurio en temas de fortalecimiento a la seguridad y el orden público
Se brindaron 14 asistencias técnicas en los municipios de Apulo, Anapoima, La Calera,Zipacón,  Cachipay, la mesa, San Antonio de Tequendama, el Rosal, Anolaima, Vergara, Nocaima y Mesitas del Colegio con temas de  seguimiento las actividades propuesta en el PISCC municipal, revisión de la matriz para  ajustar el PISCC, implementación del PISCC municipal,  capacitación sobre los instrumentos de seguimiento y evaluación del PISCC, elaboración del POAI para el 2021 del PISCC municipal.
Se realizo capacitación en el municipio de Mesitas del Colegio sobre Microtráfico, Conformación de frentes de seguridad ciudadana y cultura ciudadana, estas actividades están dentro de las líneas estratégicas contempladas en el PISCC municipal, la capacitación conto con la asistencia de los presidentes, vicepresidentes, secretarios, delegados de las juntas de acción comunal, la secretaria de gobierno de la alcaldía municipal la doctora Martha Parada, con la presencia del doctor Julián Quijano asesor de la secretaria de Gobierno de la Gobernación de Cundinamarca y los contratistas, Luis Carlos Pinzón de la meta de cultura ciudadana, Cesar Rivera microtráfico, Angela Segura PISCC.
Durante el mes de Octubre se brindaron 9 asistencias técnicas en los municipios de Zipacón, Anolaima, San Antonio de Tequendama, La mesa, Cachipay, Zipacon, Quebradanegra, Manta con temas de  seguimiento las actividades propuesta en el PISCC municipal, revisión de la matriz para  ajustar el PISCC, implementación del PISCC municipal,  capacitación sobre los instrumentos de seguimiento y evaluación del PISCC.
INFRAESTRUCTURA Durante el periodo reportado se han realizado solicitudes de diferentes proyectos orientados a estaciones de policía. Se llevo a cabo reunión con el ministerio del interior para la estación de policía Guayabetal, adicionalmente se lleva a cabo el trámite de adición para un convenio con el ministerio del interior para aportar recursos en una adición. Se realizan visitas técnicas y levantamiento arquitectónico del CAI de Fúquene, evaluación de estudios de proyectos en trámite de estructuración. Se adelanta supervisiones de convenios en proceso de ejecución convenios tripartito ministerio del interior en guasca, villa pinzón y Ricaurte. Se realiza acompañamiento a municipios en procesos de gestión de recursos ante el ministerio. Se Brinda acompañamiento a la gestión predial del CAI de Girardot
Los temas ambientales son requisitos de verificación comprendidos en la resolución 029 de 2020 cai ambiental de Fúquene y Se realizan supervisiones a proyectos de vigencias 2017-2018-2019 en proceso de liquidación. trámites de seguimiento a la viabilizarían de proyectos, verificación de requisitos prediales frente a proyectos, verificación de cumplimiento de requisitos ambientales.
A la fecha se ha solicitado  la adición del convenio de Con financiación N° 907 de 2019 suscrito entre la Nacion, Fondo Nacional de Seguridad y Convivencia ciudadana – FONSECON Departamento de Cundinamarca y el municipio de Guasca con CDP 7100016984 para la adición de los recursos.  Se realizó estudios previos Actualmente se exige realizar la ADECUACIÓN Y MEJORAMIENTO de la edificación del CAI AMBIENTAL DE LA LAGUNA  DE FÚQUENE En el marco del proyecto “ Construcción, adecuación y dotación de infraestructura para el fortalecimiento de la convivencia y seguridad ciudadana en el Departamento de Cundinamarca” , se encuentra la meta 440 orientada a Financiar el 80% de las solicitudes de las autoridades de seguridad, convivencia y orden público de Cundinamarca
Convenios:  Proyecto convenios para aunar esfuerzos técnicos administrativos y financieros para el mantenimiento, combustible y dotación  de  la fuerza púbica.</t>
  </si>
  <si>
    <t>Frente a los diferentes componentes de asistencia técnica, se ha generado divulgación de datos y cultura ciudadana frente a los delitos y violencias del departamento, no solo a través de redes sociales sino en el programa Estamos Seguros todos los lunes en el Dorado Radio. Asimismo, se ha brindado asistencia técnica a los comités de lucha contra la trata de personas  para su creación y activación, así como prevenir e informar a la comunidad sobre los delitos de la trata de personas. Se está creando los esquemas integrados de reacción articulada, y se han fortalecido al programa de atención psicojurídica DUPLAS a través de la atención, asesoría y coordinación de los procesos de asistencia los casos de violencia contra la mujer. En ella se ha brindado asistencia a las víctimas de los municipios de Funza, Facatativá, Subachoque, Chía, Zipaquirá, Cota, Tenjo, Madrid y Soacha.Se realizó actualización y ajuste de la estrategia “Cundinamarca, cultura de paz y convivencia” y se realiza su socialización en las diferentes provincias y sus respectivos municipios. A ella se llega a 99 municipios de los 116 y se encuentran 1.746 ciudadanos beneficiados en la primera fase. Asimismo, con la estrategia de territorios de paz, se busca llegar a los territorios con mayor índice de violencia y en este cuatrienio, se han llegado a 22 municipios de las 15 provincias, llegando a los alcaldes, secretarios de gobierno, inspectores de policía, personeros municipales, comandantes de policía, juntas de acción comunal, directores de emisoras comunitarias y de ciudadanía beneficiando a 150 ciudadanos. Se han realizó acciones de prevención de delitos, diálogo como herramienta de solución de conflictos, programa radial “el vigilante”. Actividades de emprendimiento, campañas de sensibilización para disminuir accidentes de tránsito, prevención de violencia intrafamiliar, rutas de atención en casos de violencia contra la mujer y prevención de delitos informáticos, convivencia y bullying, entre otros. Se dotó y se apoyo a municipios en la seguridad, justicia y cultura ciudadana.Se ha venido trabajando en el fortalecimiento del observatorio de seguridad y convivencia ciudadana y la línea 1,2,3 ha venido funcionando, garantizando que los cundinamarqueses puedan acudir y denunciar cualquier delito. En la línea de emergencia 123 de Cundinamarca, los operadores brindan el re direccionamiento de las llamadas a los canales de policía, servicio de emergencias médicas y canal psicosocial para la atención oportuna de estos. En lo transcurrido del año se han recibido aproximadamente 290 llamadas, de las cuales el pedido efectivo son del 16%, logrando 6.000 llamadas por  mes. Se logra entonces, canalizar alrededor de 50.000 procesos, efectivos, para disminuir los delitos, evitar suicidios, entre los servicios más importantes. En la actualidad se cuenta con un grupo de 17 operadores y 6 psicosociales los cuales prestan un servicio continuo de 24 horas, los 7 días de la semana para los 116 municipios. El observatorio de seguridad en los 11 meses de año, ha logrado consolidar 7 fuentes directas de información con las que se nutre el sistema de información y se hacen los reportes del observatorio. El observatorio de seguridad y convivencia logra la meta de consolidarse como una herramienta de gestión para la toma de decisiones, el monitoreo de las cifras de criminalidad, violencia y convivencia en el departamento y fuente veraz de información conciliada con varias entidades. Gracias al monitoreo del Observatorio, la Gobernación cuenta con información de fuentes directas que avalan el éxito de la política integral de seguridad ciudadana del departamento y eso se demuestra con los resultados de los 11 primeros meses del año dónde hemos reducidos en un 13,3% los 21 delitos de mayor impacto social comparado con el mismo periodo del año anterior. 17 de estos 21 delitos han presentado una disminución siendo los más relevantes el secuestro que disminuyó en un 96,2% pasando de 26 casos a solo 1 en todo el departamento, los hurtos en todas sus modalidades -exceptuando el de bicicletas que ha aumentado-, se registró una disminución significativa en los delitos sexuales pasando de 786 casos a 590 casos en todo el departamento equivalente a un 25% menos casos que el año anterior.La reducción del homicidio en un 9,6 % durante lo corrido del año es importante y refleja también el éxito de las políticas de convivencia y tolerancia social. Sin embargo es importante decir que cuatro delitos no se han podido reducir y algunos de ellos tienen relación con los efectos de la pandemia y la nueva realidad: ciberdelitos, estafa, violencia intrafamiliar y hurto de bicicletas. Con estas excepciones, todos los demás indicadores del observatorio son positivos comprados con las estadísticas del año anterior. Adicional hemos reactivado los tableros de control geo referenciados con la información de los 116 municipios, los cuales son de libre acceso para consulta de cualquier ciudadano. Se está consolidado por parte de los contratistas información sobre delitos de mayor impacto en el departamento de Cundinamarca, esto con el objetivo de alimentar los informes mensuales arrojados por el observatorio de seguridad y convivencia ciudadana que se encuentran en el micro sitio de la Secretaria de Gobierno.
EIRAS
1- Actualización del documento metodológico de los EIRA . Actualmente se cuenta con la construcción del 40% de un documento metodológico, que condensa las etapas de  planeación, ejecución, seguimiento y evaluación de los Esquemas Integrados de Reacción Articulada.
2- Actualización de las rutas de denuncia a seguir por parte de la ciudadanía en caso de ser  víctima o testigo de un delito. Se cuenta con el diseño del 71% de los esquemas elaborados a través de diagramas de flujo, los cuales le indican al ciudadano cundinamarqués el paso a seguir para realizar una denuncia ante las autoridades competentes en caso de ser vícitima o testigo de un delito. Esto quiere decir, que se cuenta con el diseño de la ruta, para 15 de los 21 delitos. (abigeato, amenazas,  delitos sexuales,  extorsión, homicidio, homicidio a/t, hurto a comercio, hurto a personas, hurto a residencias, hurto automotores,  hurto motocicletas, lesiones a/t, lesiones personales,  secuestro, violencia intrafamiliar
3- Ejecución de los  pilotos de los EIRA. Se cuenta con la programación de los municipios  en los cuales se realizarán los pilotos para implementar los EIRA, esta programación incluye  83 municipios correspondientes a  11 provincias
DUPLAS
El equipo duplas en el corte de 30 de Junio se ha realizado la asistencia a 50 mujeres victimas de violencia, con las cuales se realizo activacion de rutas de atencion y articulacion con las entidades locales con el fin de garantizar asistencia oportuna, en municipios como SOACHA, SIBATE, FUNZA, FACATATIVA, ZIPAQUIRA, MOSQUERA, CAJICA, LA MESA Y FUSAGASUGA.                                                                                   
Se realiza proceso de asignacion de cupo en casa de acogida para un sistema familiar.
De la misma forma, el equipo ha desarrollado 18 asistencias tecnicas en los municipios de FUSAGASUGÁ, GIRARDOT, QUIPILE, LA MESA, SIBATÉ, CACHIPAY, NARIÑO, EL PEÑÓN, FUQUENE, NOCAIMA, PAIME, SAN JUAN DE RIOSECO, ZIPAQUIRÁ, FOMEQUE, FOSCA, ZIPACÓN, EL ROSAL
El equipo realiza apoyo en la recoleccion de informacion con el formato de catacterizacion de violencias del departamento dirigido en esta ocasion a las comisarias de familia priorizadas de la provincia de Sumapaz, con el fin de apoyar la ejecucion de la Ruta M
CULTURA
Se diseño y aprobó la  herramienta para seguimiento y evaluacion de la implementacion de la estrategia.
Se elaboró el borrador de la matriz de seguimiento de implementacion de la estrategia cultura ciudadana y territorios de paz en 107 municipios del departamento.
Se realizo asistencias tecnicas en los municpios de (Madrid,Sesquilé,Nilo,Ricaurte,San Bernardo, Suesca,Chocontá, Guasca, Ubalá), donde se inicia socilaizacion de la estrategia.
Se abordaron 14 provincias para la aplicación de la herramienta de seguimiento y evaluación
OBSERVATORIO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Durante los primeros 3 meses del año 2021 se adelantó la conformación de nuestro equipo que opera la línea de emergencia 123 de Cundinamarca, para este periodo y  en coordinación con la Policía del departamento logramos cubrir la operación atendiendo al llamado de los cundinamarqueses,  en paralelo avanzamos en la construcción de este equipo de operadores y del canal psicosocial, al 30 de abril la línea cuenta con 11 operadores y 2 psicólogos, esperando completar el equipo de 16 operadores y 6 psicólogos para lograr cubrir el servicio los 7 días a la semana las 24 horas.  Desde la parte  técnica y jurídica se adelantó un proceso licitatorio que ya está adjudicado, con el objetivo de activar la red de apoyo del departamento a nivel de comunicaciones, por otro lado en articulación con la secretaria de las TIC se realizaron unas mesas de trabajo en un principio para realizar un  diagnóstico y poder actualizar nuestra aplicación del 123 Cundinamarca y ponerla en funcion del departamento.
Se realizó el levantamiento de la información de los grupos de interes de la Dirección, por parte del equipo de territorio del Observatorio de Seguridad y orden Público
•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 Mediante correo electrónico se hace la solicitud formal a la Policía Nacional de la base de datos de los delitos reportados en el departamento de Cundinamarca
• Elaboración de informe especial de trata de personas y Micro tráfico, datos relevantes del 2021.
• Elaboración de informe sobre DELITOS DE MAYOR IMPACTO ENERO A MAYO 31 DE 2021
• Unificación del informe de delitos del departamento con las entidades que tienen presencia en el departamento.
• Reunión con las entidades encargadas de generar las bases de datos como fuentes de información para realizar el análisis correspondiente de los datos procesados y entregados al inicio del mes.
• Entrega de informe mensual provincial del análisis de las cifras y datos de los 21 delitos procesados en el observatorio de seguridad de Cundinamarca.
• Actualización y divulgación en el micro sitio del observatorio de seguridad, el informe oficial del análisis de los delitos procesados por observatorio de seguridad.
• Se realiza reuniones de coordinación estratégica del equipo asistencial del observatorio de seguridad para el análisis de los informes en el contexto territorial.
Los siguientes municipios se les remitió informe de delitos de alto de alto impacto: Facatativá,Fusagasugá, Zipaquirá, Girardot ,Quebradanegra ,Jerusalen, Guataquí, Pacho,Gachancipá,Pandi,Tocancipá y Anapoima
CODIGO
1.  Conformado el grupo de contratistas,  entre profesionales y tecnicos de apoyo para llevar a cabo la actividad,  se procedio a asignar los temas de la ley 1801 de 2016,  "Código Nacional de Policia y Convivencia", donde cada uno realizó una exposición en reunión presencial en la Sala de Juntas de la Secretaria de Gobierno, el día 27 de Mayo de 2021, con el fin de unificar criterios,  para consolidar estos temas en un sola presentación e inciar las capacitaciones en territorio,  a los Secretarios de Gobierno, Inspectores de Policía, corregidores, Comisarios de Familia y demás autoridades de Policia de los Municipios. a parte de la mitad del mes de junio de 2021. 2. Se realizo contacto con los profesionales que hasta el año 2019 se encontraban conformando la mesa técnica para la construcción del Reglamento de Policia y Convivencia ciudadana  del departamento de Cundinamarca, Dr. William Gonzalez y el contratista Dr. Remberto Torres, (quien se  encontraba vinculado para la época), donde de procedera a revisar los archivos  memorias, actualizar la normativa, gestion que ya se viene realizando con el Doctor WILLIAM GONZALEZ, profesional Univeristario de la Secretaria de Gobierno.
Se realizó actualización de las memorias y proyecto de ordenanza con exposición de motivos del Reglamento de Seguridad y Convivencia ciudadana del Departamento, que fue adelantado en el año 2018, enviando por el Doctor Eduardo Ordoñez. Se definio la presentación y normatidad de los caninos potencialmente peligrosos, concordante con la ley 1801 de 2016, para el trabajo en territorio con los municipios donde funcionan los albergues de Protección animal.
123
En la estrategia de la línea del 123, se brindó el servicio de recepción y atención de llamadas por parte de los operarios, y de la atención y contención del canal psicosocial, que permitieron atender, analizar y redireccionar los casos a las direntes entidades competentes, también se reportaron los datos estadísticos mediante el informe detallado descargado de las plataformas SAGA y SECAD. Se verifica el correcto funcionamiento de la red de apoyo y actualización de los equipos móviles en la plataforma con el apoyo del operador CLARO, evidenciando un monitoreo constante desde la página web KNOX.
Se realizó mesa de trabajo entre el encargado de la mesa de comunicaciones para realizar proyección de la campaña de comunicación para la línea de emergencia de Cundinamarca.
Se actualizó la aplicación de monitoreo del departamento de Cundinamarca  con la capacitación de los operadores que reciben las llamadas en la línea 123  y con  543 líneas distribuidas en (Bomberos, defensa civil, Crue, Policía y ejército) permitiendo mejorar la atención a los 116 municipios, dentro del fortalecimiento institucional se evidencia la mejora del aire acondicionado por parte de la secretaria general  para el funcionamiento del control de máquinas y el apoyo que prestara la secretaria de la mujer para los casos relacionados con violencia contra la mujer.
Se realizaron las piezas comunicativas correspondientes a las actividades realizadas por la secretaría de gobierno, dirección de seguridad y orden público.
TRATA
Se ha construido un documento base, en clave de estado del Arte que permite dar cuenta de las campañas implementadas por las instituciones competentes de orden nacional  . Paso seguido se ha analizado de forma específica las campañas de Fiscalía y Ministerio del interior. A la fecha, el documento se encuentra en fase de creación de la propuesta para prevenir la trata de personas.</t>
  </si>
  <si>
    <t>Informe Técnico de delitos de alto impacto del Departamento correspondiente al mes de enero de 2021 / analisis estadistico de la base de datos de atención en la linea 123 de los meses enero y febrero de 2021
Asistencia técnica</t>
  </si>
  <si>
    <t>EIRAS
1)Actualización del documento metodológico de los EIRA . Actualmente se cuenta con la construcción del 90% de un documento metodológico, que condensa las etapas de planeación, ejecución, seguimiento y evaluación de los Esquemas Integrados de Reacción Articulada.
 2) Actualización de las rutas de denuncia a seguir por parte de la ciudadanía en caso de ser víctima o testigo de un delito. Se cuenta con el diseño del 21 de los esquemas elaborados a través de diagramas de flujo, los cuales le indican al ciudadano cundinamarqués el paso a seguir para realizar una denuncia ante las autoridades competentes en caso de ser víctima o testigo de un delito. Esto quiere decir, que se cuenta con el diseño de la ruta, para 15 de los 21 delitos. (abigeato, amenazas, delitos sexuales, extorsión, homicidio, homicidio a/t, hurto a comercio, hurto a personas, hurto a residencias, hurtos automotores, hurto motocicletas, lesiones a/t, lesiones personales, secuestro, violencia intrafamiliar, Estructuración de los documentos de los esquemas de rutas de atención al ciudadano municipios de Alban, Bituima, Cogua, El peñón, Fúquene, Gacheta, Gama, Guachetá, Guataquí, La palma, Lenguazaque, Macheta, Nimaima, Pacho, Paime, Pasca, San Cayetano, Sibaté, Sopo.
3) Ejecución de los pilotos de los EIRA. Se cuenta con la programación de los municipios en los cuales se realizarán los pilotos para implementar los EIRA, esta programación incluye 83 municipios correspondientes a 11 provincias
Se realizan Asistencias Técnicas Presencial en los municipios de Albán, Bituima, Cabrera, Cachipay, Cáqueza, Cogua, Fómeque, Fúquene, Gacheta, Gama, Guachetá, Guataquí, Lenguazaque, Macheta, Nimaima, Paime, Pasca, San Cayetano, Sopo, Villagómez, La Calera, Caparrapí, Cota, Funza, Guaduas, Guayabal de Síquima, San Antonio de Tequendama, Sesquilé, Sutatausa, Tibacuy, Tibirita, Tocancipá.
Asistencia Técnica virtual: Macheta
Asistencias técnicas 14
1- Documento metodológico de los EIRA. A 31 de octubre se cuenta con la construcción del 95% del documento metodológico, que condensa las etapas de  planeación, ejecución, seguimiento y evaluación de los Esquemas Integrados de Reacción Articulada. (definición, metodología de trabajo, marco normativo, objetivos, plan de acción, información general, diagnóstico de los delitos que afectan la seguridad y convivencia en el departamento, ruta de los EIRA para denunciar en caso de ser víctima o testigo de un delito)
2- Rutas de denuncia.  Se diseñaron través de diagramas de flujo 21 esquemas/rutas, los cuales le indican al ciudadano cundinamarqués el paso a seguir para realizar una denuncia ante las autoridades competentes en caso de ser víctima o testigo de un delito.
A 31 de Octubre realizaron 15 asistencias técnicas en los municipios de Vergara, Junín, Madrid, Yacopí, Tena, Quebrada negra, Ubaque, Guayabetal, Gutiérrez, Nemocón, Pandi, Puerto Salgar, Pulí, San Bernardo, Tausa, Une, Venecia, Ubaté, explicación sobre el esquemas integrados de reacción articulada “EIRA” diagnostico sobre delincuencia de municipio, explicación de los diagramas de flujo y rutas de denuncia
DUPLAS
El equipo duplas en el corte de 30 de Junio se ha realizado la asistencia a 50 mujeres víctimas de violencia, con las cuales se realizó activación de rutas de atención y articulación con las entidades locales con el fin de garantizar asistencia oportuna, en municipios como SOACHA, SIBATE, FUNZA, FACATATIVA, ZIPAQUIRA, MOSQUERA, CAJICA, LA MESA Y FUSAGASUGA.                                                                                   
Se realiza proceso de asignación de cupo en casa de acogida para un sistema familiar.
De la misma forma, el equipo ha desarrollado 18 asistencias tecnicas en los municipios de FUSAGASUGÁ, GIRARDOT, QUIPILE, LA MESA, SIBATÉ, CACHIPAY, NARIÑO, EL PEÑÓN, FUQUENE, NOCAIMA, PAIME, SAN JUAN DE RIOSECO, ZIPAQUIRÁ, FOMEQUE, FOSCA, ZIPACÓN, EL ROSAL
El equipo realiza apoyo en la recolección de información con el formato de caracterización de violencias del departamento dirigido en esta ocasión a las comisarías de familia priorizadas de la provincia de Sumapaz, con el fin de apoyar la ejecución de la Ruta M
El equipo duplas psicojuridicas a la fecha está compuesto por 11 profesionales, 6 jurídicos y 5 psicosociales, se encuentran distribuidos territorialmente, con presencia en los 116 municipios de las 15 provincias del departamento, se han atendido en total de 123 casos de víctimas de violencias basada en genero con sus articulaciones pertinentes. De la misma forma se han ejecutado 24 asistencias técnicas territoriales (capacitaciones) en el departamento.
Para el periodo han atendidos 162 casos de victimas de violencias basada en genero con sus articulaciones pertinentes, atendidos por equipo de trabajo de la misma forma se han ejecutado 5 asistencias técnicas territoriales en el departamento, se ha desarrollado 2 documentos de diagnostico de violencias basadas en género en las provincias de Alto Magdalena y provincia de Sumapaz.
CULTURA
Se diseño y aprobó la herramienta para seguimiento y evaluación de la implementación de la estrategia. Se elaboró el borrador de la matriz de seguimiento de implementación de la estrategia cultura ciudadana y territorios de paz en 107 municipios del departamento. Se realizo asistencias técnicas en los municipios de (Madrid, Sesquilé, Nilo, Ricaurte, San Bernardo, Suesca, Chocontá, Guasca, Ubalá), donde se inicia socialización de la estrategia.
Se abordaron 14 provincias para la aplicación de la herramienta de seguimiento y evaluación
Se desarrolla la herramienta de seguimiento y evaluación de la implementación de la estrategia de cultura ciudadana y territorios de paz en la matriz de seguimiento 7 municipios y en total 112 han entregado la información a la fecha. 
Se realizo la aplicación de  la matriz de seguimiento de implementación de la estrategia cultura ciudadana y territorios de paz en los municipios de: Guaduas, Puerto Salgar, Cabrera, Venecia, Pandi, Fusagasugá, Tibacuy, Arbeláez, Pasca, Granada, Guayabal De  Siquima, Bituima, Viani, San Juan De Rioseco, Chaguaní, Pulí, Mosquera, Madrid, Girardot, Soacha, Sibaté, Guatavita, Subachoque, Villa Pinzón, Chocontá, Suesca, Macheta, Tibirita, Manta, Alban y  Fosca.
Se realizaron asistencias técnicas y capacitaciones en temas de convivencia y seguridad en los municipios de Madrid, Mosquera, Nilo, Soacha, Fusagasugá, Funza, Bojacá, Agua De Dios,  Guaduas, Pulí, Vianí, Venecia, Chaguaní, Viani, Choconta, Subachoque, Bojaca, Nilo, Tocaima, Manta, Alban, Nariño, Guataquí y Tocaima
Se realizaron reuniones virtuales con el fin adelantar seguimiento a los comités civiles de seguridad y convivencia en los municipios de Chocontá, Apulo, Viotá, Guaduas, Caparrapí, Nilo, Tocaima
Asistencias técnicas 24
Hasta el 31 de Octubre se han recopilado los decretos de Creación de los siguientes municipios Paime, El Peñón, Topaipi, Yacopí ,Nimaima, Nocaima, Quebrada negra, Utica, Chaguaní, Cucunuba, Guachetá, Simijaca, Sutatausa, Ubaté, Quipile, Cáqueza, Ubaque, Chipaque, Gutiérrez, Fómeque, Une
En la estrategia de cultura ciudadana y territorios de paz los contratista realizaron  la  aplicación de  la matriz de seguimiento  en los municipios de:  Pacho, La Palma, San Cayetano, Villagomez, Bojaca, Utica, Yacopi, Nimaima, Nocaima, Macheta, Manta, Suesca, Tibirira, Villapinzon, Topaipi, El Peñon, Madrid, Girardot. Pto Salgar,  San Antonio Del Tequendama
Se realizaron asistencias técnicas y capacitaciones en temas de convivencia y seguridad en los municipios de Madrid, Nilo, Nariño, Agua De Dios, Guataqui, Girardot, Apulo, Choconta, Tocaima, Cahipay, Anolaima,
Se realizaron capacitaciones virtuales en temas de convivencia y seguimiento a la matriz e los municipios de CACHIPAY
Asistencias técnicas 24
OBSERVATORIO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Durante los primeros 3 meses del año 2021 se adelantó la conformación de nuestro equipo que opera la línea de emergencia 123 de Cundinamarca, para este periodo y  en coordinación con la Policía del departamento logramos cubrir la operación atendiendo al llamado de los cundinamarqueses,  en paralelo avanzamos en la construcción de este equipo de operadores y del canal psicosocial, al 30 de abril la línea cuenta con 11 operadores y 2 psicólogos, esperando completar el equipo de 16 operadores y 6 psicólogos para lograr cubrir el servicio los 7 días a la semana las 24 horas.  Desde la parte  técnica y jurídica se adelantó un proceso licitatorio que ya está adjudicado, con el objetivo de activar la red de apoyo del departamento a nivel de comunicaciones, por otro lado en articulación con la secretaria de las TIC se realizaron unas mesas de trabajo en un principio para realizar un  diagnóstico y poder actualizar nuestra aplicación del 123 Cundinamarca y ponerla en funcion del departamento.
Se realizó el levantamiento de la información de los grupos de interes de la Dirección, por parte del equipo de territorio del Observatorio de Seguridad y orden Público
•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 Mediante correo electrónico se hace la solicitud formal a la Policía Nacional de la base de datos de los delitos reportados en el departamento de Cundinamarca
• Elaboración de informe especial de trata de personas y Micro tráfico, datos relevantes del 2021.
• Elaboración de informe sobre DELITOS DE MAYOR IMPACTO ENERO A MAYO 31 DE 2021
• Unificación del informe de delitos del departamento con las entidades que tienen presencia en el departamento.
• Reunión con las entidades encargadas de generar las bases de datos como fuentes de información para realizar el análisis correspondiente de los datos procesados y entregados al inicio del mes.
• Entrega de informe mensual provincial del análisis de las cifras y datos de los 21 delitos procesados en el observatorio de seguridad de Cundinamarca.
• Actualización y divulgación en el micro sitio del observatorio de seguridad, el informe oficial del análisis de los delitos procesados por observatorio de seguridad.
• Se realiza reuniones de coordinación estratégica del equipo asistencial del observatorio de seguridad para el análisis de los informes en el contexto territorial.
Los siguientes municipios se les remitió informe de delitos de alto de alto impacto: Facatativá, Fusagasugá, Zipaquirá, Girardot, Quebradanegra, Jerusalen, Guataquí, Pacho, Gachancipá, Pandi, Tocancipá y Anapoima
En el mes de julio se realizan 7 asistencias técnicas en municipios priorizados y 3 por municipios no priorizados por parte del observatorio de seguridad y convivencia de la siguiente manera.
1) Fusagasugá: Asistencia técnica en análisis de los delitos de homicidios y lesiones de tránsito, 2) Cajicá : Asistencia técnica en la oferta de servicios del observatorio de seguridad y convivencia , 3) Facatativá: Socialización del análisis de los delitos y comparativo del mes de mayo, 4) Madrid: Socialización del análisis de los delitos en el municipio y el departamento. Asesoría en la creación de un observatorio e seguridad para el municipio. 5) Chía: Asistencia técnica de acompañamiento en jornada de seguridad y socialización de oferta del observatorio de seguridad. 6) La Mesa: presentación portafolios de servicios Secretaria de gobierno/ en cuanto al OSCC 7) La Mesa: presentación portafolios de servicios Secretaria de gobierno  en cuanto al OSCC, 8) Tibacuy: Asistencia técnica en capacitación  la comunidad educativa sobre Violencia Intrafamiliar
Por parte del equipo de sistema de información se realiza la respectiva solicitud de la base de delitos a la policía nacional mediante acta y reunión con los encargados de suministrar dicha información, así mismo se procesa la información del mes de junio y del primer semestre del año en curso, se realiza el mapa de georeferenciaón respectiva de Choachi, Soacha y Tocancipá.
Por parte del equipo de análisis se realiza el informe semestral para publicar en la página y el informe semestral de microtráfico en el departamento.
Actualización constante de la página web del observatorio de seguridad y convivencia como canal de comunicación e información para los cundinamarqueses.  1) Protocolos de respuesta 2)Protocolo de atención y convivencia 3) Protocolo de derechos humanos
Con un acumulado de 53 asistencias técnicas en el año  y  para septiembre 31 asistencias técnicas  realizadas en los municipios de Fusagasugá, Quetame, Mosquera, Ubaté, Tibacuy, Pandi, Girardot, Chia, Facatativa, Yacopi, Mosquera, Madrid, La palma, Cota, La calera, Guayabal de Siquima, Guasca y  Viani, se realizó un Informe especial de  estadísticas de la  línea 123, seguimiento e informe especial de delitos en Fusagasugá, 3 mapas de georreferenciación en  sabana centro y Fusagasugá, se realizó un informe especial de microtráfico, se actualiza y se realiza  divulgación constante de información de interés en el micrositio del observatorio de seguridad, se cumple con el 100% el plan de trabajo reportado a planeación.
Para el mes de octubre se realizaron 31 asistencias técnicas teniendo un total de 67 asistencias para el año 2021 , Se entrega el análisis  que contienen informes especiales de los delitos de alto impacto en Cundinamarca y registros de georreferenciación.  se realiza   informe trimestral del análisis de las cifras y datos de los 21 delitos procesados en el observatorio de seguridad de Cundinamarca, se mantiene la actualización y divulgación constante de información de interés en el micrositio del observatorio de seguridad, se cumple con el 100% el plan de trabajo reportado a planeación.  Para este mes se lanza la estrategia denominada "Laboratorio regional de seguridad" en articulación con la Universidad Militar, Asocentro y   los municipios pertenecientes a la provincia de sabana centro donde se analiza las diferentes tendencias del delito en esta provincia.
CODIGO
1.  Conformado el grupo de contratistas,  entre profesionales y técnicos de apoyo para llevar a cabo la actividad,  se procedió a asignar los temas de la ley 1801 de 2016,  "Código Nacional de Policía y Convivencia", donde cada uno realizó una exposición en reunión presencial en la Sala de Juntas de la Secretaria de Gobierno, el día 27 de Mayo de 2021, con el fin de unificar criterios,  para consolidar estos temas en un sola presentación e iniciar las capacitaciones en territorio,  a los Secretarios de Gobierno, Inspectores de Policía, corregidores, Comisarios de Familia y demás autoridades de Policía de los Municipios. a partir de la mitad del mes de junio de 2021. 2. Se realizo contacto con los profesionales que hasta el año 2019 se encontraban conformando la mesa técnica para la construcción del Reglamento de Policia y Convivencia ciudadana  del departamento de Cundinamarca, Dr. William Gonzalez y el contratista Dr. Remberto Torres, (quien se  encontraba vinculado para la época), donde de procedera a revisar los archivos  memorias, actualizar la normativa, gestion que ya se viene realizando con el Doctor WILLIAM GONZALEZ, profesional Univeristario de la Secretaria de Gobierno.
Se realizó actualización de las memorias y proyecto de ordenanza con exposición de motivos del Reglamento de Seguridad y Convivencia ciudadana del Departamento, que fue adelantado en el año 2018, enviando por el Doctor Eduardo Ordoñez. Se definió la presentación y normatividad de los caninos potencialmente peligrosos, concordante con la ley 1801 de 2016, para el trabajo en territorio con los municipios donde funcionan los albergues de Protección animal.
A corte de Julio realizó asistencia técnica y capacitaciones en territorio del Código Nacional de Seguridad y Convivencia Ciudadana, Ley 1801 de 2016, en los Municipios de: Fusagasugá,  Pasca. Silvania y Granada de la Provincia de Sumapaz, y en los municipios de la Palma, Paime, Villagómez, y Yacopí, de la Provincia de Rionegro, donde además se recopilan las encuestas y memorias para la construcción del Reglamento de Seguridad y Convivencia Ciudadana del Departamento de Cundinamarca.
En este periodo se vienen realizando asistencia técnica y capacitaciones en territorio del Código Nacional de Seguridad y Convivencia Ciudadana, Ley 1801 de 2016, en los Municipios de: Gachetá, Gachalá, Gama, Guasca, Guatavita, Junín, Ubalá y La Calera de la provincia del Guavio, donde además se recopilan las encuestas y memorias para la construcción de Nuestro Reglamento de Seguridad y Convivencia Ciudadana del Departamento de Cundinamarca.
Al 31 de Octubre  se vienen realizando asistencia técnica y capacitaciones en territorio,   del Codigo Nacional de Seguridad y Convivencia Ciudadana, Ley 1801 de 2016,  en los Municipios de: La Calera y Caparrapi , donde además se recopilan las encuestas y memorias para la construcción de Nuestro Reglamento de Seguridad y Convivencia Ciudadana del Departamento de Cundinamarca.
123
En la estrategia de la línea del 123, se brindó el servicio de recepción y atención de llamadas por parte de los operarios, y de la atención y contención del canal psicosocial, que permitieron atender, analizar y redireccionar los casos a las diferentes entidades competentes, también se reportaron los datos estadísticos mediante el informe detallado descargado de las plataformas SAGA y SECAD. Se verifica el correcto funcionamiento de la red de apoyo y actualización de los equipos móviles en la plataforma con el apoyo del operador CLARO, evidenciando un monitoreo constante desde la página web KNOX.
Se realizó mesa de trabajo con la estrategia de comunicaciones de la secretaria de gobierno para la línea 123 de Cundinamarca  mediante un video y la elaboración de una pieza grafica los cuales serán presentados mediante redes sociales (twitter, instagram, Facebook, estados de whatsapp  y youtube ) todo esto queda plasmado en las actas correspondientes y en el plan de comunicaciones.
Se actualizó la aplicación de monitoreo del departamento de Cundinamarca  con la capacitación de los operadores que reciben las llamadas en la línea 123  y con  543 líneas distribuidas en (Bomberos, defensa civil, Crue, Policía y ejército) permitiendo mejorar la atención a los 116 municipios, dentro del fortalecimiento institucional se evidencia la mejora del aire acondicionado por parte de la secretaria general  para el funcionamiento del control de máquinas y el apoyo que prestara la secretaria de la mujer para los casos relacionados con violencia contra la mujer.
La línea de emergencias 123 del departamento garantizo el servicio a los 116 municipios de Cundinamarca,  el 83%  de los municipios reportaron casos a la línea de emergencias 123, estos municipios se detalla en el informe estadístico mensual cargado en el repositorio,  en donde Soacha fue el municipio más afectado con él 40% dentro del top 12 que se maneja en el informe mensual, de igual forma en el informe mensual estadístico se detalla el TOP 20  de  los municipios con más casos reportados y su clasificación. Para esta actividad se estableció un peso ponderado del 40% y a la fecha reportaron un avance del 29%.
Los casos recibidos al canal psicosocial fueron atendidos por parte de los 2 psicólogos de la línea 123 y en colaboración y apoyo, se encuentra el personal asignado por parte de la secretaria de gobierno, entregando una respuesta inmediata a las autoridades competentes como: comisarías de familia, duplas ICBF, secretaria de salud y fiscalía, los casos reportados al canal psicosocial fueron, violencia intrafamiliar con 61,22%, intento de suicidio 11.86%, requerimiento psicosocial 6,94%, violencia contra la mujer y dificultad con los padres 4.08%, abandono de menores 2,86%, persona desaparecida 2,06% entre otras como depresión, demencia, violencia física, suicidio, maltrato infantil, violencia sexual, violencia psicológica, desaparición y adulto mayor maltratado, cada uno con el 1%, posteriormente el 17 de septiembre se establece una reunión entre el canal psicosocial y el observatorio para determinar la canalización de los casos sobre equidad y género y el funcionamiento del canal psicosocial en la línea 123.
Para esta actividad se estableció un peso ponderado del 20% y a la fecha reportaron  un avance del 15%.
La línea 123 en coordinación con los ingenieros de la secretaria del área de las Tic, establecieron mediante un documento de requerimientos, una solicitud en la modificación y actualización de los módulos que se encuentran en la red de apoyo para garantizar, la georreferenciación y mapeo de los datos en la plataforma, por lo cual fueron elaborados un manual de usuario, los requerimientos funcionales de la plataforma y las correspondientes pruebas realizadas, todo con el fin del buen uso del aplicativo que maneja la línea 123. Para el aplicativo APP 123, la línea de emergencias en conjunto con la secretaria del tic, permitieron la modificación, estructuración y actualización de los módulos, garantizando las mejoras establecidas como integración de datos, incorporación de la información, visualización de los casos reportados mediante mapas de calor y graficas de los datos recibidos.
Para del periodo del 1 al 31 de Octubre en la línea de emergencia de Cundinamarca se presentaron 4 informes estadísticos semanales del mes de octubre del 2021, con la estrategia de comunicaciones se divulgaron en las red social Twitter, permitiendo una divulgación de las llamadas reportadas en la línea 123, Para el aplicativo APP 123, la línea de emergencias en se ha realizado trabajo con la secretaria de las tic, han permitido la modificación, estructuración y actualización de los módulos, garantizando las mejoras establecidas como adhesión de datos, unión de la información, visualización de los casos reportados por medio de mapas de calor y graficas de los datos recibidos, para lo que se estructuro una ficha técnica, un manual de los datos que se reportan a diario y un documento de pruebas hechas en el aplicativo.
COMUNICACIONES
El equipo de comunicación  de la secretaria de Gobierno, brindo el apoyo en la divulgación de las diferentes estrategias y metas con el desarrollo de las piezas comunicativas que son difundidas en los diferentes medios de comunicación donde se muestran las correspondientes actividades realizadas, en la emisora Dorado radio se ha brindado el espacio para el programa ESTAMOS SEGUROS.
TRATA
Se ha construido un documento base, en clave de estado del Arte que permite dar cuenta de las campañas implementadas por las instituciones competentes de orden nacional . Paso seguido se ha analizado de forma específica las campañas de Fiscalía y Ministerio del interior. A la fecha, el documento se encuentra en fase de creación de la propuesta para prevenir la trata de personas.
 A corte del 30 de Julio se ha realizado la constitución de los Comités municipales de lucha contra la Trata de personas en 20 municipios de Cundinamarca, para lo cual es necesario ejecutar hasta 3 sesiónes por municipio de tal modo que se consolide el producto final, el cual es Decreto de constitución. Se inició un proceso de gestión para creación de comités (vía llamada y correo electrónico). De los veinte municipios a impactar se ha logrado comunicación eficiente con 17 municipio.
Se brindaron asistencia técnica a los municipios de Guayabal de Siquima, Pasca.
Se dio continuidad al proceso de construcción del documento técnico que guía la propuesta de campaña para la prevención de la trata de personas en los municipios de Cundinamarca.  Se construyó un documento guía de intervención para cualificar los contratistas que participarán de la campaña de creación de comités municipales, allí se expresan los lineamientos básicos para transmitir de información mediante las charlas.
Se realizó asistencia técnica en los municipios para la cualificación personal municipal frente a conceptos clave, normatividad relacionado a trata de personas. Adicional a ello, se ha creado e institucionalizado los comités municipales contra la trata de personas.
Realizaron documento de seguimiento frente a los delitos de violencia sexual y trata de personas, el análisis abarca las provincias de Cundinamarca. Se diseñó material de apoyo en formato diapositivas para la implementación de campaña sobre la trata de personas y violencia sexual.
 Se enriqueció el documento técnico de campaña frente a trata de personas y violencia sexual. Implementación de campaña contra la trata de personas y violencia sexual (municipios impactados: Beltrán)
Para el periodo del 1 al 31 Octubre se constituyeron  nueve(9) comités  municipales contra la trata de personas.
Se diseñó prototipo arte de piezas graficas sobre trata de personas, se realizó informe técnico sobre delitos sexuales en Cundinamaarcaen el periodo   2020, Se realizó informe sobre tráfico ilícito asistencia técnica sobre campaña de personas en los municipios</t>
  </si>
  <si>
    <t>Se inició a formular la estrategia para prevenir, controlar y combatir el microtráfico en los municipios, se está realizando un diagnóstico preliminar de microtráfico logrando un documento técnico de la estrategia de prevención, control y mitigación del microtráfico en el departamento de Cundinamarca y un diagnóstico preliminar de la misma.Se ha brindado asistencia técnica territorial a los  116 municipios frente al consumo de SPA y código de convivencia y demás normas que rigen. Se han aumentando las labores de control a través del aumento de fuerza pública en los corredores de las provincias y fortalecimiento de operativos de control y mitigación del delito y se ha mantenido el apoyo en la realización de procesos de captura de GAO.
Se elaboró el documento de estrategia de intervención para prevenir, controlar y combatir el microtrafico en los municipios del departamento el cual fue puesto a disposición de la dirección de seguridad y orden público
Se encuentra en la recolección de información solicitada a la fuerza publica, al observatorio de drogas de colombia y observatorio de seguridad del departamento de cundinamarca.
Se realizó la conformación y/o reactivación de los comites cescolares de prevención del consumo de sustancias psicoactivas en las instituciones educativas departamentales.      Se han realizado reuniones virtuales con las autoridades educativas con el fin de buscar la concientización y fomento de la prevención del consumo de sustancias psicoactivas en la comunidad educativa.
La Secrtetaría ha venido trabajando de manera permanente y articulada con la policia nacional y el ejercito nacional, con el fin de des mantelar las estructuras criminales dedicadas al microtrafico en el departamento y judicializar a sus integrantes. Para el mes de mayo:
Se solicitó el reporte de insumos, para la elaboración del mapa de riesgo a la línea 123, Observatorio de seguridad departamental y Secretaría de Salud del departamento.
Se entrega la tercera versión del documneto técnico "Estrategia PCC - Cundinamarca de frente contra el microtráfico".
Se realiza depuración de actividades propuestas para la materializacion de la estrategia objetivo de la meta, las cuales son incorporadas al documento técnico de la estrategia "PCC, Cundinamarca de frente contra el microtráfico".
Se realiza proyección de matriz de actividades propuestas para la implementación de la estrategia "PCC-Cundinamarca de frente contra el microtráfico"
Se construyeron instrumentos que se aplicarán en territorio frente a la  situación actual del comportamiento del microtráfico en el Departamento.
Se sugiere cambio a "Fortalecimiento de la capacidad  de inteligencia de la fuerza pública" enfocado en el control y combate de los mercados locales de drogas.
Se encuentran agendadas reuniones con Departamento de Policía Cundinamarca y Policía designada para el centro de lllamadas 1,2,3 de Cundinamarca para el 31 de mayo y el 01 de junio de 2021, con el fin de articular acciones encaminadas coordinar las operaciones contra el microtráfico.
Para el mes de mayo
La Secrtetaría ha venido trabajando de manera permanente y articulada con la policia nacional y el ejercito nacional, con el fin de des mantelar las estructuras criminales dedicadas al microtrafico en el departamento y judicializar a sus integrantes.
Se encuentra en etapa de aplicación, el instrumento tipo encuesta sobre percepción institucional y comunitaria de la situación del departamento en materia de mercados locales de drogas.
Se solicita la colaboración al observatorio de convivencia y seguridad ciudadana de Cundinamarca, y se materializa la aplicación de un mapa de calor virtual sobre las zonas con mayor afectación de microtráfico.
Se establecieron contacto con los enlaces de SIJIN DECUN través de línea telefónica y correo electrónico , con el fin de mantener la información actualizada sobre operatividad.</t>
  </si>
  <si>
    <t xml:space="preserve">Se elaboró el documento de estrategia de intervención para prevenir, controlar y combatir el microtrafico en los municipios del departamento el cual fue puesto a disposición de la dirección de seguridad y orden público
Se encuentra en la recolección de información solicitada a la fuerza publica, al observatorio de drogas de colombia y observatorio de seguridad del departamento de cundinamarca.
Se realizó la conformación y/o reactivación de los comites cescolares de prevención del consumo de sustancias psicoactivas en las instituciones educativas departamentales.      Se han realizado reuniones virtuales con las autoridades educativas con el fin de buscar la concientización y fomento de la prevención del consumo de sustancias psicoactivas en la comunidad educativa. La Secrtetaría ha venido trabajando de manera permanente y articulada con la policia nacional y el ejercito nacional, con el fin de des mantelar las estructuras criminales dedicadas al microtrafico en el departamento y judicializar a sus integrantes. Para el mes de mayo:
Se solicitó el reporte de insumos, para la elaboración del mapa de riesgo a la línea 123, Observatorio de seguridad departamental y Secretaría de Salud del departamento. Se entrega la tercera versión del documento técnico "Estrategia PCC - Cundinamarca de frente contra el microtráfico".
Se realiza depuración de actividades propuestas para la materialización de la estrategia objetivo de la meta, las cuales son incorporadas al documento técnico de la estrategia "PCC, Cundinamarca de frente contra el microtráfico".
Se realiza proyección de matriz de actividades propuestas para la implementación de la estrategia "PCC-Cundinamarca de frente contra el microtráfico" Se construyeron instrumentos que se aplicarán en territorio frente a la situación actual del comportamiento del microtráfico en el Departamento. Se sugiere cambio a "Fortalecimiento de la capacidad de inteligencia de la fuerza pública" enfocado en el control y combate de los mercados locales de drogas.
Se encuentran agendadas reuniones con Departamento de Policía Cundinamarca y Policía designada para el centro de llamadas 1,2,3 de Cundinamarca para el 31 de mayo y el 01 de junio de 2021, con el fin de articular acciones encaminadas coordinar las operaciones contra el microtráfico.
Para el mes de mayo: La Secrtetaría ha venido trabajando de manera permanente y articulada con la policia nacional y el ejercito nacional, con el fin de des mantelar las estructuras criminales dedicadas al microtrafico en el departamento y judicializar a sus integrantes. Se encuentra en etapa de aplicación, el instrumento tipo encuesta sobre percepción institucional y comunitaria de la situación del departamento en materia de mercados locales de drogas. Se solicita la colaboración al observatorio de convivencia y seguridad ciudadana de Cundinamarca, y se materializa la aplicación de un mapa de calor virtual sobre las zonas con mayor afectación de microtráfico. Se establecieron contacto con los enlaces de SIJIN DECUN través de línea telefónica y correo electrónico , con el fin de mantener la información actualizada sobre operatividad.
Para corte del mes de Julio con el apoyo del observatorio de convivencia y seguridad de Cundinamarca, se desarrolla y publica la herramienta tecnológica mapa de calor de la actividad y dinámica de los mercados locales de drogas en el Departamento. Con base en la depuración realizada sobre las actividades a desarrollar en el marco de la estrategia "PCC, Cundinamarca de frente contra el microtráfico" se compila  y genera documento preliminar con dicho resultado.
Recolección de encuestas aplicadas en los diferentes municipios a Servidores Públicos del sector gobierno y presidentes de JAC frente a su percepción de la dinamica del microtráfico en sus respectivos municipios.
Con el fin de brindar elementos sufiicientes a la fuerza pública para un correcto ejercicio de inteligencia enfocado en los mercados locales de drogas, se concerta espacio de participación con el Observatorio de Convivencia y seguridad ciudadana de Cundinamarca, los días Lunes de cada semana, con el fin de evaluar el comportamiento del delito en el departamento.
Por denuncia recibida en el despacho del Señor Secretario Dr. José Leonardo Rojas, se proyecta, con base en el artículo 21 de la ley 1437 de 2011 y con el animo de que las autoridades competentes tengan conocimiento de la conducta delictiva denunciada por la ciudadanía, se proyecta oficio dando traslado a los mismos.
En el marco del reporte de avances de los pilares de la Política Nacional Ruta Futuro, se toma como base el reporte enero julio 2020-2021 emanado del Observatorio de Seguridad y Convivencia Ciudadana.
Documento en versión final junto con acciones concretas de la estrategia integral para prevenir, controlar y combatir el microtráfico en los municipios del Departamento "PCC, Cundinamarca de frente contra el microtráfico", pendiente de revisión y análisis por parte del Señor Secretario de Gobierno y el Señor Director de Seguridad y Orden Público.
Encuestas de percepción sobre la situación del microtráfico en el Departamento de Cundinamarca, tabuladas y como soporte para el diagnóstico de la estrategia PCC, Cundinamarca de Frente contra el microtráfico.
Se convoca a espacio de articulación con la seccional de investigación del Departamento de Policía de Cundinamarca, con el fin de analizar acciones de fortalecimiento de la capacidad de inteligencia y a su vez, analizar la situación real y actual de los mercados locales de drogas en el departamento.
Se realizo la entrega del documento técnico con La prevención, el control y el combate del microtráfico, desde la Política Integral Para Enfrentar el Problema de las Drogas – Ruta Futuro del Ministerio de Justicia, en el departamento de Cundinamarca. “Estrategia Cundinamarca de frente contra el microtráfico”
Asistencias técnica en el municipio de Agua de Dios.                                                                                                                                                                                                        </t>
  </si>
  <si>
    <t>335 actores municipales con conocimientos en la creación , implementación y fortalecimiento de los comités de derechos humanos y derecho internacional humanitario municipales en los 116 municipios del departamento.Articulación para la actualización de la ruta de protección individual y/o colectiva del Departamento de Cundinamarca, en favor de líderes y lideresas de organizaciones y movimientos sociales y comunales, y defensores y defensoras de derechos humanos que se encuentren en situación de riesgo.En proceso de actualización del Plan Integral de Prevención de violaciones a derechos humanos e infracciones al derecho internacional humanitario del Departamento de Cundinamarca.A la fecha se han realizado asistencias técnicas en la creación, implementación y fortalecimiento de los comités de DDHH y DIH municipales.Conformación del comité de migraciones venezolanos para el departamento de Cundinamarca, bajo la coordinación de la Secretaría de Cooperación y Enlace Territorial. La Secretaría de Gobierno, a través de la Dirección de Convivencia, Justicia y Derechos Humanos, tiene a cargo la ejecución de los protocolos de retorno voluntario y regularización de migrantes. Se llevó a cabo la elección del representante de organizaciones no gubernamentales que trabajan por la promoción y defensa de los derechos humanos, ante el Consejo Departamental de Paz, Reconciliación y Convivencia de fecha 22 de mayo de 2020.Se llevó a cabo el I Comité Departamental de Derechos Humanos y Derecho Internacional Humanitario de fecha 21 de agosto de 2020, con la participación de todos los miembros del Comité.</t>
  </si>
  <si>
    <t>CONFORMACIÓN DE 95 CMDDHHH,  CONSTRUCCION Y SOCIALIZACION CON LOS GRUPOS TECNICOS DEL COMITÉ DEPARTAMENTAL DE DDHH DEL PLAN DE ACCIÓN INTEGRAL DE DDHHH DEL DEPARTAMENTO, A SU VEZ SE CONSOLIDO EL PLAN DE ACCIÓN DEL COMITE DEPARTAMENTAL DE DDHH CON LA PARTICIPACIÓN DEL 100% DE LAS ENTIDADES ADCRITAS AL DEPARTAMENTO. ADJUDICACIÓN CONTRATO DE DOTACIÓN A PERSONEROS, EN CONCEPTO TICS CONTRATO DE DOTACIÓN A COMISARIOS DE FAMILIA, CONSOLIDACIÓN DE INFORMACIÓN DE FORMULARIOS DE DIAGNOSTICOS MUNICIPALES DE DDHH</t>
  </si>
  <si>
    <t>196 actores institucionales beneficiados en 64 municipios, con conocimiento permanente en la creación, implementación y fortalecimiento de los comités de libertad religiosa, de cultos y conciencia municipales, así como en la formulación de la Política Pública de libertad religiosa, de cultos y conciencia en los municipios del departamento de Cundinamarca. Debido a la pandemia COVID 19, se realiza gestión y articulación para la entrega de 3.469 ayudas humanitarias al sector interreligioso del departamento de Cundinamarca en el marco del Programa Presidencial Colombia Está Contigo Un Millón de Familias. Se brindan assitencia tecnica en lo referente a la conformación y fortalecimiento de los comités municipales de Libertad Religiosa a 14municipios del departamento.</t>
  </si>
  <si>
    <t>CONSOLIDACIÓN DEL 43 % DE ACOMPAÑAMIENTO DE LOS ENTES TERRITORIALES EN LA GARANTIA DEL DERECHO DE LA LIBERTAD RELIGIOSA, SE CONSOLIDARON 30 INSTANCIAS DE PARTICIPACIÓN MUNICIPALES DE LIBERTAD RELIGIOSA, EL ACOMPAÑAMIENTO A 8 POLITICAS PUBLICAS MUNICIPALES DE LIBERTAD RELIGIOSA, CULTOS Y CONCIENCIA.</t>
  </si>
  <si>
    <t>Entrega de la información solicitada a las diferentes secretarías, la emergencia sanitaria ocasionada por el covid-19, fallas en la articulación institucional en la comunicación y ejecución de actividades.</t>
  </si>
  <si>
    <t>Se han venido realizando seguimiento a la suscripción de convenios administrativos para el funcionamiento de los CETRAS y se ha brindado asistencia técnica a los circuitos judiciales priorizados. A su vez, se viene realizando la caracterización de los 14 cetrasSe realiza el diagnóstico y se implementa el plan de acción del comité departamental de Cundinamarca del SRPA en la línea estratégica Diseño de Política Pública y Desarrollo Normativo, en la línea de subprevención desde la formulación de la estrategia de prevención del delito, teniendo en cuenta la política pública departamental de infancia y adolescencia, generando revisión documental y metodológica de lineamientos nacionales en prevención de la vinculación de adolescentes y jóvenes en la vida delictiva, y desarrollo de metodologías de prevención.
*Articulación con entidades a nivel departamental y nacional como Ministerio de Justicia, ICBF, Policía, Fiscalía y Secretaría de Seguridad, Convivencia y Justicia de Bogotá, con el fin de llevar a cabo acciones conjuntas en tono al Sistema de Responsabilidad Penal para Adolescentes (SRPA).                                                                                                         
*Participación en las Asistencias Técnicas das por el Ministerio de Justicia en temas de: Diseño de Politícas Públicas y Desarrollo Normativo y Justicia Juvenil Restaurativa. 
 *Reuniones de articulación con autoridades municipales en los municipios donde se encuentran ubicados los circuitos judiciales.                                                                                           *Asistencias técnicas y/o capacitaciones a funcionarios de los Centros Transitorios (CETRAS) .                                    
*Participación en las Asistencias Técnicas das por el ICBF en temas de: Funcionamiento de los 15 Cetras en Cundinamarca.                                                                                         
*Distribución de los 15 Cetras del Departamento al grupo de contratistas, con el fin de comenzar a realizar asistencias técnicas en los municipios cabecera de circuito.   
*Se viene realizando un análisis y estudio del documento denominado "Diagnóstico descriptivo en quince municipios de Cundinamarca sobre la vinculación de adolescentes y jóvenes a la comisión de delitos", con el fin de evaluar y revisar que Cetras necesitan adecuamientos en sus estructuras y así poder comenzar a realizar asistencias técnicas a cada circuito judicial.
Adicionalmente se solicitó a la Policia Nacional y al Observatorio de Seguridad y Convivencia el comportamiento delictual presentado durante los años 2016, 2017, 2018, 2019 y 2020, con el fin de actualizar las cifras del Diagnóstico.
Se estableció un formato estandar, denominado "Estado Actual de los Cetras", con la finalidad de revisar las instalaciones, sobre la estructura física de los Centros Transitorios (CETRAS), donde se brinda atención transitoria mientras se define la situación jurídica a los menores entre catorce (14) y dieciocho (18) años de edad que presuntamente hayan incurrido en una conducta punible, con el propósito de establecer el estado actual de estos, ubicados en los municipios cabecera de los circuitos judiciales del Departamento.</t>
  </si>
  <si>
    <t xml:space="preserve">*Articulación con entidades a nivel departamental y nacional como Ministerio de Justicia, ICBF, Policía, Fiscalía y Secretaría de Seguridad, Convivencia y Justicia de Bogotá, con el fin de llevar a cabo acciones conjuntas en tono al Sistema de Responsabilidad Penal para Adolescentes (SRPA).                                                                                                         
*Participación en las Asistencias Técnicas das por el Ministerio de Justicia en temas de: Diseño de Politícas Públicas y Desarrollo Normativo y Justicia Juvenil Restaurativa. 
 *Reuniones de articulación con autoridades municipales en los municipios donde se encuentran ubicados los circuitos judiciales.                                                                                           *Asistencias técnicas y/o capacitaciones a funcionarios de los Centros Transitorios (CETRAS) .                                    
*Participación en las Asistencias Técnicas das por el ICBF en temas de: Funcionamiento de los 15 Cetras en Cundinamarca.                                                                                         
*Distribución de los 15 Cetras del Departamento al grupo de contratistas, con el fin de comenzar a realizar asistencias técnicas en los municipios cabecera de circuito.   
*Se viene realizando un análisis y estudio del documento denominado "Diagnóstico descriptivo en quince municipios de Cundinamarca sobre la vinculación de adolescentes y jóvenes a la comisión de delitos", con el fin de evaluar y revisar que Cetras necesitan adecuamientos en sus estructuras y así poder comenzar a realizar asistencias técnicas a cada circuito judicial.
Adicionalmente se solicitó a la Policia Nacional y al Observatorio de Seguridad y Convivencia el comportamiento delictual presentado durante los años 2016, 2017, 2018, 2019 y 2020, con el fin de actualizar las cifras del Diagnóstico.
Se estableció un formato estandar, denominado "Estado Actual de los Cetras", con la finalidad de revisar las instalaciones, sobre la estructura física de los Centros Transitorios (CETRAS), donde se brinda atención transitoria mientras se define la situación jurídica a los menores entre catorce (14) y dieciocho (18) años de edad que presuntamente hayan incurrido en una conducta punible, con el propósito de establecer el estado actual de estos, ubicados en los municipios cabecera de los circuitos judiciales del Departamento.  Actualmente los Contratistas vienen realizando la inspección de las instalaciones físicas a cada uno de los CETRAS.
Realizaron articulación con entidades a nivel departamental y nacional como Ministerio de Justicia, ICBF, Policía, Fiscalía y Secretaría de Seguridad, Convivencia y Justicia de Bogotá, con el fin de llevar a cabo acciones conjuntas en torno al Sistema de Responsabilidad Penal para Adolescentes (SRPA).                                                                                                             Participación en las Asistencias Técnicas das por el Ministerio de Justicia en temas de: Diseño de Politícas Públicas y Desarrollo Normativo y Justicia Juvenil Restaurativa. Estructuración de la Política Pública de Prevención, para lo cual se creó el árbol de problemas y de objetivos.                                                                                                                                                                                                             Reuniones de articulación con autoridades municipales en los municipios donde se encuentran ubicados los circuitos judiciales.                                                                                     
Asistencias técnicas y/o capacitaciones a funcionarios de los Centros Transitorios (CETRAS).
Articulación con entidades Departamental y nacional como Ministerio de Justicia, ICBF, Policía, Fiscalía y Secretaría de Estabilidad, Convivencia y Justicia de Bogotá, con la intención de realizar trabajos alrededor del Sistema de Responsabilidad Penal para Jóvenes (SRPA). *Participación en las Asistencias Técnicas por el Ministerio de Justicia en materia de: Diseño de Politícas Públicas y Desarrollo Normativo y Justicia Juvenil Restaurativa. *Estructuración del Pilotaje de Justicia Juvenil Restaurativa para el Departamento.                                                   
Se estableció un formato estandar, nombrado "Caracterización de Infraestructura", con el objetivo de registrar en número y calidad las instalaciones, sobre la composición física de los Centros Transitorios (CETRAS), repasando la dotación elemental, grupos tecnológicos, materiales de limpieza general, infraestructura y propiedades en general.                                                         </t>
  </si>
  <si>
    <t>Se da inicio al proceso de caracterización en los 116 Municipios del Departamento</t>
  </si>
  <si>
    <t>Se realizo jornada de caracterización en el Municipo de Sasaima los días 26 y 27 de Octubre de 2021.</t>
  </si>
  <si>
    <t>Continuidad durante el cuatrienio del plan de fiscalización tributaria para los tributos departamentales de forma constante, programada y sistemática con el objetivo de establecer que la administración ejerza el control contra la ilegalidad de las rentas departamentales, la lucha contra la evasión y el contrabando, que redunde en mejores ingresos para el departamento de Cundinamarca.</t>
  </si>
  <si>
    <t>Servicio de fiscalización y procesos de auditarías tributaria -  se previene el riesgo la salud y la vida de los ciudadanos, se previene efectos en salud pública al controlar la ilegalidad.</t>
  </si>
  <si>
    <t>Se implementaron las estrategias que permiten orientar el control de los fenómenos que afectan recaudo de los impuesto al consumo como la evasión, la adulteración, falsificación y contrabando y mantuvo los planes de fiscalización tributaria, se permitió promover, impulsar y establecer que la administración ejerza de manera directa el control contra la ilegalidad de las rentas departamentales</t>
  </si>
  <si>
    <t>Se retrasó los procesos por la pandemia covid -19  por la apertura selectiva de algunos establecimientos abiertos al público de cigarrillo y licor que dificultó el proceso de visitas de control, auditorias y demás procesos de fiscalización.</t>
  </si>
  <si>
    <t>Gracias a las diferentes estrategias implementadas por la secretaría de hacienda, no hubo impacto en la ejecucion de la meta.</t>
  </si>
  <si>
    <t>Continuidad durante el cuatrienio de todas las herramientas y plataformas tecnológicas que faciliten la recaudación tributaria.</t>
  </si>
  <si>
    <t>Servicio a la ciudadanía de virtualidad de los servicios de la Secretaría de Hacienda - al recaudo de impuestos y cobro coactivo, aplicación de web service, pago PSE, y salas virtuales, facilitando a los contribuyentes la consulta, liquidación y pago de sus obligaciones tributarias.</t>
  </si>
  <si>
    <t>Se logró el fortalecimiento y potenciar los sistemas de información de la Secretaría de Hacienda, que permiten el desarrollo y la continuidad en la operación tecnológica</t>
  </si>
  <si>
    <t>Continuidad durante el cuatrienio de los procesos transversales de la gestión tributaría que permitan el mejoramiento constante en las finanzas departamentales.</t>
  </si>
  <si>
    <t>Se logró potenciar la Secretaría de Hacienda en su gestión administrativa y financiera. Así mismo, se logra dinamizar la integración de los distintos procesos administrativos, logrando apoyar al talento humano disponible para contribuir al desarrollo de los procesos.</t>
  </si>
  <si>
    <t>Se implementaron las principales estrategias para potencializar los Servicios administrativos de funcionamiento y gestión de la Secretaría de Hacienda</t>
  </si>
  <si>
    <t>Se dificultó y retrasó los procesos contractuales relacionados con la meta, en especial los de apoyo a la gestión y prestación de servicios, debido a la cuarentena nacional decretada por el Gobierno Nacional y Distrital.</t>
  </si>
  <si>
    <t>REPORTE DE METAS MT</t>
  </si>
  <si>
    <t>Meta 408</t>
  </si>
  <si>
    <t>Mes 1</t>
  </si>
  <si>
    <t>Mes 2</t>
  </si>
  <si>
    <t>Mes 3</t>
  </si>
  <si>
    <t>Ejecutado físico MT</t>
  </si>
  <si>
    <t>Trimestre 1</t>
  </si>
  <si>
    <t>trimestre 2</t>
  </si>
  <si>
    <t>Trimestre 3</t>
  </si>
  <si>
    <t>Trimestre 4</t>
  </si>
  <si>
    <t>TOTAL</t>
  </si>
  <si>
    <t>Se ha logrado beneficiar a las 275 IED con las  prestación del servicio de aseo, Vigilancia y servicios públicos,  manteniendo  los espacios de su infraestructura con los protocolos de bioseguridad, instalaciones limpias, igualmente se ha  salvaguardando los bienes muebles de cada IED con la  prestación de servicio de vigilancia y  se benefician el 100% de las IED que han requerido el pago de servicios públicos domiciliarios, a través de la transferencia de recursos por parte de la Secretaría de Educación para este fin.</t>
  </si>
  <si>
    <t xml:space="preserve">Servicio de Aseo, Vigilancia y Servicios Publicos </t>
  </si>
  <si>
    <t xml:space="preserve">Se ha logrado el 100% de  la prestacion del servicio de vigilancia  en las IED velando por la seguridad de las sedes con el fin de salvaguardar los bienes muebles, igualmente con la prestación del servicio de aseo se ha garantizado la  salubridad con las medidas de bioseguridad  en el marco de la pandemia. Se ha logrado la cobertura con servicios públicos a traves de transferencia a las IED  igualmente. Se ha adelantado la entrega de elementos de bioseguridad  como  lo son  lavamanos, dispensadores de gel y tapetes que permitan equipar a cada una de las IED  con elementos de bioseguridad para estudiantes,  personal administrativo y docentes   como parte de la proteción del virus COVID-19 garantizando asi el retorno  seguro a al presencialidad. </t>
  </si>
  <si>
    <t xml:space="preserve">Durante la vigencia 2020 y 2021 se han realizado los giros de los recursos de apoyo financiero a la Universidad de Cundinamarca, dineros destinados al mejoramiento de la calidad del servicio educativo que presta la Institución, ubicada en 9 puntos estratégicos del Departamento que le permite impactar alrededor de 6 provincias.  </t>
  </si>
  <si>
    <t>Transferencia de Recursos a la Universidad de CUndinamarca.</t>
  </si>
  <si>
    <t>A través de la Resolución No 001149 de fecha 25 de marzo de 2021, y  la resolucion 002036 se ordeno el giro No. 1 y No. 2  de los recursos de apoyo financiero a la Universidad de Cundinamarca, dineros destinados al mejoramiento de la calidad del servicio educativo que presta la Institución, ubicada en 9 puntos estratégicos del Departamento que le permite impactar alrededor de 6 provincias, Se esta avanzando en el proceso para la realización del segundo giro de la vigencia 2021.  Mediante Resolución No 03585 del 21 de Septiembre se realizó el tercer giro de recursos por valor de 43.852.405.465 a la Universidad de Cundinamarca con lo cual el Departamento de Cundinamarca continua con el apoyo para mejorar la  calidad educativa de los estudiantes de esta IE saliada. Durante el mes de Octubre se expide la Resolución No 003833 del 13 de octubre de 2021 con la cual se ordena el giro de recursos a la Universidad de Cundinamarca por valor de $18.512.990.039, resolución a la cual se le debió realizar una modificación por no contar presupuestalmente con el 100% de los valores de estampilla Pro-UDEC cobrados por la Universidad de Cundinamarca de acuerdo a lo certificado por Hacienda Departamental. El ajuste se realiza mediante resolución No 004000 del 28 de octubre de 2021 por valor de $18.349.934.140.</t>
  </si>
  <si>
    <t>Los valores apropiados en la meta 36 para la vigencia 2021 por el Fondo 3-0220 fueron superados por lo recaudado por Hacienda Departamental por concepto de Estampilla Pro-Universidad de Cundinamarca, sin embargo, la Universidad sigue realizando el cobro de los recursos y desde la Dirección de Educacion Superior no se va a poder realizar mas giros por no contar con recursos en el presupuesto.</t>
  </si>
  <si>
    <t xml:space="preserve">A través de procesos  se formación de docentes y directivos docentes  con entidades como la universidad de la Salle, universidad pedagógica tecnológica de Colombia  la universidad Antonio Nariño y la DIAN se han actualizado  3.994 docentes  y directivos docentes del Departamento en temas de fortalecimiento de las competencias básicas y socioemocionales “desarrollo de habilidades, principios y valores para la vida y el trabajo”  cultura de la contribución en la escuela". y formación en liderazgo. </t>
  </si>
  <si>
    <t xml:space="preserve">Formación a Docentes </t>
  </si>
  <si>
    <t>1. En el marco del convenio  entre la secretaria de educación y la Universidad de LA SALLE, UNIVERSIDAD PEDAGÓGICA TECNOLÓGICA DE COLOMBIA Y LA UNIVERSIDAD ANTONIO NARIÑO, llamado (fortalecimiento de las competencias básicas y socioemocionales Fondo FEm) se dio inicio al componente de formación por medio de un diplomado, dicho componente inicio el 03 de mayo del presente año. 
2. En el programa de la cultura de contribución en la escuela, el cual es liderado por la DIAN y la secretaria de educación, para este programa se implementó un componente de formación el cual comprendía un curso dictado por el SENA, el cual lleva por nombre “DESARROLLO DE HABILIDADES, PRINCIPIOS Y VALORES PARA LA VIDA Y EL TRABAJO”  dicho curso conto con la participación de 21 docentes de los municipios de Guaduas y Yacopi. 
Evidencia: Además se anexa el listado de docentes inscritos en el curso con sus respectivos datos.
3. Se finalizo el proceso de formación del proyecto MIMI "Micasa, mi escuela" Componente de formación "La ruta de formación y cualificación docente 2021", la cual estuvo dividida en cuatro ciclos planeación- flexibilización curricular - práctica pedagógica y evaluación. A través de este proceso se beneficiaron 3.778 docentes del Departamento. 
Para el mes de junio se continua con la formación por parte de la Universidad de la Salle.  En el mes de julio Se continuan desarrollando los procesos de formación con la Universidad de la Salle,  UNIVERSIDAD PEDAGÓGICA TECNOLÓGICA DE COLOMBIA Y LA UNIVERSIDAD ANTONIO NARIÑO, llamado (fortalecimiento de las competencias básicas y socioemocionales Fondo FEm) se dio inicio al componente de formación por medio de un diplomado,
 En el programa de la cultura de contribución en la escuela, el cual es liderado por la DIAN y la secretaria de educación, para este programa se implementó un componente de formación el cual comprendía un curso dictado por el SENA, el cual lleva por nombre “DESARROLLO DE HABILIDADES, PRINCIPIOS Y VALORES PARA LA VIDA Y EL TRABAJO”  dicho curso continua con la participación de los 21 docentes de los municipios de Guaduas y Yacopi
Durante el mes de agosto, a traves del memorando de entendiento firmado  entre la Secretaría de Educación y la Dirección de impuestos y Aduanas Nacionales DIAN, Se formaron 19 docentes en "Cultura de la Contribución en la Escuela".   Durante los meses de agosto y septiembre se ha consolidado el inicio del Proyecto de Mejoramiento de la Calidad Educativa de la Secretaría de Educación, a través del cual se desarrollaran procesos de formación a docentes.Durante el mes de octubre se  continua desarrollando el proceso de formacion a Rectores en el marco de la Escuela de Rectores, del Proyecto de Mejoramiento de la Calidad.</t>
  </si>
  <si>
    <t xml:space="preserve">Se benefició al 100% de los docentes, directivos docentes y personal administrativo de las instituciones educativas que corresponde a un total de 12152 funcionarios  con las actividades desarrolladas incluidas en el programa de bienestar laboral 2020,  con  el  desarrollo de   estrategias que permiten mejorar  la calidad de vida,  el desempeño laboral, el desarrollo humano y profesional de los directivos docentes, docentes y el personal administrativo de las instituciones educativas de los municipios no certificados de cundinamarca. Tal como se planteó en el programa de bienestar laboral y de incentivos </t>
  </si>
  <si>
    <t>En el mes de febrero  se realizó el encuentro de orientadores educativos con la participación de Colsubsidio ,la Secretaría de Educación quiso destacar, exaltar y reconocer el trabajo comprometido de los orientadores , sobre todo, en esta época de la escuela no presencial, donde han sido un apoyo emocional fundamental para las familias, igualmente  se realizó la primera reunión del Comité Paritario de Seguridad y Salud en el trabajo Copasst , con el fin de establecer los lineamientos a seguir con el acompañamiento al desarrollo de actividades en beneficio de los docentes directivos docentes y administrativos de las instituciones educativas del Departamento de Cundinamarca. Por otra parte, se realizó la encuesta de síntomas osteomuscular orientada a los funcionarios administrativos y operativos, con el fin de evaluar su estado de salud. Con la colaboración de la ARL y la fisioterapeuta mediante acta de reunión del 11 de febrero,  se  adelantó la revisión de los casos de accidentes , enfermedad laboral y enfermedad común para mantener información actualizada y realizar seguimiento a quienes presentan enfermedades. En el mes de marzo  Se adelantaron actividades orientadas al cumplimiento del Plan de Bienestar para brindar a los funcionarios de las Instituciones Educativas conocimientos y destrezas  aplicadas a los funcionarios en el desarrollo de su desempeño en las labores que adelanta    con la realización  del curso de yoga por parte de Colsubsidio dirigido a funcionarios de las instituciones educativas, igualmente se realizaron actividades en desarrollo de la implementación del Sistema de Gestión de Seguridad y Salud en el Trabajo SGSST y orientación  hacia el cumplimiento de los estandares mínimos establecidos para adelantar todas las actividades del SGSST estipuladas por las normas. En el mes de mayo con apoyo de Colsubsidio se realizó el evento de día del maestro. En el mes de junio  Se realizo la inscripcion de vigias ocupacionales para el curso investigación de accidentes e incidentes de trabajo , sensibilización  a funcionarios administrativos de las ied , rectores sobre accidentes de trabajo  a través de piezas publicitarias con acompañamiento de la oficina de prensa de la Secretaría de Educación , curso asistencia técnica soporte logico para el manejo de información herramienta Humano  evaluaci´n resultados encuesta osteomuscular con fisioterapeuta y arl bolivar para determinar el plan de intervención  a los caso de enfermedades musculoesqueleticas seguimiento a casos reportados de covid 19 y acompañamiento a los funcionarios que lo padecieron  reuniones con vigias presentando los deberes y derechos del vigia conforme al decreto 1072 de 2015, Capacitación  a integrantes copasst sobre legislación vigente y cumplimiento de standares mínimos resolución 0312 de 2019 del ministerio del trabajo dictada por Correcol asesor de seguros. PAra el mes de julio se logró beneficiar 26.38% de los docentes,  directivos docentes y administrativos  del Departamento correspondientes a 2.876 funcionarios, igualmente se avanzo en Implementación del Sistema de Gestión de Seguridad y Salud en el Trabajo (SGSST) y se aprueba el plan de bienestar 2021 acta de fecha   julio 2 de 2021, se programa seguimiento mensual e informe final de ejecución en diciembre de 2021, actividades de capacitacion desarrolladas en el SGSST ( descritas en la actividad respectiva ) reunion Copasst julio 2021,  Se efectuo el evento del dia del Servidor Público mediante reunión virtual en plataforma   con orientador y presentador proporcionado por Colsubsidio. Para  el mes de septiembre se emitio la resolución Maestros que dejan huella 2021  y promulgación de cartilla categorias y concurso dirigido adocentes directivos docentes y administrativos.Durante el mes de octubre los docentes ganadores del encuentro folclorico y cultural Departamental  seleccionados participaran en el encuentro folclorico y cultural Nacional, convocado por el Ministerio de educación para la semana del 2 al 5 de noviembre de 2021 , en el municipio de melgar, Tolima . Se esta adelantando la  final Nacional de los juegos deportivos del magisterio  en el municipio de  Melgar, Tolima , convocada por el Ministerio de Educación , con la participación de Cundinamarca en tres disciplinas masculinas  Futbol sala  ,Voleibol y  Baloncesto  la resolucion respectiva da permiso a los docentes conformada por los  participantes clasificados para los juegos  nacionales. Se realiza ajuste del proyecto de resolución de maestros que dejan huella y revisión por parte de la Subsecretaría de Educación,definición de la plataforma para inscripción de los docentes de instituciones educativas que deseen participar en las diferentes categorías con su respectivo instructivo para registro.Se solicitó la disponibilidad presupuestal y se prerpapraron los estudios previos para tramite en la oficina jurídica  para la realización exámenes médicos ocupacionales al personal administrativo de las IED, se desarrollo el curso manejo de herramientas por parte de los funcionarios administrativos  mediante la plataforma PROFE a ARL Bolivar.</t>
  </si>
  <si>
    <t xml:space="preserve">Con el proyecto MIMI "Mi casa, Mi escuela" a través de los componentes Pedagógico y psicosocial, se trabajaron las acciones para el fortalecimiento de los Proyectos Educativos Institucionales del 68% de las IED programadas, correspondiente a 174 Instituciones Educativas del Departamento. 
A través de la Ruta de Acompañamiento Pedagógico se apoyan y fortalecen
los aspectos pedagógicos relacionados con la planeación educativa,
la flexibilización curricular y la práctica pedagógica articulado con
el proceso de formación y cualificación, esenciales en la Gestión académica y componente pedagógico del PEI. Para el mes de junio, se integro al equipo de la Dirección de Calidad una OPS para el acompañamiento a las IED en la revisión y retroalimentación de los proyectos Educativos Istitucionales.  Para el mes de junio, se integro al equipo de la Dirección de Calidad una OPS para el acompañamiento a las IED en la revisión y retroalimentación de los proyectos Educativos Istitucionales. </t>
  </si>
  <si>
    <t>Con el proyecto MIMI "Mi casa, Mi escuela" a través de los componentes Pedagógico y psicosocial, se trabajaron las acciones para el fortalecimiento de los Proyectos Educativos Institucionales del 63% de las IED programadas, correspondiente a 174 Instituciones Educativas del Departamento. 
A través de la Ruta de Acompañamiento Pedagógico se apoyan y fortalecen
los aspectos pedagógicos relacionados con la planeación educativa,
la flexibilización curricular y la práctica pedagógica articulado con
el proceso de formación y cualificación, esenciales en la Gestión académica y componente pedagógico del PEI. Para el mes de junio, se integro al equipo de la Dirección de Calidad una OPS para el acompañamiento a las IED en la revisión y retroalimentación de los proyectos Educativos Istitucionales.  Para el mes de junio, se integro al equipo de la Dirección de Calidad una OPS para el acompañamiento a las IED en la revisión y retroalimentación de los proyectos Educativos Istitucionales.  En el marco de la actualización de los Proyectos Educativos Institucionales, durante el mes deSeptiembre  se continua con la revisión de los PEI de las IED focalizadas para el año 2021 y remitiendo la retroalimentación a las IED (8 de las 174 focalizadas) , adicionalmente, se ha continuado apoyando, en la revisión y actualización de  los Proyectos Pedagógicos Transversales PEGR y PRAE, durante el mes de agosto se revisaron 15 Instituciones Educativas, de las 174 focalizadas. En el marco de la actualización de los Proyectos Educativos Institucionales, Durante el mes de Octubre  se continua con la revisión de los PEI de las IED focalizadas para el año 2021 y remitiendo la retroalimentación a las IED (9 de las 174 focalizadas) , adicionalmente, se ha continuado apoyando, en la revisión y actualización de  los Proyectos Pedagógicos Transversales PEGR y PRAE, Durante el mes de Octubre se revisaron 15 Instituciones Educativas, de las 174 focalizadas.</t>
  </si>
  <si>
    <t>Durante el mes de mayo, se realizó la firma del Convenio SE-CD-CASO-118-2021-COLSUBSIDIO-Jornada Esoclar Complementaria, entre la SEC de Educación, la Secretaria de Desarrollo Social y la Caja de compensación familiar, Colsubsidio,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En este momento se han adelantado las siguientes acciones:
1. Firma del convenio Marco 
2. Recepción carta de intención de los municipios
3. En este momento se estan realizando la firma de los convenios en los municipios y la focalización de los estudiantes.  Durante el mes de junio se ha avanzado a través de la Caja de Compensació familiar Colsubsidio, en la firma de los convenios con los municipios focalizados, con la finalidad de dar inicio en el mes de julio con este proceso en ejecución. 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Se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en la vigenncia 2021 se han beneficiado 2.885 estudiantes.  Durante el mes de septiembre se ha avanzado con la firma de los Convenios municipales, que se encontraban pendientes para garantizar los procesos de atención a Nivel Municipal, en el marco del convenio de Colsubsidio. Durante el mes de octubre se continua con el desarrollo de los convenios con los municipios para la atencion de los estudiantes en el proyecto CILAB con la caja de compensacion colsubsidio.</t>
  </si>
  <si>
    <t xml:space="preserve">En la vigencia 2021, se  esta adelantando el proceso de contratación de una profesional, para apoyar en la Dirección, en la Construcción del Plan de Educación Rural, dentro de las acciones establecidas en su contrato se encuentran: 
1. Apoyar en la construcción del Plan de Educación Rural de la Secretaría de Educación - Dirección de Calidad          
2. Apoyar en la socialización del Plan de Educación Rural de la Secretaría de Educación - Dirección de Calidad . </t>
  </si>
  <si>
    <t>Se esta estructurando el Plan de Trabajo para la construcción del Plan de Educación Rural. Durante el mes de agosto, se realizó el proceso de contratación de una profesional, para apoyar en la Dirección, en la Construcción del Plan de Educación Rural, dentro de las acciones establecidas en su contrato se encuentran: 
1. Apoyar en la construcción del Plan de Educación Rural de la Secretaría de Educación - Dirección de Calidad          
2. Apoyar en la socialización del Plan de Educación Rural de la Secretaría de Educación - Dirección de Calidad . Durante el mes de septiembre se ha desarrollado el proceso de Caracterización Departamental, con el apoyo de la profesional OPS, que se encuentra a cargo de este proceso. Durante el  mes de octubre se continua con la estructuracion del plan de educacion rural.</t>
  </si>
  <si>
    <t>Se estan vinculando dos psicologas al equipo de Calidad,  para crear la Red de convivencia escolar y fortalecer los procesos de acompañamiento para la actualización de los manuales de convivencia escolar.  Se logra estructurar la guía metodologica para la  actualizacion de los manuales de convivencia  en las IED. Se consolida la Guia de revisión de manuales de convivencia, se hace capacitación a los profesionales de apoyo frente a la revisión de manuales  de convivencia y se  logró la revisión 218 manuales de convivencia en el mismo número de IED correspondientes al 79%. Durante el mes de octubre se dio incio a la estructuracion de la red de convivencia escolar partiendo de la redaccion del documento tecnico donde se establece la justificacion, caracteristicas, objetivos , el alcance , los actores y los roles de todas la generalidades de la red.Se establecen soluciones de manera conjunta con el  Ministerio de Educación para la implementación del SIUCE en todas las IED, logrando nuevos procesos de capacitación virtuales.</t>
  </si>
  <si>
    <t xml:space="preserve"> la dificultad para el mes de octubre es que muchas de las IED por falta de conectividad no han  podido lograr accder a la capacitaciones del Ministerio de Educacion Nacional por lo cual no han podido acceder a la plataforma para reportar las situaciones a través de este mecanismo.</t>
  </si>
  <si>
    <t xml:space="preserve">En el mes de julio se realizó reunión con los Rectores de las IED Escuelas Normales. Durante el mes de septiembre, se llevo a cabo el comité de seguimiento a las Escuelas Normales Superiores. En este proceso participan las Nueve Escuelas Normales. Para el  mes de octubre se llevo a cabo la revisión de Planes de estudios y asignaciones academicas, para la verificación de perfiles, en el marco de la Gestión Academica. 
En el marco de las gestiones Directiva, academica y administrativa, se avanzo Rectores de las Nueve Escuelas Normales con el acompañamiento del Doctor Carlos Hipólito, asesor de la Secretaría de Educación sobre el alcance y contexto de la resolución 17614 de 16 de septiembre de 2021,  sobre el proceso de traslados preferentes de las escuelas normales superiores y las incidencias de estas en cada una de las gestiones de las Escuelas Normales Superiores. Se constituyo el comité de las Escuelas Normales para realizarse todos los jueves a las 10.00 am con la finalidad de continuar avanzando en los procesos de construcción colectiva. Durante la primera semana de octubre, se proyecto el avance en la revisión de Planes de estudios y asignaciones academicas, para la verificación de perfiles, en el marco de la Gestión Academica. </t>
  </si>
  <si>
    <t>Se logró mantener el servicio de  conectividad a internet de 1294 sedes educativas, a través de la Autopista Digital de Cundinamarca, permitiendo mejor conectividad y apropiación de las Tic  estas sedes han podido cumplir con procesos administrativos y académicos exigidos  por la secretarìa de Educaciòn, por el MEN y otro procesos educativos en los que están vinculados.</t>
  </si>
  <si>
    <t xml:space="preserve">Conexión  Internet </t>
  </si>
  <si>
    <t>Con  estrategias de conectividad como transferencias, autopista Digital, y estrategia de Mintic Cundinamarca se han conectado 985 sedes educativas donde el servicio de internet es vital para los estudiantes, de esta forma ir cerrando la brecha digital. Durante el mes de Octubre se realizaron transferencias con recursos SGP segun resolucion 3818 del 12 de octubre del 2021.</t>
  </si>
  <si>
    <t>223 Instituciones Educativas Departamentales avanzan en la implementación de la Jornada Única, desde la Secretaría de Educación se han brindado las condiciones necesarias para que su ejecución se desarrolle conforme a lo establecido en los lineamientos del Ministerio de Educación Nacional, se han priorizado los estudiantes de jornada unica en la focalización de PAE, de acuerdo a los criterios indicados en la resolución 24952 de 2017, así mismo, se han entregado a las instituciones educativas con jornada única 6.500 horas extras para su implementación, se cuenta igualmente con 21 docentes de jornada única, adicionalmente los rectores que tienen más del 60% de la matrícula en jornada única reciben el incentivo del 30% adicional en pago de sus honorarios; frente al componente pedagógico se esta verificando a través de entrevista con cada uno de los rectores el proceso de implementación del proyecto de jornada única, en su PEI, así como en su malla curricular.  De esta manera se estan beneficiando 67.873 estudiantes conforme al reporte de SIMAT.  El Ministerio de Educación Nacional ha continuado apoyando el proceso de formación, mediante los webinar dirijido a rectores y funcionarios dde la Secretaría de Educación encargados de jornada única.  En el mes de julio se mantiene porcentaje de Instituciones Educativas Departamentale en Jornada Única, se realiza publicación de resolución de las horas extras  por parte de la Dirección de personal,, PAE se mantiene sin contratiempo, el Ministerio de Educación apoya e incentiva mediante los webinar dirijido a rectores y funcionarios de la Secretaría de Educación encargados de jornada única, se crea drive para que las I.E.D que quieran ampliar y solicitar JU, suban allí la documentación requerida para la vigenca 2022</t>
  </si>
  <si>
    <t>225 Instituciones Educativas Departamentale avanzan en la implementación de la Jornada Única, desde la Secretaría de Educación se han brindado las condiciones necesarias para que su ejecución se desarrolle conforme a lo establecido en los lineamientos del Ministerio de Educación Nacional, se han priorizado los estudiantes de jornada unica en la focalización de PAE, de acuerdo a los criterios indicados en la resolución 24952 de 2017, así mismo, se han entregado a las instituciones educativas con jornada única 6.500 horas extras para su implementación, se cuenta igualmente con 21 docentes de jornada única, adicionalmente los rectores que tienen más del 60% de la matrícula en jornada única reciben el incentivo del 30% adicional en pago de sus honorarios; frente al componente pedagógico se esta verificando a través de entrevista con cada uno de los rectores el proceso de implementación del proyecto de jornada única, en su PEI, así como en su malla curricular.  De esta manera se estan beneficiando 67.001 estudiantes conforme al reporte de SIMAT de 27 de septiembre de 2021 cabe resaltar que tomamos este mismo dato del informe pasado ya que la plataforma SIMAT no funciona en el momento. El Ministerio de Educación Nacional ha continuado apoyando el proceso de formación, mediante los webinar dirijido a rectores y funcionarios de la Secretaría de Educación encargados de jornada única.  se cuenta con el apoyo de en 26 instituciones educativas  de los facilidores  del Ministerio de Educacion Nacional  Andres pedraza, Julian Salazar , Eliana Mateus. La Dirección de Cobertura con el equipo lider de jornada unica ha conformado el comité tecnico de jornada única, atendiendo las directrices del Ministerio de Educación Nacional, dicho comité hace acompañamiento en los procesos de verificación de los componentes para el fortalecimiento de la implementación de la jornada única. Se reporta en el  plan de implementación de jornada única las I.E.D  intervenidas y construidas con recursos del FFIE amparadas por Ley 21, dichas instituciones ingresas a jornada única a partir de 2022 una vez se expidad el acto administrativo correspondiente.</t>
  </si>
  <si>
    <t xml:space="preserve">Durante la vigencia 2020 y 2021 se ha entrenado al 100% de los estudiantes focalizados  de grado para la presentación de las pruebas de estado </t>
  </si>
  <si>
    <t>Se adelanta el proyecto "Mejoramiento de la calidad educativa", a través del cual se busca incluir el componente de  Entrenamiento en Pruebas SABER.  Durante el mes de mayo fue aprobado por la Unidad de Contratación del Departamento el Proyecto de Mejoramiento de la Calidad Educativa, a través de la cual se desarrollará un componente de Acompañamiento en pruebas SABER.  El 23 de junio de 2021,la Secretaría de Educación y la Fundación Alquería Cavelier socializaron ante alcaldes municipales, empresarios y aliados del sector educativo el proyecto de ‘Mejoramiento de la Calidad Educativa’ en el cual han aunado sus esfuerzos.
Una iniciativa cuyo objetivo es impactar y consolidar procesos a través del fortalecimiento de las competencias de liderazgo educativo, pedagógicas, socioemocionales y prácticas de aula con directivos docentes, docentes y familias, así como el entrenamiento y acompañamiento a los estudiantes del grado 11 para la presentación de las pruebas SABER, en las instituciones educativas oficiales (IED) de los municipios focalizados. Durante el mes de julio se realizo la focalización de las 82 IED (corresponden al 100% para el 2021) , para la proyección a aproximadamente  4.800 estudiantes. El entrenamiento de los estudiantes dará inicio en el mes de agosto. 
Se realizó el  entrenamiento en Pruebas SABER al100% de los estudiantes de los grados once de las IED priorizadas, correspondiente a un total de 4719 estudiantes, para la presentacion de las pruebas saber los dias 4 y 5 de septiembre del año en curso.
 El entrenamiento, se desarrollo en el marco del proyecto de mejormaiento de la Calidad Educativa,  a través de este aprendieron la estructura de la prueba, se les brindo clases sincronicas y asincronicas en las cuales se les apoyo en las areas donde encontraron dificultades las cuales fueron superadas, muestra de ellose refleja en el simulacro final del entrenamiento.</t>
  </si>
  <si>
    <t xml:space="preserve">Se ha implementado la estrategia de Bilingüismo en el 48.63% de las IED de los municipios no certificados del Departamento </t>
  </si>
  <si>
    <t xml:space="preserve">Estrategias de Bilingüismo </t>
  </si>
  <si>
    <t xml:space="preserve">La meta alcanzo el 59,78% de cumplimiento que corresponde a 167IED focalizadas, 67 IED a través acompañamiento del  Plan de Bilinguismo y el grupo de gestores y 100 IED focalizadas  del proyecto Cundinamarca Speaks English.
1. Se compartió material online y offline en inglés y francés con los  570 (quinientos setenta) docentes de estas asignaturas  por medio del Banco de recursos el cual fue diseñado y preparado por el Equipo Gestores de blingüismo de la Secretaría de Educación de Cundinamarca. 
2.  Se impactaron 65 estudiantes y 2 docentes del área de inglés de la IED Técnico Agrícola del municipio de Pacho por medio del desarrollo de actividades  por parte de los gestores de bilingüismo en la Inmersión de inglés.
3.  Se renovó la suscripción a Biblioteca Digital Culthurutheque de las IED Alfonso Lopez Pumarejo de Cachipay y Agustín Parra de Simijaca. 
4. Se participó en la construcción de Currículo en Francés para las 2 IED focalizadas por el proyecto franco del MEN en compañía de la Embajada Francesa y la Alianza Francesa. 
5- En el marco de acción del proyecto Cundinamarca Speaks English  se impactó a 106 docentes de inglés y de otras áreas mediante el desarrollo de inmersión lingüística de cinco días en el departamento del Quindío en cumplimiento de la quinta línea de acción del proyecto 
6. Se realizó acompañamiento en los encuentros de Mejoramiento Pedagógico del proyecto "Fortalecimiento de las competencias comunicativas en inglés de los estudiantes de los establecimientos educativos oficiales del departamento de Cundinamarca" de manera virtual e in situ en 100 instituciones educativas en Cundinamarca focalizadas por este proyecto.
7. Se beneficiaron 200 docentes de inglés y de otras asignaturas por medio del acompañamiento en los Talleres de Formación docente organizados por la "UT Bilingüismo para el progreso". 
8,   Se realizó acompañamiento al desarrollo de la cuarta línea de acción del proyecto Cundinamarca Speaks English “Dotación docente y estudiantil”  en 17 IED focalizadas en el proyecto.
</t>
  </si>
  <si>
    <t xml:space="preserve">Para el mes octubre se tuvieron als siguintes dificultades:1. Falta de compromiso y apropiación por parte de los docentes de las IED focalizadas con respecto a su participación en las propuestas dadas por el equipo de gestores de bilingüismo. 
2. Asusencia de servicio de internet en algunas IED que dificultan la implementacion de las TIC en los procesos de enseñanza y aprendizaje en el área de lengua extranjera. 
</t>
  </si>
  <si>
    <t xml:space="preserve">Atención Integral de Primera Infancia </t>
  </si>
  <si>
    <t>En el marco de la atención integral a los niños de 0a 5 años, durante el mes de septiembre: De los 33 municipios focalizados se ha realizado matrícula de 30 munipios, en esta semana se llevara a cabo la matrícula de 3 municipios como son: FOSCA, NEMOCON, SAN BERNARDO. Para el mes de octubre se continuo con el proceso de atención integral en educación inicial a  menores de 5 años, se  continua desarrollando durante el mes de octubre con una cobertura de 818 niños y niñas.
En el desarrollo del proyecto se ha avanzando  en las siguientes acciones:   Desarrollo de los componentes pedagógico, familia cimunidad y redes, salud alimemtación y nutrición.</t>
  </si>
  <si>
    <t xml:space="preserve">Por problemas en el sistema SECOP II con el BPIN del contrato  se ha retrasado el inicio de la ejecución </t>
  </si>
  <si>
    <t xml:space="preserve">Se ha logrado la atención anualmente de   200.000 niños niñas y adolescentes con complemento alimentario dentro de la estrategia de permanencia del Programa de alimentación Escolar </t>
  </si>
  <si>
    <t xml:space="preserve">Complemento Alimentario </t>
  </si>
  <si>
    <t>Se desarrolló el Programa de Alimentación Escolar PAE conforme los lineamientos establecidos atendiendo los niños, niñas y adolescentes de los municipios no certificados del departamento de cundinamarca que se encuentran registrados en el SIMAT y focalizados según lo establecido en la Resolución 29452 de 2017. En la actualidad se está atendiendo el  programa a través de la ejecución de los contratos SE-LP-417 de 2021 y SE-LP-418 de 2021 con el suministro de Ración Industrializada – RI y para los casos con las excepciones contempladas en la directiva 05 de 2021 se está suministrando Ración Para Preparar en casa – RPC, esto de conformidad con las directrices de retorno a la presencialidad establecidas en la Resolución 777 del 2 de junio de  2021 expedida por el Ministerio de Salud y Protección Social, Circular Externa N° 009 de 15 junio 2021 expedida por la Unidad Administrativa Especial De Alimentación Escolar – UApA y la Directiva 5 del 17 de junio de 2021 del Ministerio de Educación Nacional.​</t>
  </si>
  <si>
    <t>Para abril se sigue evidenciando errores en el cargue de la informacion en el SIMAT encontrandose duplicidad de información.Dadas las directrices del Gobierno Nacional frente a la presencialidad educativa,  plasmadas en la Resolución 777 de 2021,  para el mes de agosto fue necesario implementar acciones encaminadas al cambio de modalidad del complemento entregado en el Programa de Alimentación Escolar, En el mes de octubre se siguen  realizando la entrega de Ración industrializada - RI para los estudiantes con presencialidad y Ración para preparar en casa - RPC para los casos excepcionales contemplados en la Directiva 005 de 2021 expedida por el Ministerior de Educación Nacional, es de aclarar que la racion industrializada es de poca aceptación por parte de los niños sin embargo se estan revisando otras alternativas para el suministro en la siguiente vigencia atendiendo el retorno a la presencialidad de los estudiantes.</t>
  </si>
  <si>
    <t>Se  adelantó el proceso precontactual para iniciar las firmas de los convenios con 101 municipios no certificados, para beneficiar 45234 estudiantes de las IED ofciales del departamento</t>
  </si>
  <si>
    <t xml:space="preserve">Subsidio de transporte escolar </t>
  </si>
  <si>
    <t xml:space="preserve"> para el mes de octubre Se firmaron los 99 convenios para brindar la cobertura en la estrategia de transporte escolar a igual numero de municipios  para un total de 42.500 estudiantes de la instituciones educativas ofiacilaes del departamento, de la misma manera se implemento cronograma de visitas de supervision en sitio para verificar la ejecucion de la estrategia de cobertura de transporte escolar , se  consolidaron y radicaron  las carpetas en fisico de todos los convenios a la oficina juridica para tener la trazabilidad en el archivo de cada convenio con sus respectivos anexos. Todos los municipios se encuetran en ejecucion de los convenios de trasnporte escolar garantizando la presencialdiad en las IED.</t>
  </si>
  <si>
    <t xml:space="preserve"> La convocatorias para entrega de documentos ya que algunos municipios no tienen las directrices claras para avanzar en la estructuracion de los convenios.</t>
  </si>
  <si>
    <t xml:space="preserve"> Dotación para  IED a través de giro de recursos</t>
  </si>
  <si>
    <t>Se realizó la incorporación de los recursos de regalias, con el que se pretende llegar a 394 sedes educativas en el segundo semestre del año, para dar así cumplimiento de la meta en la presente vigencia. EN el mes de julio se firmaron las ordenes de compra para la Adquisición del mobiliario escolar. Se firmaron seis (6) contratos de compraventa. Con la distribución del mobiliario escolar se benefician 32.678 estudiantes de 393 sedes e Instituciones Oficiales en 39 municipios, con muebles de aula, laboratorios de Física y Química, Bibibliotecas, Aulas de tecnología, Mobiliario de restaurante y cocina y Áreas Administrativas. para el mes octubre se realizó la entrega de mobiliario de Comedor - Cocina en los municipios de Puerto Salgar, Silvania, Ricaurte, La Mesa, Tena, La Vega, Ubaté, Fómeque, Medina, Ubalá, Paratebueno, Subachoque, Guayabal de Síquima, Quebradanegra, Villapinzón, La Peña, Lenguazaque, Caparrapí y Yacopí.</t>
  </si>
  <si>
    <t>Demora en el pago de facturas a proveedores del proceso de Dotaciones de las instituciones educativas oficiales.</t>
  </si>
  <si>
    <t xml:space="preserve">Se logró la construcción  del colegio IED NORMAL SUPERIOR - sede PRINCIPAL, municipio de  UBATÉ y  de la IED Fidel Cano del municipio de TEna Cundinamarca </t>
  </si>
  <si>
    <t>Se realizó entrega de la IED Fidel Cano del municipio de Tena  se avanza en la ejecución de infraestructura  en el municipio de  Silvania (IED Santa Inés 84% de ejecución).Para el mes de octubre se continua con la ejecucion del proyecto programado para reporte en 2021,  IED Santa Inés del municipio de Silvania, la cual se encuentra con un avance de obra del 91%  y se tiene programada su finalización para el mes de diciembre de 2021.</t>
  </si>
  <si>
    <t>Se ha logrado la intervención y entrega a la comunidad de   120  ambientes educativos  priorizando la infraestructura rural y las instituciones de jornada única, a través del mejoramiento de  aulas,  comedores, cocinas y baterías sanitarias con lo cual, se mejoran las condiciones de  infraestructura de las IED.</t>
  </si>
  <si>
    <t xml:space="preserve">Ambientes  Educativos intervenidos </t>
  </si>
  <si>
    <t>Se realizó la intervención de 129  ambientes educativos en conjunto con el Ministerio de Educación Nacional con el mejoramiento de baterias de baño, mejoramiento de aulas, cambio de cubiertas, cambio de pisos entre otros. Para el mes de octubre se continua con la ejecucion de las obras de los convenios interadministrativos ICCU y los mejoramientos rurales del MEN para la intervencion de ambientes en la infraestructura educativa del Departamento.</t>
  </si>
  <si>
    <t xml:space="preserve">Se ha garantizado la prestación del servicio educativo en el 100% de las IED de los municipios no certificados del Departamento. </t>
  </si>
  <si>
    <t xml:space="preserve">Prestación del servicio Educativo </t>
  </si>
  <si>
    <t>Se ha garantizado la prestación del servicio educativo en el 100% de las IED de los municipios no certificados del Departamento. en el mes de octubre se logro la prestación del servicio educativo, la liquidación de la nómina  del personal docente, directivo docente, administrativo y el pago del retroactivo salarial de los meses de enero a agosto a los docentes y directivos docentes   de las  instituciones Educativas Departamentales de los municipios no certificados de Cundinamarca. tambien se logra hacer el pago de arriendos para la efectiva prestacion del servicio.</t>
  </si>
  <si>
    <t>Se llevó a cabo reuniones con los rectores de las Instituciones Educativas Departamentales articuladas con el SENA, con el ánimo de socializar las condiciones y lineamientos para la vigencia 2021 al igual que el cronograma de matrículas. Se logro apoyar a las IED articuladas con el SENA  que tenian dificultades con la afiliación de los estudiantes.   Se logró dar cobertura con  Administradora de Riesgos Laborales a 6.037 estudiantes de grado 11 de 145 Instituciones Educativas Oficiales  de 60 Municipios del Departamento no certificados en Educacion  con una inversión de $ 194.889.600, permitiendo así que  nuestro aliado el SENA aporte en formación pertinente que haga que los jóvenes tengan un tránsito adecuado a la Educacion Superior o tomar esta formación como herramienta para la Vida productiva, cabe mencionar que de las 145 IED 135 se mentienen y  a 10 se les amplia la cobertura.</t>
  </si>
  <si>
    <t>Se llevó a cabo reuniones con los rectores de las Instituciones Educativas Departamentales articuladas con el SENA, con el ánimo de socializar las condiciones y lineamientos para la vigencia 2021 al igual que el cronograma de matrículas. Se logro apoyar a las IED articuladas con el SENA  que tenian dificultades con la afiliación de los estudiantes. Se logró dar cobertura con  Administradora de Riesgos Laborales a 6.037 estudiantes de grado 11 de 145 Instituciones Educativas Oficiales  de 60 Municipios del Departamento no certificados en Educacion  con una inversión de $ 194.889.600, permitiendo así que  nuestro aliado el SENA aporte en formación pertinente que haga que los jóvenes tengan un tránsito adecuado a la Educacion Superior o tomar esta formación como herramienta para la Vida productiva, cabe mencionar que de las 145 IED 135 se mentienen y  a 10 se les amplia la cobertura.</t>
  </si>
  <si>
    <t xml:space="preserve">Se ha  logrado entregar 13.592 beneficios a jóvenes  de los municipios de Cundinamarca que han permitido el acceso y la permanencia a la educación superior </t>
  </si>
  <si>
    <t>Con los programas de acceso y permanencia en la educación superior se ha logrado la asignación de 7658 beneficios. 604 beneficios a través del Fondo Transformando Vidas, 46 beneficios a través de la alianza 4x1 y 7008 a través del convenio 098 de 2021 de gratuidad con la Universidad de Cundinamarca para el mes de octubre se dio Inicio a una nueva convocatoria de la Alianza 4x1 opcion de Vida la cual se aperturo desde el 30 de septiembre y cierra el  31 de marzo de 2022 o hasta agotar recursos, igualmente se estan realizando los tramites administrativos correspondiente para realizar otro SI de la adicion al convenio por valor de $2.000.000.000.Se publico el Listado Final de posibles beneficiarios de la convocatoria 2021-2 del Fondo Transformando Vidas, quedando pendiente el informe de los jovenes que perfeccionaron el beneficio quienes son los que finalmente se denominan como beneficiarios del Fondo.</t>
  </si>
  <si>
    <t xml:space="preserve">Se ha realizado el pago oportuno al 100% del  personal que pertenece a la nomina de pensionados del magisterio que corresponde a  3.867 pensionados del magisterio en el Departamento. </t>
  </si>
  <si>
    <t>Pago de Nomina de Pensionados</t>
  </si>
  <si>
    <t>Se ha realizado el pago oportuno al 100% del  personal que pertenece a la nomina de pensionados del magisterio que corresponde a  1.458 pensionados.</t>
  </si>
  <si>
    <t>Se logró la contratatación de dos  profesionales para conformar el  equipo de inclusión educativa de la Secretaría de Educación para apoyar  en la organización y debida ejecución  del programa  y el  acompañamiento a las IED con asistencias técnicas  para la atención de estudiantes con discapacidad, capacidades y talentos excepcionales, igualmente Se   logrado dar inicio a asistencias técnicas a las IED, con el fin de orientar a los directivos y personal administrativo sobre el registro de los estudiantes en SIMAT de acuerdo a la nueva  categorizacion de discapacidad y trastornos del aprendizaje y del comportamiento.  Se inicia con el proceso público para contratación de operador para el desarrollo del programa de educación inclusiva.Se logra continuar con las asistencias tecnicas a las IED, con el fin de oriengtar a los directivos y personal administrativo sobre el registro de los estudiantes en "SIMAT" de acuedo a la nueva categorizacion de discapacidad y trastornos de la apredizaje y de comportamineto , se logro la articulacion con "CARC" para capacitar a 30 docentes IED que reportan estudiantes con discapacidad visual se logro articulacion para adelantar el proceso de adopcion mediante adminsitrativos  de la planta temporal de docentes de apoyo para el acompañamiento de 29 IED en educacion inclusiva. Se logra dar repuesta oportuna a los requerimiento interpuestos por parte de la IED ciudadanos y  entes de control. continua con las  asistencias técnicas a las IED, con el fin de orientar a los directivos y personal administrativo sobre el registro de los estudiantes en SIMAT de acuerdo a la nueva  categorizacion de discapacidad y trastornos del aprendizaje y del comportamiento. Se adelanto el proceso de adopción de la planta temporal de docentes de apoyo mediante la resolución 001366 de 14 de abril de 2021 y se está en el proceso de convocatoria y seleccion de 29 docentres de apoyo pedagógico, adicional a esto, la  Secretaría  de  Educación  se  encuentra  en espera de que la unidd de contratación de de viabilidad al procesode licitación pública para seleccionar el oferente idóneo para  la  prestación  del  servicio  de  profesionales  de apoyo  que  se  encargarán  de  asesorar  pedagógicamente  a  los  docentes  de aula  frente  a  la atención de los estudiantes con discapacidad, capacidades y/o talentos excepcionales en 247 establecimientos educativos oficiales del Departamento.  Se realizó taller de capacitacion orientado por el El Centro de Rehabilitación para Adultos Ciegos- CRAC,dirgido  a 30 docentes de IE que atienden estudiantes con discapacidad visual.  en el mes de julio El logro significativo fue el iniciar el acompañamientoa 23 IED  con docentes de apoyo pedagógico,  nombrados por planta temporal en las IE con el mayor número de estudiantes con discapacidad, beneficiando a 1650 niños, niñas jovenes y adultos.  Se logra dar acompañamiento a 13 con asistencias tecnicas orientando a los rectores, orientadores y personal encargado del registro en el SIMAT  sobre sobre historia escolar, PIAR, registro de estudiantes con discapacidad,  trastornos del aprendizaje y del comportamiento, talentos excepcionales.</t>
  </si>
  <si>
    <t>Se logró la contratatación de quince  profesionales para conformar el  equipo de inclusión educativa de la Secretaría de Educación para apoyar  en la organización y debida ejecución  del programa  y el  acompañamiento a las IED con asistencias técnicas  para la atención de estudiantes con discapacidad, capacidades y talentos excepcionales, igualmente Se logra dar inicio a asistencias técnicas a las IED, con el fin de orientar a los directivos y personal administrativo sobre el registro de los estudiantes en SIMAT de acuerdo a la nueva  categorizacion de discapacidad y trastornos del aprendizaje y del comportamiento.  Se inicia con el proceso público para contratación de operador para el desarrollo del programa de educación inclusiva.Se logra continuar con las asistencias tecnicas a las IED, con el fin de oriengtar a los directivos y personal administrativo sobre el registro de los estudiantes en "SIMAT" de acuedo a la nueva categorizacion de discapacidad y trastornos de la apredizaje y de comportamineto , se logro la articulacion con "CARC" para capacitar a 30 docentes IED que reportan estudiantes con discapacidad visual se logro articulacion para adelantar el proceso de adopcion mediante adminsitrativos  de la planta temporal de docentes de apoyo para el acompañamiento de 29 IED en educacion inclusiva. Se logra dar repuesta oportuna a los requerimiento interpuestos por parte de la IED ciudadanos y  entes de control. continua con las  asistencias técnicas a las IED, con el fin de orientar a los directivos y personal administrativo sobre el registro de los estudiantes en SIMAT de acuerdo a la nueva  categorizacion de discapacidad y trastornos del aprendizaje y del comportamiento. Se adelanto el proceso de adopción de la planta temporal de docentes de apoyo mediante la resolución 001366 de 14 de abril de 2021 y se está en el proceso de convocatoria y seleccion de 29 docentres de apoyo pedagógico, adicional a esto, la  Secretaría  de  Educación  se  encuentra  en espera de que la unidd de contratación de de viabilidad al procesode licitación pública para seleccionar el oferente idóneo para  la  prestación  del  servicio  de  profesionales  de apoyo  que  se  encargarán  de  asesorar  pedagógicamente  a  los  docentes  de aula  frente  a  la atención de los estudiantes con discapacidad, capacidades y/o talentos excepcionales en 247 establecimientos educativos oficiales del Departamento.  Se realizó taller de capacitacion orientado por el El Centro de Rehabilitación para Adultos Ciegos- CRAC,dirgido  a 30 docentes de IE que atienden estudiantes con discapacidad visual.  en el mes de julio El logro significativo fue el iniciar el acompañamientoa 23 IED  con docentes de apoyo pedagógico,  nombrados por planta temporal en las IE con el mayor número de estudiantes con discapacidad, beneficiando a 1650 niños, niñas jovenes y adultos.  Se logra dar acompañamiento a 13 con asistencias tecnicas orientando a los rectores, orientadores y personal encargado del registro en el SIMAT  sobre sobre historia escolar, PIAR, registro de estudiantes con discapacidad,  trastornos del aprendizaje y del comportamiento, talentos excepcionales.para el mes de octubreel  logro significativo fue la adopción de la planta temporal de docentes de apoyo pedagógico que iniciaron acompañamiento a 29 IE, en los procesos de educacion inclusiva para estudiantes con discapacidad, capacidades y telentos excepionales.  Se hizo traslado de recursos SGP a la direcciòn de personal docente para cubrir esta nómina.  Se logro hacer acompañameitno mediante asistencias técnias a IED.</t>
  </si>
  <si>
    <t xml:space="preserve">No se logro la contratacion de la totalidad de los  25 profesionales de apoyo pedagogico  proyectados por lo que no se logra acompañar a la totalidad de las IE en temas de inclusion educativa. </t>
  </si>
  <si>
    <t>Vinculación a redes sociales de la conmunidad educativa de Cundinamarca</t>
  </si>
  <si>
    <t xml:space="preserve"> en el mes de octubre se logró la vinculación de 100 nuevos usuarios de la comunidad educativa de Cundinamarca, buscando la visibilizacion proyectos académicos del departamento.</t>
  </si>
  <si>
    <t>Cambios de fecha en las capacitaciones debido al inicio de la alternacia en las instituciones educativas.</t>
  </si>
  <si>
    <t>Se desarrollaron actividades inherentes al SIGC, por parte de la contratista, como prepartación para la auditoria de renovación y las auditorias internasy externas que se realizarán en la vigencia (Formulación Riesgos de gestión y revisión a Riesgos de  corrupción 2021), revisión al desempeño, Planes de Mejoramiento, indicadores, entre otros temas del SIGC. El 5 de mayo se firmó contrato No. SE_CD_130 de 2021, entre Departamento de Cundinamarca-Secretaría de Educación y el ICONTEC. para el mes de cotubre con los recursos asignados a la meta se celebraron dos contratos, una OPS y el Contrato con Persona Jurídica ICONTEC. Los dos le apuntan al alistamiento y preparación para la renovación de los 4 procesos de la SEC y las auditorías internas y de la Gobernación que se realizarán en el segundo semestre de 2021 en octubre se recibio visita de ICONTEC se logró la renovación de la certificación de los cuatro (4) subprocesos de la Secretaria de educacion de Cundinamarca.</t>
  </si>
  <si>
    <t>REPROTE DE METAS MT</t>
  </si>
  <si>
    <t>Meta 026</t>
  </si>
  <si>
    <t>0,25</t>
  </si>
  <si>
    <t>1.731,00</t>
  </si>
  <si>
    <t>Meta 096</t>
  </si>
  <si>
    <t>Meta 104</t>
  </si>
  <si>
    <t>Meta 139</t>
  </si>
  <si>
    <t>Dentro de las actividades del mantenimiento del portal IDER, se tinen: Revisión y actualización de lo datos abiertos regionales incluidos en el geoportal ide.cundinamarca.gov.co. Estas actividades incluye la revisión de información de geoserviios web incluida en los visores web geográficos, actualziación de la platafrma tecnológica, revisión de los contenidos e información adelatada por el Distrito, la Gobernación de Cundinamarca y los municipios</t>
  </si>
  <si>
    <t>Geoservicios publicados en el geoportal de la Infraestructura de Datos Espaciales Regional IDER</t>
  </si>
  <si>
    <t>Actualización y publicación de 100 conjuntos de datos web en el portal IDER ider.cundinamarca.gov.co</t>
  </si>
  <si>
    <t>El rezago de tiempo en la actualización del personal disponible para adelantar las actividades de la plataforma web y las demoras en la complejidad de procesamiento y elaboración de aplicaciones web en el portal IDER</t>
  </si>
  <si>
    <t>Reducción de recursos para mantenimiento de la plataforma web de indicadores regionales</t>
  </si>
  <si>
    <t>Se publcó la cartografía 1:2,000 de 12 muniipios en sus cascos urbanos y centros poblados a partir de cartografía IGAC 2018, así como la cartografía básica municipal de los 116 municipios en el geoportal e mapas yestadísticas mapas.cundinamarca.gov.co. Se contrató al IGAC, mediante el contrato SP-CDCTI-060 DE 2021 para la generación de cartografía básica urbana de 33 municipios y 34 centros poblados a escala 1:1.000</t>
  </si>
  <si>
    <t>Cartografía básica (GDB) publicadas en geoportal mapas.cundinamarca.gov.co</t>
  </si>
  <si>
    <t>Publicación de 3000 conjuntos de datos aiertos relacionados con la cartrografía básica 1:2.000 y 1:25.000 de los municipios de cudinamarca en el potal mapas.cundinamarca.gov.co</t>
  </si>
  <si>
    <t>Retrasos en la contratación de a cartografía bàsica urbana a escala 1:1.000 de los municipios priorizados por ajuste al plan de desarrollo departamental</t>
  </si>
  <si>
    <t>Reducción de recursos para la generación de productos cartográficos y rezagos en su obtención</t>
  </si>
  <si>
    <t>Asistencia tecnica municipal en el 2021 a 83 municipios del departamento en temas de ordenamiento territorial a través de la estrategia de Planeando desde la Provincia.</t>
  </si>
  <si>
    <t>Priorización de 5 municipios para acompañamiento técnico en revisión y ajuste de su plan de ordenamiento territorial: Pasca, Fúquene, Cabrera, La Peña y Bituima.
Asistencia técnica en temas de ordenamiento territorial para 83 municipios del departamento.e 70 personas de igual numero de municipios.</t>
  </si>
  <si>
    <t>Consolidación de la información de 15 municipios asistidos en el proceso de ajuste de POT, así: visitados(7): Arbeláez, Pasca, Bituima, Nocaima, Fúquene, Nemocón y La Peña, Virtualmente (7): Cabrera, Villeta, Facatativá, Gachetá, Pandi, Susa, Villagómez, Villeta y Presencial (1): Simijaca. Asistencia virtual estrategia planeando desde la provincia de manera mensual desde el mes de mayo y hasta el 30 de noviembre con participación aproximada de 90 municipios. Igualmente se ha realizado asistencia técnica presencial a los Concejos Municipales de los municipios de San Antonio del Tequendama, Villeta, Agua de Dios, Soachacomo San Antonio del Tequendama, Villeta, Agua de Dios, Soacha</t>
  </si>
  <si>
    <t xml:space="preserve">Hasta marzo de 2021 se pudo volver a territorio teniendo en cuenta las condiciones de salubridad. </t>
  </si>
  <si>
    <t>NINGUNO</t>
  </si>
  <si>
    <t>NO APLICA</t>
  </si>
  <si>
    <t>Actualización de la plataforma tecnológica de mapas.cundinamarca.gov.co</t>
  </si>
  <si>
    <t> 19 Aplicaciones web como proyectos geoespaciales de 13 secretarías de la Gobernación de Cundinamarca</t>
  </si>
  <si>
    <t>datos abiertos publicados en mapas.cundinamarca.gov.co</t>
  </si>
  <si>
    <t>publicación de datasets de información estadístca y geográfica departametnal y municipal en mapas.cundinamarca.gov.co</t>
  </si>
  <si>
    <t>retraso en la incorporación de información estadistica y geográfica algeoportal de mapas dela secretaria por retrasos en la gestión de entidades productoras de información</t>
  </si>
  <si>
    <t>Se ha avanzado en el desarrollo del plan de asistencia técnica municipal y departamental el cual contempla temas como: •Ordenamiento Territorial (ajuste planes, Plusvalía, Comisiones de ordenamiento)•Planes de desarrollo municipal (Formulación, Plan indicativo, plan de acción, rendición de cuentas, empalme y seguimiento)•Banco de proyectos (estructuración de proyectos de inversión)•Finanzas municipales (presupuesto, capacidad de endeudamiento)•Políticas Públicas (Formulación, seguimiento y evaluación)•Inversión por regalías (Estructuración de proyectos de inversión, seguimiento y evaluación). Seguimiento y evaluación plan departamental de desarrollo- Optimización creación de procesos administrativos en la secretaria de planeación.</t>
  </si>
  <si>
    <t> El Plan de Fortalecimiento integral de capacidades de gestión de la administración departamental y sus municpios FIGAD y desde las actividades se presta asistencia técnica al nivel cerntral, descentralizado y los municipios priorizados del departamento.</t>
  </si>
  <si>
    <t> Se aprobó un Plan de Fortalecimiento integral de capacidades de gestión de la administración departamental y sus municpios FIGAD. Atención a las necesidades de asistencia tecnica a los 116 municipios y entidades del departamento con el fin de fortalecer sus procesos de planeación del territorio y gestión publica. En cuanto al proceso misional de Asistencia técnica se prestaron 1.113 asistencias técnicas derivadas de 64 temas establecidos en el plan de asistencia técnica, viendose beneficiados 4.133 personas. En la prestación de las asistencia técnicasde la secretaría de Planeación se tiene un nivel de satisfacción del 99%.</t>
  </si>
  <si>
    <t> Debilidades en la articulación entre dependencias para la formulación de un plan de fortalecimiento que unifique criterios entorno a los propositos fundamentales de los acompañamientos, capacitaciones y asesorias y que impacten la meta de bienestar.</t>
  </si>
  <si>
    <t> El COVID ha cambiado la forma en la cual se presta asistencia tecnica, ahora prevalecen las asistencias tecnicas virtuales sin inferir que esto sea malo, de hecho se evidencia gran potencial de ampliar los beneficiarios e impacto de las asistencias con el uso de las herramientas virtuales.</t>
  </si>
  <si>
    <t>no APLICA</t>
  </si>
  <si>
    <t>La Administración departamental estableció que para el cuatrienio la rendición de cuentas se realizaría bajo el eslogan "Desde Cundinamarca, Rendimos Cuentas", el año 2020 se implemento la estrategia con una satisfacción del 97% a partir de 5 espacios de diálogo y una audiencia General. En el año 2021 se continuó con el eslogan pero se ampliaron los espacios de rendición de cuentas, a la fecha hay una satisfacción del 95%, producto de 22 diálogos radiales y 2 diálogos temáticos virtuales.</t>
  </si>
  <si>
    <t>Se generaron para la comunidad 38 espacios participación ciudadana y  control social, a través de 34 diálogos radiales y 4 diálogos virtuales de rendición de cuentas en los que se habló de: Salud, Reactivación Económica, Región Metropolitana e Infraestructura. La implementación de la estrategia ha tenido una satisfacción del 95%</t>
  </si>
  <si>
    <t xml:space="preserve">En el año 2021 comprometidos con ampliar los espacios de participación y garantizar el control social, se desarrolló una estrategia que contempló 34 diálogos radiales y 4 diálogos virtuales en los que se habló de: Salud, Reactivación Económica, Región Metropolitana e Infraestructura y la preparación de una audiencia pública. En dichos espacios se dialogó con la ciudadania en lenguaje claro, se dio respuesta a las inquietudes de la ciudadania y se calificó la satisfacción respecto a estos espacios de rendición de cuentas. Los eventos virtuales contaron con interpretes de lengua de señas para llegar a la población con discapacidad auditiiva. </t>
  </si>
  <si>
    <t>Si bien el COVID-19 cambió la forma en que la ciudadanía participa, el uso de tecnologías de las información, redes sociales y la radio permitió ejecutar una estrategia pensada en llegar a todos los grupos de interés manteniendo los protócolos de bioseguridad.</t>
  </si>
  <si>
    <t>El Consejo Territorial de Planeación de Cundinamarca - CTPC, se ha renovado. se han venido capacitando los Consejeros Territoriales lo que ha permitido mayor conocimiento en temas como el Sistema General de Regalias - SGR, Rendición de Cuentas, Plan de Ordenamiento Departamental, Plan de Aguas, entre otras</t>
  </si>
  <si>
    <t>Consejeros Territoriales capacitados con mayores conocimientos en temas como el Sistema General de Regalías - SGR, Socialización de la Estrategia Desde Cundinamarca Rendimos Cuentas, Formulación Plan de Ordenamiento Departamental –POD y “Consejo Territorial de Planeación, en los procesos de participación Territorial”, Plan Departamental de Aguas.</t>
  </si>
  <si>
    <t>Consejo Territorial de Planeación de Cundinamarca - CTPC, renovado. Consejeros Territoriales capacitados y con mayor conocimiento en temas como el Sistema General de Regalías - SGR, Estrategia Desde Cundinamarca Rendimos Cuentas, Formulación Plan de Ordenamiento Departamental –POD y “Consejo Territorial de Planeación, en los procesos de participación Territorial” , Plan Departamental de Aguas. Se ha realizado el proceso contractual para la realización de las actividades; Realización del XV Congreso Departamental de Consejeros Territoriales de Planeación, participación de los Consejeros en el Congreso del Sistema Nacional de Planeación y Apoyo administrativo y logístico al CTPC</t>
  </si>
  <si>
    <t>Bajo interés de participación de los Consejeros territoriales , no se conectan a las capacitaciones</t>
  </si>
  <si>
    <t>Restringe la realización de eventos presenciales como el XV Congreso Departamental de Planeación.</t>
  </si>
  <si>
    <t>165 silos entregados, 15 equipos manejo despulpado , lavado y beneficio de cafe  permitiendo el uso eficiente del recurso hidrico y el beneficio del grano (ECOMILL) , Kit de trilla y un Kit de torrefacción  a COODECAFEC (Cooperativa de caficultores  de Cundinamarca) , se adelantan tramites para 80 marcas de cafe con denominacion de origen, y 80 marcas de cafe identificacion geografica protegida y 80 sellos Juan Valdes, acompañamiento en capacitacion en el manejo de equipos  a beneficiarios ya a COODECAFE, entrega de 30.000 bolsas para empaque de café .</t>
  </si>
  <si>
    <t xml:space="preserve">Mejoramiento del beneficio del grano , transformación y Comercialización de café en verde y tostados  generando mayor ingreso a 800 cafeteros de 42 municipios del Departamento de Cundinamarca </t>
  </si>
  <si>
    <t xml:space="preserve">FEDERACIÓN NACIONAL DE CAFETEROS DE COLOMBIA
</t>
  </si>
  <si>
    <t>3000 UNIDADES  PRODUCTIVAS  AGROPECUARIAS  DE  LOS SISTEMAS    DE CACAO (80) SAGU (64)  , PAPA (253)  FRUTALES Y HORTALIZAS (580)  , CAFÉ 152 , CAÑA 34,  PRADERAS (68), CULTIVOS TRANSITORIOS (35),APICOLA (10) ,GANADERÍA ( 1375 )   CON ACOMPAÑAMIENTO PROFESIONAL,   CAPACITADOS   CON TRANSFERENCIA DE TECNOLOGÍA Y   SUMINISTRO DE  MATERIALES E INSUMOS  PARA MEJORAR LAS CONDICIONES DE PRODUCTIVIDAD DE LOS MISMOS.
SE ADQUIRIERON  750.000 KILOS DE PAPA DE 53 UNIDADES PRODUCTIVAS COMO APOYO A LA CRISIS  ECONÓMICA DE ESTE SECTOR.
SE APOYARON 296 ASOCIACIONES CON APORTE ECONÓMICO  PARA LA ADQUISICIÓN DE MATERIALES , EQUIPOS , INSUMOS PARA FORTALECIMIENTO DE SUS SISTEMAS PRODUCTIVOS .</t>
  </si>
  <si>
    <t>1.Mejoramiento de habilidades personales 2. Apoyo a la producción con el suministro de : Insumos agropecuarios ( semillas, material vegetal, abonos,fertilizantes , embriones entre otros.3. Maquinaria y equipos Pecuarios : Tanques de enfriamiento de leche, Plantas eléctricas, Tina para recolección de leche,  Equipos de ordeño, Equipos analizadores de leche, Maquina llenadora y selladora, Selladora rotativa, Marmitas, Calderas,  Ecógrafos portátil,  Termos de inseminación artificial y kits inseminación artificial,  Bretes y básculas para pesaje de ganado,  Picadoras de pastos y forrajes, Guadañas, Motobombas para agua, Fumigadoras, Cercas eléctricas, Bebederos de agua para ganado, Rollos de manguera para riego, Cantinas y kits de higienización para leche 4. Apoyo con equipos paneleros.5 Apoyo maquinaria Agricola : 57 Tractores, 13 Rotovator, 15  arado de cincel, 1 cosechadora, 8 renovadores ,9 ensiladoras, 16 remolques, 1 desbrozadora,1 vagon,  2 cargadores frontal, 1 retroexcavadora al tractor,2 embutidora tipo silopress,2 rastra preparadora del suelo .6  Sostenimiento cacao: 700 Asistencias técnicas, 100 Instalaciones con tanque de 500 litros incluye tapa, sistema de entrada para manguera y salida para manguera, válvula de bola - PVC 1/2" y flotador de paso de agua, 200 rollos Manguera Polietileno 1/2" 16 mm Calibre 40 X 100 Metros - Riego por 200 metros, 15000 litros de Acondicionador de suelos, 4000 litros de EM, 100 Serruchos, 1400 bultos de 50 Kg de fertilizante granulado fosfato diamonico – DAP, 200 Bultos de 50 Kg de fertilizante granulado cloruro de potasio – KCL, 140 litros Fertilización orgánica mineral, 2000 bultos de Acondicionador orgánico de suelos granulado (materia orgánica - compost), 400 litros de Solución orgánica polivalente, 300 bultos de Cal dolomita y global transporte insumos. 7.Sostenimiento Sagú: 700 Asistencias técnicas, 100 Instalaciones con tanque de 500 litros incluye tapa, sistema de entrada para manguera y salida para manguera, válvula de bola - PVC 1/2"  y flotador de paso de agua, 200 rollos de Manguera Polietileno 1/2" 16 Mm Calibre 40 X 100 Metros - Riego por 200 metros, 15000 litros de Acondicionador de suelos, 4400 litros de Microorganismos eficientes EM, 200 Bultos de 50 Kg de fertilizante granulado cloruro de potasio – KCL, 1600 Fertilización orgánica mineral, 1800 bultos de Acondicionador orgánico de suelos granulado (materia orgánica - compost), 400 litros de Solución orgánica polivalente, 600 bultos de Cal dolomita y global transporte insumos. 8.Sostenimiento Fríjol:  848 Asistencias técnicas, 4240 kilos de Semilla fríjol, 106 Instalaciones con tanque de 500 litros incluye tapa, sistema de entrada para manguera y salida para manguera, válvula de bola - PVC 1/2"  y flotador de paso de agua, 212 rollos de Manguera Polietileno 1/2" 16 Mm Calibre 40 X 100 Metros - Riego por 200 metros, 15900 litros de Acondicionador de suelos, 4664 litros de Microorganismos eficientes EM, 848 Bultos de 50 Kg de fertilizante granulado fosfato diamonico – DAP,   106 Bultos de 50 Kg de fertilizante granulado fosfato diamonico – DAP, 106 Bultos de 50 Kg de fertilizante granulado cloruro de potasio – KCL, 208 Fertilización orgánica mineral,  212 litros de Solución orgánica polivalente, 212 Bultos de 50 Kg de fertilizante granulado Urea, 318 bultos de Cal dolomita, 424 rollos de Hilaza y global transporte insumos. 9.Sostenimiento Papa: 2430 Asistencias técnicas, 1620 bultos fertilizante granulado triple 15, 2025 litros de Fertilización orgánica mineral y global Transporte Insumos.10.Núcleos apícolas: 120 Asistencias técnicas incluye montaje, 120 Carteles de peligro abejas - cartel genérico para señalizar mielerias, salas de extracción, almacenes, naves, etc. y cualquier local o lugar relacionado con la apicultura donde sea necesario. Medidas 25x35cm. Lamina de PVC o polipropileno de 3 mm, 120 núcleos de cuatro marcos de cría y alimento, 1 kilogramo de abejas aproximadamente y una reina joven, fecundada y marcada, 120 Colmenas full: elaboradas en madera e impermeabilizada, con seis cuadros laminados subtapa, techo, piquera, 60 Canastillas plásticas, 120 Cámaras de miel de media alza, 120 Cámaras de cría con 6 cuadros con cera estampada/ Alza, 120 Trajes apícolas tipo overol en dril, lino, dracón o jean en talla XL, 60 Ahumadores medianos (acero inoxidable) Tipo 2 Melífera, 60 Media alza para miel elaborada en madera parafinada, con 9 cuadros laminados. Capacidad de 10 kilos de miel aprox., 60 Palancas/ espátulas (Acero inoxidable),  60 Pares de guantes totalmente en cuero con puño de protección y manga larga, 60 Cepillos desabejadores - Longitud aproximada del palo 45 cm, ancho 8 cm, longitud pelos cepillo 29 cm. Aproximadamente entre 38 mechas cada unidad, 600 metros de Tela verde 2.10 m x  1 m UV, 300 Postes plástico de 8 cm x 8 cm x 3 m, 300 Madera o guadua de 1,5 metros de largo x 3 cm de ancho x 0,08 cm pisa tela, 7 Centrifugas para extracción de miel de tres marcos, 60 Alimentadores, 60 libras de Puntilla con cabeza 2,5" y global Transporte Insumos.11. Apoyo a ganaderos: renovación de 80 hectáreas de praderas, implementación de 60 hectáreas en bancos de forrajes con especies mejoradas, activación de modelos silvopastoriles y cercas vivas mediante la utilización de 10.000 plantas forrajeras y nativas, suministro de  24.000 pajillas nacionales y/o importadas de toros probados de producción de leche, carne y doble propósito, como material de apoyo al mejoramiento genético en los núcleos focalizados, proporcionar 85 hembras receptoras preñadas con embrión puro de las razas Holstein, Jersey, Ayrshire, normando, Simmental, Gyr, Guzerá, brahman, Angus, Nelore, bon o Brangus, Braford, suministro de  100 hembras puras con registro certificado por asociación, de razas de leche, carne y o doble propósito en los núcleos priorizados. Entrega de 35 machos puros con registro certificado por asociación, de razas de carne, leche y/o doble propósito a ganaderos priorizados según la ubicación, el tipo y el tamaño de la explotación, entrega de 120 kits para la técnica de inseminación artificial en bovinos, suministro de 24 termos criogénicos con capacidad mínimo de 20 lt, curso de inseminación artificial bovina dirigido a 120  técnicos y/o productores, capacitar mínimo 240 productores mediante cursos digitales en nutrición y manejo de la vaca pre y post parto y cursos digitales en biotecnologías reproductivas y manejo sanitario del hato bovino, entrega de 240 cuadernos de registros productivos, capacitar a 48 profesionales o técnicos en temas de ultrasonografía reproductiva bovina, suministro de elementos agropecuarios, 30 kit de cerca eléctrica de panel solar, 220 bebederos de 250 litros, 220 saladeros inteligentes, 24 basculas ganaderas, 50 picadoras de pasto, 1200 bultos / 40 Kg de sal mineralizada bovina, 440 paquetes de aisladores para cerca eléctrica, 440 paquetes por 12 varillas para cerca eléctrica, 440 rollos de hilo para cerca eléctrica, 220 rollos de alambre para cerca eléctrica calibre 14,  12. Apoyo a programa avícola de mujeres rurales: 4 Tejas de zinc de 0,8  m de ancho x 3,65 m de largo, calibre 35, 5 metros Polisombra Negra 80% 1.0mt x 4.0mt (L x A) Anti-UV, 3 rollos de Malla Gallinero 1,8  m de ancho x 44 m de largo ,1 Bebedero Manual, 1 Comedero, 20 Litros Acondicionador de suelos, 20 Litros Microorganismos Eficaces (EM), 1 Fumigadora de 5 litros, 200 plántulas de lechuga asiatica para el área pastoreo, 2 Sobres de semillas , 2 bultos x 40 K de Compost, 4 bultos x 40 K Concentrado para ponedora , 20 Gallinas, se realizo un taller personalizado con la siguiente temática(Orientación para el establecimiento del galpon y de las areas de pastoreo, manejo del sistema alimentación de la gallina, preparacion del suelo y rotacion de los lotes de pastoreo, uso y manejo de  Biotecnologias, Recoleccion y manejo de huevos), 4 visitas de acompañamiento técnico</t>
  </si>
  <si>
    <t>7439  UNIDADES  PRODUCTIVAS  AGROPECUARIAS  DE  LOS SISTEMAS    DE CACAO ; SAGU,FRIJOL ,PAPA  FRUTALES Y HORTALIZA  , CAFÉ 152 ,   PRADERAS , CULTIVOS TRANSITORIOS ,APICOLA ,GANADERÍA, AVICULTURA , CAÑA PANELERA   CON ACOMPAÑAMIENTO PROFESIONAL,   CAPACITADOS   CON TRANSFERENCIA DE TECNOLOGÍA ,SUMINISTRO DE  MATERIALES E INSUMOS , ENTREGA DE MAQUINARIA  Y EQUIPOS PECUARIOS, AGRICOLAS, EQUIPOS  PANELEROS  PARA MEJORAR LAS CONDICIONES DE PRODUCTIVIDAD DE LOS MISMOS.</t>
  </si>
  <si>
    <t>ASOCEBU(1503891000)ASOHOFRUCOL(257593339)FUNDACION YARUMO(1.190318901) FUNDASES ( 258763290)
)</t>
  </si>
  <si>
    <t xml:space="preserve">APOYO DE ESPACIOS PARA EVENTOS DE COMERCIALIZACIÓN </t>
  </si>
  <si>
    <t xml:space="preserve">Se han adelantado 36 circuitos cortos de comercialización </t>
  </si>
  <si>
    <t xml:space="preserve">AGENCIA DE COMERCIALIZACION </t>
  </si>
  <si>
    <t>Materias primas, insumos y muebles y enseres</t>
  </si>
  <si>
    <t>La secretaria  adelanto dos convocatorias una con el municipio de Cota y la Otra a nivel departamental " Cundinamarca emprende y se reactiva” donde se beneficiaron 138  empresas el objetivo de estas es  la creación  de empresa y  fortalecimiento de las empresas legalmente constituidas por medio de un apalancamiento financiero (Capital semilla) que les permita desarrollar y consolidar sus ideas de negocio de una manera sostenible  .</t>
  </si>
  <si>
    <t>Municipio de Cota</t>
  </si>
  <si>
    <t>Entrega de 1000 kits por valor de $2.000.000 mediante convocatoria publica ( 7 opciones a las que pueden acceder )</t>
  </si>
  <si>
    <t xml:space="preserve">Reactivación economica  a traves de la entrega de kits ( maquinaria  y equipos ) para  emprendimientos  logrando fortalecer sus procesos productivos </t>
  </si>
  <si>
    <t>1500  Mipymes de  102 municipios apoyadas en:  Rutas de fortalecimiento (200); Compra de productos para reactivación económica del departamento (67) ;  crédito con tasa de intereses compensada   (733)  cuyo objetivo es fortalecer el crecimiento y consolidación de las empresas, potencializar su incursión en los mercados  lo anterior obedeció a  contratación del  GR4
Firma de 47 convenios con municipios para la implementacion de estrategias  de recuperación  económica y el fortalecimiento  del sector comercial 
 afectado por las consecuencias de la Pandemía del  COVID-19 .</t>
  </si>
  <si>
    <t>569 CREDITOS DESEMBOLSADO(RECURSOS ECONOMICOS) 260 MYPIMES CON RUTAS DE FORTALECIMIENTO EMPRESARIAL, 6242Mypimes apoyadas  con programa de reactivacion economica ( Dotación de maquinaria y equipos )</t>
  </si>
  <si>
    <t xml:space="preserve"> Financiamiento para las micro, pequeñas y medianas empresas a través de la firma de  convenio Banco Agrario . Ejecucion de convenios para Reactivacion Ecónomica .  se han tramitado 86  contratos de profesionales para apoyar  a las Mipymes del Departamento </t>
  </si>
  <si>
    <t xml:space="preserve">Fortalecimiento de mypimes ( diagnostico, caracterizaciones, protocolos etc) </t>
  </si>
  <si>
    <t>La secretaría de Competitividad y Desarrollo Económico - S.C.D.E. ha fortalecido los 12 Centros de Integración y Productividad Unidos Por el Desarrollo - CIPUEDO, a través de contratación de  gestores   . Profesionales que apoyan en las provincias los  diagnósticos , asistencias técnica;  socialización de la información para acceder a las convocatorias tanto departamentales como nacionales, acompañamiento en asuntos jurídicos, capacitación a empresarios en temas relacionados con las formas jurídicas para la creación de empresa, mercadeo ,posicionamiento y  asesoría en estructuración de proyectos.</t>
  </si>
  <si>
    <t>Apoyo logistico  para espacios de comercializacion ( carpas- publicidad entre otros )</t>
  </si>
  <si>
    <t xml:space="preserve">Se crea espacio denominado Tienda Cundinamarca  para promocionar los productos del Departamento y mejorar la comercializacion de los mismos . 17 Circuitos cortos de comercialización </t>
  </si>
  <si>
    <t xml:space="preserve">Estudio </t>
  </si>
  <si>
    <t>La Secretaría de Competitividad y Desarrollo Económico de la Gobernación de Cundinamarca y la Organización Iberoamericana de Seguridad Social, firmaron un convenio de cooperación a fin de realizar estudios que permitan identificar la realidad de la competitividad de las Mipymes del departamento de Cundinamarca y su fortalecimiento frente a la formalización laboral, el Trabajo a distancia y la cultura de la seguridad social. En este sentido, se han adelantado aproximadamente 40 talleres, eventos, reuniones y capacitaciones con empresarios, funcionarios públicos, emprendedores, asociaciones y ciudadanía en general a fin de fortalecer conocimientos y levantar un diagnostico de los componentes descritos en el Departamento.</t>
  </si>
  <si>
    <t>ORGANIZACIÓN IBEROAMERICANA DE SEGURIDAD SOCIAL-CENTRO REGIONAL DE LA OISS PARA COLOMBIA   EL AREA ANDINA.</t>
  </si>
  <si>
    <t xml:space="preserve">Se entregaran 70 Tanques reservorio tipo australiano con capacidad de almacenamiento de 50000 litros de agua Y 20 Bombas de succión y panel solar ( energia limpia) </t>
  </si>
  <si>
    <t>Se instalara 70 reservorios  para Mipymes  esquemas asociativos o asociados de los esquemas, el objetivo es  contar con el recurso hídrico   en épocas de  sequía por el continuo cambio climático que se vive en el mundo. Se  entregaran 20  reservorios a Asociaciones con el componente  de energías limpias y renovables.</t>
  </si>
  <si>
    <t>En 2020, para el logro de esta meta se procedió a realizar:
 ·         La adecuación acopio central de almacenamiento central de residuos sólidos en la sede central de la Gobernación de Cundinamarca.
·         La reactivación del convenio de los programas posconsumo articulado con la Secretaría del Ambiente y el Ministerio de Ambiente y Desarrollo Sostenible.
·         La definición del proyecto para el aprovechamiento de  residuos generados en la Gobernación y sus Sedes Externas.
·         La capacitación al personal técnico y operativo de la sede central y sedes externas en el marco de almacenamiento de sustancias químicas y kit de derrames, con apoyo de la ARL Positiva.
·         La socialización de manejo integral de residuos sólidos con los restaurantes de la Gobernación.
En 2021 se ha logrado:
1.       Definir y estructurar el contexto organizacional, así mismo se realizó la definición de partes interesadas del proceso de Gestión Ambiental, tal y como lo define la norma ISO 14001:2015.
2.       Dar inicio a la etapa de entrenamiento teórico – práctico, que es base para los resultados que se pretenden lograr en el reconocimiento de excelencia en la Gestión Ambiental de la Gobernación de Cundinamarca.
3.       Proceder con la publicación y evaluación de las propuestas de la Convocatoria Pública a asociaciones de recicladores de oficio, con el fin de realizar aprovechamiento de residuos. A la fecha se encuentra en trámite el perfeccionamiento del convenio.
4.       Realizar la actualización del alcance del manual del SIGC en el marco ambiental, dando cumplimiento a la NTC ISO 14001:2015.
5.       Crear los procedimientos y formatos de inspecciones ambientales, así mismo, fueron realizadas las visitas técnicas a la Sede Central y las Sedes Externas, en coordinación con el equipo de SST y la Secretaría General.
6.       Socializar con Secretaria General, Inmobiliaria normatividad y ajustes del nuevo código de colores para la separación de residuos.
2021: Conformacion de equipo de meoramiento, definicion de la caracterizacion del proceso Gestion Ambiental, firma de convenio con Asociacion de recicladores y ejecucion de capacitaciones de apropiacion del sistema</t>
  </si>
  <si>
    <t>1.       El centro acopio de residuos sólidos de acuerdo con la normatividad vigente.
2.       Los manifiestos que certifican la correcta disposición final de los residuos de posconsumo.  
3.       Convenio con la asociación recicladores para el aprovechamiento de residuos reciclables.
4.       Manual del SIGC actualizado de acuerdo con el estándar ISO 14001:2015
5.       Procedimientos y formatos de inspecciones ambientales verificados por la Secretaría General y la Secretaría de Ambiente.
Julio 2021:
precontractuales para la realización de un contrato cuyo objeto es “REALIZAR EL LEVANTAMIENTO DE ALGUNOS PUNTOS DE VERTIMIENTO, IDENTIFICANDO LAS REDES COMBINADAS Y PUNTOS DE DESCARGA AL ALCANTARILLADO PÚBLICO EN EL MARCO DE LA IMPLEMENTACIÓN DEL SISTEMA DE GESTIÓN AMBIENTAL DE LA GOBERNACIÓN DE CUNDINAMARCA”, enviado al área Jurídica para continuar el trámite correspondiente.
Agosto 2021:
Firma del contrato con Ingeniería y Gestión de la Calidad y el medio Ambiente S.A.S. 31/08/2021, pendiente acta de inicio.
Aprobación y socialización de la caracterización del proceso Gestión Ambiental. 31/08/2021
Capacitación sobre separación de residuos en la fuente en el lugar de trabajo. 13.08/2021
Septiembre 2021: Se realizó inicio de contrato de identificación de puntos posibles vertimiento en sede central y almacén de secretaria de salud, ajuste a programas de residuos peligrosos socializado con la secretaria distrital de ambiente, capacitación a sedes externas en separación de residuos convencionales, acompañamiento a la dirección de desarrollo organizacional en presupuesto año 2022, creación de indicadores de gestión ambiental.</t>
  </si>
  <si>
    <t>A marzo de 2021, se ha logrado:
 ·    Conformar el equipo de mejoramiento del Proceso de Gestión Ambiental.
·         La actualización del SIGC, incorporando el Proceso de Gestión Ambiental como un proceso de apoyo.
·         Estandarización de los formatos de visitas e inspecciones a la sede central y las sedes externas, dando cumplimiento a la normatividad ambiental vigente.
·         Inscripción de la Gobernación de Cundinamarca al programa ACERCAR, que busca el sello de excelencia ambiental.
·         Inscripción del convenio con la asociación de recicladores Puerta de Oro, dando cumplimiento al Decreto 596 de 2015.
Junio 2021:
•	Seguimiento al convenio de aprovechamiento de residuos en la Entidad
•	Capacitación a las empresas de servicios generales en separación de residuos sólidos
•	Reunión y actualización  del PIGA con Secretaria del Ambiente
•	Realización de estudios previos para identificación de redes sanitarias susceptibles a generación de vertimientos
•	Participación en el programa ACERCAR sesión 10, 11 y 12
•	Elaboración de Programa de residuos sólidos convencionales.
•	Realización de caracterización de residuos peligrosos según decreto 4741 de 2005
•	Realización de formatos de registro diario de residuos peligrosos y no peligrosos
Agosto 2021: Firma del contrato con Ingeniería y Gestión de la Calidad y el medio Ambiente S.A.S. 31/08/2021, pendiente acta de inicio.
Aprobación y socialización de la caracterización del proceso Gestión Ambiental. 31/08/2021
Capacitación sobre separación de residuos en la fuente en el lugar de trabajo. 13.08/2021
Octubre 2021: Se ajustó y finalizó la matriz de requisitos legales y otros requisitos, se ajustó el plan y el programa de Gestión Integral de Residuos Peligrosos, se realizó seguimiento al contrato de identificación de puntos de descarga de posibles vertimientos (está en proceso de revisión del informe de actividades), seguimiento al convenio de asociación de recicladores (se completaron 10 capacitaciones y un porcentaje de entrega de informes de recolección de 66.66%)
Nov 2021: Se logró el nivel 3: sistema de gestión ambiental en el programa de ACERCAR de Secretaría Distrital de Ambiente con un puntaje de 97,07. Se culminó el contrato de identificación de puntos de descarga de vertimientos. Se inició la etapa de planificación de los programas de uso eficiente y ahorro de agua y energía. Se completaron 12 de las 13 capacitaciones planificadas con la asociación de recicladores de oficio Puerta de Oro. Se dio cumplimiento normativo en la sede central en cuanto a publicidad exterior visual, manejo de residuos peligrosos, gestión de aceite vegetal usado, registro del Departamento de Gestión Ambiental, entre otros. Se finalizó la matriz de aspectos e impactos ambientales del 123 y se ajustó la matriz de la sede central, laboratorio de salud pública y CRUE</t>
  </si>
  <si>
    <t>1.       Recursos financieros limitados para el desarrollo de las iniciativas de impacto ambiental.
2.       Falta de tiempo, por parte de los miembros de los equipos de mejoramiento, para la aplicación de los instrumentos definidos.</t>
  </si>
  <si>
    <t>No</t>
  </si>
  <si>
    <t>En 2020 para el logro de esta meta se definió el alcance para certificación del SIGC de acuerdo con los estándares de la ISO 27001:2013, identificando el proceso de Gestión Financiera como el primer proceso para alcanzar esta certificación. Se realizó el autodiagnóstico para la Gobernación de Cundinamarca, de acuerdo con lo establecido por el Modelo de Privacidad y Seguridad de la Información (MPSI) del MinTIC y la ISO 27001:2013, así mismo, se realizó este autodiagnóstico para el proceso de Gestión Financiera. Finalmente, se generó la documentación requerida en el Planear para el Proceso de Seguridad Digital. Está pendiente la aprobación de esta documentación, por parte del Comité Institucional de Gestión y Desempeño.
En el primer trimestre de 2021 se han realizado las siguientes actividades:
1.       Se presentó a la Secretaría de Planeación un proyecto de Decreto de modificación y articulación de los Decretos Departamentales 338 de 2018 y 077 de 2019, con el fin de establecer la operación de la mesa técnica de Seguridad de la Información.
2.       Definición y presentación equipo de trabajo interno DDO que estará a cargo del cumplimiento de la Meta 377.
3.       Realización de las mesas técnicas con la Secretaría TIC, para la definición de los roles frete al Sistema de Seguridad de la Información.</t>
  </si>
  <si>
    <t>1.       Autodiagnósticos del MPSI para la Gobernación y el proceso de Gestión Financiera.  
2.       Proyecto de Decreto de actualización y articulación del SIGC con el Sistema de Control Interno y el Modelo MIPG.
3.       Documentos para revisión que define el Planear de la norma ISO 27001:2013.
Agosto 2021:
Firma de contrato con especialista en seguridad de la información. Pendiente acta de inicio.
Reuniones con la Secretaría de Tecnologías de la Información y Comunicaciones - TIC, para definir roles y responsabilidades frente al proceso.
Definición de equipo de mejoramiento del proceso Gestión de Seguridad de la Información.
Definición del modelo a implementar en el proceso Gestión de Seguridad de la Información.
Septiembre 2021: Se inició contrato con especialista en seguridad de la información, se realizó conversatorio  a los funcionarios de la Entidad relacionados con el tema de “Los haker hackeando humanos”.  Reuniones con la Secretaría de Hacienda con el fin de contextualizar el proceso a certificar.
Noviembre 2021: Ente certificador recertifica en ISO 9001:2015 e ISO 45001:2018</t>
  </si>
  <si>
    <t>·         Definición del equipo de mejoramiento del proceso de Seguridad de la Información.
·         La actualización del SIGC, incorporando el Proceso de Seguridad de la Información como un proceso de apoyo.
Junio 2021:
•	Definición de formatos y procedimientos en temas de Seguridad Digital.
•	Se establecen las evidencias que permiten identificar avances en el anexo ¨A¨ de la norma ISO 27001. Del numeral A.11.1.1 al numeral A.14.2.7
Octubre 2021: Avance en la revisión de la documentación e identificación de los documentos a actualizar.
Se realizó revisión documental de los activos que se tiene por parte de la Gobernación de CundinamarcaSe revisó el cronograma con la documentación entregada por parte del proceso y se realizó su respectiva validación con el porcentaje de avance de cada uno de los puntos.
Reuniones de seguimiento a la meta 377
Nov 2021: Realización de diagnóstico preliminar de seguridad de la información para el proceso de Gestión de los Ingresos, alineado a los requerimientos de norma.
Matriz de contexto estratégico del proceso de seguridad de la información y Gestión de los Ingresos.
Matriz de partes interesadas de seguridad de la información y Gestión de los Ingresos.
Se documento  la caracterización del proceso de seguridad de la información alineado al objetivo de la certificación del proceso de gestión de los ingresos.
Se revisó la política del SIGC,  y políticas aplicables a la seguridad de la información</t>
  </si>
  <si>
    <t>1.        Recursos financieros limitados para el desarrollo de las iniciativas de impacto ambiental.
2.       Falta de tiempo, por parte de los miembros de los equipos de mejoramiento, para la aplicación de los instrumentos definidos.
3.       Falta de articulación entre las distintas entidades que están involucradas en el Sistema de Seguridad Digital.</t>
  </si>
  <si>
    <t>En 2020 se efectuó la Auditoría Interna y la Auditoría de certificación por parte de ICONTEC, logrando mantener las certificaciones ISO 9001:2015 e ISO 45001:2018 al Sistema Integral de Gestión y Control. Así mismo, se realizó un reconocimiento al SIGC, específicamente a su Estrategia de Apropiación, por parte del Departamento Administrativo de la Función Pública, otorgando mención de honor en el premio nacional de alta Gerencia.
En el primer trimestre de 2021, se procedió a actualizar el mapa de procesos del Sistema Integral de Gestión y Control (SIGC), en versión 3, armonizándolo al proceso de modernización administrativa del nivel central efectuada en la vigencia 2020. Así mismo, se procedió a actualizar tanto el mapa de procesos, los procedimientos y los objetivos de los procesos del SIGC en concordancia con lo establecido en el Decreto 437 del 25 de septiembre del 2020 "Por el cual se define la Organización Interna y Funciones de las Dependencias del Sector Central”.  Finalmente, se ajustan las herramientas aplicadas en el planear del ciclo PHVA, así:
·         Contexto Estratégico: Se reestructura la metodología actual incorporando la identificación y valoración de factores externos y factores internos, mediante las técnicas MEFE (Matriz de Evaluación del Factor Externo) y MEFI (Matriz de Evaluación del Factor Interno) respectivamente; esto permite priorizar los elementos DOFA que impactan el cumplimiento de los objetivos de proceso y estratégicos del SIGC, implementando acciones que aborden eficazmente tales elementos.
·         Partes Interesadas (PI): Se incorpora la metodología de análisis de poder, la cual permite evaluar a las partes interesadas desde los enfoques estratégicos: Importancia e Influencia, entendiendo que la primera corresponde al impacto que tiene la PI sobre los objetivos del proceso o entidad, y el segundo, evalúa el poder sobre la toma de decisiones en proceso o la entidad.
·         Gestión de Riesgos: Se actualizó la política de riesgos de la Gobernación y la Guía para la Gestión de Riesgos, que define el mapa de riesgos 2021.
·         Matriz de Identificación de Peligros y Valoración de Riesgos: Se actualizó esta matriz de acuerdo con la Guía Técnica Colombiana (GTC 45) y la norma ISO 45001:2018.
Agosto 2021: ejecucion de la auditoria interna y formulacion de planes de accion. 
Octubre 2021: Se realizó auditoria exxterna con ICONTEC que logro la renovación de los certificados de ISO 9001:2015 e ISO 45001:2018.</t>
  </si>
  <si>
    <t>1.       Informes de Auditoría Interna y Externa
2.       Certificaciones ISO 9001:2015 e ISO 45001:2018 actualizadas y vigentes.
3.       Mapa de procesos actualizado en Isolucion.
4.       Herramientas de valoración cuanti-cualitativa del contexto y partes interesadas, aprobadas y cargadas en Isolucion
5.       Documentos con la Política de Riesgos y la Guía de gestión de riesgos para la Gobernación. Socializada y verificada por la Secretaría de Planeación, la Gerencia de Buen Gobierno y la Oficina de Control Interno.
Julio 2021:
1. Firma del contrato e inicio de la auditoría interna al SIGC 24 procesos.
Agosto 2021:
Realización de la auditoría interna combinada al Sistema Integral de Gestión y Control en las normas ISO 9001:2015 e ISO 45001:2018 el 23/07/2021, y elaboración de los planes de acción producto de los hallazgos y observaciones detectadas.
Seguimiento y manteniendo mensual al Sistema Integrado de gestión y Control – SIGC en temas específicos tales como: seguimiento acciones, medición de indicadores, gestión del riesgo, información documentada y ejecución de plan de apropiación.
Septiembre 2021: Se realizó capacitación a los secretarios de despacho de la ISO 9001:2015 y 45001:2018 frente a la auditoría externa, capacitación en matrices de peligro y riesgos de seguridad y salud en el trabajo.  Inspecciones locativas de seguridad orden y limpieza e inspecciones del componente de emergencias en la sede administrativa.</t>
  </si>
  <si>
    <t>A partir de los procesos de auditoria interna y externa y de la evaluación de Control Interno se logró a marzo de 2021:
1.       Incorporar herramientas para la valoración del contexto estratégico, Partes Interesadas y definición del objetivo y alcance de los procesos.
2.       Se actualizó la política y la Guía de Gestión de riesgos, de acuerdo con los parámetros establecidos por el DAFP.
3.       Matriz de Identificación de Peligros y Valoración de Riesgos, actualizada y verificada con la normatividad vigente.
Junio 2021: 
•	Se realizó el monitoreo a la gestión de los 85 riesgos institucionales definidos para el 2021. Así mismo, se realizó seguimiento a los 216 controles establecidos para los procesos del SIGC. 
•	Se estructuraron los procesos de contratación de auditoría interna y de auditoría de certificación. Estos se encuentran en etapa de perfeccionamiento y legalización del contrato. 
•	Se realizaron conversatorios digitales de preparación a los equipos de mejoramiento para las Auditoria Interna que se prevé en la segunda semana de julio.
Agosto: Ejecucion de auditoria interna y formulacion de planes de accion.
Octubre 2021: Se realizó auditoria con ICONTEC que logro la renovación de los certificados de ISO 9001:2015 e ISO 45001:2018.
Seguimiento y manteniendo mensual al Sistema Integrado de gestión y Control – SIGC en temas específicos tales como: seguimiento acciones, medición de indicadores, gestión del riesgo, información documentada y ejecución de plan de apropiación.
Nov 2021: 
Se estableció el plan de acción de las no conformidades.
Seguimiento y manteniendo mensual al Sistema Integrado de gestión y Control – SIGC en temas específicos tales como: seguimiento acciones, medición de indicadores, gestión del riesgo, información documentada y ejecución de plan de apropiación.</t>
  </si>
  <si>
    <t>1.       Falta de tiempo, por parte de los miembros de los equipos de mejoramiento, para la aplicación de los instrumentos definidos.
2.       Los miembros de los equipos de mejoramiento carecen de conocimiento específico frente a la implementación de nuevas metodologías para la actualización de los procesos.
3.       Mayores tiempos en los contratos de proveedores, lo que dificulta la aplicación de los estándares de la ISO 45001 y la 14001, en la Sede Central y sus Sedes Externas.</t>
  </si>
  <si>
    <t xml:space="preserve">Se realizó el pago de 10 matriculas de especialización para los funcionarios que ocupan el cargo de profesional universitario de la administración central. </t>
  </si>
  <si>
    <t>Pago de 10 matriculas de posgrado a funcionarios del sector central</t>
  </si>
  <si>
    <t xml:space="preserve">Se logro que 10 funcionarios cuyo tipo de vinculacion es profesional univesitario, iniciaran el programa de especialización de su preferencia y alineado con las metas institucionales. </t>
  </si>
  <si>
    <t xml:space="preserve">El recurso fue limitado para vigencia, por tal motivo se modifico el fisico de esta vigencia. </t>
  </si>
  <si>
    <t xml:space="preserve">No </t>
  </si>
  <si>
    <t>Las áreas a rehabilitarse actualmente se encuentran en diagnostico para proceder a realizar las acciones de restauración, para lo cual se celebrará convenio para la reforestación por valor de $200.000.000</t>
  </si>
  <si>
    <t>51 Ha reforestadas</t>
  </si>
  <si>
    <t>Se realizó la reforestación de 1 hectareas en 5 municipios pertenecientes a la cuenca del río Bogotá (Facatativá, Tausa, Sesquilé, Guatavitá y San Antonio del Tequendama)</t>
  </si>
  <si>
    <t xml:space="preserve">Se reportaron 2 viveros Nocaima SA-CDCVI-053-2021 $50.986.500 “Vivero Las Mercedes” y Caparrapí SA-CDCVI-054-2021 $47.500.000 “Vivero La Granja”, los cuales presentan un avance del 30% correspondiente al mantenimiento de las áreas que requieren arreglos locativos y la germinación de las plántulas.
Se reportaron 2 viveros Nocaima SA-CDCVI-053-2021 $50.986.500 “Vivero Las Mercedes” y Caparrapí SA-CDCVI-054-2021 $47.500.000 “Vivero La Granja”, los cuales presentan un avance del 30% correspondiente al mantenimiento de las áreas que requieren arreglos locativos y la germinación de las plántulas.
</t>
  </si>
  <si>
    <t>2 víveros implementados</t>
  </si>
  <si>
    <t xml:space="preserve">Se realizó la implementación de los viveros de Nocaima y Caparrapí para propagar 75.000 árboles. </t>
  </si>
  <si>
    <t xml:space="preserve">Se logró la limpieza de 35.853 m2 de espejo de agua del humedal CACAHUAL La Vega, por valor de $ 1.099.927.977 ($560.131.696 aportes CAR).
Convenio SA-CDCVI-031-2018 se logró la limpieza de 5.000 m2 del espejo de agua de la LAGUNA UBAQUE, por valor de $300.000.000.
</t>
  </si>
  <si>
    <t>2 lagunas recuperadas</t>
  </si>
  <si>
    <t>Se logró la limpieza de 35853 m2 de espejo de agua del humedal CACAHUAL La Vega y 5000 m2 del espejo de agua de la LAGUNA UBAQUE</t>
  </si>
  <si>
    <t xml:space="preserve">A través del convenio 0978 CAR- DPTO por valor de $728.371.525, se realizó la implementación de una estrategia mediante la entrega de 80 Toneladas de alimento, para un total de 2.646 animales beneficiados. Piscilago (Nilo): 1.183 animales, Wakata, (Tocancipá): 721 animales, Santa Cruz (San Antonio Tequendama): 592 animales, Reserva (Cota): 150 animales.
</t>
  </si>
  <si>
    <t>1 estrategia implementada</t>
  </si>
  <si>
    <t>Se logró la implementación de una estrategia con la entrega de 80 Toneladas de alimento entregadas beneficiando a 2.646 animales en los zoologicos de Piscilago (Nilo), Wakata, (Tocancipá), Santa Cruz (San Antonio Tequendama) y  Reserva (Cota)</t>
  </si>
  <si>
    <t>Convenio 0978 CAR- DPTO $728.371.525 
80 Toneladas de alimento entregadas y 2.646 animales beneficiados. Piscilago (Nilo): 1.183 animales, Wakata, (Tocancipá): 721 animales, Santa Cruz (San Antonio Tequendama): 592 animales, Reserva (Cota): 150 animales</t>
  </si>
  <si>
    <t xml:space="preserve">1037 hectáreas conservadas en relación a Apiarios con fines de conservación y restauración con acuerdos de conservación (Villapinzón, Gutiérrez, Zipaquirá, Viota, Silvania, Nilo, Chaguaní). A través de los convenios de recuperación de las Lagunas Cacahual del municipio de La Vega y Laguna Ubaque se logró la conservación de 48,05 hectáreas. Así mismo, a través del convenio 068-2020 celebrado con Corpoguavio se realizó la adquisición de 5 predios logrando la conservación de 123.20 Ha en los municipios de Gachalá y Guasca. 
Así mismo, a través del convenio 065-2021 suscrito con FONDECUN por valor de $948.782.844 se han visitado 636 de 700 predios con el fin de realizar el informe diagnostico de evaluación del estado actual de cada uno de estos, de los cuales 490 se encuentran aprobados, 134 en revisión y 12 en corrección, lo que representa un avance de ejecución del 90%. 
Convenio 056-2021 suscrito con la inmobiliaria para ADQUIRIR PREDIOS PRIORIZADOS DE IMPORTANCIA ESTRATÉGICA PARA LA CONSERVACIÓN DE RECURSOS HIDRICOS QUE SURTEN DE AGUA LOS ACUEDUCTOS MUNICIPALES, VEREDALES Y REGIONALES EN EL DEPARTAMENTO DE CUNDINAMARCA or valor de $2.324.084.515.
</t>
  </si>
  <si>
    <t>1.213 Ha conservadas</t>
  </si>
  <si>
    <t>Durante el 2021 se han logrado conservar  1213.75 hectareas, de las cuales 1037 de apiarios con acuerdos de conservación  (Villapinzón, Gutiérrez, Zipaquirá, Viota, Silvania, Nilo, Chaguaní). 48.05 hectareas conservadas con la limpieza de dos cuerpos lagunares en el municipio de La Vega y de Ubaque, 12320 hectareas con la adquisición de predios en los municipios de GAchalá y Guasca y 5,5 hectareas mediante la instalación de 2.200 metros de cerca en los municipios de Facatativá, Guatavita y Silvania.</t>
  </si>
  <si>
    <t>La medición de la restauración se puede realizar luego de un año, sin embargo los cambios en los ecosistemas se pueden observar desde los 6 meses de instalados los apiarios.</t>
  </si>
  <si>
    <t>Se han realizado diferentes jornadas de siembra de árboles en diferentes municipios del departamento, logrando a 31 de agosto 145.895 como aporte a la meta. De los cuales  2.200 se realizaron a través de los convenios de Fincas Sostenibles 079-2020 Nilo 1600 Arboles Sembrados (Finca La Ilusión Especies De Igua) y 080-2020 Villeta Finca San Pedro  N° Plantas 600 Especies:   Oyuelo, Roble, Sauco, Cedro, Madre De Agua</t>
  </si>
  <si>
    <t xml:space="preserve">287.024 árboles sembrados
CHOCONTA  20760 ARBOLES SEMBRADOS COMO COMPENSACION
JERUSALEN,  248 ARBOLES SEMBRADOS COMO COMPENSACION
JUNIN, 600 ARBOLES SEMBRADOS COMO COMPENSACION
ANOLAIMA, 730 ARBOLES SEMBRADOS COMO COMPENSACION
GACHALA, 200 ARBOLES SEMBRADOS COMO COMPENSACION 
FUQUENE, 710 ARBOLES SEMBRADOS COMO COMPENSACION
ALBAN, 100 ARBOLES SEMBRADOS COMO COMPENSACION
NEMOCON ,1575 ARBOLES SEMBRADOS COMO COMPENSACION
VILLAPINZON, 790 ARBOLES SEMBRADOS COMO COMPENSACION
FACATATIVA, 680 ARBOLES SEMBRADOS COMO COMPENSACION
MOSQUERA, 12843 ARBOLES SEMBRADOS COMO COMPENSACION
FUNZA, 650 ARBOLES SEMBRADOS COMO COMPENSACION
LA CALERA, 423 ARBOLES SEMBRADOS COMO COMPENSACION
CHIA, 2844 ARBOLES SEMBRADOS COMO COMPENSACION
TABIO, 1860 ARBOLES SEMBRADOS COMO COMPENSACION
VILLAGOMEZ, 9375 ARBOLES SEMBRADOS COMO COMPENSACION
"Facatativa ,Especies Sembradas Central Laurel, Tibar Encenillo. Anillo Hayuelo, Arrayán, Mortiño, 
Macle, Amargoso, Corono, Espino, Chuque, Uva camarona, Ciro , Tinto, Duraznillo, Trompeto"
"Tausa, especies sembradas Central Laurel, Tibar, Encenillo, Arrayán, Aliso. Anillo Aliso, Arrayán, Mortiño, 
Macle, Amargoso, Corono, Espino, Chuque, Uva camarona, Ciro , Tinto, Duraznillo"
"Sesquilé, especies sembradas Central Laurel, Tibar, encenillo. Anillo Aliso, Arrayán, Mortiño, 
Macle, Amargoso, Corono, Espino"
"Silvania, especies sembradas Central Roble, Cedro. Anillos Nogal, Sangregado, Chicalá, 
 Inga, Cambulo, Guayacán de Manizales, Nacedero"
</t>
  </si>
  <si>
    <t>Sibate 3000 árboles, Zipacón 1000 árboles, Nariño 500 arboles, Quetame 300 árboles, Nilo 4535 árboles, Guasca 1000 árboles y Cota 2769 árboles.  Agua De Dios 280, Albán 1.000, Apulo 500, Arbeláez 1.700, Cabrera 409, Cachipay 1.000, Cajicá 400, Cáqueza 3.300, Carmen De Carupa 1.650, Chía 2.844, Chipaque 2.360, Choachi 106, Cogua 154, El Colegio 215, El Rosal 375, Facatativá 680, Fosca 700, Funza 650, Fusagasugá 1.616, Gachancipá 450, Gacheta 1.028, Gama 1.000, Girardot 1.200, Guachetá 3.900, Guaduas 2.608, Guayabal de Síquima 200, Guayabetal 2.620, Gutiérrez 2.640, La Calera 423, La Palma 450, Lenguazaque 500, Macheta 340, Medina 2.182, Mosquera 12.843, Nemocón 1.575, Nilo 500, Pacho 422, Paime 750, Paratebueno 3.000, Pasca 11.113, Puerto Salgar 185, Ricaurte 1.554, San Antonio 620, San Bernardo 300, San Cayetano 800, San Juan Ríoseco 1.461, Sesquilé 350, Sibate 837, Silvania 900, Simijaca 9.500, Sopo 352, Subachoque 150, Suesca 387, Supata 1.000, Susa 630, Sutatausa 105, Tausa 1.000, Tena 170, Tenjo 715, Tibacuy 2.051, Tibirita 300, Tocaima 440, Tocancipá 964, Topaipi 200, Ubaté 400, Une 790, Viani 220, Villapinzón 790, Villeta 880, Viota 156, Villeta 670, Sasaima 670, Cachipay 670, Silvania 1.200, Soacha 374, Pandi 300, Guataquí 400, Ubalá 1200, Fusagasugá 100 Y Nemocón 2500 y Secretaria De Competitividad Y Desarrollo Económico 10.000 (Chocontá, La Calera, Villapinzón, Guatavita Y Guasca) Bojaca 686 Arboles Sembrados, El Peñón 1680, Guatavita 170, Madrid 2561, Venecia 640, San Antonio 300 (QDA La Cuy Siembra De Chicala, Chachafruto, Cambulo, Urapán), Sibate, 3000 (Especies De Aliso, Hierba Conejo, Sauco, Mortiño, Laurel, Arrayán, Borrachero, Arboloco), Nilo 1600 Arboles Sembrados (Finca La Ilusión Especies De Igua) Y Villeta Finca San Pedro  N° Plantas 600 Especies:   Oyuelo, Roble, Sauco, Cedro, Madre De Agua FOMEQUE, 500 ARBOLES SEMBRADOS, ANAPOIMA, 1291 ARBOLES SEMBRADOS CUCUNUBA, 16500 ARBOLES SEMBRADOS, SASAIMA, 150 ARBOLES SEMBRADOS
BELTRAN, 200 ARBOLES SEMBRADOS, ARBELAEZ, 600 ARBOLES SEMBRADOS EN LA FINCA EL MIRADOR VEREDA SAN MIGUEL Y  1000 ARBOLES SEMBRADOSN EN FINCA SEDEMAR VEREDA SAN JOSE., VENECIA, 1000 ARBOLES SEMBRADOS, FINCA ELPALMAR, QUEBRADA TIMBRIO, SILVANIA, 200 ARBOLESSEMBRADOS, VEREDA AGUA BONITA, QUEBRADA DIVINO NIÑO, SUBACHOQUE, 300 ARBOLES SEMBRADOS, PROTECCION QUEBRADA HORNILLO, VEREDA LA UNION.</t>
  </si>
  <si>
    <t>Debido a los problemas de ordén público presentados durante las movilizaciones de Paro Nacional se tuvieron que postergar visitas, por problemas en el desplazamiento</t>
  </si>
  <si>
    <t>Se han tenido que postergar jornadas de siembra debido a casos sospechosos y positivos que obligan a realizar el aislamiento por cerco epidemiologico de las partes involucradas</t>
  </si>
  <si>
    <t xml:space="preserve">Durante la vigencia 2020 se formularon 3 PUEAAA  en los municipios de Pandi, Bituima y Viani. Para la vigencia 2021 se formularon dos PUEAA: Asociación de usuarios vereda el Tigre municipio de Vergara ASUAT (se radico en la CAR el PUEAA formulado el 16/06/2021) y Asociación ASCUABAÑA Zipacón (Se radico el 06/07/2021 a la CAR).
</t>
  </si>
  <si>
    <t>5 PUEAA formulados</t>
  </si>
  <si>
    <t>Para la vigencia 2021 se formularon dos: Asociación de usuarios vereda el Tigre municipio de Vergara ASUAT (se radico en l CAR el PUEAA formulado el 16/06/2021) y Asociación ASCUABAÑA Zipacón (Se radico el 06/07/2021 a la CAR formulación PUEAA). Se realizó radicación ante la CAR de los PUEAA de Silvania, vereda Santa Isabel, Guaduas  vereda Lajitas, Sasaima Acualimonal</t>
  </si>
  <si>
    <t xml:space="preserve">Para la vigencia 2020 se realizó la transferencia de recursos destinados a agua potable y saneamiento básico en un 100%, para la vigencia 2021 se tiene un avance correspondiente a la transferencia de los recursos de $18.535.000.000
</t>
  </si>
  <si>
    <t>0.95% transferidos para el PDA</t>
  </si>
  <si>
    <t>Los recursos desembolsados no corresponden al 95, 63%, sino un valor menor valor.
Para el mes de Septeimbre se transfirieron 10.000.000.000 de recursos ordinarios al FIA( tercer desembolso), corresponde al 75% y se giraron 6.180.000.000 de los recursos de SGP (2 desembolso), corresponde al 50% 
Teniendo en cuenta lo anterior se puede deducir que la meta total va en un 62,5%</t>
  </si>
  <si>
    <t xml:space="preserve">Se dio cumplimiento al producto Socialización alternativas de disposición final de Residuos sólidos. 
Así mismo, se realiza estudio del análisis del estado actual del contrato de concesión del RSNM. 80 municipios que disponen en el RSNM
</t>
  </si>
  <si>
    <t>1 Alternativa de disposición final de Residuos sólidos</t>
  </si>
  <si>
    <t xml:space="preserve"> Para el mes de mayo de 2021 se da cumplimiento al producto Socialización alternativas con Gobernador y Secretaria del Ambiente que corresponde a un 15% del 80%.
Se realiza estudio del análisis del estado actual del contrato de concesión del RSNM. 80 municipios que disponen en el RSNM. Se esta realizando proceso contractual para consultoria con el Relleno Sanitario Nuevo Mondoñedo</t>
  </si>
  <si>
    <t xml:space="preserve">Durante el año 2020 se potencializaron 3 asociaciones provinciales de recuperadores ambientales, mediante convenios bipartitas y tripartitas en el fortalecimiento a municipios del Departamento como son Cajicá, Fusagasugá, y Madrid, y para la vigencia 2021  Se han reportado 2 asociaciones beneficiadas con la entrega de bienes y servicios en los municipios de Cáqueza (equipo de seguridad industrial, 1 compactadora) y Nimaima (equipo de seguridad industrial, 1 compactadora y una chipiadora).
</t>
  </si>
  <si>
    <t>8 Asociaciones potencializadas con la entrega de insumos y equipos</t>
  </si>
  <si>
    <t>Se logró potencializar 8 Asociaciones con la entrega de equipos e insumos:
Cáqueza: equipo de seguridad industrial y compactadora. 
Nimaima: equipo de seguridad industrial, 1 compactadora y una chipiadora.
Bituima (12 contenedores de residuos solidos, una picadora de desechos, 10 lonas de fibra sintética, 1 guadaña de combustión, 4 palas, 12 contenedores de polietileno).,  Nimaima (13 equipos de seguridad industrial y una computadora vertical), 
San Bernardo (un medidor Multiparametros, 4 extractores de aire multiaxial), 
Chaguaní (395 ECOTANK y 366 Kg de ECOTEK), 
Albán (motocargueros de 300 Kg y elementos de Seguridad industrial: (07 Jeans de dotación, 07 chaquetas de protección, 07 zapatos industriales,  07 guantes de carnaza y 07 cachuchas) ,  
Villapinzón  Caneca de 30 litros doble fondo con rejilla separadora, salida y tapón para extracción de lixiviado y tapa ajuste hermético y sustrato enriquecido con bacterias degradadoras de residuos sólidos Orgánicos
Fusagasugá, por medio del cual se realizó la entrega  de 164 Overoles Industriales de Manga Larga en Gabardina de alto gramaje, 164 Tapa bocas tres capas, 164 Guantes y 164 Gorra en drill, todos con marcación Logo</t>
  </si>
  <si>
    <t xml:space="preserve">Durante la vigencia 2020 se realizó la interventoria, sin embargo, existe una dificultad con el reporte debido a que no se ve reflejado. Para esta vigencia 2021 se tiene contratada la interventoría hasta el 31/12/2021 y se realizó el pago 5/5  la Fiduciaria Bogotá por valor de $60.720.346 mediante factura de pago No. 3300021473.
</t>
  </si>
  <si>
    <t>Interventoria 2021 garantizada</t>
  </si>
  <si>
    <t>Para esta vigencia se tiene contratada la interventoría hasta el 31/12/2021 y se realizó el pago 5/5  la Fiduciaria Bogotá por valor de $60.720.346 mediante factura de pago No. 3300021473
Meta cumplida vigencia 2021. A la fecha el Contrato de interventoria esta vigente y con los recursos asignados y trasnferidos para la Interventoria hasta el 31 de diciembre de 2021.</t>
  </si>
  <si>
    <t xml:space="preserve">Durante la vigencia 2021 se han terminado 8 convenios de manejo y aprovechamiento de Residuos sólidos, Bituima (12 contenedores de residuos sólidos, una picadora, 10 lonas, 1 guadaña, 4 palas, 12 contenedores de polietileno)., Cáqueza (elementos de seguridad industrial y una computadora para 100Kg.), Nimaima (13 equipos de seguridad industrial y una computadora vertical), San Bernardo (un medidor Multiparametros, 4 extractores de aire multiaxial), Chaguaní (395 ECOTANK y 366 Kg de ECOTEK), Albán (motocargueros de 300 Kg y elementos de Seguridad industrial), Villapinzón  (Caneca de 30 litros y sustrato enriquecido con bacterias degradadoras de residuos sólidos Orgánicos) y Fusagasugá (elementos de seguridad industrial).
</t>
  </si>
  <si>
    <t>10 convenios de manejo y aprovechamiento residuos sólidos terminados
Se terminaron dos convenios de residuos sólidos a satisfacción con la entrega de:
1. Madrid: 2 moto cargueros, 100 elementos de seguridad industrial y 1 compactadora
2. Cajicá: 500 canecas verdes, 500 aceleradores bacterianos, 2 moto cargueros, 50 Elementos de seguridad industrial y 4 triciclos.</t>
  </si>
  <si>
    <t>se han terminado 10 convenios de manejo y aprovechamiento de Residuos sólidos, realizando la entrega de equipos e insumos en los municipios de Bituima (12 contenedores de residuos solidos, una picadora de desechos, 10 lonas de fibra sintética, 1 guadaña de combustión, 4 palas, 12 contenedores de polietileno)., Cáqueza (elementos de seguridad industrial y una computadora para 100Kg.), Nimaima (13 equipos de seguridad industrial y una computadora vertical), San Bernardo (un medidor Multiparametros, 4 extractores de aire multiaxial), Chaguaní (395 ECOTANK y 366 Kg de ECOTEK), Albán (motocargueros de 300 Kg y elementos de Seguridad industrial: (07 Jeans de dotación, 07 chaquetas de protección, 07 zapatos industriales,  07 guantes de carnaza y 07 cachuchas) ,  Villapinzón  Caneca de 30 litros doble fondo con rejilla separadora, salida y tapón para extracción de lixiviado y tapa ajuste hermético y sustrato enriquecido con bacterias degradadoras de residuos sólidos Orgánicos y  Fusagasugá, por medio del cual se realizó la entrega  de 164 Overoles Industriales de Manga Larga en
Gabardina de alto gramaje, 164 Tapa bocas tres capas, 164 Guantes y 164 Gorra en drill, todos con marcación Logo</t>
  </si>
  <si>
    <t>Se desarrolló el Primer Concurso virtual de educación ambiental en el Departamento de Cundinamarca, donde se reconocieron 7 proyectos de los municipios de Granada, Medina, Sasaima, Sibaté, Anolaima, Tabio y Junín, en estos se desarrollaron actividades de educación ambiental, que fueron avalados por los CIDEAS municipales, en temáticas de Ahorro y uso eficiente del agua, manejo de residuos sólidos, siembra de árboles, viveros, compostaje, sustitución de empaques, cambio climático, ECOTIENDAS, entre otros</t>
  </si>
  <si>
    <t xml:space="preserve">Se estudia la posibilidad de ejecutar un proyecto de innovción con el uso de la Guadua y/o la implmentación de bolsas ecologicas. Se adelanta el proceso precontractual para la IMPLEMENTACION DE UNA ESTRATEGIA DE FORTALECIMIENTO DE LA CADENA DE LA GUADUA </t>
  </si>
  <si>
    <t xml:space="preserve">Se realizó asistencia técnica de 30 Empresas para apoyarse en la conformación de Negocios Verdes en asocio con CAEM, generando planes de acción y determinación de estrategias de Responsabilidad Ambiental.
La Dirección de ecosistemas lidera un proyecto de fincas sostenibles (estructura de recolección de aguas, electrobomba, siembra de  árboles y Ecomil) con el cual se espera beneficiar 6 fincas (cacao, café y panela) en los municipios de Villeta, Nilo y Arbeláez, de las cuales se han entregado 4 (Villeta y Nilo). 
</t>
  </si>
  <si>
    <t>Implementación de 2 sistemas de producción sostenible</t>
  </si>
  <si>
    <t>- Constitución del Nodo Departamental de Negocios Verdes. Decreto 133 de 2021 
 - Definición de 30 Negocios verdes. 
- Asistencia técnica de 30 Empresas para apoyarse en la conformación de Negocios Verdes que desarrolla la Secretaria del Ambiente en asocio con CAEM</t>
  </si>
  <si>
    <t>Se han tenido que postergar visitas de campo, debido a los temas de salud pública y las manifestaciones de ordén público</t>
  </si>
  <si>
    <t>Se han tenido dificultades en el desarrollo y coordinación de sembratones</t>
  </si>
  <si>
    <t xml:space="preserve">Se realizó reporte de autodiagnósticos ambientales para la  promoción de la responsabilidad  ambientales empresarial y entrega de resultados de implementación de las  estrategias de responsabilidad ambiental  empresarial en las 30 empresas  seleccionadas: Estrategia Construida/diagnostico situacional de la Estrategia (Sutatausa, Quetame, Gachancipá, Cota, Puerto Salgar, Madrid, Subachoque, Cucunubá, la Palma, la Peña, Cajicá, Agua de Dios, Tenjo, Funza, Mosquera, Suesca y Cogua en temas de Responsabilidad Ambiental Empresarial.
</t>
  </si>
  <si>
    <t>Estrategia de Responsabilidad Ambiental articulada</t>
  </si>
  <si>
    <t>Definición de 30 Negocios verdes y asistencia técnica a 30 empresas (diagnostico empresarial y Formulación de un Plan Asistencial) a través del convenio 070-2020 con CAEM: Estrategia Construida/diagnostico situacional de la Estrategia (Sutatausa, Quetame, Gachancipá, Cota, Puerto Salgar, Madrid, Subachoque, Cucunubá, la Palma, la Peña, Cajicá, Agua de Dios, Tenjo, Funza, Mosquera, Suesca y Cogua) en temas de Responsabilidad Ambiental Empresarial.</t>
  </si>
  <si>
    <t>Se han presentado retrasos y demoras en el avance de actividades debido a los problemas de orden público y salud pública</t>
  </si>
  <si>
    <t>CAEM</t>
  </si>
  <si>
    <t>Durante la vigencia 2021 se han realizado 11 jornadas de Capacitación en Gestión Integral De Residuos Sólidos, Reforestación En Conmemoración Al “Día Del Árbol”, Foro Empresarial De Impacto Ambiental, Cambio Climático, Huella De Carbono Formalización De Recuperadores De Oficio, Programa De Uso Eficiente Y Ahorro Del Agua, Implementación De Los PUEAAS , Importancia De Los Sistemas Agroforestales (SAF) Y Silvopastoriles, Conmemoración “Día Mundial De Las Abejas”, Socialización Conceptos Política Publica De Cambio Climático, Uso Eficiente Del Agua Y Manejo De Residuos Sólidos, “ Reconocimiento  A Los Ganadores Del Segundo Concurso Virtual De Educación Ambiental y Charla Sobre La Cultura ambiental</t>
  </si>
  <si>
    <t>15 jornadas de educación ambiental</t>
  </si>
  <si>
    <t>Jornada De Capacitación Gestión Integral De Residuos Sólidos, Código De Colores Dirigido A Los Funcionarios De Las Dos Administraciones Municipio De Bituima Y Chaguaní, Jornada De Reforestación En Conmemoración Al “Día Del Árbol” Municipio De San Antonio, Nilo, Arbeláez Y San Bernardo - 2300 Árboles, Jornada De Apoyo A La Gestión Municipal En Marcada En El Foro Empresarial De Impacto Ambiental, Cambio Climático, Huella De Carbono Y Código De Colores Municipio De Cota , Jornada De Capacitación Enmarcada En La Formalización De Recuperadores De Oficio Según El Decreto 596 De 2016 Y Socialización Del Nuevo Código De Colores Según Resolución 2184 De 2019 En Los Municipios De Fusagasugá, Ubaté, Quipile, Cota, Funza, Soacha, Silvania, Pasca, La Mesa, Tenjo ,  Jornada De Educación Ambiental Contenido En El Programa De Uso Eficiente Y Ahorro Del Agua, Forma Parte De La Implementación De Los PUEAAS  A Los 116 Municipios, Jornada Importancia De Los Sistemas Agroforestales (SAF) Y Silvopastoriles (SSP) Como Estrategia De Adaptación Y Mitigación Del Cambio Climático Dirigido, Jornada En Conmemoración “Día Mundial De Las Abejas” Municipio De Zipaquirá, Jornada  Taller De Socialización Conceptos Política Publica De Cambio Climático Dirigido A Los 116 Municipios, Jornada Uso Eficiente Del Agua Y Manejo De Residuos Sólidos Dirigida A Los Funcionarios Y Contratistas Del IDECUT y Jornada “ Reconocimiento  A Los Ganadores Del Segundo Concurso Virtual De Educación Ambiental Y Charla Sobre La Cultura Ambiental En El Manejo De Los Residuos Sólidos” Dirigida A Las 57 Organizaciones Que Participaron Del 2do Concurso Y Los Recuperadores Ambientales Del Departamento. 11. Jornada conservartorio “Organizaciones Ambientales, Otra Mirada A La Inclusión De La Población Recicladora En La Región” Dirigida A Las Organizaciones Ecológicas y ambientales del Departamento. 12.Jornada "Dia internacional del aire limpio para un cielo azul" dirijida al personal de la gobernacion de cundinamarca Biciusuarios para incentivar a proteger la calidad del aire, 13. JORNADA FORO EDUCATIVO AMBIENTAL, 14. SEMBRATÓN DÍA DEL ARBOL y 15. JORNADA RECICLATON GACHETA Y UBALÁ</t>
  </si>
  <si>
    <t xml:space="preserve">Se ha realizado asistencia técnica y capacitación en los municipios de Cajicá, Guayabal de Síquima y Cáqueza  con la implementación de proyectos de educación ambiental  "Sensibilización a la comunidad para el manejo de residuos sólidos (heces de mascotas) en el área urbana del municipio de Cajicá", "Construcción de cultura ambiental mediante el reciclaje en el municipio de Guayabal de Síquima"  y “Comité Interinstitucional de Educación Ambiental para la Generación de Cultura Ambiental en el Manejo Integral de los Residuos Orgánicos en el Municipio de Cáqueza”, beneficiando un total de 18.956 personas.
</t>
  </si>
  <si>
    <t>11 proyectos de educación ambiental implementados</t>
  </si>
  <si>
    <t>Durante el primer concurso virtual de Educación ambiental realizado el pasado 12/08/2020 se premiaron nueve proyectos, en Ahorro y uso eficiente del agua y/o residuos sólidos" e "Innovación en el manejo de residuos sólidos y cambio climático" beneficiando a los municipios de Medina, Junín, Sasaima, Tabio, Granada, Anolaima, Sibaté y Soacha, y un total de 41.178personas.
Así mismo, para la vigencia 2021 se ha reportó asistencia técnica y capacitación en los municipios de Cajicá, Guayabal de Síquima y Cáqueza  con la implementación de proyectos de educación ambiental  "Sensibilización a la comunidad para el manejo de residuos sólidos (heces de mascotas) en el área urbana del municipio de Cajicá", "Construcción de cultura ambiental mediante el reciclaje en el municipio de Guayabal de Síquima"  y “Comité Interinstitucional de Educación Ambiental para la Generación de Cultura Ambiental en el Manejo Integral de los Residuos Orgánicos en el Municipio de Cáqueza”, beneficiando un total de 18.956 personas.
Se realizo el desembolso de los 10 proyectos ganadores del segundo concruso virtual de educacion ambiental, con fecha de inicio del 30 de agosto del año 2021 para la respectiva ejecucion de cada proyecto y su seguimiento por parte de la direccion de educacion y cultura ambiental.No Beneficiarios:36970</t>
  </si>
  <si>
    <t xml:space="preserve">Estrategia de huella de carbono Institucional implementada . Se concluyó la medición de huella de carbono y se inician procesos de vinculación. 
Se desarrollo el taller de socialización para el manejo de la huella de carbono en hospitales verdes, con cobertura en  46  municipios.
</t>
  </si>
  <si>
    <t>Entrega de la calculadora huella de carbono</t>
  </si>
  <si>
    <t xml:space="preserve">Estrategia de huella de carbono Institucional implementada . Se concluye la medición de huella de carbono y se inician procesos de vinculación para una auditoria ISO 14064-1 que permita la certificación de Empresa de Licores en Huella de Carbono. Compensación 225 Ton Co2/año - 1.349 árboles nativos. Se avanza en la recopilación de información relacionada con la compensación que deben hacer los municipios y hospitales. Se utilizará la calculadora en los municipios seleccionado.
Se desarrollo el taller de socializacion para el manejo de la huella de carbono en hospitales verdes, con cobertura en  46  municipios :  Agua De Dios, Anolaima ,Arbelaez,Cajica , Cáqueza, Chía , Choconta ,El Colegio, Facatativá ,Fomeque , Choachi, Ubaque ,Funza ,Fusagasuga ,Gachetá, Girardot ,Guacheta ,Guatavita ,Junin ,La Mesa ,La Palma ,Madrid ,Medina, Mosquera,Nemocon ,Pacho ,Puerto Salgar ,Ricaurte ,San Francisco De Sales ,San Juan De Rioseco ,Sasaima,Sesquile ,Silvania, Soacha ,Sopo, Suesca ,Tabio, Tausa ,Tenjo ,Tocaima, Ubaté,Une, Vergara ,Viani ,Villeta, Zipaquirá. 
Se socializo y entrego formalmente la calculadora de Huella de Carbono a los 46 Hospitales dentro de la red de hospitales Verdes.  Se realiza la medicion de la huella de carbono de la sede administrativa de la Gobernacion de Cundinamarca. 
Se avanza en la vinculacion  formal de los 46 hospitales verdes del Departamento en el programa de medicion de huella y su corresponsabilidad con Responsabilidad Ambiental Empresarial.  Se Desarrolla la medicion de huella de carbono del Departamento .  Se requiere a los hospitales verdes su certificacion de compensacion de huella de carbono. </t>
  </si>
  <si>
    <t xml:space="preserve">A través del convenio 094-2020 con CAR se han realizado visitas de verificación para el proceso de DIAGNÓSTICO, LÍNEA BASE Y SELECCIÓN DE MUNICIPIOS BENEFICIARIOS en 25 municipios de Granada, San Antonio del Tequendama, Arbeláez, Vergara, San Bernardo, Nocaima, Fusagasugá, Nimaima, La Peña, Caparrapí, Villapinzón, Pacho, Sesquilé, Bituima, Machetá, Guayabal de Síquima, Gachancipá, Sasaima y San Francisco.
</t>
  </si>
  <si>
    <t>14 familias beneficiadas con la construcción de estufas ecoeficientes</t>
  </si>
  <si>
    <t>Se culminó la construcción de 14 estufas ecoeficientes en municipios de la jurisdicción del Guavio (Ubalá, Medina y Gachalá), a través del convenio 068-2020 CORPOGUAVIO, lo que contribuye a la reducción de emisión de gases de efecto invernadero.</t>
  </si>
  <si>
    <t>CAR</t>
  </si>
  <si>
    <t xml:space="preserve">La Dirección de ecosistemas lidera un proyecto de fincas sostenibles (estructura de recolección de aguas, electrobomba, siembra de  árboles y Ecomil) con el cual se espera beneficiar 6 fincas (cacao, café y panela) en los municipios de Villeta, Nilo y Arbeláez, de las cuales se han entregado 4 (Villeta y Nilo). 
</t>
  </si>
  <si>
    <t>Se culminó proyecto de fincas sostenibles ganaderas, de café y cacao</t>
  </si>
  <si>
    <t xml:space="preserve">Se terminó de ejecutar el Convenio Especial de Cooperación SA-CDCCO-075-2020 con FEDEGAN para el desarrollo de un modelo de Finca Ganadera Sostenible con baja Producción de Gases Efecto Invernadero - GEI en diez (10) municipios en la cuenca del Rio Bogotá y Alto Suarez (Chocontá, Villapinzón, Sesquilé, Suesca, Zipaquirá, Subachoque, Mosquera, Cucunubá, Ubaté y Sibate). Se beneficiaron 100 ganaderos y se entregaron 30.666 arboles y kits de apoyo a la producción a los ganaderos para implementar el modelo.
Se logro implementar  el proyecto de Fincas Sostenibles Agricolas y Adaptacion al clima de acuerdo al marco del plan regional de Cambio climatico en los municipios de Nilo, Villeta y Arbelaes. Se beneficiaron 2 familias en cada municipio con una inversion de $21.500.000 en el Municipio de Nilo con numero de  convenios  079-2020, En el Municipio de Villeta una inversion de $23.351.000 con numero de Convenio  080-2020 y  Arbelaes $20.400.000 con numero de Convenio 078-2020 . Estos 3 convenios ya finalizarón y se realizo la entrega final. </t>
  </si>
  <si>
    <t>Se ham tenido que postergar visitas debido a casos positivos o aislamientos por parte de las partes involucradas, que hace que se generen retrasos y demoras</t>
  </si>
  <si>
    <t>FEDEGAN Y FNG</t>
  </si>
  <si>
    <t xml:space="preserve">Actualmente se avanza con la ejecución del convenio 076-2020 de Nilo para la reforestación de 6Ha afectadas por eventos. Para el cumplimiento total de la meta se implementará la  ESTRATEGIA ABEJAS CON LA CONSERVACIÓN que consiste en realizar restauración de los ecosistemas por medio de la polinización que ejercen las abejas, con la cual se busca la restauración de 94 hectáreas, y para lo cual se comprometerán los $200.000.000 disponibles.
climáticos, con un 40% de avance, correspondiente al reconocimiento del terreno y el inicio de la siembra de árboles.
</t>
  </si>
  <si>
    <t>6.4 Ha reforestadas</t>
  </si>
  <si>
    <t xml:space="preserve">Se viene ejecutando el convenio SA-CDCVI-076-2020 con NILO, donde ya se sembraron 6.4 has y se estan haciendo los mantenimientos respectivos. Adicionalmente, se viene gestionanado un proyecto de reforestación pasiva por Apicultura en predios afectados por eventos climáticos en los municipios de NIlo y/o San Cayetano. </t>
  </si>
  <si>
    <t>Municipio de Nilo</t>
  </si>
  <si>
    <t>Se realizó el primer pago por valor de $8.191.000 el 10/07/2021 mediante orden de pago No. 3300003709.
Se realizo el segundo pago por valor de $8.437.000.000 el 16/07/2021 mediante orden de pago No. 3300027096</t>
  </si>
  <si>
    <t>Segundo pago PTAR canoas</t>
  </si>
  <si>
    <t>Se realizo el segundo pago por valor de $8.437.000.000 el 16/07/2021 mediante orden de pago No. 3300027096.</t>
  </si>
  <si>
    <t xml:space="preserve">Durante los acontecimientos del paro nacional los temas de movilización y traslado fueron complicados lo que obligo a retrasar y aplazar visitas </t>
  </si>
  <si>
    <t>Debido a los temas de bioseguridad ha sido dificil la coordinación de visitas y acercamientos con las administraciones, por sospechas de casos positivos</t>
  </si>
  <si>
    <t xml:space="preserve">A través del convenio 067-2020 suscrito con PNUD se desarrolló el primer taller de experiencia en la gestión del Recurso hídrico en el cual se vinculan los municipios de la cuenca del Río Bogotá y el municipio de Fomeque, y actualmente se encuentra en etapa de análisis de información recopilada en el taller, proyectando la socialización de la misma (detección de 3 posibles instrumentos que están siendo analizados y valorados por la entidad.
</t>
  </si>
  <si>
    <t>Entrega documento previo  para la creacion del instrumento de articulacion de la Inversion</t>
  </si>
  <si>
    <t xml:space="preserve">Se recibe por parte del Programa de las Naciones Unidad PNUD el docuemnto que contiene el analisis y estrategias para la creacion del instrumento de articulacion de la Inversion. Como parte de las acciones desarrolladas se concerta con Bogotá una reunion en la que se acuerda la financiacion conjunta de una concenio con BIOCUENCA para el desarrollo del programa de Pago por servicios Ambientales con recursos de Bogotá invertidos en areas de abastecimiento. </t>
  </si>
  <si>
    <t>PNUD</t>
  </si>
  <si>
    <t xml:space="preserve">A 2021 se tiene un avance del 34% que corresponde a la adjudicación del contrato derivado del convenio 082-2020 de Villapinzón (10%), la entrega de informes de los dos componentes a corte julio 2021 (7%) y visitas al municipio para la revisión de los avances de obra de la adecuación del Centro Tecnológico (6%); respecto al convenio SA-CDCVI-095-2020 Balsillas se avanzó con el trámite de los permisos ambientales (Solicitud y visitas 6%) y la obtención de los permisos de ambientales (5%), se adelanta proceso de licitación de obra, el cual ya se encuentra adjudicado, y el proceso de concurso de merito para la contratación de la Interventoría.
</t>
  </si>
  <si>
    <t>Respecto al convenio 082 de Villapinzón, se presenta un avance porcentual de las obras del  72% teniendo en cuenta que se han ejecutado 30 ítems de los 42 que se tienen plasmados en el componente del convenio, se espera que el contratista Urbaring S.A.S finalice con la ejecución de los ítems la semana del 5 al 10 de diciembre.
Respecto al convenio 095-2020 Balsillas, se frimó acta de inicio el pasado 08 de noviembre para iniciar la ejecución de la obra y actividades de interventoria.</t>
  </si>
  <si>
    <t>Demora en procesos de contratación</t>
  </si>
  <si>
    <t>Municipio de Villapinzón ($8.000.000) y CAR ($7.187.286.040)</t>
  </si>
  <si>
    <t xml:space="preserve">Se realizó el componente de diagnostico de la Política Publica y se desarrollaron los talleres con comunidades obteniendo el diagnostico situacional de la problemática, para la implementación del DOCUMENTO PLAN DE ACCIÓN DE CRISIS CLIMÁTICA.
</t>
  </si>
  <si>
    <t>Componente diagnostico de la politica pública</t>
  </si>
  <si>
    <t xml:space="preserve">Se realiza el componente diagnostico de la Politica Publica, se desarrollan los talleres con comunidades y sectores  obteniendo el diagnostico situacional de la problemática , se analiza frente al conopcimiento y avance de  los programas y proyectos  contenidos en el Plan Regional de Cambio Climatcio, Se realiza el 19 de Agosto presentaciopn de avances y el instrumento de  financiacion ante el area juridica y la Secretaria de Planeacion. </t>
  </si>
  <si>
    <t xml:space="preserve"> </t>
  </si>
  <si>
    <t xml:space="preserve">Se han desarrollado actividades para el cumplimiento de la meta, correspondientes a la Información recopilada en documento de diagnóstico y al Informe con análisis de la información- Diagnostico del Estado de la Calidad del Aire - en relación a las mediciones PM!= y PM2.5 - en el Departamento de Cundinamarca.
</t>
  </si>
  <si>
    <t>Se adelantan estudios previos, para la implementación de la estrategia de aire, objeto: "Aunar esfuerzos técnicos, financieros y administrativos, entre la Secretaría del Ambiente del Departamento de Cundinamarca y Corporación Makaia, para Implementar una estrategia tendiente a mejorar la calidad del aire, a través de la puesta en marcha de una red comunitaria de calidad del aire en Municipios priorizados del Departamento, en el marco de Bogotá – Región."</t>
  </si>
  <si>
    <t>Se creó el esquema funcional del Centro de Estudios (Ceis)  que es El centro de estudios e investigaciones de seguridad vial, desarrolló y organizó los informes provinciales y especiales de manera mensuales Envío a 36  municipios  ( Alcaldes) :*       Informes estadísticos especiales 10 productos*.Investigaciones especiales y boletines 102 productos*.Mapas de calor y tableros gráficos *.Monitoreo de Medios- Diario•       Plataforma en línea abierta con tablero de control, y descarga de datos para el consultante  para un total de 1044 informes especiales cualitativos de publicación online en el link https://www.ceiscundinamarca.com/Los resultados a la fecha son:a.-53,4% en fatalidades en Accidentes de tránsitob.-57,8% en lesiones en accidentes de tránsitoc.-29,9% hurto a Automotoresd.-39,1% hurto a Motocicletase.-168% en abigeatof.-47,4% en Piratería* COMPONENTE JORNADAS PEDAGÓGICAS EN SEGURIDAD VIAL LUDOEDUCADORES  11 Provincias atendidas24 Municipios beneficiados con Jornadas pedagógicas en seguridad vial.75 Instituciones atendidas en las cuales están: Instituciones Educativas, fundaciones, grupos de adulto mayor, instituciones educativas privadas, docentes, Juntas de Acción comunal, Servidores públicos,transportadores , peatones,bici usuarios,motociclistas .Apoyo a los operativos que realizan los municipios en seguridad vial, administraciones municipales de 24 municipios, según relación adjunta.55 bici-usuarios beneficiados con kit de protección5.170 personas sensibilizadas del  2 de junio  al 30 de septiembre  de 2020.</t>
  </si>
  <si>
    <t>Se creó el esquema funcional del Centro de Estudios (Ceis)  que es El centro de estudios e investigaciones de seguridad vialA la fecha cuenta con un portal web (http://www.ceiscundinamarca.com) y datos descargables para cada municipio con cifras e investigaciones que han sido cuidadosamente obtenidas en lo corrido de 2020.PRODUCTOSINFORME MENSUAL INDIVIDUAL DE CADA UNO DE LOS 116 MUNICIPIOS CON ENVÍO PERSONALIZADO A CADA ALCALDÍA CON.Cifras oficiales para:b.Fatalidadesc.Lesionadosd.Hurto automotorese.Hurto motocicletasf.Pirateríag.Abigeato*72 MAPASa.Interactivos que recopilaron y reconstruyeron los datos de los siniestros viales para los 116 municipios de los últimos 10 años* INFORMES DEPARTAMENTALES CON DETALLES DE TENDENCIAS DE LOS SINIESTROS VIALES CON:a.Hora, Fecha, Actores viales, Móvil del agresor, Municipio, Edad afectados, Sexo*(15) Provincias capacitadas en manejo de cifras, Planes de seguridad, Visión Cero y Bicicultura con actores viales y con Autoridades Municipales*Apoyo y acompañamiento técnico a (80) municipios  *El 90% del municipio de categoría entre (4,5 y 6) nunca habían elaborado el plan de seguridad. *(19) Municipios con comité de seguridad vial establecido.*(18) Planes locales de seguridad vial en formulación para implementación en el primer trimestre del 2021*( 13)  municipios con plan de seguridad vial elaborado y ejecutado al presente año.*(528) Autoridades de tránsito involucradas en los procesos de formación.BENEFICIARIOSa. (268) Personas de empresas de transporte capacitadas en temas de prevención y previsión vialb. Capacitación en Visión Cero (231 asistentes)c. Encuentro Nacional Académico de seguridad vial (567 participantes)d. Encuentro Internacional de autoridades – Manejo de la movilidad en COVDI19 (567 participantes)c. Capacitación en manejo de información (87 asistentes)se ha logrado Jornadas Pedagógicas en Seguridad Vial1 Provincias atendidas24 Municipios beneficiados con Jornadas pedagógicas en seguridad vial.75 Instituciones atendidas en las cuales están: Instituciones Educativas, fundaciones, grupos de adulto mayor, instituciones educativas privadas, docentes, Juntas de Acción comunal, etc.Apoyo a los operativos que realizan los municipios en seguridad vial, administraciones municipales de 24 municipios, según relación adjunta.55 bici-usuarios beneficiados con kit de protección3.179 personas sensibilizadas del  26 de abril al 30 de agosto de 2020.</t>
  </si>
  <si>
    <t>INFORMES  ESTADISTICOS MENSUALES/JULIO/INFORMES SINIESTRALIDAD POR MUNICIPIO/464
INFORMES ESTADISTICOS ESPECIALES/JULIO/INFORMES SINIESTRALIDAD POR PROVINCIA/60
INVESTIGACIONES ES PECIALES Y BOLETINES /JULIO/BOLETINES MOVILIDAD PARO/197
MAPAS DE CALOR /JULIO/15
ENVIO MENSUAL DE ALCALDES/JULIO/464
MESAS DE TRABAJO/JULIO/12
PARTICIPACION DEL CEIS EN ESPACIOS EXTERNOS /JULIO/14
PARTICIPACION DEL CEIS EN ESPACIOS INTERNOS/JULIO/15
CREACION DE PROYECTOS ESPECIALES /JULIO/N/A 
CAPACITACIONES EXTERNAS/JULIO/N/A 
CAPACITACIONES INTERNAS/JULIO/7</t>
  </si>
  <si>
    <t>META 040
 Plataforma en línea abierta con tablero de control, y descarga de datos para el consultante   para un total de 1044 informes especiales cualitativos de publicación online en el link https://www.ceiscundinamarca.com/ con reportes actualizados para los 116 Municipios van 27 informes de siniestralidad vial,  5 de movilidad, 3 de seguimiento a siniestralidad en fechas especificas, 1 de investigación a terminales y centros de despacho, 1 de empresas del  sector transporte y 7 reuniones en las que se  han participado.
DISEÑO PARA REDES SOBRE EL PLAN CANDADO, DIAS ESPECIALES 
AVANCE DE META MES DE ABRIL 2021
DISEÑO PARA REDES SOBRE EL PLAN CANDADO, DIAS ESPECIALES  5           
VIDEO DE DECRETO DE MOVILIDAD 1
VIDEOS SECRETARIO  7
CONTENIDO INFORMATIVO EN EL CANAL DE MOVILIDAD  47 PUBLICACIONES EN TWITTER
040 AVANCES DE MAYO 
- 116-INFORMES ESTADISTICOS MENSUALES INFORMES SINIESTRALIDAD POR MUNICIPIO 
- 15 INFORMES ESTADISTICOS ESPECIALES SINIESTRALIDAD POR PROVINCIA
- 15 BOLETINES INVESTIGACIONES ESPECIALES MOVILIDAD PARO EN VIAS DEPARTAMENTALES 
- 15 MAPAS DE CALOR EN ACCIDENTALIDAD EN LOS MUNICIPIOS DE CUNDINAMMARCA EN  LA PAGINA  WEB DEL CEIS 
Los resultados estadísticos a la fecha son:
a. +48,54% en fatalidades en Accidentes de tránsito
b. +41,68% en lesiones en accidentes de tránsito
c. -3,82% hurto a Automotores
d. +24,7% hurto a Motocicletas
e. +4,55% en abigeato
f. -23,08% en Piratería
Avance mes de junio
De acuerdo con el objetivo de la meta 040 del plan de desarrollo de “Optimizar los mecanismos de recolección, tabulación y normalización para la consolidación de la información” Y “Crear mecanismos de recolección, tabulación y normalización para la consolidación de la información”
Desde el equipo de Centro de Estudios e Investigación en Seguridad Vial- CEIS dirigida por la Gerencia de Estudios sectoriales y de servicio de la secretaria de transporte y movilidad se ha desarrollado los siguientes productos:               
INFORMES  ESTADISTICOS MENSUALES 	JUNIO	INFORMES SINIESTRALIDAD POR MUNICIPIO	348
INFORMES ESTADISTICOS ESPECIALES 	JUNIO	INFORMES SINIESTRALIDAD POR PROVINCIA	45
INVESTIGACIONES ES PECIALES Y BOLETINES 	JUNIO	BOLETINES MOVILIDAD PARO	197
MAPAS DE CALOR 	JUNIO		15
ENVIO MENSUAL DE ALCALDES 	JUNIO		348
MESAS DE TRABAJO	JUNIO		9
PARTICIPACION DEL CEIS EN ESPACIOS EXTERNOS 	JUNIO		8
PARTICIPACION DEL CEIS EN ESPACIOS INTERNOS 	JUNIO		12
CREACION DE PROYECTOS ESPECIALES 	JUNIO	N/A	
CAPACITACIONES EXTERNAS	JUNIO	N/A	
CAPACITACIONES INTERNAS 	JUNIO		4
RESULTADO A LA FECHA 	MAYO	FATALIDADES DE ACCIDENTE  DE TRANSITO
AVANCE DE META MES DE JULIO  
INFORMES  ESTADISTICOS MENSUALES/JULIO/INFORMES SINIESTRALIDAD POR MUNICIPIO/464
INFORMES ESTADISTICOS ESPECIALES/JULIO/INFORMES SINIESTRALIDAD POR PROVINCIA/60
INVESTIGACIONES ES PECIALES Y BOLETINES /JULIO/BOLETINES MOVILIDAD PARO/197
MAPAS DE CALOR /JULIO/15
ENVIO MENSUAL DE ALCALDES/JULIO/464
MESAS DE TRABAJO/JULIO/12
PARTICIPACION DEL CEIS EN ESPACIOS EXTERNOS /JULIO/14
PARTICIPACION DEL CEIS EN ESPACIOS INTERNOS/JULIO/15
CREACION DE PROYECTOS ESPECIALES /JULIO/N/A 
CAPACITACIONES EXTERNAS/JULIO/N/A 
CAPACITACIONES INTERNAS/JULIO/7
RESULTADO A LA FECHA/JUNIO /FATALIDADES DE ACCIDENTE  DE TRANSITO/256
JUNIO LESIONADOS  957
JUNIO HURTO AUTOMOTORES  232
JUNIO HURTO MOTOCICLETAS  526
JUNIO ABIGEATO 109
JUNIO PIRATERIA  23
CONSOLIDADO COMPARATIVO DEL MES DE MAYO 2019 VS 2021  
JUNIO FATALIDADES DE ACCIDENTE  DE TRANSITO  59
JUNIO LESIONADOS  -151
JUNIO HURTO AUTOMOTORES  -1
JUNIO HURTO MOTOCICLETAS  85
JUNIO ABIGEATO -136
JUNIO PIRATERIA  0
Los resultados estadísticos acumulados del año son:
a. +29,9% en fatalidades en Accidentes de tránsito
b. -13,6% en lesiones en accidentes de tránsito
c. -0,4% hurto a Automotores
d. +19,3% hurto a Motocicletas
e. -55,5% en abigeato
f. 0% en Piratería
Avances mes de agosto 
Los resultados estadísticos acumulados del año 2021 con respecto a 2019, son:
a. +24,3% en fatalidades en Accidentes de tránsito
b. -20,2% en lesiones en accidentes de tránsito
c. +1,8% hurto a Automotores
d. +32,2% hurto a Motocicletas
e. -94,4% en abigeato
f. -16,7% en Piratería</t>
  </si>
  <si>
    <t>*COMPONENTE  DESARROLLAR LA ESTRATEGIA GESTORES DE PROMOCIÓN DE SEGURIDAD VIAL – GPS67 gestores viales en los corredores Chía – Mosquera,Soacha – Sibate.*COMPONENTE DOTACIÓNElementos de señalización como 80 conos para intersección vial y señalización con elementos visuales para la gestión del tráfico.*COMPONENTE IMPLEMENTAR PARQUES PEDAGÓGICOS.Se ha identificado un parque móvil pedagógico infantil el cual está en mantenimiento con el objetivo de aplicar el uso del mismo en el 4 trimestre*COMPONENTE ESTRATEGIA DEL PROGRAMA DE APROPIACIÓN Y PEDAGOGÍA EN EL TRANSPORTE MULTIMODALse han desarrollado acercamientos con empresas de Transporte público de pasajeros en las provincias de Sabana de Occidente, Sabana Centro, Tequendama y Sumapaz, las cuales vienen implementado sus Planes Estratégicos de Seguridad Vial.COMPONENTE FLORA Y FAUNASe  logro  el reconocimiento y  recorrido, diagnostico e inventario de flora y fauna a las siguientes vías de segundo orden departamental denominadas troncales: en las Provincia de Ubaté y  Sabana Occidente: El Rosal, Funza, Subachoque y ZipacónTres jornadas de capacitación con 80 servidores públicos autoridades de tránsitoLas tres capacitaciones planeadas se pudieron cumplir por medio virtual y estuvo dirigida a autoridades de tránsito de los municipios de Sabana de Occidente y actores viales (bici usuarios y transportadores)</t>
  </si>
  <si>
    <t>Gestores de Seguridad Vial ,programas de capacitacion en prevencion vial a usuarios y biciusurios entrega de cartillas a los diferentes actores viales por parte de la secretaria de transporte y movilidad.</t>
  </si>
  <si>
    <t xml:space="preserve">META 234
Actividad estrategia GPS
A partir de 1 de marzo de 2021 se empezó a realizar la gestión del corredor Calle 13 con la Estrategia Gestores de Seguridad Vial del Departamento de Cundinamarca, realizando control y gestión de pasos seguros a bici usuarios y Peatones en los puntos críticos de este corredor de la Sabana de Occidente.
Se realizaron apoyos para el control de Bici usuarios en los Municipios de Choachi, Chia y Cogua
Con la estrategia se realizó acompañamiento a las Ciclo vías por la Vida en los municipios de Suesca – Gachancipa y Villeta - Quebradanegra
Actividad estrategia Previsión y prevención
Se realizaron dos Ciclo vías por la Vida, generando espacios seguros para el desarrollo de la movilidad en bicicleta con los siguientes resultados:
1.	Suesca -  Gachancipa
550 Asistentes al evento a los cuales se les realizo sensibilización en el uso seguro de la bicicleta como medio de Transporte, resaltando el uso adecuado de los elementos de protección como el casco y prendas reflectivas para el tránsito nocturno.
2.	Villeta – Quebradanegra – Villeta
1120 Asistentes al evento a los cuales se les realizo sensibilización en el uso seguro de la bicicleta como medio de Transporte, resaltando el uso adecuado de los elementos de protección como el casco y prendas reflectivas para el tránsito nocturno.
Actividad estrategia de cultura ciudadana “ El Chacho de la Via”
1.	Se realizó actividades de sensibilización en biciusuarios con el uso adecuado y seguro de la bicicleta y sus elementos de protección asi:
Suesca: 140
Gachancipa: 160
Villeta: 151
Quebradanegra: 60 
2.	Capacitación a Motociclistas sobre el uso del casco según resolución 23385 de 2020 en el Municipio de Chipaque con participación de 70 Motociclistas
3.	Desarrollo de sensibilización a Motociclistas y Conductores de Vehículos en los ingresos a Cundinamarca desde Bogotá con un total de 2000 personas sensibilizadas en cuidado y prevención al transitar en el puente festivo de Semana Santa.
META 234 Avance mes de Abril de 2021
Actividad estrategia GPS
A partir de 1 de marzo de 2021 se empezó a realizar la gestión del corredor Calle 13 con la Estrategia Gestores de Seguridad Vial del Departamento de Cundinamarca, realizando control y gestión de pasos seguros a bici usuarios y Peatones en los puntos críticos de este corredor de la Sabana de Occidente.
Actividad estrategia Previsión y prevención
1.	Se inició el proceso con 19 profesionales expertos en seguridad vial para realizar el acompañamiento y apoyo a los 116 municipios del departamento en el desarrollo de los  locales de seguridad vial y a su vez apoyo en los planes estratégicos de seguridad vial en las empresas que según la normatividad vigente lo requieran.
Actividad estrategia de cultura ciudadana “ El Chacho de la Via”
1.	Desarrollo de sensibilización a Motociclistas y Conductores de Vehículos en los ingresos a Cundinamarca desde Bogotá con un total de 2500 personas sensibilizadas en cuidado y prevención al transitar en el puente festivo de Semana Santa el día 1 de abril 
Avance mes de junio 30 
* Estrategia GPS a partir de 1 de marzo de 2021 corredor calle 13 con la estrategia gestores de seguridad vial del departamento
* Estrategia GPS a partir de 7 de mayo de 2021 en el tramo Sibate - San Miguel -  Fusagasuga para la intervencion en esta importante via con alta siniestralidad
* Acompañamiento ciclovías para el control de bici usuarios en los municipios de , Suesca , Gachancipá, Villeta, quebrada negra, Tausa, Cogua, Fusagasuga, Sibate y Pacho
* Estrategia previsión y prevención en el uso seguro de la bicicleta como medio de transporte elementos de protección como el casco y prendas reflectivas para el tránsito nocturno para un total de (2181) actores viales capacitados 
* Acercamiento con los 116 municipios del departamento para el avance de los planes loceles y estrategicos de seguridad vial a traves del grupo de porfesionales contratados para tal fin.
* Avance en los convenios con la Car y asocolflores para la capacitacion en pedagogia vial para personas que se transportan en bicicelta hacia sus trabajos. Aproximadamante 1500 personas socializadas.
Avance mes de julio
* Durante el mes de julio se realizo el aporte de l estategia GPS en el desarrollo de pedagogia vial en el corredor calle 13 a los biciusuarios que utilizaran este corredor con la nueva dotacion de bicicarril  en el costado sur. Por otra parte a travez del convenio interadministratrivo con el municipio de Sibate, se inicio e desarollo de  laintervencion en el corredor Soacha - Sibate - San Miguel, con el fin de mejorar la movilidad y disminuir la accidentalidad en este sector.
* Desarrollo de ciclovias con nuestra estrategia de previcion y prevencion en los municipios de Tena - Cachipay, Ubate - Carmen de Carupa, Fomeque - Ubaque, con enfoque en pedagogia vial.
* Actividad de prevision y prevencion con enfoque en motocilistas a traves de campanas de pedagogicas, 150 actores viales socilizados.
CONSOLIDADO  Enero-agosto
CICLOVIAS 2021.
PARA ESTE AÑO LA ESTATEGIA EVOLUCIONA PARA GENERAR ESPACIOS DE REACTIVACION ECONOMICA EN ARTICULACION CON INDEPORTES,  IDECUT, LICORERA DE CUNDINAMARCA Y CAMARA DE COMERCIO DE BOGOTA
1a. Suesca - Gachancipa
627 Asistentes.
2a. Villeta - Quebradanegra
675 Asistentes.
3a. Tausa
423 Asistentes.
4a. Junin 
183 Asistentes.
5a. Sibate - Fusagasuga 
2137 Asistentes
6a. Pacho
397 Asistentes
7a. Ubaque - Fomeque 
577 Asistentes
8a. Cachipay Tena
619 Asistentes 
9a. Ubate - Carmen de Carupa
692 Asistentes
10a. Villapinzon - Turmeque 
2832 Asistentes
11a. Medina
Aplazada
12a. Fuquene
238 Asistentes
13a. Apulo - Anapoima
577 Asistentes
Avance mes de Septiembre
CICLOVIAS 2021.
PARA ESTE AÑO LA ESTATEGIA EVOLUCIONA PARA GENERAR ESPACIOS DE REACTIVACION ECONOMICA EN ARTICULACION CON INDEPORTES,  IDECUT, LICORERA DE CUNDINAMARCA Y CAMARA DE COMERCIO DE BOGOTA
1a. Suesca - Gachancipa
627 Asistentes.
2a. Villeta - Quebradanegra
675 Asistentes.
3a. Tausa
423 Asistentes.
4a. Junin 
183 Asistentes.
5a. Sibate - Fusagasuga 
2137 Asistentes
6a. Pacho
397 Asistentes
7a. Ubaque - Fomeque 
577 Asistentes
8a. Cachipay Tena
619 Asistentes 
9a. Ubate - Carmen de Carupa
692 Asistentes
10a. Villapinzon - Turmeque 
2832 Asistentes
11a. Medina
Aplazada
12a. Fuquene
238 Asistentes
13a. Apulo - Anapoima
577 Asistentes
14a. Subachoque 
378 Asistentes 
15a. Guayabal - Bituima
383 Asistentes
16a. Chia - Tenjo - Tabio - Cajica - Bogota
1347
17a. Madrid - Mosquera- Funza
1252
17  CICLOVIAS 2021. CON  13.337
 ASISTENTES 
26 municipios hicieron parte de la estrategia
COMPONENTE
Actividad de previsión y prevención con enfoque en motociclistas a través de campanas de pedagógicas, 150 actores viales socializados
● 528 personas capacitadas de los municipios como autoridades de transito
● 268 personas de empresas de transporte capacitadas en temas de prevención y previsión vial
COMPONENTE FLORA Y FAUNA 
OBJETIVO DEL PROGRAMA 
Sensibilizar a la ciudadanía a la hora de transitar por las carreteras, para que manejen con precaución; utilicen con cautela el pito para ahuyentar al animal; tengan presentes las señales de tránsito, en especial las de paso de animales; y se comuniquen con las autoridades territoriales competentes ante cualquier eventualidad con algún animal en las vías, generando así conciencia frente a la significativa cifra de mortandad de fauna.
En el año 2019 se presentaron 68 siniestros viales con fatalidad animal en Cundinamarca, 45 de ellos en vías nacionales, 20 en urbanas y tres rurales, en su mayoría corredores biológicos lo que implica una fragmentación del hábitat.  Dichos eventos causaron la muerte de 34 animales silvestres, 25 de compañía y 9 de granja.
GESTION REALIZADA
Se ha logrado la articulación con las Alcaldías Municipales y las Corporaciones Autónomas Regionales (CAR), de igual manera se han realizado capacitaciones de manera masiva en los colegios con ayuda de las Secretarias de Ambiente de los Municipios, Secretaria de Transporte y Movilidad del Departamento, Secretaria de Educación y las Corporaciones Autónomas Regionales (CAR).  donde se ha sensibilizado a los estudiantes por el cuidado de la Fauna silvestre sin descartar de igual manera la Fauna Agropecuaria y Domestica.
AVANCE MES DE NOVIEMBRE
Para este año la estrategia evoluciona para generar espacios de reactivación económica en articulación con INDEPORTES,  IDECUT, LICORERA DE CUNDINAMARCA Y CAMARA DE COMERCIO DE BOGOTA
20 ciclovias 2021. Con 14.169 Asistentes 31 municipios hicieron parte de la estrategia
ciclovias 2021.
</t>
  </si>
  <si>
    <t>No se han podido llevar los parques didacticos a los diferentes municipios evitando la aglomeracion de personas en los coliceos</t>
  </si>
  <si>
    <t xml:space="preserve">META 277
  en proceso precontractual
AVANCE MES DE JULIO Se realiza convocatoria pública fue publicada desde el veintinueve (29) de junio de 2021, hasta primero (01) de julio de 2021 en el portal único de contratación www.colombiacompra.gov.co  SECOP II; término dentro del cual se recibieron observaciones por los proponentes
El día 1 de julio de 2021, se efectuó el cierre del proceso encontrando que se presentaron cuatro proponentes
Una vez la secretaria realizó la evaluación jurídica, técnica y financiera, el comité evaluador recomendó al secretario de Transporte y Movilidad de Cundinamarca, declarar desierto el proceso ya que al no existir ningún proponente que cumpla con las condiciones establecidas en el pliego de condiciones se enmarcan las causales contempladas en el numeral 4to de la Invitación Nº STM-CMC-002-2021.
Avance mes de agosto 
•	Reunión virtual con la Secretaría de Planeación para la revisión de los avances en la formulación de la política pública de movilidad del Departamento. (Agosto 10 de 2021). 
•	Reunión presencial el 19 de agosto del 2021 con Secretaría de Planeación, el Consultor encargado de la fase de diagnóstico y el equipo de trabajo de la Oficina de Proyectos Especiales de la Secretaría de Transporte y Movilidad.
Durante la reunión se socializaron las fases para la construcción de la política pública por parte de la Secretaria de planeación y los instrumentos para la formalización de los actores en la política.
Se acordaron acciones para la articulación entre la Secretaría de Planeación, la Secretaría de Movilidad y la consultoría en relación a la revisión y aporte de información e insumo para la construcción del diagnóstico.
•	Reunión presencial el 19 de agosto del 2021 con el Consultor encargado de la fase de diagnóstico y el equipo de trabajo de la Oficina de Proyectos Especiales de la Secretaría de Transporte y Movilidad.
Durante este encuentro se llevó a cabo la planeación de las mesas de trabajo para la vinculación de los actores que participarán en las diferentes etapas de la política pública y se acordó sobre las estrategias para articulación del trabajo.
Específicamente, se planeó el desarrollo de cinco (5) mesas de trabajo con actores:
Mesa 1:
Secretarías e instancias departamentales
Corporaciones
Mesa 2:
Autoridades municipales
Oficinas de transporte
Sedes operativas
Mesa 3:
Transportadores (empresas, gremios y asociaciones)
Concesiones e interventorías.
Mesa 4
Gobierno Nacional (entidades)
Externos (expertos y universidades)
Mesa 5
Ciudadanía (JACs, colectivos, gremios, veedurías, otros)
•	Reunión presencial el 24 de agosto del 2021 con representantes de las diferentes dependencias de la Secretaría de Transporte y Movilidad,  el Consultor encargado de la fase de diagnóstico y el equipo de trabajo de la Oficina de Proyectos Especiales. 
En esta reunión se revisaron los posibles enfoques que orientaran la política pública de movilidad del Departamento y se socializaron los requerimientos asociados a la consolidación de la fase de diagnóstico de este instrumento.
Se expusieron los diferentes conceptos y dimensiones a incluirse en el diagnóstico. La política pública de movilidad de Cundinamarca deberá incluir temas asociados a:
o	Desarrollo competitivo de los municipios
o	Conectividad a los centros urbanos
o	Descongestión vehicular
o	Seguridad vial
o	Infraestructura vial
o	Protección a los actores viales
o	Cuidado del medio ambiente.
Avance Mes de Septiembre 2021
Acto administrativo de instancia institucional:  Fue adjudicado mediante un proceso de selección de mínima cuantía (STM –CMC-003-2021) al consultor Soluciones comerciales y empresariales Zipar S.A.S.
PLAN DE TRABAJO
•	Esta etapa inicio el 25 de agosto del 2021y finaliza el 30 de octubre del 2021
Investigación sobre la movilidad de Cundinamarca antecedentes normatividad aplicable vigente estrategias, ejes temáticos, recolección de información.
•	Etapa Del 1 de noviembre del 2021 hasta el 5 de noviembre del 2021 
Entrega del primer producto de análisis de la etapa investigativa, un primer avance en la consecución del diagnóstico para la elaboración de la política publica de movilidad para el departamento de Cundinamarca.
•	Etapa del 6 de noviembre del 2021 al 3 de diciembre del 2021 
Se efectuará la construcción del documento diagnóstico para la elaboración de la política publica de movilidad para el departamento de Cundinamarca.
•	Etapa del 6 de diciembre del 2021 al 10 de diciembre del 2021
Entrega y socialización del producto o documento reflejo del estudio diagnóstico para la elaboración de la política publica de movilidad para el departamento de Cundinamarca 
•	Etapa del 11 de diciembre del 2021 hasta el 17 de diciembre
Adecuación, corrección y aplicación de las peticiones que se pudieran presentar al documento diagnostico socializado
•	Etapa del 19 de diciembre del 2021 hasta el 23 diciembre
Entrega final del documento diagnóstico para la elaboración de la política publica de movilidad para el departamento de Cundinamarca.
Avances Octubre de 2021
1.	De acuerdo a la solicitud de información enviada por el Consultor encargado de realizar la fase de diagnóstico de la Política Pública de Movilidad del Departamento se llevaron a cabo las siguientes acciones:
•	Recopilación de información e insumos de las diferentes áreas de la Secretaría de Transporte y Movilidad de Cundinamarca, específicamente del Centro de Estudios e Investigaciones en Seguridad vial – CEIS y de la Oficina de Política Sectorial de esta Secretaría.
•	Revisión y organización de la información recolectada de conformidad a lo solicitado en cada uno de los puntos remitidos.
•	Proyección y envío del oficio de respuesta el 08 de octubre de 2021 con la descripción de cada uno de los puntos requeridos. Se adjuntaron los respectivos documentos e insumos.
2.	Diligenciamiento de matriz con el plan de mejoramiento correspondiente a los meses de abril, mayo y junio de 2021 con la descripción de los avances entorno a los siguientes compromisos:
•	Elaboración de la justificación de la política pública de movilidad.
•	Coordinación para el desarrollo de la formulación de la política pública de movilidad.
En esta matriz se indicó que durante el trimestre se consolidó la información respectiva en cuanto a la identificación de la problemática y el mapa de actores que participarán en el proceso de formulación y ejecución de la política pública de movilidad, así mismo que se realizaron actividades relacionadas con la gestión para la contratación del consultor encargado de realizar el diagnóstico de la Política Pública. 
Como evidencia de los avances se adjuntaron las siguientes evidencias:
-	Formato E-DEAG-FR-062 diligenciado - Justificación  de la política pública de movilidad del Departamento.
-	Presentación de la justificación de la Política Pública de Movilidad.
3.	Diligenciamiento de la matriz Ficha de seguimiento presupuestal donde se incluye información relacionada con los avances del proyecto de formulación de la política pública de movilidad del Departamento.
Este documento fue remitido el 29 de octubre de 2021 e incluyó las siguientes acciones realizadas para el cumplimiento de la meta 277:
-	Se formularon y publicaron los estudios previos para la contratación de la consultoría encargada de la realización de la fase diagnostica para la construcción de la política pública de movilidad de Cundinamarca, en sus componentes de agenda pública, activación de actores y diagnostico estadístico.
-	Se adjudicó mediante acto administrativo el contrato de consultoría para la elaboración del diagnóstico  de la política pública de movilidad de Cundinamarca a la firma Soluciones comerciales y empresariales Zipar S.A.S.
-	Se llevó a cabo el respectivo seguimiento al desarrollo de las actividades de la consultoría apoyando la definición de los enfoques y la organización de los actores que participarán en el proceso de formulación de la política pública de movilidad.
-	Se revisó en conjunto con la Secretaría de Planeación del Departamento los diferentes requisitos y herramientas que se requieren para avanzar en la formulación de las diferentes etapas de la política pública de movilidad.
4.	Entre el 01 y el 05 de noviembre de 2021 y de acuerdo con el plan de trabajo establecido, el consultor realizará la entrega del primer producto de análisis de la etapa investigativa. Esta entrega se constituye como un primer avance para la consolidación del diagnóstico en el marco de la formulación de la política pública de movilidad del Departamento. A partir de dicha entrega se continuará con el seguimiento al proceso de formulación de la política pública de movilidad.
</t>
  </si>
  <si>
    <t>Regiotram de Occidente construido
1. Como parte del avance del proyecto la Empresa Férrea Regional adjudicó el contrato de interventoría de la construcción de esta obra por valor de $71.402 millones, el consorcio está conformado por las firmas Ayesa Ingeniería y Arquitectura (sucursal Colombia); Consultoría en Ingeniería Integral y C &amp; M Consultores INFORME TRIMESTRAL DEL 01 DE ENERO DE 2021 AL 31 DE MARZO DE 2021 El estado actual del contrato es VIGENTE 
 Plan pago Total 2021 = 20.560.422.348 
 Marzo 1.598.000.000 
 Mayo 5.140.000.000 
 Junio 5.140.000.000 
 Octubre 5.740.422.348 
 Diciembre 2.942.000.000
2. APORTE FINANCIEROS - CONVENIO SUBVENCIÓN
Junio - julio: $1.685.714.286
Agosto: $842.857.143
Septiembre: $842-857.143
Octubre: $842.857.143
Noviembre: $842.857.143
Diciembre:$842.857.143</t>
  </si>
  <si>
    <t xml:space="preserve">META 349
 Como punto principal a tratar en el Comité Fiduciario, la gerente de la Empresa Férrea Jeimmy Villamil, da inicio informando que la Empresa Férrea frente al proyecto Regiotram de Occidente, tiene entre sus responsabilidades lograr la financiación del proyecto a través de los mecanismos financieros que existan, verificando las mejores condiciones de financiación del mercado, así como gestionar oportunamente las vigencias futuras que se tienen comprometidas para atender el contrato de concesión. Para este propósito la Empresa Férrea contrató a la firma corredores Davivienda a fin de analizar las posibles alternativas de financiación del proyecto, básicamente con una operación de crédito como la titularización.
-	Se presenta un cuadro donde se expone la necesidad de la financiación, con respecto a la programación de las vigencias futuras las cuales se concentran entre el año 2024 al 2028.
La Empresas Férrea informa que se ejecutará el Capex del proyecto entre el año 2020 al 2024, por lo anterior se considera que el perfil temporal de las vigencias futuras no coincide con las necesidades de ejecución de Capex del proyecto, por lo anterior la Empresa Férrea requiere un instrumento de deuda que les permitan anticipar las vigencias futuras del convenio de cofinanciación, por lo que se evaluó dos (02) alternativas de financiación.
La primera alternativa con relación a una financiación en el mercado intermediario y la segunda con respecto a un endeudamiento a través del mercado de capitales de Colombia.
-	Se informa a los asistentes que está bastante adelantada la minuta del contrato de Patrimonio Autónomo en dónde se han tenido mesas de trabajo con el Ministerio de Hacienda y con el Ministerio de transporte en donde ya quedan muy pocos puntos por cerrar.
La junta directiva de la Empresa Férrea autorizó la adquisición del endeudamiento vía emisión y colocación de títulos en el mercado de valores con cargo al convenio de cofinanciación, actualmente se encuentra en trámite el concepto favorable ante la Secretaría de Planeación del Departamento de Cundinamarca y se espera hacia finales de febrero de 2021 contar con una serie de pasos para solicitarle al Señor Gobernador la resolución que autoriza este tipo de transacciones en el mercado, así como la revisión del reglamento a la junta directiva.
META 349 AVANCE MES DE MAYO
REGIOTRAM
LA EMPRESA FERREA REGIONAL S.A.S, con NIT 900.403.616-1 por valor total de NUEVE MIL MILLONES DE PESOS M/CTE ($9.000.000.000), los cuales serán desembolsados en NUEVE (9) pagos así: el primero por valor de TRES MIL MILLONES DE PESOS MCT ($3.000.000.000) pagaderos en el mes de mayo de 2021 y los OCHO(8) restantes por valor de SETECIENTOS CINCUENTA MILLONES DE PESOS MTCE ( $ 750.000.000) mes vencido, por concepto de subvención -Pago para el mes Septiembre convenio No 086 de 2017 del proyecto Regiotram de Occidente 
Meta 349
Avances mes de junio 30 
El Departamento no recibirá los rendimientos hasta que se amortice la pérdida que se tuvo en el primer trimestre del año.
FiduBogotá está reportando los movimientos de las inversiones.
Una vez se cuente con los resultados del cierre del segundo trimestre, se procederá al próximo comité fiduciario.
Se realizó pago de subvención del ente gestor correspondiente al mes de Junio, por un valor de $ 750.000.000.
AVANCE MES DE JULIO 30 Dando continuidad con el proceso y teniendo en cuenta la situación de pandemia para finales del mes de agosto llegaron al país procedente de China el equipo técnico de la empresa Civil Engineering Construction Corporation (Contratistas), realizando el debido aislamiento preventivo de los 14 días iniciando labores en el mes de septiembre.
Para el mes de octubre se realiza el Comité Fiduciario No. 11 en donde la Fiduciaria de Bogotá  presenta los rendimientos de los aportes que a la fecha ha realizados el Departamento. En este comité solicitaron al Departamento el desembolso que quedo pactado en el encargo fiduciario, en el cual el Departamento dice haber solicitado documentos a la empresa férrea y que pronto los suministren se realizará el desembolso.  
Avance mes de agosto
Según comentario por parte de la interventoría el consultor  cumplió con los 10 productos, sin embargo a partir de la decisión de la alternativa subterránea se identificó que desde el producto 3 varios aspectos  se deben adicionar o modificar. 
Teniendo en cuenta lo anterior se genera un Otrosí con un costo elevado que deberá ser estudiada y analizada por parte del comité técnico.   
Anexamos cuadro comparativo con valores 
Avance mes de Septiembre
la EFR SAS presenta el Plan Operativo Anual POA de inversiones la programación entre mayo de 2021 a diciembre de 2021 y lo ejecutado y proyectado entre el 2018 al 2029, informa que de acuerdo a la caja disponible no se hace necesario la titularización para este año.
Avance  mes de octubre de 2021 
se tenía previsto el desembolso de $33.075.935.621 por parte de la Secrettaría de Transporte y Movilidad del Departamento, sin embargo, dados algunos ajustes requeridos en relación al IPC por parte de la Secretaría de Hacienda no se ha podido efectuar este pago. 
Con respecto a los recursos de subvención para el mantenimiento del proyecto, el Departamento se encuentra al día con el pago de dichos aportes.
AVANCES MES DE NOVIEMBRE 
AVANCES DE EJECUCIÓN 
El concesionario Férreo de Occidente radicó la entrega de los Estudios y Diseños del Proyecto Regiotram de Occidente, el 24 de junio 2021, los cuales son objeto de revisión por parte de la interventoría.
Con el INVIAS, ANI, Distrito Capital, IDU, se ha gestionado la articulación del proyecto en sus diferentes componentes (corredor férreo, taller ANI, estudios de tránsito, estaciones elevadas)
Gestionado y socializado con las alcaldías de Facatativá, Madrid, Mosquera y Funza la implantación del proyecto sobre el corredor férreo y los planes de manejo de tráfico y licenciamiento ambiental.
La Concesionaria Férrea de Occidente ha radicado ante la ANLA el estudio de impacto ambiental, para la obtención del licenciamiento ambiental. 
La Empresa Férrea a través de la Empresa Inmobiliaria, viene adelantando el levantamiento de insumos técnico-prediales (levantamiento topográfico, fichas prediales, avalúos comerciales), acorde con las obligaciones contractuales del contrato de concesión del 01-2019.
</t>
  </si>
  <si>
    <t xml:space="preserve">Extensión de la troncal NQS del SITM a Soacha fases II y III construida
 En Etapa de Preconstrucción (12 meses):
-Presentación de Estudios y Diseños.
-Movilización de Equipos y Preparación de los Frentes de Trabajo.
-Permisos, Licencias y Autorizaciones Ambientales.
-Plan de Manejo de Tráfico, Señalización y Desvíos.
-Convenios de Servicios Públicos.
-Cronograma de Obras.
</t>
  </si>
  <si>
    <t xml:space="preserve">META 350
1. Etapa de Pre-construcción (12 meses) :                                                                                                                                                                                           - Estudios y diseños, preparación de los frentes de trabajo, plan de manejo de tráfico y señalización, convenios de servicios públicos y cronograma de obras. AVANCE MES DE ABRIL 1. Etapa de Pre-construcción (12 meses) :                                                                                                                                                                                           - Estudios y diseños, preparación de los frentes de trabajo, plan de manejo de tráfico y señalización, convenios de servicios públicos y cronograma de obras.
- Elaboración del plan de manejo ambiental PMA, programa de implementación del plan de manejo ambiental PIPMA y gestión de permisos ambientales.                                                                                                                                                                             - Actividades de divulgación de información por las partes interesadas.                                                                                                                                                            - Adquisición de predios                                                                                                                                                                                                                                                                
2. Aportes financieros - Convenio Subvención                
Junio - Julio: 1.142.857.142                                                                                                                                                                                                                            Agosto:            571.428.571                                                                                                                                                                                                                                      Septiembre:     571.428.571                                                                                                                                                                                                                                         Octubre:           571.428.571                                                                                                                                                                                                                                          Noviembre:      571.428.571                                                                                                                                                                                                                                     Diciembre:       571.428.571
META 350  AVANCE MES DE MAYO 
TRANSMILENIO SOACHA
Municipio de Soacha fase II y III”, se encuentra procedente acceder a la solicitud y en y en consecuencia ordenar el giro de los recursos por concepto de subvención, a la Empresa Férrea Regional S.A.S., por valor de NUEVE MIL MILLONES DE PESOS MCTE ($ 9.000.000.000) los cuales serán entregados en nueve 09), con destino a garantizar que la Empresa Férrea Regional S.A.S funcione en forma adecuada, en torno a la ejecución de los proyectos “Regiotram de Occidente” y “Extensión de la troncal NQS del sistema Transmilenio al Municipio de Soacha fase II y III” Que para el fin anterior, se cuenta con los certificados de disponibilidad presupuestal Nos. 7100013105 del 30 de abril de 2021, por valor de DOS MIL MILLONES CUATROCIENTOS SETENTA Y CINCO MIL PESOS MCTE (2.475.000.000) - Pago para el mes Noviembre convenio No.088 de 2017 del proyecto de Transmilenio Soacha Fase I y II 
AVANCE MES DE JULIO 30
 Rendimientos fiduciaria Informe Fiduciario (01 de Junio de 2021 a 30 de Junio de 2021):
Bienes Fideicomitidos – Fuentes y Usos.
El Encargo Fiduciario tiene como fuentes de ingreso y sus usos:
Los recursos que se administrarán en el encargo fiduciario corresponden a los aportes de la Nación, a los aportes del Departamento de Cundinamarca y a los aportes del Municipio de Soacha que corresponden a la suma de OCHOCIENTOS CINCUENTA Y NUEVE MIL DOSCIENTOS VEINTIOCHO MILLONES TRESCIENTOS OCHO MIL QUINIENTOS OCHENTA Y UN PESOS M/CTE ($859.228.308.581)
Aportes Nación: $791.954.044.179
Aportes Departamento de Cundinamarca: $199.583.033.763
Aportes Municipio de Soacha: $60.859.127.453
Avance mes de agosto 
Procedimiento contable y compensación de desvalorizaciones FIC:
 En el evento en que se presenten desvalorizaciones por rentabilidades negativas de los FIC, se llevará en el Balance, un registro contable y de control a través de una cuenta por cobrar a nombre del Municipio y/o Departamento, en la cual se indique el saldo pendiente por compensar.
La cuenta por cobrar a cada uno de los cofinanciadores, producto de las desvalorizaciones de los FICS, será compensada con los rendimientos futuros positivos que renten las inversiones de los aportes de vigencias futuras del Municipio y/o Departamento.
Avance mes de Septiembre
Estado predial del proyecto:
La EFR presenta el estado predial del proyecto. Durante la etapa de pre-construcción, el mayor uso de recursos para el proyecto corresponde a la adquisición predial y compensaciones sociales
Avances mes de Octubre 
Para el mes de noviembre de 2021 se tiene previsto el desembolso de $20.560.422.348 por parte de la Secretaría de Transporte y Movilidad del Departamento, dando cumplimiento a lo pactado en el convenio.
Con respecto a los recursos de subvención para el mantenimiento del proyecto, el Departamento se encuentra al día con el pago de dichos aportes, estando pendientes dos pagos de la siguiente forma:
Noviembre: $ 750.000.000
Diciembre: $1.500.000.000
Se realizó el seguimiento través del Comité Fiduciario convocado por Fidubogotá a la ejecución de los recursos desembolsados al encargo fiduciario durane la vigencia.
AVANCES  MES DE NOVIEMBRE 
Gestión Predial.  
Teniendo en cuenta que la ejecución e implantación del proyecto de la extensión de Transmilenio fase II y III requerían de la adquisición predial, la Empresa Férrea a través de la Empresa Inmobiliaria de Cundinamarca, adelantó un proceso de gestión social y predial, sobre la autopista Sur a lo largo de 4Km. Lo anterior, permitió ofertar 283 predios, consolidando un proceso con responsabilidad social (Res. 1023 de 2017), lo cual se refleja en el porcentaje de entrega de predios a través del mecanismo de enajenación voluntaria.
Es importante mencionar, que para la ejecución de las obras de Patio portal del Sistema Transmilenio, el Municipio de Soacha entregó como aporte en especie, el predio denominado el Vínculo.
</t>
  </si>
  <si>
    <t>Proyecto estructurado
Fase previa con cronograma para desembolso de los recursos al Contratista</t>
  </si>
  <si>
    <t xml:space="preserve">META 351
- Elaboración del plan de manejo ambiental PMA, programa de implementación del plan de manejo ambiental PIPMA y gestión de permisos ambientales.                                                                                                                                                                             - Actividades de divulgación de información por las partes interesadas.                                                                                                                                                            - Adquisición de predios  AVANCE MES DE ABRIL. Se aprobó por parte de Gobierno Nacional, que Regiotram Norte se estructurará como un corredor exclusivo para pasajeros, construyendo una infraestructura logística especializada (ILE), entre La Caro y Tocancipá, para dar respuesta al transporte de carga.
Se esta estudiando la posibilidad de transporte de carga  a ciertas horas, pero no se ha concretado.
18 estaciones (13 Bogota  + 5 Región)
Corredor exclusivo de Pasajeros
ILE al norte de la caro
Integración física con paraderos y estaciones SITP.
Velocidad de operación: 40 Km/h.
Intervalo de 12 minutos en la sabana y 6 minutos dentro de Bogotá D.C.
Demanda potencial únicamente dentro del alcance espacial de modelación.
Esquema tarifario constante en los demás servicios.
Esquema tarifario propuesto para el tren.
Diseño definitivo de rutas del SITP según TMSA. META 351 AVANCE MES DE MAYO
- El proyecto se encuentra en fase de ejecución
- La oferta económica presentada por el proponente fue por valor de $12.650.067.677 IVA incluido.
- Se aprobó por parte de Gobierno Nacional, que Regiotram Norte se estructurará como un corredor exclusivo para pasajeros, construyendo una infraestructura logística especializada (ILE), entre La Caro y Tocancipá, para dar respuesta al transporte de carga
- 18 estaciones (13 Bogota + 5 Región) 
- Se encuentran en aprobacion, por parte de la gobernación y alcaldía, las alternativas propuestas por el consultor según estudios de diseños y factibilidad, de las rutas de Regiotram Norte.
Avances mes de junio 30 
 Se mostró el trabajo realizado por la Consultoría, Interventoría y Supervisión para lograr llegar a un consenso en cuanto a la alternativa a estructurar, Alternativa 4 (Elevada) y los incrementos de alcance que ella conlleva, así como los costos asociados y plazo de ejecución adicional.
Por cuanto el próximo 18/6/2021 se vence la prórroga de la suspensión parcial y temporal de los contratos 0016/2020 y 0017/2020, de Consultoría e Interventoría, y estimando que para esa fecha no se haya logrado definir la alternativa a estructurar, FINDETER consulta a los miembros del comité si tienen alguna recomendación respecto a cómo proceder para esa fecha
AVANCE MES DE JULIO 30
Reunión Findeter- Departamento- Interventoria 
15 de Julio de 2021
1.	Se informa que se llevó a cabo de manera presencial el pasado martes 13/7/2021, en el salón Barulé de la Alcaldía de Bogotá. En esa reunión se tomó la decisión de estructurar, para el proyecto RegioTram Norte, la alternativa subterránea, con variante de que en vez de salir de manera segregada a la altura de la carrera 11 hasta la calle 140, seguir en subterráneo hasta la calle 245.
2.	Se hizo referencia la Otrosí de la adhesión del contrato por parte del consultor y la adhesión del IDU para financiación. 
3.	Otrosí para modificar la forma de pago de los contratos 0016/2020 y 0017/2020.
4.	Revisión de pólizas ajustadas según la segunda acta de prórroga de suspensión de los contratos 0016/2020 y 0017/2020.
AVANCE MES DE SEPTIEMBRE El pasado 30 de septiembre Findeter comunica a los integrantes del Comité  Técnico que debido a la terminación del plazo de la suspensión temporal de los contratos el próximo 01 de octubre tomaron la decisión  de prorrogar dicha suspensión temporal hasta el día 14 de octubre del presente año porque aún falta la reunión con el señor Gobernador la cual está programada para el 04 de octubre; Findeter solicita a los participantes del Comité el apoyo sobre la prórroga.
Avance mes de Octubre
El convenio 048 de 2019 continua vigente.   
En  octubre de 2020 se dio la adhesión del Distrito Capital al convenio.                                    
                                                                                                                                                                                                                                                              </t>
  </si>
  <si>
    <t>La empresa de consultoría presenta avance donde señala las fases del estudio, el impacto ambiental, la adquisición que se debe hacer de predios en la sabana norte, la viabilidad del tren de carga sigue presentando negativo frente al estudio 
En el Comité del 12 de Octubre de 2021, Findeter comunicó la decisión de terminar los contratos de consultoría e interventoría, teniendo en cuenta que no habría los recursos requeridos por parte del IDU para la actual vigencia y así poder adicionar los contratos.</t>
  </si>
  <si>
    <t>Proyecto estructurado</t>
  </si>
  <si>
    <t xml:space="preserve">META 352
. Aportes financieros - Convenio Subvención   AVANCE MES DE ABRIL Avance 2020: Se atendió al pronunciamiento emitido por el Ministerio de Transporte y se ajustaron los 15 entregables técnicos con el objetivo de efectuar el Estudio de Mercado necesario para la elaboración de los Estudios y Diseños. META 352 AVANCE MES DE MAYO
-	Se definieron los requisitos para la presentación de proyecto del sistema general de regalías
-	Se realiza presupuesto de mano de obra, diseños publicitarios, gastos provenientes de mesas de trabajo y fuentes de financiación, del año 2021 a 2024
-	Una vez aprobado por el OCAD, el Departamento de Cundinamarca ejecutará los recursos que permitirán contar con los estudios y diseños para el desarrollo constructivo del proyecto.
•	Se solicitaron las cotizaciones y entregables a los posibles oferentes del proyecto, para los estudios de factibilidad.
1.	Avances a 30 de junio de 2021: 
La Gobernación de Cundinamarca a través de la Secretaria De Transporte Y Movilidad, solicita cotización para el desarrollo de los estudios y diseños definitivos para de la extensión de la Troncal Ciudad de Cali del Sistema Transmilenio al municipio de Soacha, desde el canal de puente Tibánica hasta la ALO Soacha, esta solicitud se realizó el dia 25 de mayo con fecha de entrega el día 5 de junio de 2021. El día 1 se solicitaron cotizaciones adicionales a tres empresas más con (Ver Anexos) 
El alcance presentado en esta solicitud de cotización responde a las exigencias generales que deben cumplir los Estudios y Diseños de un proyecto de troncal de Transmilenio. Como referencia se debe utilizar el alcance de los estudios y diseños Contratados por el Instituto de Desarrollo Urbano de Bogotá – IDU, en especial el proceso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BOGOTA.
Avances mes de agosto de 2021:
La Gobernación de Cundinamarca a través de la Secretaria De Transporte Y
Movilidad, solicita cotización por segunda vez, para el desarrollo de los estudios y
diseños definitivos para de la extensión de la Troncal Ciudad de Cali del Sistema
Transmilenio al municipio de Soacha, desde el canal de puente Tibánica hasta la
ALO Soacha, esta solicitud se realizó el día 18 de agosto.
Se recibieron dos respuestas:
 INTERDISEÑOS: Actualización de precios, de acuerdo con el estudio de
mercados enviado en el año 2020, sin embargo, manifiestan que en este
momento la empresa no cuenta con esta línea de servicio (Anexo1. Pdf)
(19 de Agosto de 2021)
 SMA INGENIEROS: Adjuntan exigencias generales que deben cumplir los
estudios y diseños de factibilidad (Anexo2. Excel)
(24 de Agosto de 2021)
A partir de las cotizaciones recibidas, se espera continuar en el proceso para
definir los precios de mercado
Avances mes de Septiembre de 2021:
La Gobernación de Cundinamarca a través de la Secretaria De Transporte Y Movilidad, solicita cotización por segunda vez, para el desarrollo de los estudios y diseños definitivos para de la extensión de la Troncal Ciudad de Cali del Sistema Transmilenio al municipio de Soacha, desde el canal de puente Tibánica hasta la ALO Soacha, esta solicitud se realizó el día 18 de agosto.
Se recibieron dos respuestas:
•	INTERDISEÑOS: Actualización de precios, de acuerdo con el estudio de mercados enviado en el año 2020, sin embargo, manifiestan que en este momento la empresa no cuenta con esta línea de servicio (Anexo1. Pdf) 
(19 de Agosto de 2021)
•	SMA INGENIEROS: Adjuntan exigencias generales que deben cumplir los estudios y diseños de factibilidad (Anexo2. Excel)
(24 de Agosto de 2021)
A partir de las cotizaciones recibidas, se espera continuar en el proceso para definir los precios de mercado definitivos que orientarán el proceso de licitación.
Se encuentra pendiente la fecha para el próximo comité.
ado definitivos que orientarán el proceso de licitación.
Avances Octubre 31 de 2021:
A partir de la fecha, el presente proyecto correspondiente a la meta 352 referente al desarrollo de los Estudios y diseños para la extensión de la troncal Ciudad de Cali del sistema Transmilenio a Soacha, Cundinamarca fue asignado a la Oficina de Planeación de la Secretaría de Transporte y Movilidad de Cundinamarca, razón por la cual su seguimiento y gestión lo realizará la dependencia mencionada.
</t>
  </si>
  <si>
    <t>A la fecha no se ha recibido respuesta de las cotizaciones.</t>
  </si>
  <si>
    <t xml:space="preserve">GARANTIZAR LOS RECURSOS NECESARIOS PARA QUE EL ENTE GESTOR
Se mantiene la operacion del ente gestor con el seguimiento de los recursos de la secretaria de transporte y movilidad
</t>
  </si>
  <si>
    <t>META 353
 ES UNA META DE MANTENIMIENTO CON LOS PAGOS DE SUBVENCION ANUAL AL ENTE GESTORMETA 353 AVANCE MES DE MAYO
•	Se mantiene la operación del ente gestor de los proyectos de transporte masivo regional de manera financiera.
•	 Ente gestor EFR, pagos por subvención; valor total $9.000.000.000, valor cancelado a la fecha $ 3.000.000.000 (para proyectos Regiotram Occ. Y TM Fase II y Fase III). 
Avance mes de julio 30 La Secretaria de Transporte y Movilidad, ha venido garantizando los recursos necesarios que requiere el
ente gestor (EMPRESA FERREA REGIONAL), para el mantenimiento y sostenibilidad de acuerdo a la figura de
subvención, Para la presente vigencia se estableció mediante acto administrativo (Resolución 054 del 6 de
mayo de 2021) “POR MEDIO DE LA CUAL SE ORDENA EL GIRO DE SUBVENCIÓN A CARGO DEL
DEPARTAMENTO DE CUNDINAMARCA – SECRETARÍA DE TRANSPORTE Y MOVILIDAD EN FAVOR DE LA
EMPRESA FÉRRERA REGIONAL S.A.S”, realizar desembolsos en NUEVE (9) pagos así: el primero por valor de
TRES MIL MILLONES DE PESOS MCT ($3.000.000.000) pagaderos en el mes de mayo de 2021 y los OCHO(8)
restantes por valor de SETECIENTOS CINCUENTA MILLONES DE PESOS MTCE ( $ 750.000.000) mes vencido,
por concepto de subvención. En cumplimiento de lo anterior la Secretaria de Transporte y Movilidad</t>
  </si>
  <si>
    <t>Estudio de viabilidad</t>
  </si>
  <si>
    <t xml:space="preserve">META 354
AVANCE MES DE ABRIL.  Se realizó conversaciones previas con empresas de consultoria para definición y planeación de los estudios previos del proyecto META 354 AVANCE MES DE MAYO
-	Se realizó conversaciones previas con empresas de consultoría para definición y planeación de los estudios previos del proyecto.
AVANCE MES DE JULIO
-Proyecto en etapa de búsqueda de constructora para definir etapas de planeación y elaboración de estudios
*Se realizó conversaciones previas con empresas de consultoría para definición y planeación de los estudios previos del proyecto.
*Proyecto en etapa de búsqueda de constructora para definir etapas de planeación y elaboración de estudios
Avance mes de agosto 
Se acepta invitación a reunión con el IDU el día 26 de agosto del presente año, para entablar diálogos sobre el “Tren del Sur”, ya que el IDU cuenta con un proyecto similar a la Meta 354 del Departamento. El IDU tiene con un objeto: “Realizar la estructuración integral a nivel de prefactibilidad del corredor férreo del sur en la modalidad ferroviaria y su articulación con otros proyectos de transporte de la región Bogotá-Cundinamarca”; por consiguiente solicita a Empresas Férreas y al Departamento de Cundinamarca una unión estratégica para ejecutar Tren del Sur; por el momento el IDU cuenta con los recursos para realizar el convenio con la Financiera de Desarrollo Nacional para realizar estructuración del proyecto; la unión estratégica tiene como objetivo a futuro trabajar de la mano IDU, Departamento y Municipio de Soacha.
Avance mes de septiembre
A la fecha el IDU tiene adelantado los términos de referencia con la financiera de desarrollo nacional y el convenio con el metro de Bogotá.
Avances a Octubre de 2021
Se adelantó reunión entre el Departamento, la Secretaria de Movilidad, la Empresa Férrea y el IDU  En este encuentro el IDU presentó el conjunto de estudios previos para la construcción de un Proyecto similar a esta meta como referente. En razón a lo anterior se busca que el Departamento pueda adherirse al desarrollo de este proyecto.
El paso a seguir en este proceso es realizar el contacto respectivo con el Distrito para analizar la viabilidad de adelantar el proyecto de manera conjunta buscando la adhesión al mismo por parte del Departamento. Teniendo en cuenta que el IDU celebró convenio con la empresa Metro para adelantar el proyecto de Estudios de Pre factibilidad.
En razón a lo anterior, se proyectó oficio dirigido a Planeación Distrital con el fin de poner a consideración la viabilidad para la adhesión del Departamento en el desarrollo del proyecto mencionado.
</t>
  </si>
  <si>
    <t xml:space="preserve">Elaboracion de documento tecnico
Convenio con la policía nacional por $1.781 .060 millones de Pesos
</t>
  </si>
  <si>
    <t xml:space="preserve">META 355
 Se crea el grupo de trabajo para el desarrollo de campañas en movilidad con seguridad mediante intervenciones pedagógicas y asesora Jurídica en procura se garantizar la eficiencia institucional en el marco de la implementación del Plan Maestro de movilidad en el Departamento. tendientes a prevenir la accidentalidad y fortalecer el autocontrol y la protección en las vías del Departamento.                         Convenio con la policía nacional por $1.781 .060 millones de Pesos
Avance mes de septiembre
Se formulan estrategias y actividades encaminadas a la elaboración y desarrollo del diagnóstico primera etapa del Plan Maestro de Movilidad, orientadas a la recopilación y recepción de información primaria y secundaria de los 116 municipios del departamento relacionada con el tránsito, transporte y movilidad.
IMPLEMENTACIÓN DEL PLAN MAESTRO DE MOVILIDAD-META 355
La Secretaria de Transporte y Movilidad de Cundinamarca lidera el proceso de implementación de un Plan Maestro de Movilidad a nivel departamental con dimensión municipal y regional cuyo propósito es establecer lineamientos que ayuden a mejorar la movilidad de las personas y su competitividad territorial mediante modos de transporte alternos y de movilidad sostenible y segura.
En razón a lo anterior, la Secretaria de Transporte y Movilidad viene desarrollando un trabajo articulado generando avances en la construcción del Plan Maestro de Movilidad del Departamento abordando cada una de las etapas necesarias de acuerdo a la resolución 20203040015885 del Ministerio de Transporte y en cumplimiento a los objetivos trazados en el marco de nuestro Plan de Desarrollo Departamental (2020-2024) “Cundinamarca región que progresa”. 
Avances mes septiembre 2021 
1.	Se ha venido recopilando y consolidando en una matriz respuestas a oficios enviados a las alcaldías de los 116 municipios del departamento donde se solicita información relacionada con el tránsito, transporte y movilidad.
•	Dentro de la información que le fue solicitada a cada municipio estuvo: Indicar el número de vehículos, particulares y de servicio público que se movilizan en el municipio, indicar las empresas que prestan servicio de transporte público en el municipio tanto urbano como rural, indicar si se presenta en el municipio un alto flujo vehicular, indicar el estado de las vías y rutas de transporte, calificar el estado de los medios no motorizados tal como sistema de andenes, alamedas, vías peatonales y ciclo infraestructura, calificar el estado de los dispositivos de control tal como señalización horizontal, señalización vertical, semaforización, sentidos viales entre otros, indicar si el municipio cuenta con terminal de transporte y/o centro de consolidación de carga y por último, describir que impactos ambientales negativos generados por contaminación se dan en el municipio.
El objetivo de esta estrategia se enmarca en recopilar información que permita realizar un diagnóstico sobre la situación actual en cuestión de movilidad y tránsito y transporte en cada uno de los 116 municipios del Departamento de Cundinamarca, permitiendo encaminar actuaciones técnicas que ayuden a garantizar la sostenibilidad y mejorar competitividad del departamento en términos de movilidad.
2.	Conformación de grupos de trabajo por profesiones para la construcción del diagnóstico primera etapa del Plan Maestro de Movilidad del Departamento. 
•	Se desarrollaron dos reuniones con cada uno de los grupos de trabajo. Por un lado, con el equipo financiero se establecieron diferentes tareas orientadas a la recolección de información financiera tal como (presupuesto, marco fiscal de proyección) por parte de entidades como el ICCU, IDACO y Secretaria de Hacienda de la Gobernación con el propósito de realizar un diagnóstico y análisis financiero de los proyectos que se han venido abordando en los últimos años en términos de movilidad en el departamento. Para estas tareas se establecieron como estrategias y actividades la realización de visitas a las diferentes entidades y la proyección de oficios con el propósito de recolectar dicha información, permitiendo así en la elaboración del diagnóstico financiero.
•	Con el equipo de trabajo de ingenieros que conforman el Plan Maestro de Movilidad también se establecieron una serie de tareas orientadas a caracterizar la red vial del departamento por provincias analizado cómo se encuentra la movilidad de las personas en términos de sostenibilidad, seguridad, conectividad y competitividad permitiendo así elaborar un informe que recoge dicha información. 
Documentos avances del diagnóstico: A la fecha el equipo de trabajo del Plan Maestro de Movilidad se encuentra aun recolectando información relacionada con el tránsito, transporte y movilidad de algunos municipios pendientes por brindarla; sin embargo, la que ya se recolecto se encuentra ya consolidada en una matriz. 
De igual forma, para la elaboración del diagnóstico financiero algunas entidades se encuentran pendientes por brindarla; sin embargo, con relación a la ya proporcionada se ha realizado ya un análisis sobre dicha información. 
De acuerdo con la caracterización de la red vial del departamento ya se encuentra elaborado el informe que detalla las vías de cada provincia del departamento el estado en que se encuentran y su afectación en la calidad de vida de las personas en términos de movilidad.
Avances Mes de Noviembre
1.	Para este periodo se ha venido avanzando en la recopilación y consolidación de información relacionada con el tránsito, transporte y movilidad de los 116 municipios del departamento, obteniendo cerca de un 52% de información.
•	Dicha información pretende ser analizada para así realizar la elaboración del Diagnóstico en cuanto al contexto local y regional con relación a la movilidad, tránsito y transporte.
El objetivo de la elaboración de este diagnóstico es presentar indicadores de movilidad de personas, carga tanto en el área urbana como rural, así como características relevantes de movilidad en cada municipio y cada provincia del departamento.
2.	Diagnóstico y análisis financiero del departamento entorno a los ingresos y gastos del sector movilidad, tránsito y transporte.
•	Para la elaboración de este diagnóstico el equipo financiero del Plan Maestro de Movilidad ha empleado como estrategia la proyección de oficios remitidos a cada una de las entidades competentes (Dirección de Presupuesto de la Secretaria de Hacienda, ICCU e IDACO) esto con el propósito de solicitar dicha información de manera más formal y en la mayor brevedad posible.
•	A la fecha se ha obtenido respuesta solamente por parte del ICCU de información relacionada con la inversión por el ICCU en el sector de transporte e infraestructura durante el cuatrienio 2016-2019 y vigencia de 2020 y 2021. Con la anterior información se ha venido adelantado el diagnóstico del departamento entorno a los ingresos y gastos del sector movilidad, tránsito y transporte. 
3.	Diagnóstico y análisis de la estructura urbana y rural del departamento 
•	Para este proceso el equipo de trabajo del Plan Maestro de Movilidad ha implementado como estrategia la elaboración de una base de datos caracterizando las vías del departamento por provincias y desarrollando un informe con dicha información. 
•	El objetivo principal de este trabajo es obtener información con relación al estado de la malla vial del departamento, modelo de ocupación territorial y usos del suelo. 
Documentos avances del diagnóstico: A la fecha el equipo de trabajo del Plan Maestro de Movilidad se encuentra aún en proceso de recolección de información relacionada con el tránsito, transporte y movilidad de algunos municipios pendientes por brindarla; sin embargo, con la información ya proporcionada por algunos municipios esta se encuentra ya consolidada en una matriz con el propósito de tener una base de datos que refleje la información de las 15 provincias y sus respectivos municipios.
De igual forma, para la elaboración del diagnóstico financiero se encuentran aún algunas entidades pendientes por proporcionar la información necesaria para este informe; sin embargo, con relación a la ya proporcionada se ha realizado un diagnóstico detallando la inversión por parte del ICCU en el sector de transporte e infraestructura y como ha incidido de manera importante en el desarrollo y competitividad del departamento.
De acuerdo con el diagnóstico y análisis de estructura urbana y rural del departamento aún se encuentra en proceso de elaboración el informe que detalla el estado de la malla vial del departamento.
</t>
  </si>
  <si>
    <t>Recepcion de documentos PQRS en atencion de solicitudes en el menor tiempo posible y despliegue de la unidad movil a los diferentes municipios alejados de las diferentes sedes operativas</t>
  </si>
  <si>
    <t>Meta 385   
Puesta en marcha de Unidad Móvil de Atención y promoción de servicios de movilidad en los municipios de:
Puesta en marcha de Unidad Móvil de Atención y promoción de servicios de movilidad en los municipios de: 
26 de marzo Supatá (11) beneficiarios 
1 de julio Cabrera (7) beneficiarios
 2 de julio Venecia (6) beneficiarios
 3 de julio Pandi (8) beneficiarios
 8 de julio San Bernardo (5) beneficiarios 
9 de julio Tibacuy (4) beneficiarios 
10 de julio Pasca (10) beneficiarios
25 de agosto ubaque (8) beneficiarios
26 de agosto Fomeque (18) beneficiarios 
27 de agosto Fosca (18) beneficiarios
8 de Septiembre Tibirita (15) beneficiarios
9 de Septiembre Manta (10) beneficiarios
10 de Septiembre Suesca (16) beneficiarios 
11 de Septiembre Sesquilé (8) beneficiarios
16 de Septiembre Viani (20) beneficiarios 
17 de Septiembre Bituima (10) beneficiarios
18 de Septiembre Guayabal de siquima (7) beneficiarios
 4 de Octubre villeta (50) beneficiarios
7 de Octubre Cajica (6) beneficiarios
8 de Octubre Nemocon (21) benificiarios 
9 de Octubre tocancipa (0)
14 de Octubre Guaduas (22) beneficiarios
15 de Octubre Carrapi (14) beneficiarios 
22 de Octubre Paratebueno(19) beneficiarios
23 de Octubre Medina(0)
28 de Octubre Viota ( 11) beneficiarios
29 de Octubre Tena (12) beneficiarios
30 de Octubre Anolaima (8) beneficiarios
 Total,
28 Municipios( 344)  beneficiarios En atención y temáticas de transporte y movilidad.
*COMPONENTE PQRS Mejoramiento en tiempos de respuesta a PQRS por parte de la dirección de servicios sedes operativas en tránsito y sus gerencias, mejorando la satisfacción de nuestros usuarios; es por ello que para el año 2021 a la fecha se han evacuado satisfactoriamente más de  2.195 documentos en PQRS se evidencia la gestión de los documentos en gestión con cuya cantidad son 1516 y con 679 documentos en gestión. Así mismo se ha implementado y fortalecido una atención personaliza y telefónica con nuestros usuarios, a fin de satisfacer sus requerimientos de manera más pronta, por supuesto bajo la salvaguarda de todos los protocolos de bioseguridad y el cuidado a la vida.
Avance mes de Septiembre
COMPONENTE
COMPONENTE
La Secretaría de Transporte y Movilidad de Cundinamarca cuenta con 10 Sedes Operativas activas y la Creación de (3) sedes operativas ubicadas en los municipios de Arbeláez, Puerto Salgar en trámite  Tocancipá, Se han recibido (109.548) solicitudes de enero a  septiembre CAJICA 13080 , LA CALERA 17614, CAQUEZA  3719, CHOCONTA 2213, COTA 45959 , LA  MESA 762 , RICAURTE 8004 ,  EL ROSAL  7432 , SIBATE 7637,  VILLETA 3128  entre los diferentes  tramites de Tránsito que  se encarga de adelantar todos los trámites relacionados con Registro Nacional Automotor (Matrículas; traspasos; cambios de color; etc.), Registro Nacional de Conductores (Licencias de conducción)</t>
  </si>
  <si>
    <t>202 familias VCA de 6 municipios (Choachí, Guayabetal, Tena, Silvania, Gama, Guataqui) con proyectos productivos de donde se refuerza las capacidades de nuestros productores y a quienes se les hizo la entrega  de equipos y elementos que les permiten disminuir sus costos de producción, volviéndolos más competitivos.</t>
  </si>
  <si>
    <t>Se realizó la subasta inversa y se determinó el tercero a contratar. Se estima la firma del contrato el 6 de diciembre de 2021 y la entrega de suministros antes de finalizar el mes de diciembre</t>
  </si>
  <si>
    <t xml:space="preserve">Hasta el momento no se ha presentado inconveniente por efecto del COVID con lo programado de la meta. </t>
  </si>
  <si>
    <t xml:space="preserve">Se hizo la entrega de 51 motos a la misma cantidad de municipios, como dotación los cuales ayudarán a lograr una mejor eficiencia en la prestación del servicio de asistencia técnica y extensión rural.
Se han realizado 7 actividades de transferencia de tecnología a través de las siguientes capacitaciones con el SENA
Eventos de divulgación tecnológica:
1. CONVERSATORIO PROCEDIMIENTO Y DOCUMENTACIÓN PARA LA  HABILITACIÓN EPSEAS- LEY 1876 Dictado en el municipio Fusagasugá donde participaron 120 personas curso con un costo estimado de $ 14.592.000
2. FORTALECIMIENTO DE CAPACIDADES PARA EXTENSIONISTAS dictado en el municipio de Chía donde participaron 212 personas curso con un costo estimado de $ 25.779.200
Extensionistas capacitados dirigido a los 116 municipios del departamento:
1. DIAGNOSTICO DE LA ZONA DE ESTUDIO, LA ORGANIZACION Y EMPRESA AGROPECUARIA RURAL: participaron 141 personas con un costo estimado de $ 17.145.600
2. ORIENTACION DE PLANES DE INTERVENCION EN LAS EMPRESAS U ORGANIZACIONES RURALES: participaron 291 personas con un costo estimado de $ 35.385.600
3. ELABORACION DEL PLAN DE INTERVENCION PARA LA PRESTACION DEL SERVICIO DE EXTENSION AGROPECUARIA: participaron 264 personas con un costo estimado de $ 32.102.400
4. IMPLEMENTACION DE PLANES COMUNITARIOS EN LAS ORGANIZACIONES RURALES: participaron 61 personas con un costo estimado de $ 7.296.000
Convocatoria de formación a extensionistas de Cundinamarca Tema: Diagnóstico de la zona de estudio, la organización y/o la empresa rural participaron 57 personas con un costo estimado de $ 6.931.200
Total Gestionado con el SENA $ 139.232.000
Así mismo  se desarrollaron 2 capacitaciones por medio de la ANDI de la siguiente manera:
1. Mentes fértiles participación de 120 productores de los municipios Agua de Dios, Viotá, Fosca, San Antonio de Tequendama, Silvana y El Rosal con un costo de $ 18.000.000
2. Cuidagro participación de 80 productores de los municipios de Paime, Pandi, Tocaima y Anapoima con un costo estimado de $ 12.000.000
Se aprobó por parte de la Asamblea Departamental mediante la ordenanza 061 de Agosto de 2021 el Plan Integral de Desarrollo Agropecuario y rural con Enfoque Territorial (PIDARET) el cual es una herramienta de planificación agropecuaria con proyección a 20 años.
Total Gestionado con la ANDI $ 30,000,000 </t>
  </si>
  <si>
    <t>Dotación de Motos para prestación de asistencia técnica</t>
  </si>
  <si>
    <t xml:space="preserve">Se hizo la entrega de 51 motos como dotación a los municipios programados en la vigencia 2021 los cuales ayudarán a lograr una mejor eficiencia en la prestación del servicio de asistencia técnica y extensión rural. Se otorgó una adición de recursos para en el mes de diciembre hacer la entrega de motos en 4 municipios más. 
Se han realizado 7 actividades de transferencia de tecnología a través de las siguientes capacitaciones con el SENA
Eventos de divulgación tecnológica:
1.	CONVERSATORIO PROCEDIMIENTO Y DOCUMENTACIÓN PARA LA  HABILITACIÓN EPSEAS- LEY 1876 Dictado en el municipio Fusagasugá donde participaron 120 personas curso con un costo estimado de $ 14.592.000 
2.	FORTALECIMIENTO DE CAPACIDADES PARA EXTENSIONISTAS dictado en el municipio de Chía donde participaron 212 personas curso con un costo estimado de $ 25.779.200
Extensionistas capacitados dirigido a los 116 municipios del departamento:
1.	DIAGNOSTICO DE LA ZONA DE ESTUDIO, LA ORGANIZACION Y EMPRESA AGROPECUARIA RURAL: participaron 141 personas con un costo estimado de $ 17.145.600
2.	ORIENTACION DE PLANES DE INTERVENCION EN LAS EMPRESAS U ORGANIZACIONES RURALES: participaron 291 personas con un costo estimado de $ 35.385.600
3.	ELABORACION DEL PLAN DE INTERVENCION PARA LA PRESTACION DEL SERVICIO DE EXTENSION AGROPECUARIA: participaron 264 personas con un costo estimado de $ 32.102.400
4.	IMPLEMENTACION DE PLANES COMUNITARIOS EN LAS ORGANIZACIONES RURALES: participaron 61 personas con un costo estimado de $ 7.296.000
Convocatoria de formación a extensionistas de Cundinamarca Tema: Diagnóstico de la zona de estudio, la organización y/o la empresa rural participaron 57 personas con un costo estimado de $ 6.931.200
Total Gestionado con el SENA $ 139.232.000
Así mismo  se desarrollaron 2 capacitaciones por medio de la ANDI de la siguiente manera:
1.	Mentes fértiles participación de 120 productores de los municipios Agua de Dios, Viotá, Fosca, San Antonio de Tequendama, Silvana y El Rosal con un costo de $ 18.000.000
2.	Cuidagro participación de 80 productores de los municipios de Paime, Pandi, Tocaima y Anapoima con un costo estimado de $ 12.000.000
Total Gestionado con la ANDI: $ 30.000.000
Se aprobó por parte de la Asamblea Departamental mediante la ordenanza 061 de Agosto de 2021 el Plan Integral de Desarrollo Agropecuario y rural con Enfoque Territorial (PIDARET) el cual es una herramienta de planificación agropecuaria con proyección a 20 años.
</t>
  </si>
  <si>
    <t>Esta meta en la vigencia 2020 no fue programada por lo que no se evidencia impacto hasta el momento por efectos del COVID-19.</t>
  </si>
  <si>
    <t>169.232.000,00</t>
  </si>
  <si>
    <t>Gestión: SENA - ANDI</t>
  </si>
  <si>
    <t>Se hicieron las cotizaciones las cuales llegaron muy costosas y se determinó volver a solicitar otras por SECOP y estamos en el proceso de realizar los pliegos para la subasta inversa proceso en comité de contratación.</t>
  </si>
  <si>
    <t>Se han entregado 13 Bancos de Maquinaria de los cuales 5 fueron gestionados con el Ministerio de Agricultura los cuales fueron entregados en: Cachipay, Nemocón, Tibirita, Ubate, Villeta, Gachancipa, La Calera, La Palma, Sesquilé, Simijaca, Suesca y Zipaquirá</t>
  </si>
  <si>
    <t>Se subieron los pliegos al SECOP para realizar la subasta inversa la cual se estima realizar el 6 de diciembre para firmar contrato aproximadamente el 10 de diciembre y entregar los kits antes de finalizar el mes de diciembre</t>
  </si>
  <si>
    <t xml:space="preserve">Para la vigencia 2020 la meta no presento problemas de ejecución frente al COVID-19 salvo algunos retrasos en las entregas por tema de restricción a la movilidad pero igual se cumplió al  100% con lo programado. </t>
  </si>
  <si>
    <t>Ya se firmó el contrato con la Inmobiliaria de Cundinamarca y está en ejecución, frente al memorando de entendimiento se solicitó a la Agencia incorporar no solo a la Secretaria de Agricultura y Desarrollo Rural sino también a la Inmobiliaria de Cundinamarca y la Agencia Catastral de Cundinamarca, a la fecha la Inmobiliaria está realizando algunos ajustes al respectivo memorando. Así mismo la Inmobiliaria está evaluando la información que se entregó  de los cuales hay 351 viables y también están verificando la información que fue suministrada por los municipios de Tibirita, Cachipay, Villeta, Suesca, Nemocón y Gutiérrez</t>
  </si>
  <si>
    <t>Contrato que se suscribió con la Inmobiliaria de Cundinamarca el cual está en ejecución, frente al memorando de entendimiento se solicitó a la Agencia incorporar no solo a la Secretaria de Agricultura y Desarrollo Rural sino también a la Inmobiliaria de Cundinamarca y la Agencia Catastral de Cundinamarca, a la fecha la Inmobiliaria está realizando algunos ajustes al respectivo memorando. Así mismo la Inmobiliaria evaluó la información de 266 documentos entregados de los municipios Tibirita, Cachipay, Villeta, Suesca, Nemocón, Bituima, Nilo y Gutierrez de los cuales solo salieron viables 104 así: Tibirita (no viables), Cachipay (52 viables) , Villeta (10 viables), Suesca (8 viables), Nemocón (18 viables), Bituima (2 viables), Nilo (14 viables)  y Gutiérrez (no viables) por otro lado se entregaron otros 351 documentos que ya están viables pero en la revisión realizada indicaron que se pueden formalizar este año solo aproximadamente 16.</t>
  </si>
  <si>
    <t xml:space="preserve">Por el componente de Crédito se han beneficiado a la fecha 2.935 productores agropecuarios con incentivos y subsidios por valor de $4.607.117.436 que representan una inversión en el sector de $33.691.912.534, de los cuales 52 se reportaron en la vigencia 2020 y 2.883 en el 2021. El 93% de los beneficiados han sido pequeños productores (2.875) con una inversión de $4.326.650.511 y el 7% medianos productores (60) con una inversión de $280.466.925. A través del Incentivo Territorial ICRCUND se ha beneficiado 351 productores con una inversión de $895.607.824 que apalancan operaciones de crédito por la suma de $4.391.428.534. Con toda la inversión de los 403 productores por valor de $1.020.348.854 que apalancan operaciones de crédito por la suma de $5.017.420.534. Entre los destinos con mayor demanda se encuentra: Retención de vientres, caña panelera, café, compra de animales de labor entre otros, siendo los municipios con mayor apropiación de este instrumento Caparrapí, Vergara, Cabrera, Villeta y Guaduas entre los 57 primeros beneficiados con este incentivo. 
Con relación al componente de LECCUND – Subsidio a la tasa, se tiene una ejecución de recursos por la suma de $3.586.768.582 que apalancan 2.532 operaciones de crédito por valor de $28.674.492.000, cuyos destinos con mayor participación son: Capital de trabajo UPC, papa, sostenimiento ceba bovina, fríjol, cebolla cabezona, frutales, siendo los municipios con mayor colocación Yacopí, Villapinzón, Gutiérrez, La Peña, La Mesa, Fosca, Guaduas, Vergara, Caparrapí entre otros. 
Con relación al componente de Educación Financiera, se realizó la entrega a las 116 Umata municipales de los Kits requeridos para el inicio de los ciclos de capacitaciones, los cuales están programados para su realización entre el 09 de septiembre y el 14 de octubre. La modalidad será virtual mediante la plataforma TEAMS a través de los links creados por FINAGRO. La intensidad horaria comprende 24 horas, 8 horas por cada taller, de las cuales 12 horas se realizarán a través del aprendizaje sincrónico y 12 horas en aprendizaje asincrónico.
</t>
  </si>
  <si>
    <t xml:space="preserve">Productores atendidos con Instrumentos Financieros </t>
  </si>
  <si>
    <t>No ha tenido impacto el COVID-19 para la ejecución de la meta</t>
  </si>
  <si>
    <t>Se han realizado en total 136 eventos así: 26 eventos en la vigencia 2020 ayudando a la reactivación económica de los productores cundinamarqueses a mejorar los ingresos en el productor por la eliminación de intermediarios, se promovió la organización social y la asociatividad y se contribuyó a la Seguridad Alimentaria: Mercaton (792 -24 municipios) – 8 Mercados Campesinos–  11 Ferias Ganaderas y 6 Ferias Pesqueras. Así mismo para la vigencia 2021 se han apoyado 110 eventos: 15 eventos de ferias ganaderas, 18 eventos de mercados campesinos con dotación de elementos, 2 eventos e iniciativas empresariales que fomentan la asociatividad como preámbulo al apoyo en la comercialización de productos generados por asociaciones  - 4 ruedas de negocios , 1 circuito corto de comercialización, 53 mercados campesinos en 18 localidades de Bogotá, 15 mercados campesinos a través de la Agrovitrina, Agroexpo sealizado del 22 de octubre al 1 de noviembre en corferias y Expolana que se realizón en el municipio de Cucunubá</t>
  </si>
  <si>
    <t>Apoyo a eventos agropecuarios</t>
  </si>
  <si>
    <t xml:space="preserve">Para el cumplimiento de la meta se están realizando 2 procesos:
• Proceso para entrega de implementos y dotación para mercados campesinos beneficiando a 18 municipios con una inversión de $ 393.016.720 y ferias ganaderas beneficiando a 15 municipios con una inversión de $ 168.510.915: Total Eventos realizados 33.
• Proceso de Servicios Logísticos contrato que se firmó el 25 de Junio con la Inmobiliaria de Cundinamarca para realización de mercados campesinos, ruedas de negocios, agro vitrinas  y circuitos cortos de comercialización como apoyo a la reactivación económica del sector: 
2 eventos e iniciativas empresariales que fomentan la asociatividad como preámbulo al apoyo en la comercialización de productos generados por asociaciones a través de:
* Capacitación en Medina en temas organizacionales, administrativos  y psicosociales beneficiando a 15 productores del sector agropecuario.
* Capacitación en Gobernanza efectiva en las asociaciones agropecuarias de Cundinamarca apoyando a asociaciones de 36 municipios del departamento Sasaima, Ubaté, El Rosal, Caparrapí, Chipaque, Villeta, Chocontá, Pacho, Nimaima, Bituima, San Juan de Rio seco, mesitas del colegio, la mesa, Gutiérrez, Arbeláez, Madrid, Facatativá, Cabrera, Soacha, Fusagasugá, Supatá, Utica, Chaguaní, Chía, Silvania, Guasca, Zipaquirá, Venecia, Arbeláez, Cota, Carmen de Carupa, la Palma, Tocaima, Cáqueza y Subachoque de manera virtual beneficiando a 59 productores y en Fómeque la capacitación fue presencial beneficiando a 25 productores
Ruedas de negocio: Total eventos 4
•	A través de la Estrategia de Compras Públicas de Alimentos del Distrito Capital actividad desarrollada en articulación entre la SDDE, la SDIS y la Gobernación de Cundinamarca, Este evento estuvo dirigido a operadores de los programas alimentarios de la SDIS, principalmente de Comedores Comunitarios y CI. Alliance como operador de canasta. Como producto de esta jornada se generaron acuerdos de negociación cuyo valor se estima en más de 100 Millones de pesos mensuales, comercializando productos como: frutas, verduras, hortalizas, tubérculos, lácteos, panela, frijol, arroz, entre otros beneficiando a 18 organizaciones. 
•	El 9 de septiembre desde el Centro de Innovación y Desarrollo – CID  en el municipio de Funza se desarrolló otra rueda de negocios en homenaje  al día internacional de la agricultura con el objetivo de brindar a los pequeños productores la oferta de  sus productos sin intermediación y que sus ventas sean directamente al consumidor final.
•	El 17 de septiembre se realizó rueda de negocios en el municipio de la Mesa en el Polideportivo Luis Carlos Galán Sarmiento  ofertando productos como aguacate, mango, plátano, banano, cítricos entre otros también como una oportunidad de acercar a los demandantes a productos típicos de la región y a precios justos.
•	El 23 de noviembre en la plaza de artesanos se realizó rueda de negocios con la Secretaria de Desarrollo Económico como fortalecimiento en mercados de proximidad y circuitos de comercialización a las familias participantes de ZODAS convenio con la RAPE
Circuitos Cortos 1 evento
•	Como  ayuda a todo el proceso de reactivación económica el 10 de septiembre de 2021 en la Central de Abastos del Municipio de Villeta se realizó circuitos cortos de comercialización en productos  como espárragos, mix de berrys, zarzamora, frambuesas rojas y amarillas europeas, uvilla, arándanos, quesos gourmet, semillas de chía y finas hierbas, orellanas, yogurt griego de frambuesa y otros como una muestra de productos poco convencionales pero que han venido ganando territorio en el departamento de Cundinamarca y como apuesta al rescate de nuestros productores agropecuarios.
Mercados Campesinos: Se apoyó la realización de 53 eventos de mercados campesinos como ayuda a la comercialización sin intermediarios que se llevó acabo en 18 localidades de Bogotá
Agro vitrina: Se han apoyado 15 eventos de mercado campesinos a través de la Agro vitrina
Agroexpo realizado en Corferias del 22 de octubre al 1 de noviembre
Expolana realizado en el municipio de Cucunubá
</t>
  </si>
  <si>
    <t>En la Vigencia 2020 se registró la disminución de números de eventos por la no presencialidad en los mismos frente al tema de restricción, conglomeración y temas de bioseguridad, sin embargo no fue obstáculo para cumplir con lo programado en la vigencia. Para el año 2021 esperamos no tener dificultades pues apenas se adjudicó el contrato.</t>
  </si>
  <si>
    <t xml:space="preserve">Se han visitado y georreferenciado con corte a la fecha 49.938 productores agropecuarios mediante el aplicativo Agrosig con identificación de uso de suelos, cultivo e inventario pecuario que ha servido para el fortalecer el sistema de planificación agropecuaria del departamento, esto se ha realizado mediante el acompañamiento técnico de las UMATAS.
Para el cumplimiento de esta meta se están realizando los siguientes procesos:
*Análisis de suelos para 41 municipios con 2.900 muestras el cual ya se encuentra en ejecución a partir del 4 de junio con Agrosavia. Ya se comenzó la toma muestras y la georreferenciación para el Agrosig y a la fecha ya se ha tomado alrededor de 1.565 muestras. Avance del proceso en un 35%
* Estudio de suelos en las provincias de Ubate y Almeidas convenio adjudicado al IGAC se firmó acta de inicio y está en ejecución. Se está realizando trabajo de campo y elevando cartografía  y frente al proceso en sí se lleva un avance del 60% 
*Evaluación agropecuaria se terminó de revisar y consolidar la información agropecuaria de los años 2019 y 2020 la cual se estima publicar virtualmente en el mes de diciembre pero la publicación física se realizará en la vigencia 2022.
</t>
  </si>
  <si>
    <t>Sistema de Planificación Intervenido</t>
  </si>
  <si>
    <t>294.213.723,00</t>
  </si>
  <si>
    <t>Cofinanciación: AGROSAVIA - IGAC</t>
  </si>
  <si>
    <t>Se han intervenido 28 distritos de riego en su totalidad: en la vigencia 2020 se intervinieron  17 distritos de riego con la adquisición y entrega de elementos requeridos por ellos técnicamente como tuberías y accesorios para rehabilitación por suministros, así mismo para la vigencia 2021 tambien se han rehabilitado 11 distritos de riego por suministros y se entrego a 8 distritos más atendidos en la vigencia 2020 con otros elementos que requerian pero que por temas presupuestales no se pudo atender en su totalidad en esa vigencia</t>
  </si>
  <si>
    <t>Distritos de Riego Rehabilitados por suministros</t>
  </si>
  <si>
    <t>Se hizo la entrega a 11 distritos de riego nuevos en los municipios de Cachipay (2 Asociaciones), Ubaque (2 Asociaciones), Fómeque (2 Asociaciones), Fúquene (1 Asociación), Fusagasugá (2 Asociaciones), Pasca (1 Asociación) y Choachí (1 Asociación). Así mismo se entregó a 8 asociaciones más que ya habían sido atendidas en el 2020 otros suministros que habían quedado pendientes por temas de recursos en los municipios de: Anolaima (1 Asociación), Cachipay (1 Asociación), Ubaque (1 Asociación), Fómeque (1 asociación), Pasca (1 Asociación), Suesca (1 Asociación) y Choachí (2 Asociaciones). El total de beneficiados fue de 1.468 productores nuevos y 741 productores antiguos atendidos en 2020 para un total de 2.209 beneficiarios.</t>
  </si>
  <si>
    <t>Meta que esta programada para la vigencia 2023</t>
  </si>
  <si>
    <t>Esta meta se solicitó a Planeación reprogramarla para la vigencia 2023 por lo tanto no se ejecutará este año</t>
  </si>
  <si>
    <t xml:space="preserve">Se priorizaron inicialmente 16 municipios para la entrega de 139 reservorios (Zipaquirá, Nemocón, La Calera, Junín, Machetá, Ubaté, Cucunubá, Fúquene, Madrid, El Rosal, La Mesa, Viotá, El Colegio, Tocaima, Nariño y Beltran). Los predios son seleccionados por los municipios con los criterios establecidos por la Secretaría de Agricultura y Desarrollo Rural los cuales son:
*Propietarios o poseedores de buena fe – certificados por juntas de acción comunal y por la Alcaldía 
*Pequeños productores agropecuarios – lo certifica las oficinas de desarrollo económico o las UMATA
*Que demuestren la necesidad del aprovechamiento del recurso hídrico 
*Que cuenten con el área disponible para la instalación. Preferiblemente terreno plano
El tipo de reservorios a entregar son tipo australiano (desarmables) entre 20.000 y 25.000 litros cada uno.
Para el mes de diciembre entra una adición de recursos con los cuales se llegaran a 10 municipios más entregando 130 reservorios (Anapoima, Cogua, La Peña, Lenguazaque, Sasaima, Simijaca, Susa, Tábio, Tibirita y Villeta) por lo que aumentara lo programado en la vigencia 2021.
 Al 30 de Noviembre se han entregado 62 reservorios así: 6 en La Calera, 40 en Zipaquirá, 10 en Nemocón, 6 en Ubaté. En el mes de noviembre se estima la instalación de reservorios en Zipaquirá, Nemocón, el Rosal y Madrid
</t>
  </si>
  <si>
    <t>Predios con Reservorios</t>
  </si>
  <si>
    <t>Se han beneficiado un total de 12.962 productores de los cuales en la vigencia 2020 se atendieron 7.562 productores que presentaron afectaciones agroclimáticas (sequias y heladas) de los cuales 7.162 de 60 municipios fueron con insumos y semillas para el fortalecimiento de los sistemas productivos agroalimentarios y 400 pequeños productores ganaderos de 4 municipios se beneficiaron con miel pura de caña. así mismo en la vigencia 2021 se han atendido 6.037 productores de 50 municipios que reportaron tambien afectaciones agroclimáticas y frente al seguro agropecuario se han podido beneficiar a 310 productores rurales</t>
  </si>
  <si>
    <t>Productores beneficiados con insumos y semillas frente afectaciones agroclimáticas</t>
  </si>
  <si>
    <t xml:space="preserve">El Proceso de insumos y semillas se adjudicó el 2 de julio sin embargo el acta de inicio comenzó a partir del 23 de julio. A la fecha se han atendido a 6.082 productores que reportaron afectaciones agroclimáticas 51 municipios y se intervino  10 cadenas productivas (Papa, maíz, arveja, frijol, pastos para clima cálido y frio, nutrición ganadera, frutales  y hortalizas). 
Con respecto al tema de aseguramiento A la fecha se han beneficiado 310 productores rurales con un valor asegurado por la suma de $1.329.216.532, cuyo costo de la prima de seguro asciende a $272.376.404, de los cuales, a través del ISACUND se cubrieron $58.327.371. HDI y Proagro son las compañías aseguradoras con mayor participación en la cobertura del seguro agropecuario, otorgando estas pólizas a 191 hombres, 117 mujeres y 2 personas jurídicas. De esta población 301 fueron pequeños productores con una inversión de $50.623.191 con un valor asegurado de $1.203.701.532 y 9 medianos productores con una inversión de $7.704.180 con un valor asegurado de $125.515.000.
</t>
  </si>
  <si>
    <t>En la vigencia 2020 los productores no reportaron oportunamente el total de afectación en los municipios por temor a contagiarse por el desplazamiento que tenían que hacer al casco urbano; así mismo con las entregas a los beneficiarios y el hecho de no poder hacer reuniones masivas para la entrega de las ayudas hizo que se demorará la entrega total de los insumos y semillas que se entregaron  sin embargo si se logró la entrega total a los afectados que reportaron</t>
  </si>
  <si>
    <t xml:space="preserve">Se estiman 5 procesos que darán cumplimiento a la meta en esta vigencia los cuales abordaran toda la estrategia ZODAS en diferentes sistemas productivos. Estos procesos son: 
• Pesca Artesanal: Se generó el memorando de entendimiento con la AUNAP (Autoridad Nacional de Acuicultura y Pesca) con el fin de realizar repoblamientos ictiológico (siembra de alevinos). Se han realizado 5 repoblamientos de los 6 proyectados. Así mismo y dando cumplimiento a la estrategia ZODAS se han abordado los diferentes puntos de la estrategia así:
1.	Circuitos cortos de comercialización: Se han capacitado a los pescadores en la comercialización responsable 
2.	Fortalecimiento de la Asociatividad: Se dictó charlas y capacitaciones a los pescadores artesanales, brindándoles herramientas para su desarrollo intelectual y económico.
3.	Acompañamiento Técnico: Se dictó capacitaciones a los beneficiarios y se acompañó técnicamente a los mismos en temas como: Tallas optimas de los animales para su extracción, importancia en el cuidado del recurso hídrico y la sensibilización frente a la problemática en la amenaza actual de la pesca artesanal. Así mismo se han realizado 5 repoblamientos ictiológicos (siembra de alevinos) de los 6 proyectados en 6 municipios del departamento (Puerto Salgar, Guaduas, Ricaurte, Útica, Caparrapí y Yacopí) sembrando un total a la fecha de 1.693.557 especies de peces como Bocachico, Mojarrra Criolla, Dorada y Guabina, Pataló y Capaz en los ríos Negro, Negrito, Guaduero, Sumapaz,  Pagüey, Quebrada Picalá, Caño Corán, Río Terán, Río Pata y Río Cáceres. Como fortalecimiento a los pescadores se les suministro bienes y elementos para fortalecer este sistema productivo como Motor fuera de borda, canoa artesanal, atarraya de 3 puntos, chaleco salvavidas, botiquín de primeros auxilios, neveras insuladas, carrete de pesca nylon, bascula de 60 Kg, congelador horizontal 535 litros, bolsas plásticas, bandas de caucho por kilo, suministro de oxígeno gaseoso / repoblamiento y kit de eviscerado, cofias, peto, cuchillos y guantes. La entrega de los kits pesqueros se hizo a 9 municipios (Beltran, Chaguaní, Girardot, Guaduas, Nariño, Guataquí, Puerto Salgar, Ricaurte y San Juan de Rio Seco) beneficiando a 14 asociaciones con 429 asociados. Se capacitaron a los pescadores artesanales en temas ambientales, asociatividad, seguridad alimentaria, comercialización cosecha y venda a la fija. Se está creando la Federación de Pescadores Artesanales con el fin de garantizar mercados locales, municipales y departamentales.
4.	Agricultura Sostenible: Se les capacitó a los beneficiarios en entregar valor agregado al producto que venden a través de la limpieza del mismo brindando una mejor inocuidad del producto con la cadena de frio por medio de las neveras  insuladas. Se brindó énfasis en el cuidado del recurso hídrico como fuente de trabajo y sostenibilidad del sistema productivo.
5.	Acompañamiento Psicosocial: La Secretaría de Agricultura y Desarrollo Rural participa en el Comité Departamental para la Prevención  y Erradicación del Trabajo Infantil y dentro de su misionalidad de la secretaría está el mejoramiento de la calidad de vida de la población rural y en el trabajo con los pesqueros se detectó las malas prácticas y trabajos infantiles a temprana edad en la exposición agrícola, pecuaria y de pesca y es por eso que por medio del acompañamiento psicosocial se hizo un seguimiento y asesoramiento a los hijos de los pescadores capacitándolos en el tema “Guardianes de la Pesca” abordando la importancia de ser cuidadores  de los recursos hídricos  y de las especies que allí habitan, impartiendo también la importancia  de cumplir con las obligaciones escolares. Esta capacitación se impartió con el apoyo de la AUNAP y se les hizo entrega de material didáctico. 
• Trabajo con Mujeres Fundación Alpina: Se están beneficiando a 300 familias de 10 municipios donde ya se socializo el proyecto, se realizó todas las visitas de verificación técnica en los predios de los beneficiarios, se seleccionaron los lugares donde van a estar los centros de plantulación y siembra de setas los cuales ya se terminó el proceso de su construcción física, se realizó la fase de capacitación en gastronomía, en producción y temas agronómicos. Nos encontramos en la fase de dotación de maquinaria y equipos requerida. Ya se realizó las primeras ventas institucionales de productos en el edificio administrativo de Alpina donde se comercializaron 150 mercados todos de productos provenientes de las huertas de las familias beneficiarias vendidos a los empleados de Alpina en la sede de Sopó. 
AVANCE ALPINA: 300 FAMILIAS
• Trabajo con familias de cafeteros: Se estima atender 269 familias. Se han ejecutado 22 acopios de café pergamino seco (ya listo para moler) de los 30 programados los cuales se hicieron en Guaduas, Viotá (x2), Nilo (x3), Quipile, la Mesa, Medina (x2), San Juan de Rio seco, Guayabetal (x3), Vergara, Sasaima, Quipile, La Vega, Gacheta, Quetame, Fomeque, Manta con la participación de 68 productores y se ha acopiado un volumen promedio de 2.652 kg en cada jornada.  Así mismo se han hecho otros 5 acopios en la micro central de Gacheta, Gachalá, San Cayetano y Nilo (x2) de café cereza (de cómo se toma directo de la planta) donde han participado 86 productores y se han entregado 156 bultos de fertilizante Producafe como contraprestación a la venta de café cereza aportados por la Federación Nacional de Cafeteros.
Así mismo se han inscrito 30 productores cafeteros en el Concurso Nacional de Microlotes quienes han recibido 60 bultos de fertilizante producto de su participación.
Ya se hizo la compra de los 8  kit de maquinaria y 3 sistemas de cargue de café. Esta entrega se prevé realizar entre el 09 y 21 de diciembre.
Se realizó la caracterización de 269 familias pertenecientes a caficultores inscritos en las asociaciones.
Finalmente, una vez se realice la entrega de los kits de maquinaria y sistemas de cargue se planea adelantar las capacitaciones en los siguientes componentes:
•	Circuitos cortos de comercialización
•	Fortalecimiento a la asociatividad y emprendimiento
•	Acompañamiento técnico especializado de acuerdo a cada sistema productivo (Agricultura Sostenible)
•	Componente social (Acompañamiento psicosocial, trabajo infantil)
• Conpes Lechero: Se van atender 180 familias. El convenio comenzó la ejecución a partir del 28 de agosto. Frente a la estrategia se ha realizado:
1.	Circuitos Cortos de Comercialización y Mercados de Proximidad: la comercialización se ha llevado a cabo por medio de circuitos cortos de comercialización y mercados de proximidad, ya que la recolección del producto se realiza en finca o en acopio por lo tanto el fortalecimiento en este proyecto consiste en mejorar a través de los módulos de capacitación y gestión del conocimiento a 180 productores de organizaciones en los municipios de Anolaima, la Calera, Guatavita, Sesquilé, Fúquene y Zipaquirá, en cuanto a calidad de leche fortalecimiento empresarial buenas practicas ganaderas que permitan que el productor pueda ofrecer un mejor producto y así tener mayor capacidad de maniobrabilidad a la hora de acceder a los mercados que tienen en la zona.
2.	Fortalecimiento a la Asociatividad y Emprendimiento: Se realizó 2 capacitaciones y talleres de Marketing digital y talleres de plan de negocios donde se han beneficiado 180 asociados de las seis asociaciones de los municipios beneficiados de Conpes lácteo de Zipaquirá, Guatavita, Sesquilé, La Calera, Fúquene y Anolaima abordando los siguientes temas 
•	Conceptos básicos 
•	Transformación Digital
•	Canales digitales
•	Ecosistemas digitales 
•	Estrategias de comercialización 
•	Gestión empresarial
•	Economía solidaria
•	Importancia de la contabilidad y costos en la ruralidad 
•	Cultura del ahorro
3.	Acompañamiento Técnico Especializado: Los beneficiarios ha venido obteniendo un acompañamiento a través de un profesional del sector agropecuario más el acompañamiento de personal técnico en los diferentes temas que se desarrollan 
4.	Agricultura y Ganadería Sostenible: En el componente denominado transferencia de tecnología en nutrición uno de los ítem consiste en la entrega y siembra de 150 árboles más el aislamiento en los predios de cada uno de los 180 productores. Este sistema mejora la calidad de suelo, disminuye la emisión de gases efecto invernadero, protege las zonas de ronda y ofrece una alternativa nutricional para el ganado bovino. 
5.	Componente Social: Se diseñó un instrumento de caracterización socio organizativo y se implementó en las seis asociaciones capacitaciones y talleres lúdico-pedagógicos sobre habilidades blandas y asociativas a las 180 familias beneficiadas abordando los siguientes temas: 
•	Conceptos básicos
•	Liderazgo
•	Resolución de conflictos
•	Trabajo en equipo 
•	Comunicación asertiva 
• RAP-E Se beneficiaron 162 familias  con:
1.	Circuitos cortos de comercialización y mercados de proximidad: Se realizó una rueda de negocios en la secretaria de desarrollo económico en la plaza de artesanos el 23 de nov
2.	Fortalecimiento a la asociatividad y emprendimiento: Se desarrolló con el Operador Fundases  la metodología de las capacitaciones que se dictaron en los siguientes temas: (1)  Administrativos y  logísticos de las organizaciones, (2) Contabilidad y costos de producción (3) Diagnostico BPA de buenas prácticas agrícolas. 
3.	Acompañamiento técnico: Se les hizo una visita a los predios de los productores beneficiarios del convenio y se les realizo diagnóstico de BPA de acuerdo a cada sistema productivo
4.	Agricultura sostenible: Con el diagnostico de BPA se les practico y capacito sobre la agricultura sostenible haciendo énfasis en la conservación de los recursos naturales, agricultura limpia, capacitaciones en logística de reversa con revisión de desperdicios, manejo de fertilizantes e insumos.
5.	Componente social: Capacitación y acompañamiento con el programa ciudadanía alimentaria donde se enseña y sensibiliza sobre los procesos de producción de alimentación para todos los entornos garantizando una seguridad alimentaria
AVANCE: 162 familias
Como apoyo a los diferentes procesos de la Estrategia Zodas se han realizado entrega de Insumos y Semillas como reactivación económica a 9.405 productores de 70 municipios donde se beneficiaron con fertilizantes orgánicos y químicos, abonos orgánicos, enmiendas y semillas, los cuales ya están caracterizados de acuerdo a solicitudes de Asociaciones, Juntas de Acción Comunal y Alcaldías  buscando seguridad alimentaria  y la generación de excedentes. El contrato se prorrogo hasta el 20 de diciembre dado que se presentaron retrasos logísticos por parte de los beneficiarios al momento de la recogida de los insumos.
</t>
  </si>
  <si>
    <t>Familias Beneficiadas con Zonas de Desarrollo Agropecuario</t>
  </si>
  <si>
    <t>Le meta no avanzo físicamente en la vigencia 2020 y para esta vigencia la mayoría de los procesos a la fecha están en trámite de procesos contractuales  y los que están ya en ejecución no han presentado problemas frente al COVID-19</t>
  </si>
  <si>
    <t>2.460.675.160</t>
  </si>
  <si>
    <t>Cofinanciación: Fundación Alpina - Federación Nacional de Cafeteros - INSTITUCIÓN UNIVERSITARIA COLEGIO MAYOR DE ANTIOQUIA - Ministerio de Agricultura - AUNAP</t>
  </si>
  <si>
    <t>Entrega de 40 becas condonables en Formación de alto nivel en maestrías para jóvenes Cundinamarqueses, beneficiando a jóvenes de 27 municipios y 14 provincias del departamento en los siguientes programas: 
Maestría en ingeniería y afines 9
Maestría en áreas de ciencias, sostenibilidad, ambiente, desarrollo rural y afines 21
Maestría en matemáticas 1
Maestría en áreas de ciencias sociales y educación 9
  y 100 becas maestrías docentes que se encuentran en proceso de firma del convenio por parte del ministerio de CTeI y el ministerio de Educación.</t>
  </si>
  <si>
    <t>Un documento contractual "convenio Formacion de alto nivel Maestrias Docentes" - Acompañamiento y seguimiento a los 40 beneficiarios</t>
  </si>
  <si>
    <t>Seguimiento y acompañamiento académico a los 40 beneficiarios que se encuentran cursando su maestría. Firma del convenio en Formación de Alto nivel (Maestrías de Investigación) para 100 docentes de instituciones públicas de departamento de Cundinamarca.
1 Gualiva
1Guavio
2 Oriente
2 Rio Negro
5 Soacha
2 Sumapaz
3 Tequendama 
1 ubate 
1 Sábana Centro
Llegando a 9 provincias de las 15 que conforman el departamento. 
9 Mujeres y 11 hombres conforman el banco de elegibles.</t>
  </si>
  <si>
    <t>No se presento</t>
  </si>
  <si>
    <t xml:space="preserve"> Fundación CEIBA ($18.750.006) +($2.083.333)+ ($2.083.333)</t>
  </si>
  <si>
    <t>Fundación CEIBA</t>
  </si>
  <si>
    <t>A través del Proyecto Cundinamarca Apropia la Ciencia, Tecnología e Innovación (CACTI) y el grupo de investigación de la Secretaría de CTeI se realizó la identificación y selección de semilleros de formación temprana en las 15 provincias del departamento de Cundinamarca con la conformación de comunidades de aprendizaje. Se han capacitado 204 docentes formados "experiencias stem" bajo la metodología aprender haciendo, 195 madres comunitarias formadas stem md: escenario para el desarrollo integral de la primera infancia desde la educación inicial en Cundinamarca, 500 líderes comunitarios curso especializado en ofimática, 13,049 niños y niñas impactadas programa Stem robotics. Además se realizó fortalecimiento y transferencia de conocimiento a seis Semilleros de investigación conformado por docentes y estudiantes de los municipios de Ubaté, Sopo, Girardot, Zipaquirá, Soacha y Madrid.</t>
  </si>
  <si>
    <t>2 Capacitaciones  a Docentes</t>
  </si>
  <si>
    <t>Capacitacion a los lideres  y docentes de las comunidades de aprendizaje en el marco del proyecto CACTI dirigido a los 66 municipio beneficiados, Se realizo la estruturacion legal para la conformación de la red de semilleros  de investigacion de Cundinamarca.</t>
  </si>
  <si>
    <t>($1128.286.494) + ($65.388.677)</t>
  </si>
  <si>
    <t>Uniminuto</t>
  </si>
  <si>
    <t>Con el proyecto Innovación sistema de producción de frutas/hortalizas frescas/procesadas tipo exportación con tecnología biológica /integral inocua de Cundinamarca, “FRUTAS Y HORTALIZAS". Se realizo la entrega Seis paquetes tecnológicos (Uchuva, Granadilla, Gulupa, Tomate, Aguacate Hass y Limón Tahity) y artículos de investigación y transferencia de tecnología a 1750 productores agrícolas de frutas y hortalizas del departamento de Cundinamarca. Se conformó la red de laboratorios Agrolabs de Cundinamarca que les permitirá a productores realizar pruebas analíticas autorizadas, pruebas acreditadas y pruebas con reconocimiento de Buenas Prácticas de Laboratorio en forma detallada, actualizada, consolidada, fácil de comprender y de fácil acceso a través de tecnología informática que llegue al usuario. Se gestionaron los recurso del Fondo CTeI SGR para  los convenios Fortalecimiento de la competitividad de la cadena productiva de la Guadua por medio del desarrollo e implementación de dos (2) paquetes tecnológicos para la generación de productos con valor agregado a base de carbón activado y laminados en el departamento de Cundinamarca y el proyecto Fortalecimiento de Capacidades de CTeI para la Reactivación Económica y la Transformación Productiva en Cundinamarca.
Se encuentra en proceso de ejecución el proyecto “Análisis de factores genéticos sanitarios y medio ambientales que afectan las tasas de preñez a partir de embriones invitro en el departamento de Cundinamarca. - "EMBRIONES DE GANADERÍA", beneficiando pequeños productores del sector pecuario.</t>
  </si>
  <si>
    <t>Un evento de lanzamiento del proyecto Reactivación Economica - Un evento de lanzamiento Fortalecimiento de la competitividad de la cadena productiva de la Guadua</t>
  </si>
  <si>
    <t>Para el proyecto Fortalecimiento de Capacidades de CTeI para la Reactivación Económica y la Transformación Productiva en Cundinamarca Se realiza la difusión  en las 15 Provincias del Departamento de manera Presencial en las Cabeceras Municipales con el acompañamiento de las Alcaldías, Secretarias de desarrollo,Agricultura y Umatas,  Asi mismo se formaliza la Preinscripción e Inscripción de las Comunidades Agropecuarias y Agroalimentarias que deseen ser beneficiarias del proyecto. - Con el proyecto Fortalecimiento de la competitividad de la cadena productiva de la Guadua se realizo el evento de lanzamiento a traves de la emisora el dorado radio con la participacion de los productores de guadua del departamento y alcaldes municipales.</t>
  </si>
  <si>
    <t>($2.728.150.991) Frutas y Hortalizas +</t>
  </si>
  <si>
    <t>Live Sistem Technology</t>
  </si>
  <si>
    <t>Creación del primer actor CTeI, con la estructuración del grupo de investigación de la Secretaria de CTeI del departamento, quien a su vez  ha participado en eventos de CTeI a nivel nacional e internacional como el WEA-CITINF, se capacito a los integrantes del grupo en cuanto a metodologías y tipos de investigación, además del diseño y puesta en marcha del programa radial "Cundinamarca avanza en I+D" proyecto de generación de contenidos de comunicación social del conocimiento a través de la emisora el Dorado radio, presentando los avances de los productos que desarrolla el grupo de investigación. Se llevo a cabo la publicacion de un capítulo del libro "Productos relevantes del proyecto Fortalecimiento de la competitividad del sector floricultor colombiano mediante el uso de ciencia, tecnología e innovación aplicadas en Cundinamarca. Para la creación del segundo actor se realizó el Cumplimiento de requisitos previos para el inicio, estudio previo y suscripción del Convenio del Proyecto Generación de espacios de encuentro de la sociedad con la ciencia y la tecnología “Un viaje con la ciencia en el departamento de Cundinamarca”(Centro de ciencia itinerante).</t>
  </si>
  <si>
    <t>Firma de acta de inicio del convenio de espacios de encuentro de la sociedad con la ciencia y la tecnología “Un viaje con la ciencia en el departamento de Cundinamarca”.  El grupo de investigación realizó Un poster “Ciclos Ecosistémicos”, una ponencia magistral “Fortalecimiento Territorial”, un taller “Tipologías de Investigación” y dos ponencias denominadas “Creación Grupos de Investigación” y “Metodologías de Investigación”.</t>
  </si>
  <si>
    <t>Se firmo acta de inicio para la ejecución del convenio Generación de espacios de encuentro de la sociedad con la ciencia y la tecnología “Un viaje con la ciencia en el departamento de Cundinamarca” A través del grupo de investigación de la SCTeI se participó con un Poster denominado “Ciclos Ecosistémicos” y una ponencia magistral “Fortalecimiento Territorial” en el evento CITINF 2021, Participación en el primer Congreso internacional de CTeI de la Policía Nacional en el municipio de Sibaté con apoyo logístico, Participación en  el primer Congreso Académico y de Investigación Saberes Regionales en el municipio de Sopo con la realización de un taller “Tipologías de Investigación” y la presentación de  dos ponencias denominadas “Creación Grupos de Investigación” y “Metodologías de Investigación”. Realización del programa radial Cundinamarca Innovadora presentando el balance general de los proyectos e investigaciones realizadas durante la vigencia 2021.</t>
  </si>
  <si>
    <t>no se presento</t>
  </si>
  <si>
    <t>Con la ejecución del proyecto Implementación de Estrategias de Fomento a la Cultura y Servicios de Innovación, se beneficiaron 147 pequeñas y medianas empresas de las provincias de Sumapaz, sabana centro, Soacha y sábana occidente a través de bonos de innovación que permitieron impulsar y transformar las Mipymes del departamento los cuales ofrecieron servicios de innovación como: Prototipos y Pruebas Especializadas, Desarrollo  de Productos o Servicios Nuevos, Vigilancia Tecnológica e Inteligencia Competitiva, Servicios de Extensión Tecnológica y Propiedad Intelectual y Transferencia de Tecnología. Con el proyecto "Innovacion mas País" se beneficio a 30 empresas del sector industrial con un entrenamiento especializado y la implementación de un sistema de innovación para el mejoramiento de su competitividad, asi como la vinculación a una red de confianza colaborativa y apoyada por ANDI. A través de la secretaría se gestionó la firma del convenio para el proyecto Fortalecimiento de Capacidades de CTeI para la Reactivación Económica y la Transformación Productiva en Cundinamarca que busca fortalecimiento de capacidades de innovación para micro y pequeñas empresas, asociaciones productivas, pequeños productores de los sectores seleccionados incrementado su nivel de innovación.</t>
  </si>
  <si>
    <t>Un evento de lanzamiento del proyecto Reactivación Economica</t>
  </si>
  <si>
    <t>Para el proyecto Fortalecimiento de Capacidades de CTeI para la Reactivación Económica y la Transformación Productiva en Cundinamarca Se realiza la difusión  en las 15 Provincias del Departamento de manera Presencial en las Cabeceras Municipales con el acompañamiento de las Alcaldías, Secretarias de desarrollo,Agricultura y Umatas,  Asi mismo se formaliza la Preinscripción e Inscripción de las Comunidades Agropecuarias y Agroalimentarias que deseen ser beneficiarias del proyecto.</t>
  </si>
  <si>
    <t>($650.000.000)Connet Bogotá +</t>
  </si>
  <si>
    <t>Corporación Connet Bogotá</t>
  </si>
  <si>
    <t>A través de la secretaría se gestionó los recursos de proyecto “Fortalecer y mejorar las capacidades de CTeI de los municipios del departamento de Cundinamarca para comprender, prevenir, atender y/o mitigar problemáticas sociales con enfoque diferencial de violencias basadas en género, derivadas por el Covid 19”, que nos permite el diseño de la herramienta denominada "Factores de Análisis Basados en la Equidad de Género (Mujer)". Se realizo la estructuración del proyecto para la construcción de la herramienta Índice Provincial CTeI en el marco de la convocatoria de Fortalecimiento territorial ofertada por Minciencias.</t>
  </si>
  <si>
    <t>Documento Tecnico en lista de elegibles por minciencias convocatora de fortalecimiento territorial para la construccion de la herramienta Indice CTeI Provincial</t>
  </si>
  <si>
    <t>Documento Tecnico en lista de elegibles por minciencias convocatora de fortalecimiento territorial para la construccion de la herramienta Indice CTeI Provincial, mencionado proyecto se encuentra en cumplimiento de requisitos para su aprobación</t>
  </si>
  <si>
    <t>Participación activa en las sesiones del CODEPS con el objetivo recibir la aprobación para la formulación y actualización de la Política Pública de CTeI, de acuerdo a la metodología de gestión de PP de la secretaria de Planeación se realizaron las siguientes acciones:  Activación de mesa institucional CTeI de la gobernación de Cundinamarca con la socialización del Plan Operativo, Activación de instancias de participación como el CODECTI y Consejo Regional CTeI de Sabana Centro, divulgación de la Política Pública CTeI a través de la emisora el Dorado radio, Pagina de la Gobernación y redes sociales. Inicio del Diagnostico Participativo a través del desarrollo de la mesa provincial de Medina Cundinamarca.</t>
  </si>
  <si>
    <t xml:space="preserve">Diagnostico estadistico de CTeI </t>
  </si>
  <si>
    <t>Avance en el diagnostico participativo y estadistico para la actualizacion de la politica publica de CTeI, según lineamientos de la secretaria de Planeación de la Gobernación de Cundinamarca</t>
  </si>
  <si>
    <t xml:space="preserve">La Secretaría de CTeI participo en el II conversatorio” Hablemos de CTeI en Sabana Centro” realizado en el municipio de Sopó, Conto con la participación de la Exministra de ciencia, tecnología e innovación Dra. Mabel Torres Torres y la Dra. Nelly Russi Secretaria de Ciencia, Tecnología e Innovación del departamento de Cundinamarca quien socializó las acciones a desarrollar en el marco de la actualización de la Política Pública CTeI, avance en proceso de Apropiación social del conocimiento, entrega de becas en estudios de alto nivel para jóvenes cundinamarqueses, consolidación y desarrollo de proyectos que respaldan los agricultores y ganaderos para mejorar sus procesos productivos y el trabajo articulado interinstitucional identificando las capacidades y desarrollo de los actores del Ecosistema Departamental.
La Secretaría de CTeI participa como co-organizador del evento Open Innovation Summit (OISummit) 2021, Evento que busca generar relacionamiento entre los emprendedores e investigadores con empresarios e inversionistas, con el fin de generar nuevas alianzas y negocios entre las partes a través de un formato de speed dating o citas rápidas. Cundinamarca participó con 20 emprendimientos que incorporan CTeI, tuvieron la oportunidad de participar en citas de 20 minutos para presentar sus emprendimientos con inversionistas y representantes de 30 empresas nacionales e internacionales. También La Secretaría de CTeI Participo como coorganizador  con la escuela de Infantería del ejército nacional del evento internacional CITINF 2021 el cual permitió la participación de estudiantes, docentes, investigadores, miembros de las fuerzas militares, emprendedores y empresarios en un encuentro que consintió en la presentación de ponencias magistrales, artículos de revista, posters y stands que muestran el avance en ciencia, tecnología e innovación en la industria militar y el ecosistema de CTeI.
</t>
  </si>
  <si>
    <t>Realización  del Evento Internacional CITINF 2021 y Primer Congreso CTeI de la Policia Nacional.</t>
  </si>
  <si>
    <t>La Secretaría de CTeI Participo como coorganizador con la escuela de Infantería del ejército nacional del evento internacional CITINF 2021 el cual permitió la participación de estudiantes, docentes, investigadores, miembros de las fuerzas militares, emprendedores y empresarios en un encuentro que consintió en la presentación de ponencias magistrales, artículos de revista, posters y stands que muestran el avance en ciencia, tecnología e innovación en la industria militar y el ecosistema de CTeI. Además la secretaría participo en el primer congreso de CTeI realizado por la policía Nacional en el municipio de Sibaté presentando el avance en estrategias de pedagógicas de prevención.</t>
  </si>
  <si>
    <t>No se Presento</t>
  </si>
  <si>
    <t>Caracterización de 1392 familias en riesgo de desintegraciónCapacitación en alianza con el ICBF sobre los tipos de violencia contra NNA en 6 provincias del DepartamentoEsta meta se ha dado cumplimiento con recursos contratados del plan de desarrollo anterior previo a la armonización del presupuesto</t>
  </si>
  <si>
    <t xml:space="preserve">Se realizo la implementacion de la estrategia una familia que progresa es una familia cundinamarquesa, con el taller "roles de padres e hijos- comunicacion asertiva", taller pareja encuentro entre iguales", primer taller virtual con adolescentes del Sistema de Responsabilidad Penal Adolescentes </t>
  </si>
  <si>
    <t xml:space="preserve">Asesorias - Acompañamiento -asistencia tecnica </t>
  </si>
  <si>
    <t>Gira promoción política pública  en 116 municipios, 112 gestores capacitados - Caracterizacion de las familias del Departamento que devengan su sustento del trabajo independiente - Socializacion de la politica publica de familia en los 116 municipios de Cundinamarca - Gira provincial de politica publica  ( con articulacion con la secretatria de planeacion)</t>
  </si>
  <si>
    <t xml:space="preserve">IGLESIA JESUCRISTO RESUCITADA </t>
  </si>
  <si>
    <t xml:space="preserve">Junto con la Caja de COMPENSACION COMPENSAR  se pretende firmar un Convenio de Asociación a fin de beneficiar 188 niños de 0 a 5 años de edad a y así lograr regular su estado nutricional.   Inicialmente en los municipios de  Caparrapi Yacopi La Palma La Peña Guaduas y Villeta. Se encuentra en tramite precontractual
Se adelantaron acercamientos con Tecnoquimicas S.A., Nestle S.A y Caja de Compensaciòn Colsubsidio </t>
  </si>
  <si>
    <t>Junto con la Caja de COMPENSACION COMPENSAR  se pretende firmar un Convenio de Asociación a fin de beneficiar 152  madres gestantes y Lactantes y asi lograr regular su estado nutricional.   Inicialmente en los municipios de  Caparrapi Yacopi La Palma La Peña Guaduas y Villeta. Se encuentra en revisiòn por las partes</t>
  </si>
  <si>
    <t>alianza entre el Municipito de Soacha y la Secretaria de desarrollo e inclusión Social para la atención integral de habitante en calle y de calle presente en el Municipio</t>
  </si>
  <si>
    <t>convenio para atencion integral psicosocial habitante de calle</t>
  </si>
  <si>
    <t>1. firma de convenios con los 8 municipios, firma de actas de incios con 8 municipios  
2. Seguimiento plan de acción programas habitante de calle y en calle a Fusagasuga, Giradot, Funza, Madrid y La mesa.
3.Asistencia técnica municipios de Fusagasuga y Girardot</t>
  </si>
  <si>
    <t>Articulación con el ministerio de trabajo para capacitación y sensibilización institucional  para la compresión de la problemática trabajo infantil.conmoración del día internacional contra la explotación sexual y trafico de mujeres niños niñas y adolescentesactivación del comité CIETI departamentalEl personal contratado para el desarrollo de las actividades de esta meta con vigencia del plan de desarrollo 2016-2020</t>
  </si>
  <si>
    <t>En elaboración plan de trabajo y coordinación con Gerencia de Etnias</t>
  </si>
  <si>
    <t>DOTACIÓN  MATERIAL DIDÁCTICO PARA 17 ESPACIOS LÚDICO PEDAGÓGICOS Y 5 CDI</t>
  </si>
  <si>
    <t>Diagnóstico de espacios lúdico pedagógicos en 88 municipios</t>
  </si>
  <si>
    <t>activación y coordinación de la submesa de infancia y adolescenciaAsistencia técnica  a los municipios que no cuentan con política publica de de Niños niñas y adolescentesTrabajo coordinado con la fundación Juego y Niñez El personal contratado para el desarrollo de las actividades de esta meta con vigencia del plan de desarrollo 2016-2020</t>
  </si>
  <si>
    <t>Socialización de la estrategia de Pienso pienso en progreso todo tiene su tiempo en los municipioCelebración semana andina (semana de prevención del embarazo en adolescentes) activación y coordinación de la submesa de infancia y adolescenciaAsistencia  técnica en promoción de los derechos sexualesEl personal contratado para el desarrollo de las actividades de esta meta con vigencia del plan de desarrollo 2016-2020</t>
  </si>
  <si>
    <t>NTREGABLE: UNA CARTILLA DIGITAL "PIENSO EN MI, PIENSO EN PROGRESO" a la cual se accede a través de la página web de la SDIS.</t>
  </si>
  <si>
    <t xml:space="preserve">Se realizo encuesta de caraterizacion aplicada a 30 municipios, 66  talleres ludicopedagogicos en 37 municipios. Activación comite departamental de prevencion de embarazo en adolescentes.                                                                                                                          Se realizo actividad en la SEMANA ANDINA </t>
  </si>
  <si>
    <t>encuentros de arte y cultura urbano se impacto municipios de 14 provinciasarticulación con entidades del sector privado para ampliar la oferta institucionalCaracterización de la población beneficiada.El personal profesional contratado para las actividades de esta meta se realizo con recursos del plan de desarrollo unidos podemos mas</t>
  </si>
  <si>
    <t>Asistencia técnica y promoción de espacios de arte y cultura con Cajicá, Sopó y Funza.</t>
  </si>
  <si>
    <t>identificación de municipios que están interesados en el proyectopreparación de proyectos tipo de casas de integración juvenilEl personal profesional contratado para las actividades de esta meta se realizo con recursos del plan de desarrollo unidos podemos mas</t>
  </si>
  <si>
    <t>0,3</t>
  </si>
  <si>
    <t>viabilizacion del proyecto de la casa juvenil de Gachancipá. Acompañamiento y asesoria en la formulación de planos y diseños de la propuesta de casa. Visitas técnicas al municipio de San Antonio del Tequendama, Facatativá, Fusagasugá, Soacha, Gachancipa y La Calera. aprobacion proyecto gachancipa</t>
  </si>
  <si>
    <t>3 Redes departamentales activadas y funcionadoEl personal profesional contratado para las actividades de esta meta se realizo con recursos del plan de desarrollo unidos podemos mas</t>
  </si>
  <si>
    <t xml:space="preserve">Conformación de dos redes departamentales de comunicacion juvenil 1. Red de jovenes por los derechos huamnos 2. Red juvenil de talentos emregentes 3. Fortalecimiento y acompañamiento a las redes juveniles </t>
  </si>
  <si>
    <t>452 jóvenes vinculados a la estrategia juntos hacemos combo recargadoIntercambios de vivencias y experiencias juveniles en los eventosEl personal profesional contratado para las actividades de esta meta se realizo con recursos del plan de desarrollo unidos podemos mas</t>
  </si>
  <si>
    <t xml:space="preserve"> La estrategia "Juntos Hacemos Combo Recargado" se implementó en las 15 provincias del Departamento, impactando a la fecha en el año 2021 a una población de 3279 jóvenes con su núcleo familiar, comunitario y social </t>
  </si>
  <si>
    <t>Seguimiento a las iniciativas del año 2019Socialización en los municipios del decreto que reglamenta el banco de iniciativas juvenilesEl personal profesional contratado para las actividades de esta meta se realizo con recursos del plan de desarrollo unidos podemos mas</t>
  </si>
  <si>
    <t>Entrega de incentivos económicos a las iniciativas beneficiadas de la convocatoria 2020. Seguimiento a Iniciativas 2020 (desembolsadas en marzo de la vigencia actual) . Formulación de Convocataria 2021. Apertura de la convocatoria del banco de iniciativas juveniles.</t>
  </si>
  <si>
    <t>El pago de subsidios pendientes del periodo mayo y junio  del programa de gobierno Unidos Podemos masSe elaboro el proyecto de Ordenanza para la continuidad de los subsidios de Adulto Mayor y persona con discapacidad</t>
  </si>
  <si>
    <t>Subsidio</t>
  </si>
  <si>
    <t xml:space="preserve">socialización de la ordenanza 037 de 2020, aprobacion ordenanza 054 de 2021 inicio de pagos a beneficiarios y validacion de los requisitos para los beneficarios de la meta
Caracterizaciones de los posibles nuevos beneficiarios.
Cruce de datos entre Colombia Mayor y Posibles beneficiarios de la Gobernación
Se aprobo proyecto de ordenanza 054 por parte de la Asamblea Departamental para la ejecucion de los recursos </t>
  </si>
  <si>
    <t xml:space="preserve">Cambio de clasificación </t>
  </si>
  <si>
    <t>Se logro identificar a 1.365 personas residentes en el area rural dispersa, de los cuales 1.335 recibieron el beneficio de transporte, generando un cumplimiento del 98%</t>
  </si>
  <si>
    <t>Se apobo ordenanza 055 de 2021 Por la cual se reglamenta el otorgamiento de beneficios que garanticen el transporte a las personas beneficiarias del subsidio monetario para  persona Mayores de 60 años que residan en el sectro rural del territorio del departamento de Cundinamarca. Socialización y e inicio de recoleccion de información para el pago del beneficio. se realizo resolución para el  reconocimeinto del beneficio para cada uno de los municipios</t>
  </si>
  <si>
    <t>Capacitación dirigida a los MunicipiosReglamento  de convocatoria para proyectos productivosCircular de convocatoriaCronograma de ejecución de la meta para 2020</t>
  </si>
  <si>
    <t>contrato entrega -30 proyectos productivos</t>
  </si>
  <si>
    <t>. Se focalizaron 33 proyectos productivos. que se encuentran en proceso contractual</t>
  </si>
  <si>
    <t>Liquidación convenios de estampilla 2019 (51 de 116)Proyección de los 116 convenios del año 2020Elaboración de resolución de asignación de recursos</t>
  </si>
  <si>
    <t>La suscripcion de convenios de adicione N° 1 y N° 2</t>
  </si>
  <si>
    <t>Seguimiento a loa 116 convenios de estampilla realizados en el año 2020, se realizó proceso para adicional los recursos de excedentes financieros del año 2020 y $4.000.000.000 del año 2011</t>
  </si>
  <si>
    <t>Identificación de los centros vida día y la población beneficiaria Diagnostico del estado actual y las necesidades de dotación de los centros vida día</t>
  </si>
  <si>
    <t>Se realzo entrega para centros vida  municipios de cundinamarca</t>
  </si>
  <si>
    <t>Se realizo la entrega de dotacion para centros vida en 40 municipios: ( Macheta, Manta, Sesquile, Guataqui, Jerusalen, Nilo, Ricaute, Puerto Salgar, La Peña, Sasaima, Vergara, Gacheta, Gachala, Ubala, Beltran, Caqueza, Fomeque, Gutierrez, La Palma, Pacho, Paime, San Cayetano, Yacopi, Gachancipa, Bojaca, Zipacón, Sibate, Arbelaez, Cabrera, San Bernardo, Silvania, Cachipay, El Colegio, La mesa, Quipile, Guacheta, Simijaca, Sutatausa, Nariño, cubriendo las provincias del Gualiva, Sabana Centro, Sabana Occidente, Ubate, Sumapaz, Oriente, Rionegro, Soacha, Tequendama, Bajo Magdalena , Magdalena Centro.
Actualización por parte de los municipios sobre las necesidades de los centros vida. este contartofue adjudicado y se encuentra en ejecución</t>
  </si>
  <si>
    <t>Conmemoración de la semana del adulto mayor: Actividades recreativas, deportivas, culturales, experiencias de vida, musicales y conferencias.Capacitaciones en temas de covid dirigidas a los centros de protección y centros vida díaTrabajo interdisciplinario con secretaria de salud en tema de red de apoyoEl personal contratado para el desarrollo de las actividades de esta meta con vigencia del plan de desarrollo 2016-2020</t>
  </si>
  <si>
    <t>Se brindo asistencia a un total de 1.659 adultos mayores</t>
  </si>
  <si>
    <t xml:space="preserve">Se esta prestando asistencia a personas mayores en el proceso de vacunación adelantado por el Departamento. se atendieron los 1656 adultos mayores en capacitaciones sicologicas y emocionales y Se socializó la ruta de apoyo sicosocial a 58 cuidadores. </t>
  </si>
  <si>
    <t>Creación de mesas en diferentes municipios para construcción del proyecto</t>
  </si>
  <si>
    <t>Participación del sector social LGBTI en el segundo encuentro de proyecto participativo  donde se detrmino los proyectos para votación y ejecución  en el periodo de gobierno - se realizo la seleccion de los proyectos casa refugio y atencion a personas de LGTBI , en proceso de contratacion</t>
  </si>
  <si>
    <t>Vinculación de la Gobernación de Cundinamarca a la estrategia laboral de la comunidad LGBTI del Min Interior.articulación con el SENA para formación y cualificación del Sector SocialArticulación con la agencia de empleo del Sena en temas de LGBTICapacitación en normatividad LGBTI a los 116 Municipios y personerías</t>
  </si>
  <si>
    <t>1. Se realizó la convocatoria para la  socialización de la oferta laboral en articulación con  la caja de compensación familiar Compensar para  los grupos étnicos y comunidad LGBTi, para los 116 municipios del departamento.  donde se han contratado 5 personas de la comunidad LGBTI. Se gestionó con el director de planeación distrital Dr. Marcial el 31 de marzo solicitud para proceso educativo de la comunidad y el proceso de caraterización de organizaciones sociales LGBTI. 3. Con el Alcalde de Tocancipa y su  Director de Planeación para revisar ofertas laborfales de las empresas del sector. 4. Socialización de oferta educativa institucional con el Sena y Secretaria de Educacion Departamental para programas de educacion superior.</t>
  </si>
  <si>
    <t>Diagnostico del funcionamiento de los consejos de discapacidadCapacitación en el tema de registro de localización y caracterización de personas con discapacidad.El personal contratado para el desarrollo de las actividades de esta meta con vigencia del plan de desarrollo 2016-2020</t>
  </si>
  <si>
    <t>se realizaron 102 certificaciones de Consejos de discapacidad con garantía de funcionamiento</t>
  </si>
  <si>
    <t>Se garantizo el giro del periodo de mayo y junio Caracterización de los beneficiariosDiagnostico del funcionamiento de los consejos de discapacidadCapacitación en el tema de registro de localización y caracterización de personas con discapacidad.El personal contratado para el desarrollo de las actividades de esta meta con vigencia del plan de desarrollo 2016-2020</t>
  </si>
  <si>
    <t>subsidio</t>
  </si>
  <si>
    <t xml:space="preserve">Actualización de Base de datos de beneficiarios. Se realizo giros a 1982 personas con discapacidad o cuidadres
Socializacion ordenanza 037 a los 116 municipios
Se aprobó proyecto de ordenanza 054 por parte de la asamblea departamental para poder ejecutar los recursos </t>
  </si>
  <si>
    <t xml:space="preserve">Registro completo del proyecto del municipio de Silvania, y en verificación por parte del ICCU los municippios de Alban y Guasca  </t>
  </si>
  <si>
    <t>Se reportan 6 provincias con coadyuda para operaciones centros vida sensorial.</t>
  </si>
  <si>
    <t xml:space="preserve"> Se determino el kit de dotacion para Centros de vida sensorial que se realizo contrato y se encuentra en ejecución para la posterior entrega </t>
  </si>
  <si>
    <t>La articulación para la publicación de hojas de vida en el portal de empleo a personas en condicion de discapacidad</t>
  </si>
  <si>
    <t>Capacitaciones con alta Consejeria para la Discapacidad y se establecio mediante acta de compromiso de cooperación con colsubsidio la implementación de envio de hojas de vida para la vinculación laboral en la plataforfa de la caja de compensación familiar.</t>
  </si>
  <si>
    <t>Socialización del formato de ayudas técnicaslevantamiento de ayudas técnicas disponibleEl personal contratado para el desarrollo de las actividades de esta meta con vigencia del plan de desarrollo 2016-2020</t>
  </si>
  <si>
    <t>Ayudas tecnicas</t>
  </si>
  <si>
    <t>Entrega de ayudas técnicas de solicitudes realizadas a la secretria durante el año 2021 y en los bancos de ayudas entregados a las alcaldias firma de contrato de ayudas en el 2021</t>
  </si>
  <si>
    <t>Reglamentación del proceso de selección de los proyectos productivos de personas con discapacidadEl personal contratado para el desarrollo de las actividades de esta meta con vigencia del plan de desarrollo 2016-2020</t>
  </si>
  <si>
    <t>Se tienen priorizados 19 proyectos productivos y la contartación se encuentra publicación</t>
  </si>
  <si>
    <t>Socialización de los manuales de accesibilidad en todos los municipios de las provincias: de ubate, sumapaz y provincia del Guavio</t>
  </si>
  <si>
    <t>Capacitación a 4 resguardos indígenas para la presentación de proyectos productivos</t>
  </si>
  <si>
    <t xml:space="preserve"> se proyectaron para Firma de  convenios con los municipios de Sesquile y Medina para la compra delos proyectos productivos de la cumunidad Kichwa, Muisca y Je´eruriwa  - Ya se firmo el RPC</t>
  </si>
  <si>
    <t>Encuentro de intercambio cultural indígenaCapacitación en emprendimiento con los 3 resguardos indígenasCapacitación en política y consejo de juventudesCapacitación a los tres resguardos en sistema general de regalíasAcompañamiento en la formulación de proyectos a los 4 resguardos indígenasEl personal profesional contratado para el desarrollo de actividades se realizo con el plan de desarrollo juntos podemos mas</t>
  </si>
  <si>
    <t>encuentro de todas lac omunidades indigenas del Departamento de Cundinamarca, reconocidas por el  ministerio del Interior</t>
  </si>
  <si>
    <t>Planeacion y justificación de la solicitud de recurso para elaborar diagnostico y estados del arte del plan de vida indigena y continuidad cultural -encuentro intercultural de comunidades indiigenas de cuindinamarca "intercambiando saberes" 17/12/2021 en el muniicpio de facatativa parque ecologico piedra del TUNJO  (todas las 5 comunidades indigenas del departamento reconocidas por el ministerio del interior)</t>
  </si>
  <si>
    <t>intercambio cultural de los resguardos indígenas del departamento con muestras ancestralesEl personal profesional contratado para el desarrollo de actividades se realizo con el plan de desarrollo juntos podemos mas</t>
  </si>
  <si>
    <t>Celebración del mes del niño dirigido a las comunidad indígena Kichwa de Sesquile el dia 26 de abril en articulación con la Alcaldia Municipal y la Secretaria de Indeportes -1.  Encuentro intercultural de comunidades indigenas acentadas en el Deparatmento de cundinamarca que no estan reconocidas opor el ministerio en el parque Jaime Duque.
participación de NNA en el fortalecimiento en sus procesos de gobernabilidad. Niño gobernador por un dia  2. Encuentro de saberes y proceso de gobernabilidad de los pueblos indigenas reconocidos por el ministerio del interior en el Departamento de Cundinamarca.</t>
  </si>
  <si>
    <t>firma de convenio con la alcaldia de Chía y la RAPE regíon Cental para la ejecucion de la adecuacion de la maloKa - se Firmó el convenio interadministrativo entre la Alcaldia de Chia y La RAPE.</t>
  </si>
  <si>
    <t>Formación de 100 integrantes dela comunidad NARP pertinentes a 9 municipios.Encuentro de la conmemoración de la mujer NARP</t>
  </si>
  <si>
    <t>Articulación  y apoyo sobre la conmemoración del dia de la Afrocolombianidad con los 116 municipios. Articulación  y apoyo a la Secretaria de Educación y el Ministerio de Educación sobre Etnoeducación y cátedras de estudios Afrocolombianos. Articulación  y apoyo con   la Secretaria de Mujer y Género sobre conversatorio de Mujeres Aftro Exitosas.</t>
  </si>
  <si>
    <t>Encuentros con las delegaciones afro para delimitar el tipo de proyecto productivo, los beneficiarios y la necesidad de formación</t>
  </si>
  <si>
    <t>Se ecuentra en proceso de registro presupuestal la contratación de los elemntos de apoyo a los proyectos productivos</t>
  </si>
  <si>
    <t>Capacitación en la presentación de proyectos productivos</t>
  </si>
  <si>
    <t xml:space="preserve">1. Conmemoracion del dia del niño en el municipio de sesquile, haciendo intercambio de grupos etnicos "saberes y cultura" 2. Participación de los NNA de la comunidad Room en la celebración del mes de abril mes del niño "NIÑO GOBERNADOR POR 1 DIA". - </t>
  </si>
  <si>
    <t>Se completo la fase 1 de alistamiento establecida en el decreto 311 de 2018Articulación con planeación del comité técnico de rendición publica de cuentas de NNAEl personal contratado para el desarrollo de las actividades de esta meta con vigencia del plan de desarrollo 2016-2020</t>
  </si>
  <si>
    <t>ENTREGABLE: UN INFORME DE REALIZACIONES PARA NIÑOS, NIÑAS, ADOLESCENTES Y JÓVENES publicado en la página web de la SDIS</t>
  </si>
  <si>
    <t>En ejecucion fases 1,2 y 3 del proceso, 100 municipios asistidos y dos sesiones mesa departamental NNA, ejecución socialización</t>
  </si>
  <si>
    <t>Conformación de la plataforma departamental de juventudes. Actualización de las plataformas municipalesEl personal profesional contratado para las actividades de esta meta se realizo con recursos del plan de desarrollo unidos podemos mas</t>
  </si>
  <si>
    <t xml:space="preserve">Se realizó la primera Asamblea Departamental de las Juventudes, en el marco del desarrollo de la Semana de la Juventud y se presento apoyo ala las elecciones de los consejos municipales de Juventud en los 116
</t>
  </si>
  <si>
    <t>Capacitación de jóvenes rurales con capacitaciónCapacitación a jóvenes de comunidades étnicasEl personal profesional contratado para las actividades de esta meta se realizo con recursos del plan de desarrollo unidos podemos mas</t>
  </si>
  <si>
    <t>Se ha puesto en marcha la escuela de liderazgo, brindando capacitaciones a las y los jóvenes del Departamento en temas como Paz-conflicto, Derechos Humanos, Participación política, Ciudad Región, comunicación política</t>
  </si>
  <si>
    <t>Capacitación en elección de concejos municipales de juventud en 20 municipios a los coordinadores de juventud</t>
  </si>
  <si>
    <t>Capacitación de Consejos Municipales de Juventud en 44 municipios del departamento. Promoción de los consejos municipales de juventud en 111 municipios de Cundinamarca.</t>
  </si>
  <si>
    <t>Reunión del CODEPS DEPARTAMENTALActualización del link en la plataforma de la gobernación de Cundinamarca del CODEPS Convocatoria y conformación de la Mesa Departamental de Inclusión Social (se han realizado tres de las cuatro requeridas)Emisión de circular CODEPS 002 dirigida a los 116 MunicipiosAsistencias técnicas a los COMPOS Municipales Asistencia técnica a 19 COMPOS</t>
  </si>
  <si>
    <t>Instalación de la primera sesión del consejo departamental de política social CODEPS. Fortalecimiento a los 116 Consejos de política social COMPOS del departamento a través del diseño de instrumentos para su actualización.
-Compilacion Normograma del sistema nacional de bienestar familiar. modelo reglamento interno COMPOS, ELABORACION CARTILLA DIGITAL COMPOS
-Decreto de actualización para 116 municipios
Resolución de funcionamiento para 116 COMPOS.</t>
  </si>
  <si>
    <t>Activación de la mesa departamental Participación de NNASe garantizo la participación y asistencia de 6 niños de las instancias de participación al CODEPS departamental.Asistencia técnica a los municipios que no cuentan con la instancia de participación activa</t>
  </si>
  <si>
    <t>Seguimiento a los municipios para la verificacion de actividad de las mesas de participación de niñas y adolescentes, asistencia a 11 municipios para establecer estrategias de fortalecimiento. 4 sesiones de la mesa de participacion de niños, niñas y adolescentes</t>
  </si>
  <si>
    <t>Se viabilizó y registro el proyecto correspondiente a el Municipio de Arbelaez y en revisión del ICCU el proyecto de Tibirita, Ubate, Agua de Dios y Gama</t>
  </si>
  <si>
    <t>Se realizó taller de emprendimiento digital, con  acompañamiento del MINTIC,  
Se iniciara en el mes de diciembre  un PROCESO DE FORMACIÓN CERTIFICADA EN HERRAMIENTAS TIC PARA IMPULSAR EL EMPRENDIMIENTO DE JÓVENES EN CUNDINAMARCA".</t>
  </si>
  <si>
    <t>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t>
  </si>
  <si>
    <t>LA  ADC BRINDA SERVICIO DE CONECTIVIDAD A 106 SEDES PUBLICAS DE SALUD</t>
  </si>
  <si>
    <t>LA  ADC BRINDA SERVICIO DE CONECTIVIDAD A 116 SEDES PUBLICAS DE SALUD</t>
  </si>
  <si>
    <t>Se han capacitado 17.703 Cundinamarqueses en apropiación de herramientas tecnológicas de forma presencial y virtual</t>
  </si>
  <si>
    <t xml:space="preserve">7.031   CUNDINAMARQUESES SE HAN CAPACITADO DE MANERA PRESENCIAL Y VIRTUAL, EN USO Y APROPIACIÓN DE LAS TIC. PERTENECIENTES A 6 SECORES DE DESARROLLO DEL DEPARRAMENTO (ESTUDIANTES, JAC, FUNCIONARIOS PUBLICOS, PERSONAS EN CONDICION DE DISCAPACIDAD, MIPYMES Y JOVENES) </t>
  </si>
  <si>
    <t xml:space="preserve">  18.774 CUNDINAMARQUESES SE HAN CAPACITADO DE MANERA PRESCENCIAL Y VIRTUAL, EN USO Y APROPIACIÓN DE LAS TIC, PERTENECIENTES A 6 SECTORES DE DESARROLLO (ESTUDIENTES, JAC, FUNCIONARIOS PUBLICOS, PERSONAS EN CONDICION DE DISCAPACIDAD.MIPYMES Y JOVENES)</t>
  </si>
  <si>
    <t>1. Se formuló y presentó ante el Ministerio TIC el proyecto regional Regiobici Cundinamarca y se está a la espera de firmar el Acuerdo de Voluntades entre los municipios y la Gobernación.
2. El proyecto Regiobici Cundinamarca, resultó ganador entre los presentados por la región de centro-oriente y es ahora un modelo o proyecto tipo para las demás entidades territoriales.</t>
  </si>
  <si>
    <t>1. El proyecto Regiobici Cundinamarca, resultó ganador entre los presentados por la región de centro-oriente y es ahora un modelo o proyecto tipo para las demás entidades territoriales. 2. Se suscribió el CONTRATO INTERADMINISTRATIVO STM – CDCTI - 466 -2021, entre la Secretaría de Movilidad y la Universidad Nacional de Colombia que tiene por objeto realizar los "ESTUDIOS DE DEMANDA PARA LA IMPLEMENTACIÓN DEL SISTEMA PÚBLICO DE BICICLETAS – REGIOBICI – EN LOS MUNICIPIOS DE MOSQUERA Y FUNZA", dicho estudio debe ser entregado en el mes de diciembre.</t>
  </si>
  <si>
    <t>A LA FECHA SE ENCUENTRAN OPERATIVOS 51 CENTROS INTERACTIVOS (65% DE LOS CENTROS INSTALADOS)</t>
  </si>
  <si>
    <t>Se firmó convenio con un gestor ambiental para el tratamiento adecuado de los RAEE y se han recolectado 35,448 TN</t>
  </si>
  <si>
    <t>47,46 Tn se han acumulado mediente brigadas de recolección de residuos de aparatos eléctricos y electrónicos RAEE en entidades del nivel central,  en Municipios y otras entidades públicas. " - 
 - 
-Se realizó la siembra de 600 árboles en el Municipio de Sibaté, 300 en Pacho y 300 más en San Antonio del Tequendama.</t>
  </si>
  <si>
    <t>52,49 Tn se han acumulado mediente brigadas de recolección de residuos de aparatos eléctricos y electrónicos RAEE en entidades del nivel central,  en Municipios y otras entidades públicas. " - En 2020 se firmó convenio a $0, con el gestor ambiental para el tratamiento final de los RAEE, Aportan el transportede los residuos y 100 árboles por cada TN recolectada
 - Se realizó la siembra de 600 árboles en el Municipio de Sibaté, 300 en Pacho y 300 más en San Antonio del Tequendama.</t>
  </si>
  <si>
    <t>Todas las 26 entidades del departamento se han atendido con capacitación en temas de Gobierno Digital</t>
  </si>
  <si>
    <t>Se desarrollan capacitaciones, relacionadas con los componentes de la Política de Gobierno Digital, en todos los Municipios del Departamento</t>
  </si>
  <si>
    <t>Se han atendido las solicitudes efectuadas por los 116 municipios</t>
  </si>
  <si>
    <t>Se han mantenido disponibles los servicios soportados en los sistemas de información: mercurio, isolución, Sistema de seguimiento al plan de desarrollo,  kactus, SAGA, integración registraduría, supervisa y banco de proyectos.</t>
  </si>
  <si>
    <t>Se han mantenido disponibles los servicios asociados a los 9  sistemas de información: 1. MERCURIO, 2. ISOLUCIÓN, 3. SISTEMA DE SEGUIMIENTO AL PLAN DE DESARROLLO, 4. KACTUS, 5. SAGA, 6. INTEGRACIÓN REGISTRADURÍA, 7. SUPERVISA, 8. BANCO DE PROYECTOS, 9. SWIM. Mediante la renovación de los contratos de soporte y mantenimiento con los proveedores y/o fabricantes. y la contratación del personal capacitado que brindan el soporte y administración de las plataformas que lo requieran.</t>
  </si>
  <si>
    <t>Se ha dado continuidad a la atención de requerimientos por concepto técnico o de viabilidad técnica de proyectos estructurados por dependencias del sector central desde la PMO.
Se avanza con actividades incluidas en plan de actualización del Petic.</t>
  </si>
  <si>
    <t>Se han atendido requerimientos por concepto técnico o de viabilidad técnica de proyectos estructurados por entidades del sector central.</t>
  </si>
  <si>
    <t>SE EXTIENDE LA GARANTÍA DE LOS EQUIPOS DEL DATACENTER PRINCIPAL.  SE ADQUIRIERON CINTAS CINTAS BACKUP. Y SE ADJUDICÓ EL PROCESO EXTENSIÓN DE GARANTÍAS DE LA UNIDAD DE POTENCIA ININTERRUMPIDA (UPS) QUE ALIMENTA EL DATACENTER PRINCIPAL</t>
  </si>
  <si>
    <t>SE MANTIENE PERMENETEMENTE EL FUNCIONAMIENTO DEL 100% DE LOS DATACENTER PRINCIPAL Y ALTERNO, ESTA EN PROCESO LA CONTRATACIÓN DE MANERA INTEGRADA DEL LICENCIAMIENTO DE EXTENSIÓN DE GARANTÍAS PARA LOS DIFERENTES SISTEMAS UBICADOS EN EL DATACENTER PRINCIPAL DE LA GOBERNACIÓN.</t>
  </si>
  <si>
    <t>SE ESTA ESTRUCTURANDO LA DOCUMENTACIÓN NECESARIA PARA ADQUIRIR INFRAESTRUCTURA COMPUTACIONAL, UNA VEZ TERMINADA SE  ENVIARÁ A LA UNIDAD DE CONTRATACIÓN PARA REVISIÓN.</t>
  </si>
  <si>
    <t>SE HA DADO SOPORTE PARA GARANTIZAR EL FUNCIONAMIENTO DE LAS SIGUIENTES PLATAFORMAS    1. VIDEOCONFERENCIA DEPARTAMENTAL. 2. SEGRIDAD INFORMATICA. 3. REPUESTOS PARA LA INFRAESTRUCTURA DE CÓMPUTO DEL NIVEL CENTRAL, 4.  LICENCIAMIENTO PARA EL DEPARTAMENTO DE CUNDINAMARCA. 5. CORREO ELECTRÓNICO (ALMACENAMIENTO) 6. INFRAESTRUCTURA DE DATOS (IPV6)</t>
  </si>
  <si>
    <t>se soportan permanentemente las 6 plataformas de uso de la Gobernación.  1. VIDEOCONFERENCIA DEPARTAMENTAL. 2. SEGURIDAD INFORMATICA. 3. MESA DE AYUDA DE LA INFRAESTRUCTURA DE CÓMPUTO DEL NIVEL CENTRAL, 4.  LICENCIAMIENTO SOFTWARE  5. CORREO ELECTRÓNICO (ALMACENAMIENTO) 6. IMPLEMENTACION INFRAESTRUCTURA DE DATOS (IPV6). Mediante la renovación de los contratos de soporte y mantenimiento con los proveedores y/o fabricantes. y la contratación del personal capacitado que brindan el soporte y administración de las plataformas que lo requieran.</t>
  </si>
  <si>
    <t>Se han mantenido disponibles los servicios asociados a las 9 plataformas. . BUS DE INTEGRACIÓN. 2. ORACLE. 3. BIZAGI. 4. SAP (SOPORTE CON EL FABRICANTE). 5. PRIMER Y SEGUNDO NIVEL DE SOPORTE SAP. 6. MOODLE 7. SOPORTE PORTAL WEB 8. SQLSERVER 9. OVM. Mediante la renovación de los contratos de soporte y mantenimiento con los proveedores y/o fabricantes. y la contratación del personal capacitado que brindan el soporte y administración de las plataformas que lo requieran.</t>
  </si>
  <si>
    <t xml:space="preserve">Se identificaron acciones que permitieron la articulación de esfuerzos para el desarrollo de iniciativas y proyectos de impacto regional. Así mismo, se efectuó un análisis de los programas y metas regionales dentro de los planes de desarrollo de los 46 municipios de la cuenca del río Bogotá y su relación con las metas de la línea estratégica Más Integración.  
Se acompañó el proceso de armonización de los planes de ordenamiento territorial de los 46 municipios de la cuenca del Río Bogotá, en el marco de la metodología acordada por las secretarías de planeación del Departamento y del Distrito; las principales temáticas que se definieron son: Estructura Ecológica Principal, POMCA, población y vivienda, espacio público, sistema de cuidado, servicios públicos, ciudad región, y movilidad y abastecimiento.
Se estructuró una base de proyectos con énfasis en movilidad y hábitat y espacio público. Además, producto de este trabajo se logró la financiación de la CAF con 450 mil euros para la estructuración de la red de ciclovías en torno al Regiotram de Occidente, iniciativa que se ha venido trabajando de la mano con la Empresa Férrea Regional, la Secretaría de Transporte y Movilidad de Cundinamarca y la Secretaría Distrital de Planeación para presentación del proyecto que fue aprobado por la CAF y la posterior elaboración de los términos de referencia para la contratación de los estudios.
En el Comité de Integración Territorial, CIT, se definió un plan de trabajo articulado con la agenda regional Bogotá-Cundinamarca, en el cual se identificaron iniciativas conjuntas entre los 28 municipios que hacen parte de este escenario.
</t>
  </si>
  <si>
    <t xml:space="preserve">Dentro del alcance de acompañamiento de la Secretaría de Integración Regional a los proyectos de integración regional previstos tanto en el Plan de Desarrollo “Cundinamarca: Región que Progresa” y el Plan Distrital “Un Nuevo Contrato Social para el siglo XXI”, la entidad participó activamente en la definición del alcance de los convenios entre Bogotá y Cundinamarca sobre los temas de abastecimiento y cultura, así como en la organización de los eventos de lanzamiento de estos programas que se realizó el pasado 20 de marzo. 
Adicionalmente, la Secretaría de Integración ha participado en el proyecto de la Planta de Abonos, a cargo de la Secretaría de Competitividad, con la gestión de relacionamiento de la firma consultora que adelanta el estudio de prefactibilidad con entidades en Bogotá como la Secretaría de Hábitat y la UAESP y la relación con municipios como Chía y Cajicá para conocer proyectos de aprovechamiento de residuos. 
De otro lado, la Secretaría adelanta con las Empresas Públicas de Cundinamarca un trabajo conjunto con Bogotá para el aprovechamiento de la concesión del Sisga para aumentar el suministro de agua a municipios de Cundinamarca y con el Ministerio de Vivienda para el aseguramiento en la prestación del servicio de acueducto.
En relación con los proyectos regionales, se realizó seguimiento a 26 temas identificados
Se acompañó una reunión con la Secretaría de Planeación del municipio de Madrid y la Concesionaria Férrea de Occidente S.A.S. sobre avances del REGIOTRAM.
Se realizó una reunión virtual con la directora de Planificación, Gestión y Ejecución de proyectos de la RAP-E, Magda Paola Núñez, para la conformación de una mesa de seguimiento.
En reunión liderada por la Secretaria de Integración Regional, Patricia González, con el ICCU y la Secretaría de Movilidad, realizada el 22 abril, se  identificó el estado de obras de infraestructura vial de los corredores estratégicos del departamento. 
Las actividades de gestión, los avances y demás información detallada sobre los proyectos se consignan en el informe mensual de seguimiento de los proyectos.
  -	El día 13 de mayo se realizó una reunión con EPC a través de la Dirección de Seguimiento y Evaluación de Planeación de Cundinamarca, donde se socializó el estado actual de los proyectos que se encuentran en liderazgo de EPC y que acompaña la Secretaría de Integración Regional en la línea más integración.
-	Para las metas 361 y 362 Conectar a 68.000 nuevos usuarios el servicio de acueducto y alcantarillado en el municipio de Soacha, se solicitó a EAAB, el plan de incorporación de usuarios para este municipio y se solicitó información actualizada a la Dirección de Seguimiento y Evaluación de Planeación de Cundinamarca el reporte actualizado del primer trimestre 2021 respecto al cumplimiento de las metas. 
En desarrollo de las acciones orientadas a cooperar en la implementación de 8 proyectos regionales estratégicos, se elaboró un documento preliminar con la definición de los criterios de priorización para la selección de dichos  proyectos; así mismo, un documento “Metodología para la selección y priorización de proyectos estratégicos, regionales y de competitividad” con los lineamientos metodológicos para la aplicación de los criterios de priorización; las matrices con criterios de selección y priorización de proyectos, para poder evaluar los proyectos en términos estratégicos, regionales y de competitividad; y se diseñó y aplicó una encuesta de seguimiento a los proyectos preseleccionados en la entidad.
En relación con el seguimiento a los proyectos regionales que fueron identificados en la entidad, se adelantaron reuniones con diferentes entidades para el acompañamiento acordado.
</t>
  </si>
  <si>
    <t>Ninguna</t>
  </si>
  <si>
    <t xml:space="preserve">Se realizó la identificación, recolección y consolidación de la información regional existente en el Observatorio de Dinámicas Urbano Regionales – ODUR, en cada uno de sus ejes e indicadores. A partir de lo anterior, se estructuró un inventario de información con las fuentes internas (Gobernación y dependencias o entidades adscritas) y externas (terceros públicos y privados), y de tipo documental y a nivel de dato estadístico, con la que se consolidó una base de datos propia que permitió generar indicadores y estadísticas para contar con información primaria de manera oportuna, veraz y actualizada.
Entre las Secretarías de Planeación y de Integración Regional de Cundinamarca y la Secretaría Distrital de Planeación se definió que la fuente de información base será Encuesta Multipropósito de Bogotá y 21 municipios, la cual se aplicará a partir del primer trimestre del 2021. 
Para asegurar que la aplicación de este instrumento logre los resultados esperados, y como punto de partida, el 4 de diciembre se realizó un evento para sensibilizar a los 21 alcaldes y secretarios de planeación de los municipios que incluyen dicha encuesta, sobre la importancia de la gestión del conocimiento como proceso fundamental y transversal para la integración regional y la toma de decisiones. 
</t>
  </si>
  <si>
    <t xml:space="preserve">En desarrollo de las acciones encaminadas a la generación de conocimiento, mediante la gestión del uso e intercambio de información de carácter regional, y con el propósito de mantenerla actualizada en los sistemas de información con los que cuenta el Departamento, para la toma de decisiones y adopción de políticas públicas para la integración regional, durante el primer trimestre de la vigencia 2021 se identificaron y definieron las siete (7) temáticas metropolitanas de interés en el proceso para la reglamentación de la Región Metropolitana Bogotá – Cundinamarca y se identificó el conjunto de indicadores para cada una de ellas.
Como se recuerda, en cumplimiento de lo establecido en el parágrafo transitorio del Acto Legislativo 002 de 2020, por el cual se creó la Región Metropolitana Bogotá – Cundinamarca, se definió una estrategia articulada entre la Gobernación de Cundinamarca, la Alcaldía Mayor de Bogotá y el Congreso de la República, para la participación ciudadana en la estructuración de la Ley Orgánica que reglamentará la Región Metropolitana. En este sentido, se formuló y ejecutó una estrategia de participación ciudadana en la que se desarrollaron 68 audiencias y se recibieron más de 6.000 propuestas.
Inicialmente, para el análisis de los aportes y recomendaciones, así como para la presentación de resultados, se diseñó una herramienta interactiva que está disponible para consulta en la página web www.regionmetropolitana.com.
A partir de esa información, en los primeros meses de la presente vigencia, se adelantó la consolidación de la información recaudada, por cada uno de los temas priorizados:
• Movilidad y transporte
• Servicios públicos
• Medio ambiente
• Seguridad, convivencia y justicia
• Abastecimiento y seguridad alimentaria
• Desarrollo económico
• Ordenamiento territorial
Una vez definidas las siete (7) temáticas, la Secretaría de Integración Regional, en conjunto con la Secretaría de Planeación de Cundinamarca y la Secretaría Distrital de Planeación, consolidaron identificaron la batería de indicadores para cada uno de los temas.
Se ha realizado un	Levantamiento y Diagnóstico de Información: En consecuencia con el plan de trabajo establecido para el cumplimiento de la meta 366,  en el periodo se avanzó en la consolidación de la información existente sobre la región; esto implica el tratamiento de la misma, la normalización y, al mismo tiempo, la generación de indicadores resultado del análisis.   i.	Consolidación información actual: Se inició con la estructuración de la matriz de indicadores asociados a los temas metropolitanos priorizados, tales como: Movilidad, Seguridad ciudadana, Seguridad alimentaria, Ordenamiento, Medio Ambiente, Desarrollo Económico y Servicios Públicos. Para este efecto, se identificaron 51 indicadores en una primera línea base y se estructuran los mecanismos de recolección, tratamiento y análisis. ii.	Identificación de otras fuentes de información: En el marco de esta actividad se han realizado acciones cruzadas para la consecución de información, la búsqueda de fuentes primarias publicadas y la consolidación de información nueva a través de reuniones con los encargados de las diferentes instituciones generadores de información. En este sentido se identificaron las siguientes fuentes adicionales:
1.	Agronet – Ministerio de Agricultura
2.	ANI
3.	CCB
4.	DANE
5.	Cotelco
6.	DNP
7.	EAAB
8.	ELIC
9.	Empresa Férrea
10.	Encuesta Multipropósito, 2017
11.	EVA - 2019
12.	Fiscalia
13.	Googlemaps
14.	IDEAM
15.	IDT 
16.	Instituto de Investigación de Recursos Biológicos Alexander von Humboldt
17.	Instituto Quinaxi
18.	Invias
19.	Minsiterio de comercio
20.	Parques Nacionales Naturales
21.	POMCA
22.	CAR
23.	PONAL
24.	CONPES LOGISTICA 3547 DE 2008
25.	MinTransporte
26.	RUNAP
27.	Secretaría Distrital de Planeación
28.	SIMUR
29.	SSPD
30.	SUI
31.	Terridata con información DNP.
Cada set de información proveída por estas fuentes primarias se describe en el anexo de información consolidado adjunto. 
*a.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
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
b.	Actualización indicadores ODUR
Producto de la vinculación de la Secretaría de Integración Regional al plan de trabajo de la Secretaría de Planeación del Departamento para la actualización de la IDER y publicación de los datos del ODUR, se han generado sinergias que permiten avanzar en diferentes frentes:
i.	Organización de la información actual de la IDER
En relación con las acciones para iniciar la reestructuración de la plataforma para promover su uso por parte de los municipios de Cundinamarca, se desarrolla la fase de capacitación y reconocimiento de la plataforma. Para ello se adelantaron sesiones de capacitación sobre las herramientas Power BI, ArcGis Online y ArcGisPro para el grupo de apoyo de la Secretaría de Integración Regional y de la Dirección de Infraestructura y datos espaciales de la Secretaría de Planeación del Departamento, así como al grupo técnico del IDER.
ii.	Organización de la información ODUR
Dentro de las acciones encaminadas a publicar la información de los indicadores ODUR (2019) en la plataforma IDER, se evalúan las herramientas y procedimientos para mostrar la información. 
 </t>
  </si>
  <si>
    <t xml:space="preserve">Se realizó seguimiento a la ejecución del plan de trabajo definido con la RAP-E Región Central, en sus cinco ejes: Seguridad Alimentaria y Desarrollo Rural; Sustentabilidad Ecosistémica y Manejo de Riesgos; Competitividad y Proyección Internacional; Infraestructuras de Transporte, Logística y Servicios Públicos; Gobernanza y buen Gobierno y Gestión de Fortalecimiento Institucional.
En el Comité de Integración Territorial (CIT) se definió un plan de trabajo articulado a la agenda regional Bogotá-Cundinamarca y se realizaron talleres con las secretarías de planeación de los municipios para identificar proyectos incluidos en los planes de desarrollo municipales. Además, se adelantaron las mesas técnicas de residuos sólidos y seguridad ciudadana. En la primera, se validaron las líneas estratégicas para el Plan Integral de Gestión de Residuos Sólidos y en la de seguridad ciudadana, se trabaja en los Planes Integrales de Seguridad, Convivencia y Justicia (PISCJ) Distrital y Departamental.
Con la Secretaría Distrital de Planeación y la Cámara de Comercio de Bogotá, se avanzó en la suscripción de un convenio de asociación para el fortalecimiento de esta instancia de coordinación regional. 
</t>
  </si>
  <si>
    <t xml:space="preserve">En el marco de las acciones encaminadas a fortalecer los espacios de coordinación regional existentes, el pasado 23 de diciembre se suscribió el convenio No.537 de 2020 / SIR-CDCASO-024-2020, con la Secretaría Distrital de Planeación y  la Cámara de Comercio de Bogotá (CCB), que tiene por  objeto “Aunar recursos humanos, técnicos y financieros para facilitar, apoyar y acompañar la implementación de la agenda programática regional concertada entre la Alcaldía Mayor de Bogotá D.C., la Gobernación de Cundinamarca y los municipios que hacen parte del Comité de Integración Territorial (CIT) para contribuir a la integración regional, a la reactivación económica, al mejoramiento del entorno empresarial y a la prosperidad de la región”. 
En desarrollo de este Convenio, durante el primer trismestre se realizaron dos comités técnicos de seguimiento, para la revisión del plan de trabajo propuesto, el funcionamiento de las mesas técnicas y la validación de los documentos de trabajo. En los dos comités, realizados el 1 de febrero y el 23 de marzo, en representación de la Secretaría participaron la Gerencia, la Dirección de Gestión e Integración Regional y una asesora del Despacho.  Igualmente, se adelantó una mesa de trabajo para el ajuste cronograma del plan de trabajo del convenio, el 25 de marzo. 
En cuanto a la Región Administrativa y de Planeación Especial – RAPE Región Central, en desarrollo del Convenio No. 1676 de 2014 y del Convenio de Adhesión No. 001 de 2019, se recibió y estudió el informe general de gestión 2020 de la RAPE, como insumo para la elaboración del informe semestral de seguimiento de la gestión de actividades y la ejecución presupuestal de la RAPE, a cargo de la Supervisión. Igualmente, se iniciaron las acciones pertinentes para adelantar la transferencia de recursos de la vigencia 2021. 
La Supervisión recibió y estudio el Plan Regional de Ejecución 2021-2024, al cual se le realizaron comentarios y observaciones. En este mismo sentido, como parte del acompañamiento a las sesiones de la junta directiva, mesas de seguimiento, o mesas de trabajo conjunto, esta entidad participó en la sesión de trabajo con la Rape para revisión y ajuste de su Plan Regional de Ejecución 2021, el 10 de marzo, en la que también  participaron  la Secretaría de Planeación de Cundinamarca, Secretaría de Agricultura de Cundinamarca, Secretaría de Movilidad de Cundinamarca y la  RAPE, y en la reunión de presentación, por parte de la RAPE, del ejercicio de identificación cartográfica de sitios de importancia cultural en los sistemas de páramos - gobernanza ambiental, el  24 de marzo.
De otro lado, en las acciones de participación en las sesiones de trabajo y deliberaciones para el establecimiento de acuerdos de POT, esta Secretaría participó en la Mesa de seguimiento a la sentencia del río Bogotá para consolidar las acciones de articulación de los POT de los municipios de cuenca del río Bogotá, realizada el  4 de marzo, y en la reunión con el comité de verificación de la sentencia del río Bogotá del: 15 de marzo.
*En el marco del convenio que creo la Región Administrativa de Planificación Especial - RAP-E Región Central, el 9 de abril se reportó el informe de supervisión definitivo como uno de los documentos soporte para la transferencia de recursos de la vigencia 2021. Dentro del informe, además de la verificación de las actividades el Plan Estratégico Regional, se analizó el presupuesto 2021 y el Plan Operativo Anuel de Inversiones 2021. 
En desarrollo del Convenio de asociación para el fortalecimiento del Comité de Integración Territorial (CIT), el día 22 de abril se llevó a cabo una sesión de trabajo con los equipos de la Cámara de Comercio de Bogotá y de la Secretaría Distrital de Planeación con el fin de definir las temáticas de los talleres y foros a desarrollar en la presente vigencia.
El  23 de abril se llevó a cabo una reunión con la Corporación Autónoma Regional de Cundinamarca (CAR) sobre el diligenciamiento de las fichas de cumplimiento de los proyectos del POMCA. Producto de esa reunión se realizó una nueva reunión con la Secretaría Departamental de Ambiente, el 30 de abril, en la que se revisaron los contenidos de cada ficha y se generó el compromiso de verificar la información frente al proyecto de Pago Por Servicios Ambientales.
</t>
  </si>
  <si>
    <t xml:space="preserve">se definió un esquema de trabajo con cinco fases, que va desde la formulación hasta la aprobación.
Se lideró el proceso para la conformación de la Provincia Administrativa y de Planificación de Sumapaz, con la participación de sus diez municipios, para lograr una figura asociativa que permita alcanzar objetivos comunes que mejoren el nivel de vida de las comunidades. Se avanzó en la estructuración del esquema asociativo y de la ruta de trabajo, y se conformó el comité técnico para la elaboración del documento soporte, que define su funcionamiento, financiamiento y reglas. 
Adicionalmente, Se ha venido trabajado con las provincias del Alto Magdalena, Guavio y Tequendama para la definición de esquemas de asociatividad y la identificación de proyectos conjuntos. 
</t>
  </si>
  <si>
    <t xml:space="preserve">se realizaron encuentros virtuales con el director de la PAP de Cartama, Antioquia (3 de febrero), y con el director de la PAP Agua, Bosques y Turismo, Antioquia (19 de febrero), que permitieron conocer de cerca la experiencia de estas regiones en la conformación y creación de las PAP, en aspectos como la reglamentación para su funcionamiento.
El 23 de febrero se realizó una reunión con el alcalde de Fusagasugá y su equipo asesor, dado el carácter de este municipio como cabecera de provincia y su interés en ser parte de la PAP Sumapaz. En este encuentro se brindó información sobre el estado de avance de conformación del esquema asociativo.
   A principios del mes de mayo se realizaron las últimas reuniones con el área jurídica de la Secretaría de Integración Regional de la Gobernación de Cundinamarca para revisar y ejecutar los ajustes necesarios a la Ordenanza de Reglamentación y funcionamiento de las Provincias Administrativas y de Planificación en Cundinamarca, la cual fue presentada el 12 de mayo por la Secretaria de Integración Regional ante la Asamblea Departamental. Como resultado de dicha socialización se retiró el proyecto de la Asamblea debido a dos aspectos, el primero se requiere de un análisis más profundo sobre las competencias que tienen los diputados para la reglamentación y el funcionamiento de las PAP y el segundo si es el momento apropiado para la creación de las PAP teniendo en cuenta que está en proceso la construcción de la ley orgánica de Región Metropolitana, y se requiere aclarar si son complementarias.
Se realizó un análisis de las intervenciones realizadas por los diputados y se preparó una respuesta a las inquietudes presentadas por ellos, con el objetivo de proporcionar una información más amplificada sobre los esquemas asociativos y en específico las Provincias Administrativas y de Planificación en Cundinamarca.
Así mismo, se realizó una reunión con la Oficina Jurídica del departamento para analizar los resultados de la presentación de la ordenanza y se tomó la decisión de solicitar unos conceptos sobre las PAP a Min Interior y a una asesoría jurídica externa que tiene la Secretaría Jurídica del departamento. 
</t>
  </si>
  <si>
    <t xml:space="preserve">Con el fin de avanzar en la meta de creación y puesta en marcha de una estructura de gobernanza subregional, Se acompañó en el proceso de aprobación en el Congreso de la República del Acto Legislativo 02 del 22 de julio de 2020 que creó la Región Metropolitana Bogotá-Cundinamarca, una entidad administrativa de asociatividad regional conformada por el Distrito Capital, el departamento de Cundinamarca y los municipios con los cuales se compartan dinámicas territoriales, ambientales, sociales y económicas.
La primera fase comprendió la realización de 24 audiencias públicas: seis (6) provinciales, doce (12) municipales y seis (6) en las localidades de Bogotá, en las que se recibieron 3.400 propuestas ciudadanas, resultado de alrededor de 1.300 intervenciones.
En la segunda fase se realizaron 23 encuentros sectoriales y poblacionales, más de 500 ciudadanos y ciudadanas, representantes de organizaciones sociales, gremiales, grupos poblacionales y de corporaciones públicas entregaron cerca de 1.600 aportes. Esta segunda fase abordó 12 encuentros sectoriales y 8 con diferentes grupos poblacionales. Además, se realizaron 19 talleres con los concejos de algunos municipios de Cundinamarca.
</t>
  </si>
  <si>
    <t xml:space="preserve">Dentro de las acciones para la creación y puesta en marcha de una estructura de gobernanza subregional, la Secretaría de Integración Regional lidera y acompaña el proceso para la estructuración de una propuesta de ley orgánica que defina el funcionamiento de la Región Metropolitana Bogotá-Cundinamarca, creada mediante el Acto Legislativo 02 del 22 de julio de 2020. 
Durante el primer trimestre de 2021 se adelantaron 62 reuniones para el desarrollo de los temas relacionados con la estructuración de un nuevo borrador de proyecto de Ley Orgánica de Región Metropolitana, en las que ha participado activamente la secretaria de Despacho, Patricia González Avila, junto con los asesores temáticos para la Ley y varios de los secretarios de la Gobernación de Cundinamarca. Se ha realizado una construcción colectiva del proyecto de borrador entre la Alcaldía Mayor, representada por la Consejera para el tema de Región, así como por la Dirección de Integración Regional, Nacional e Internacional de la Secretaría Distrital de Planeación y la Gobernación de Cundinamarca, en cabeza de la Secretaria de Integración Regional. Los avances en el proyecto de Ley fueron presentados por el Gobernador de Cundinamarca y la alcaldesa de Bogotá a los representantes a la Cámara por Bogotá y Cundinamarca en reunión realizada el 3 de marzo, igualmente el Gobernador presidió la reunión que se realizó el 29 de marzo entre los representantes por Cundinamarca y los diputados de la Asamblea. Así mismo, la bancada de representantes por Bogotá tuvo una sesión de trabajo con los concejales de Bogotá el 12 de marzo, sesión realizada en el Congreso de la República y en la que participó con una intervención la Secretaria de Integración Regional.
Así mismo, en el marco de los contratos realizados por la RAPE con las Universidades de Los Andes y Nacional se ha contado con insumos técnicos en los aspectos relacionados con gobernanza, toma de decisiones y financiación, que han permitido conocer y comparar experiencias internacionales y acoger recomendaciones en la elaboración del articulado.
En lo relacionado con comunicaciones de la Región Metropolitana, con el apoyo de Asocapitales se elaboró una cartilla de Región Metropolitana que tanto en versión impresa como digital está siendo distribuida entre los actores relevantes. Además, en conjunto con la Alcaldía Mayor de Bogotá y la Gobernación de Cundinamarca se ha desarrollado una estrategia conjunta en redes sociales sobre los alcances de la Región Metropolitana.
*El 8 de abril,  la Secretaria de Integración Regional lideró una jornada de revisión de la propuesta de la estrategia de participación en el marco de la formulación de la ley orgánica de la Región Metropolitana Bogotá – Cundinamarca. Dicha propuesta fue ajustada a partir de las observaciones de esa reunión y de los cometarios al documento. 
El 13 y el 30 de abril se fortaleció la propuesta, en la cual se definene espacios de participación para la socialización del proyecto de ley y del trámite legislativo.
</t>
  </si>
  <si>
    <t xml:space="preserve">Como parte de las acciones adelantadas para diseñar y desarrollar una estrategia de identidad y a apropiación de la región, durante el primer trimestre de la vigencia se establecieron los lineamientos para recopilar estudios y documentos de investigación, planeación o lineamientos técnicos sobre el marco conceptual y componentes de identidad y apropiación regional. 
Este levantamiento de información permitirá contar con estado del arte sobre las publicaciones, investigaciones y demás documentos sobre identidad de la Región Bogotá -Cundinamarca.
Se elaboró un plan de trabajo y se avanzó en la construcción de un estado del arte en torno al tema de la identidad. Esta labor  implica la búsqueda, lectura, análisis y síntesis de bibliografía en torno a la identidad, para reconocer datos relevantes, enfoques teóricos, argumentos, tópicos generales, temas y subtemas, con el fin de construir un marco teórico conceptual y el establecimiento de potencialidades y problemáticas, así como de las estrategias de integración regional.  
</t>
  </si>
  <si>
    <t>Convenios suscritos con 8 municipios para la dotación de sus respectivas Casas Sociales. Se proyecta entrega de dotación en el mes de diciembre..</t>
  </si>
  <si>
    <t>na</t>
  </si>
  <si>
    <t>Inicio de ejecución del contrato interamdinistrativo suscrito con la UDEC.   Pendiente por validar el primer entregable del contrato.</t>
  </si>
  <si>
    <t>Validación dle primer componente  del documento técnico para la puesta en marcha del observatorio</t>
  </si>
  <si>
    <t>Inicio de ejecución del contrato interamdinistrativo suscrito con la UDEC. Aprobación del Plan de trabajo con los 5 municiios priorizados y la correspondiente metodología.  Validado el primer entregable del contrato.</t>
  </si>
  <si>
    <t>Acercamiento de la Gerencia de Asistencia Técnica con cada una de las Organizaciones y una dificultad fue la falta de conocimiento de la Secretaria de la Mujer y Equidad de Genero.</t>
  </si>
  <si>
    <t>En desarrollo del priomer concurso para el fortalecimiento de organizaciones sociales. finaliza en la segunda semana de diciembre.</t>
  </si>
  <si>
    <t>SE LLEVA UN ACUMULADO DE 15 CONSEJOS CONSULTIVOS</t>
  </si>
  <si>
    <t>Asistencia técnica Y elección del Consejo Consultivo Departamental de Mujeres</t>
  </si>
  <si>
    <t>Se adelantan asistencias técnicas a diferentes municipios con el personal adscrito a la secretaría. Elecciones del Consejo consultivo Departamental realizadas en el mes de Noviembre.</t>
  </si>
  <si>
    <t>Capacitaciones a través de la "Escuela de Liderazgo" en sdiferentes provincias del departamento e implementación de la "Ruta M" en la provincia del Sumapaz"</t>
  </si>
  <si>
    <t>Desarrollo de en todo el departamento en el marco de la Escuela de Liderazgo 2451 beneficiarios a la fecha. Ruta M implementada en provincia Sumapaz</t>
  </si>
  <si>
    <t>Insumos y elementos para emprendimientos productivos y apoyo a 54 artesanas del municipio de cucunubá - Expolanas.</t>
  </si>
  <si>
    <t>SE efectua la entrega de 27 apoyos en especie a unidades productivas. Se inicia la estrategia ICPES para atender nuevos emprendimientos. apoyo al desarrollo de Expolanas 695 emprendimientos vinculados a la estrategia a la fecha de corte. Se proyecta entrega de ayudas en el mes de diciembre.</t>
  </si>
  <si>
    <t xml:space="preserve">Vigencia 2020: Se adelantó gestión ante el Ministerio de Vivienda, Ciudad y Territorio cuyo resultado en la asignación de recursos del orden nacional por la suma de $5.100.000.000 para tres (3) municipios, y una asignación de recursos del orden municipal por la suma de $4.500.000.000, para la ejecución de obras de mejoramientos de aproximadamente 900 viviendas urbanas en el marco del Programa “Casa digna, Vida Digna” que se ejecutarán en 2021.
61 hogares del Municipio de Funza se beneficiarán con la ejecución de obras de mejoramiento de viviendas urbanas, que se llevarán a cabo con una inversión departamental de $200 millones de pesos y de $200 millones de pesos del municipio.
ejecución de proyectos de mejoramiento de vivienda rural - construcción de pisos, que serán financiados en su totalidad por la Secretaría de Hábitat y Vivienda y beneficiarán a 608 hogares (20 hogares VCA y 588 hogares vulnerables) de las zonas rurales de 34 municipios del Departamento.
</t>
  </si>
  <si>
    <t>La Secretaría de Hábitat y Vivienda expidió la Circular 006 del 26 de abril, invitando a los municipios a participar en la ejecución de proyectos de mejoramiento de vivienda en la modalidad de pisos. En proceso de recepción de documentos para la presentación de proyectos. La meta no presenta avance a la fecha del presente reporte. La Secretaría de Hábitat y Vivienda adelanta la implementación de la estrategia de inversión de los recursos asignados en el presupuesto y los adicionados mediante decreto No. 062 del 04 de marzo, para definir la modalidad de proyectos a ser financiados para optimizar el alcance de los mismos. 
Durante el mes de mayo se adelantaron las acciones correspondientes al proceso de formulación de los proyectos de mejoramiento de pisos para dar inicio al proceso precontractual.
Durante el mes de junio se adelantaron procesos de verificación de los beneficiarios de los proyectos de mejoramiento de vivienda rural (construcción de pisos) con el fin de evitar cambios durante el proceso de ejecución. Terminado este proceso se continuará con el proceso precontractual para la suscripción de los convenios con los municipios de Quetame, Tausa, Yacopí, Subachoque, Apulo, Medina, Cachipay, Simijaca, Puerto Salgar, Útica, Sibaté, Villeta y Ubaté 
JULIO
Durante el mes de julio se celebró convenio interadministrativo con el municipio de Subachoque para el mejoramiento de 12 viviendas rurales con la construcción de pisos. Se encuentran en unidad de contratos los procesos que se adelantarán con los municipios de Quetame, Tausa, Yacopí, Apulo, Medina, Cachipay, Simijaca, Puerto Salgar, Útica, Sibaté, Villeta y Ubaté.
En cuanto al Programa “Casa digna, Vida digna” del MVCT, en el marco de la ejecución de los convenios interadministrativos FNV-011-2020, FNV-012-2020 Y FNV-013-2020, fueron aprobados los sectores de intervención en los municipios de Chía, Cajicá y Fusagasugá. Se adelantan los procesos de postulación de potenciales beneficiarios localizados en los sectores de intervención aprobados. Se presenta gran dificultad en la selección de 283 hogares urbanos que cumplan con los requisitos exigidos por el MVCT. La Secretaría de Hábitat y Vivienda dispuso de personal de apoyo técnico, para apoyar a los municipios de Chía y Cajicá en las visitas de campo puerta a puerta para lograr avanzar en la postulación y habilitación de hogares y dar inicio a la ejecución de las obras. Se espera que en el mes de Noviembre se tengan 849 hogares habilitados para el mejoramiento de igual número de viviendas.
Durante el mes de agosto se detuvieron los procesos precontractuales a la espera de la expedición de la Resolución 1394 de ajuste de los códigos presupuestarios solicitados por la Secretaría de Hacienda, y del Decreto No. 275 de Armonización Plan de Desarrollo. 
Se encuentra en proceso precontractual el proyecto de mejoramiento de vivienda urbana para Tocaima.
Se solicitaron conceptos para adelantar procesos precontractuales con los municipios de Quetame, Tausa, Yacopí, Apulo, Medina, Cachipay, Simijaca, Puerto Salgar, Útica, Sibaté, Villeta y Ubaté. En trámite la inscripción de proyectos de pisos para los municipios de Bojacá y Guataquí.
Se avanza en la postulación de beneficiarios del Programa “Casa digna, Vida digna” del MVCT, en el marco de la ejecución de los convenios interadministrativos FNV-011-2020, FNV-012-2020 y FNV-013-2020 en los municipios de Chía, Cajicá y Fusagasugá, pero se presentan dificultades en la habilitación de los hogares postulados por no cumplimiento de los requisitos exigidos por el MVCT (Valor de la vivienda superior al tope VIS, tener otra vivienda, y haber recibido subsidio del gobierno nacional).
Fusagasugá lleva el 84% de avance con 239 hogares habilitados, Cajicá: 26,5% con 75 hogares habilitados y 102 hogares en proceso de cruces, y Chía 4,9% con 14 hogares habilitados y 43 hogares en proceso de evaluación.
SEPTIEMBRE
Se celebraron los siguientes convenios:
SHVS-CDCVI-055-2021 Municipio de Sibaté (11 viviendas)
SHVS-CDCVI-056-2021 Municipio de Puerto Salgar (13 viviendas)
SHVS-CDCVI-059-2021 Municipio de Tausa (10 viviendas)
SHVS-CDCVI-060-2021 Municipio de Apulo (10 viviendas)
SHVS-CDCVI-061-2021 Municipio de Utica (17 viviendas)
SHVS-CDCVI-062-2021 Municipio de Villeta (9 viviendas)
SHVS-CDCVI-063-2021 Municipio de Quetame (15 viviendas)
SHVS-CDCVI-064-2021 Municipio de Cachipay (7 viviendas)
Se avanza en la postulación de beneficiarios del Programa “Casa digna, Vida digna” del MVCT, en el marco de la ejecución de los convenios interadministrativos FNV-011-2020, FNV-012-2020 y FNV-013-2020 en los municipios de Chía, Cajicá y Fusagasugá, pero se presentan dificultades en la habilitación de los hogares postulados por no cumplimiento de los requisitos exigidos por el MVCT (Valor de la vivienda superior al tope VIS, tener otra vivienda, y haber recibido subsidio del gobierno nacional).
Fusagasugá lleva el 95% de avance de hogares habilitados y ya se abrió proceso licitatorio para las obras y la interventoría Cajicá: 43% con 121 hogares habilitados, y Chía 7% con grandes dificultades en el proceso de postulación y habilitación de hogares.
OCTUBRE:
Se encuentran en proceso para celebración de convenios los proyectos de Pisos con los municipios de Medina, Simijaca, Guataquí, Bojacá y Yacopí.
Se avanza en la postulación de beneficiarios del Programa “Casa digna, Vida digna” del MVCT, en el marco de la ejecución de los convenios interadministrativos FNV-011-2020, FNV-012-2020 y FNV-013-2020 en los municipios de Chía, Cajicá y Fusagasugá.
Fusagasugá lleva el 100% de avance de hogares habilitados y en el mes de noviembre se adjudicarán los contratistas de obras y la interventoría. Cajicá: 57% con 165 hogares habilitados. El municipio de Chía 15% de avance en las postulaciones con grandes dificultades en el proceso de postulación y habilitación de hogares.
Se adelantan procesos precontractuales para la celebración de convenios con los municipios de Manta, Quipile, Sasaima y La Mesa los cuales beneficiarán a 28 hogares con mejoramiento de cubiertas.
De igual manera se adelantan procesos precontractuales para el mejoramiento de fachadas en los municipios de Villagómez y San Cayetano los cuales beneficiarán a 51 viviendas.</t>
  </si>
  <si>
    <t>El proceso de postulación de potenciales beneficiarios en los municipios de Chía, Cajicá y Fusagasugá, presenta dificultades en la habilitación de los hogares postulados por no cumplimiento de los requisitos exigidos por el MVCT (Valor de la vivienda superior al tope VIS, tener otra vivienda, y haber recibido subsidio del gobierno nacional).
El Gobierno Nacional no abrió convocatorias en la vigencia 2021 para proyectos de mejoramiento de vivienda lo que dificulta el acceso a recursos del orden nacional.</t>
  </si>
  <si>
    <t xml:space="preserve">Vigencia 2020: 842 hogares localizados en diferentes sectores de 20 municipios, embellecieron sus fachadas y adecuaron sus andenes para mejora movilidad y seguridad en el espacio público, con una inversión departamental por la suma de $1.000 millones de pesos y una gestión de recursos municipales por la suma de $210 millones de pesos. </t>
  </si>
  <si>
    <t>La meta no presenta avance a la fecha del presente reporte. La Secretaría de Hábitat y Vivienda adelanta la implementación de la estrategia de inversión de los recursos asignados en el presupuesto y los adicionados mediante decreto No. 062 del 04 de marzo, para definir la modalidad de proyectos a ser financiados para optimizar el alcance de los mismos.
Durante el mes de mayo se adelantaron las acciones correspondientes al proceso de formulación de los proyectos de mejoramiento de fachadas para dar inicio al proceso precontractual.
Durante el mes de junio se inscribió el proyecto específico, se expidió concepto precontractual y CDP para iniciar la suscripción de los convenios con los municipios beneficiados con mejoramiento de fachadas.
JULIO
Durante el mes de julio se celebraron los convenios para Aunar esfuerzos técnicos administrativos y financieros para el mejoramiento de barrios y entornos urbanos a través del embellecimiento de fachadas en los municipios de Caparrapí, Cogua, Fómeque, Fúquene, Lenguazaque, Ricaurte, Sasaima y Ubalá. La meta presenta un avance de 8 entornos urbanos atendidos y 278 viviendas beneficiadas con obras de mejoramiento de fachadas.
En el mes de agosto se celebraron 2 convenios en el marco del programa fachadas con los cuales se atenderán 88 viviendas en el municipio de La Mesa y 31 viviendas en el municipio de Sesquilé. 
SEPTIEMBRE
Se celebraron 2 convenios en el marco del programa fachadas con los cuales se atenderán 53 viviendas en el municipio de Ubaté SHVS-CDCVI-057-2021 y mediante el convenio SHVS-CDCVI-058-2021 se atenderán 52 viviendas en el municipio de Guasca. 
OCTUBRE
En el mes de octubre se celebró el convenio SHVS-CDCVI-072-2021 con el Municipio de Suesca en el marco del programa fachadas con el cual se atenderá 48 viviendas. Para esta meta se benefician en total 601 hogares en la Vigencia 2021.</t>
  </si>
  <si>
    <t>Caparrapí, Cogua, Fómeque, Fúquene, La Mesa, Lenguazaque, Ricaurte, Sasaima, Sesquilé, Ubalá, Guasca, Ubaté y Suesca</t>
  </si>
  <si>
    <t>Vigencia 2020. No hubo asignación de recursos
Vigencia 2021: Se han adelantado 5 procesos de acompañamiento social en proyectos habitacionales en los municipios de La Mesa, Villeta, Caparrapí, Cajicá, Chía</t>
  </si>
  <si>
    <t>Se suscribieron tres contratos de prestación de servicios para el fortalecimiento de la gestión de la SHV. Se adelantan gestiones de acompañamiento social para el desarrollo de los proyectos de mejoramiento de vivienda urbana en el marco del programa "Casa Digna, Vida Digna" y la selección de los beneficiarios de los mismos.
En el mes de abril se suscribieron cuatro contratos de prestación de servicios.
JULIO
En el Municipio de Cajicá, específicamente en los conjuntos residenciales Biblos, Candelaria 2 y Caminos de Cajicá 2, personal técnico de la Secretaría de Hábitat y Vivienda realizó visitas de campo puerta a puerta en viviendas focalizadas en el Programa “Casa digna, Vida digna” del MVCT, en el marco de la ejecución de los convenios interadministrativos FNV-011-2020, FNV-012-2020 Y FNV-013-2020, promocionando y divulgando el programa para incentivar a la comunidad a postularse, allegando los documentos técnicos y sociales requeridos para que el hogar sea habilitado y pueda acceder al subsidio de mejoramiento de vivienda urbana.
En el proceso se acompañó a 25 hogares en el proceso de registro en la Plataforma del MVCT, verificando el cumplimiento de los requisitos del programa, y apoyando a los hogares a subir la documentación completa. 
En el mes de agosto se llevó a cabo acompañamiento social en el Municipio de Caparrapí – Urbanización San Carlos, tratando temas de Resolución de Conflictos. Se brindaron herramientas para una sana convivencia, logrando que los asistentes reflexionaran sobre la importancia de vivir en armonía, establecer mecanismos de conciliación y generar acuerdos. El total de asistentes fue de 32 personas.
En el Municipio de Villeta Conjunto Residencial Villa Crisly que hace parte del programa “Podemos Casa”, se llevó a cabo acompañamiento social sobre el tema “Convivencia en Propiedad Horizontal”, para socializar la entrega de viviendas,  deberes y derechos al vivir en propiedad horizontal, normas reconocidas por los residentes, reglamento y manual de convivencia, límites a las acciones de las personas, protección de derechos de residentes en la copropiedad. Asistieron  28 personas.
SEPTIEMBRE
Este mes la meta no presenta avance.
OCTUBRE:
En el mes de octubre se llevaron a cabo las siguientes actividades: 
Se brindó acompañamiento social a 42 personas sobre el Programa de Vivienda Podemos Casa, el día viernes 29 de octubre de 2021 en el municipio de Tena Cundinamarca. 
Se realizó socialización del Programa Podemos Casa a 92 personas en el municipio de Sopó Cundinamarca. 
Se realizó socialización a la comunidad en el Municipio de San Juan de Rio Seco y Cambao con una asistencia de 86 personas. Se les dio a conocer el Programa Nacional de Titulación y se aclararon dudas al respecto; también se les entregó un folleto para complementar el tema.
NOVIEMBRE
Se llevaron a cabo talleres sobre manejo responsable del crédito y Convivencia en propiedad horizontal, Tenencia responsable de mascotas, Programa Podemos Casa, proceso de caracterización socioeconómica a familias población Resguardo Indígena Muisca de Sesquilé. Un total de 175 personas acompañadas en los municipios de Guasca, Villapinzón, Sesquilé y Ricaurte.</t>
  </si>
  <si>
    <t>Vigencia 2020: Con una inversión departamental de $651.807.923 se cofinanció la ejecución de proyectos de construcción de vivienda rural en 7 municipios del departamento, los cuales beneficiarán a 13 hogares de víctimas del conflicto armado.</t>
  </si>
  <si>
    <t>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Durante el mes de junio la meta no presenta avance.
La meta no presenta avance a la fecha del presente reporte. 
JULIO
La Secretaría de Hábitat y Vivienda implementó la estrategia de unificar los recursos de la meta 052, 054, 055 y 057 para la modalidad de construcción de vivienda rural, para optimizar los recursos y obtener un mayor alcance de los mismos.
Se encuentran en proceso de formulación proyectos de construcción de vivienda rural para los municipios de Ubalá, Quetame, La Calera, Guataquí, La Vega y San Antonio del Tequendama.
En el mes de agosto se inscribió el proyecto construcción vivienda nueva para población víctima del conflicto armado en los municipios de Guataquí, El Peñón, La Vega, Quetame y Ubalá, en el marco de la estrategia de unificar los recursos de la meta 052, 054, 055 y 057 para la modalidad de construcción de vivienda rural, para optimizar los recursos y obtener un mayor alcance de los mismos. Se adelantan los procesos precontractuales para la celebración de los convenios.
SEPTIEMBRE
En el mes de septiembre se continúa con el proceso de estructuración del proyecto construcción vivienda nueva para población víctima del conflicto armado en los municipios de Guataquí, El Peñón, La Vega, Quetame y Ubalá, en el marco de la estrategia de unificar los recursos de la meta 052, 054, 055 y 057 para la modalidad de construcción de vivienda rural, para optimizar los recursos y obtener un mayor alcance de los mismos. Se adelantan los procesos precontractuales para la celebración de los convenios.
OCTUBRE:
En el mes de octubre se celebró el convenio interadministrativo SHVS-CDCVI-078-2021 con el Municipio de El Peñón con el cual se benefician 6 hogares de los cuales 5 son población VCA. El Dpto aporta $200 millones y el Mpio $166.997.470
Se celebró el convenio interadministrativo SHVS-CDCVI-075-2021 con el Municipio de Quetame con el cual se benefician 38 hogares de los cuales 2 son población VCA. El Dpto aporta $50 millones y el Municipio $60.462.825.
NOVIEMBRE
Durante este mes los convenios celebrados para el cumplimiento de la meta se encuentran en proceso precontractual para dar inicio a las obras.</t>
  </si>
  <si>
    <t>Falta de recursos municipales para cofinanciar proyectos de vivienda nueva. Los municipios no identifican y priorizan población VCA para ser beneficiados de los proyectos.
Demora de las administraciones municipales para la formulación de los proyectos, gestionar sus contrapartidas y verficar los potenciales beneficiarios.</t>
  </si>
  <si>
    <t>El Peñón y Quetame</t>
  </si>
  <si>
    <t>Vigencia 2020:
2.679 hogares cundinamarqueses que adquirieron viviendas de interés social y prioritario con subsidios familiares de vivienda, obtuvieron el beneficio de exención del pago del impuesto de registro establecido mediante la Ordenanza No. 003 de 2020 la cual fue gestionada por la Secretaría de Hábitat y Vivienda para aliviar la carga financiera de las familias de menores ingresos a la hora de comprar vivienda.
Como resultado de la estrategia Plan Semillero de Propietarios implementada por la Secretaría de Hábitat y Vivienda, durante la Vigencia 2020, 11.185 hogares se encuentran habilitados y se han asignado 396 subsidios de arriendo para hogares cundinamarqueses de ingresos entre 1 y 2 smlmv.
En el marco de ejecución del programa “Podemos Casa” se entregaron 32 viviendas del proyecto Villa Daniela del municipio de Mosquera y 21 viviendas el proyecto Villa Catalina del municipio de Guasca. Los proyectos de La Mesa, Villeta, Villapinzón y Guasca tienen un avance promedio del 80% y se tiene previsto entrega de las viviendas a 1.047 familias en el primer semestre de la vigencia 2021.
Se destinaron recursos departamentales por la suma de $1.473.542.705 para cofinanciar la ejecución de proyectos de construcción de vivienda rural en 12 municipios para beneficiar a 48 hogares del sector rural en condición de vulnerabilidad y pobreza.</t>
  </si>
  <si>
    <t>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Se adelantan gestiones de acompañamiento social para el desarrollo de los proyectos de mejoramiento de vivienda urbana en el marco del programa "Podemos Casa".
Para el mes de mayo la meta presenta avance en su ejecución gracias a la estrategia implementada con la Exención del pago del impuesto de registro que a 31 de mayo es de 2.154 hogares que recibieron este beneficio.
JULIO
Con corte a 31 de julio la meta presenta avance en su ejecución gracias a la estrategia implementada con la Exención del pago del impuesto de registro de 3.911 hogares que recibieron este beneficio.
La Secretaría de Hábitat y Vivienda implementó la estrategia de unificar los recursos de la meta 052, 054, 055 y 057 para la modalidad de construcción de vivienda rural, para optimizar los recursos y obtener un mayor alcance de los mismos.
Con corte a 31 de agosto la meta presenta avance en su ejecución gracias a la estrategia implementada con la Exención del pago del impuesto de registro. Para el mes de agosto se realizaron 978 exenciones para un total en la vigencia de 4.889 hogares que recibieron este beneficio. La Secretaría de Hábitat y Vivienda implementó la estrategia de unificar los recursos de la meta 052, 054, 055 y 057 para la modalidad de construcción de vivienda rural, para optimizar los recursos y obtener un mayor alcance de los mismos. A corte 31 de agosto  se encuentran en proceso de formulación los proyectos de los municipios de Ubalá, Quetame, La Calera, La Vega, Guataquí, Fómeque, La Mesa y El Peñón, para su inscripción en el BDPP.
SEPTIEMBRE:
Con corte a 30 de septiembre la estrategia Exención del pago del impuesto de registro presenta un avance de exenciones para hogares que recibieron este beneficio. Se continúa con el proceso de  formulación los proyectos de los municipios de Ubalá, Quetame, La Calera, La Vega, Guataquí, Fómeque, La Mesa y El Peñón, para su inscripción en el BDPP.
OCTUBRE:
Durante el mes de octubre se celebró el Convenio Interadministrativo SHVS-CDCVI-075-2021 con el municipio de Quetame con el cual se construirán 38 viviendas de las cuales 31 viviendas se ejecutarán con recursos de la Meta 054 con un aporte del Dpto de $330 millones de pesos y del municipio de $1.382.173.791
Se celebró el convenio interadministrativo  SHVS-CDCVI-076-2021 con el municipio de La Calera para la construcción de 13 viviendas de las cuales 5 viviendas se ejecutarán con recursos de la Meta 054. El Dpto aporta $100.026.096 y el Municipio $171.896.163.
Para el mes de octubre se aplicaron 1.460 exenciones de impuesto de registro para un total a corte 31 de octubre de 6.349 en los municipios de Cajicá, Chía, Gachancipá, Girardot, Guasca. La Mesa, Madrid, Mosquera, Nemocón, Ricaurte, Sibaté, Soacha, Tabio, Tenjo, Tocancipá, Villapinzón, Villeta, Zipaquirá.
NOVIEMBRE
Durante este mes los convenios celebrados para el cumplimiento de la meta se encuentran en proceso precontractual para dar inicio a las obras.
Con la estrategia exención de pago de impuesto de registro en el mes de noviembre se avanzó con 856 hogares beneficiados para un total de 7.346 en la vigencia.
Se celebraron los convenios SHVS-CDCVI-089-2021 con el municipio de Ubalá para la construcción de 9 viviendas, y el convenio SHVS-CDCVI-081-2021 con el municipio de La Vega para la construcción de 10 viviendas</t>
  </si>
  <si>
    <t>Falta de recursos municipales para cofinanciar proyectos de vivienda nueva. Demora en el proceso de verificación y caracterización de los beneficiarios.
Demora de las administraciones municipales para la formulación de los proyectos, gestionar sus contrapartidas y verficar los potenciales beneficiarios.</t>
  </si>
  <si>
    <t>Quetame, La Calera, La Vega y Ubalá</t>
  </si>
  <si>
    <t xml:space="preserve">Vigencia 2020: Se destinaron recursos departamentales por la suma de $1.533.287.073 para cofinanciar proyectos de construcción de vivienda rural en sitio propio en 8 municipios, los cuales beneficiarán a 64 hogares en situación de pobreza y condiciones de vulnerabilidad del sector rural. </t>
  </si>
  <si>
    <t>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Desde la Secretaría de Hábitat y Vivienda se apoya técnicamente a los municipios de San Juan de Rioseco, Beltrán, Chaguaní y Pulí, aprobados por el MVCT para ser beneficiados con 200 soluciones de vivienda del programa "Vivienda Social para el Campo". A la fecha el proceso se encuentra en definición de tipología de vivienda, procesos de acompañamiento social para selección de beneficiarios y estructuración técnica de los proyectos a financiarse con recursos del SGR.
Durante el mes de junio se inició el proceso precontractual para la ejecución del convenio de construcción de vivienda rural con el municipio de Jerusalén. Cuenta con CDP y se encuentra en Sec. Jurídica en revisión.
JULIO: La Secretaría de Hábitat y Vivienda implementó la estrategia de unificar los recursos de la meta 052, 054, 055 y 057 para la modalidad de construcción de vivienda rural, para optimizar los recursos y obtener un mayor alcance de los mismos.
Se celebró convenio interadministrativo con el Municipio de Jerusalén para la construcción de 7 viviendas rurales para beneficiar a igual número de hogares.
Se encuentran en proceso de formulación proyectos de construcción de vivienda rural para los municipios de Ubalá, Quetame, La Calera, Guataquí, La Vega y San Antonio del Tequendama.
En el mes de agosto se celebró convenio SHVS-CDCVI-043-2021 con el municipio de Jerusalén para la construcción de 7 viviendas rurales. Se adelanta el proceso de inscripción de proyectos con los municipios de Guataquí, El Peñón, La Vega.
SEPTIEMBRE
Continúa el proceso de estructuración y de inscripción de proyectos con los municipios de Guataquí, El Peñón, La Vega, Quetame, La Calera, Ubalá, La Mesa y Fómeque para la celebración de los convenios para construcción de vivienda en sitio propio.
OCTUBRE:
Se celebró el Convenio interadministrativo No. SHVS-CDCVI-077-2021 con el municipio de Guataquí para la construcción de 3 viviendas que corresponden a la Meta 055. El Dpto aporta la suma de $120 millones de pesos y el municipio aporta la suma de $82.827.822
Se celebró el convenio interadministrativo  SHVS-CDCVI-076-2021 con el municipio de La Calera para la construcción de 13 viviendas de las cuales 6 viviendas se ejecutarán con recursos de la Meta 055. El Dpto aporta $211.205.000 y el Municipio $115.101.711
Se celebró el convenio interadministrativo SHVS-CDCVI-078-2021 con el Municipio de El Peñón con el cual se construirán 6 viviendas de los cuales 1 se ejecutará con recursos de la Meta 055. El Dpto no aporta recursos para la construcción de esa vivienda y el Mpio aporta $73.399.494
NOVIEMBRE
Durante este mes los convenios celebrados para el cumplimiento de la meta se encuentran en proceso precontractual para dar inicio a las obras.</t>
  </si>
  <si>
    <t>Falta de recursos municipales para cofinanciar proyectos de vivienda nueva.
Demora de las administraciones municipales para la formulación de los proyectos, gestionar sus contrapartidas y verficar los potenciales beneficiarios.</t>
  </si>
  <si>
    <t>Jerusalén, Guataquí, La Calera, El Peñón</t>
  </si>
  <si>
    <t>Vigencia 2020: Se gestionó con el Gobierno Nacional la suscripción de convenios tripartita con 15 municipios para procesos de saneamiento y cesión a título gratuito de predios fiscales ocupados con viviendas de interés social y prioritario. Los procesos contractuales cuentan con revisión de la Secretaría de Jurídica y del Ministerio de Vivienda, Ciudad y territorio para proceder a su celebración.</t>
  </si>
  <si>
    <t>Se suscribieron 2 contratos de prestación de servicios profesionales para la gestión de los procesos de titulación a cargo de la Secretaría de Hábitat y Vivienda. Del proceso adelantado en la Vigencia 2020, a corte 28 de febrero se encuentran en proceso precontractual 5 convenios para celebrarse con el MVCT, la SHV y los municipios de Bojacá, El Colegio, Cáqueza, Chipaque y Cabrera. 
A 30 de abril se han suscrito  los siguientes Convenios Tripartita (MVCT - Dpto - Mpio): Cáqueza (         712-2021)       Cabrera            713-2021
Chipaque          714-2021
Bojacá               715-2021
El Colegio       737-2021
Sasaima            738-2021
Ubaque             739-2021
 Gachancipá    740-2021
Gachalá           741-2021
El Ministerio junto con la Secretaria de Hábitat y Vivienda, han adelantado mesas de trabajo para organizar la socialización correspondiente al Programa Nacional de Titulación de los convenios tripartitas suscritos con los diferentes municipios del Departamento y conforme la reunión del 16 de abril del 2021 la distribución de fechas de convocatoria a los Municipios, se han socializado los siguientes:
Chipaque, El Peñón, Gachalá, Nemocón, Pulí, Quipile, Sasaima, Villagómez, Cáqueza, El Colegio y Villeta.
Se suscribió un contrato de prestación de servicios profesionales.
Para el mes de mayo se han venido realizando las socializaciones correspondientes al desarrollo de la primera etapa del convenio tripartita suscrito entre la Secretaría de Hábitat y Vivienda de la Gobernación de Cundinamarca y el Ministerio de Vivienda, Ciudad y Territorio y los siguientes municipios: Cáqueza, con No. de convenio 712; Chipaque  con No. Convenio 714; El Colegio, con No. de Convenio 737; Gachalá, con No. de Convenio 741; Sasaima, con No. de Convenio 738; Villeta, con No. de Convenio 825; El Peñón, con No. de Convenio 821; Nemocón, con No. de Convenio 822; Pulí, con No. de Convenio 823 y Villagomez, con No. de Convenio 824.
Esta etapa consiste en explicar detalladamente el proceso  que abarca el asesoramiento y acompañamiento al municipio por parte de la Secretaría y del Ministerio para los procesos de Saneaminto, Legalización y Titulación de Predios fiscales urbanos. Adicionalmente se han adelantado labores en cuanto al primer punto del proceso que tiene por objeto la identificación de predios que clasifican para el programa, por medio del cruce de información catastral.
En el mes de agosto se celebraron ocho (8) convenios tripartita entre el Ministerio de Vivienda, Ciudad y Territorio, la Secretaría de Hábitat y Vivienda y los Municipios de Villeta, Quipile, Guataquí, Gutiérrez, Une, Medina, Yacopí y Albán; y se encuentra en proceso precontractual el Convenio a celebrarse con San Juan de Rioseco.
De igual manera se adelantaron procesos de socialización del alcance de los convenios ya suscritos. De igual manera se brindó asistencia técnica a los municipios que ya tienen  convenios suscritos en el marco del proceso de titulación reportado en la vigencia 2020, en temas relacionados con tareas de topografía durante el proceso de cesión de predios fiscales urbanos, apoyo técnico a los municipios remitiendo Registros Catastrales para el cruce de información con la base catastral municipal, asistencia técnica y apoyo jurídico para la proyección de actos administrativos que permitan otorgar facultades a las administraciones municipales en la cesión a título gratuito, y revisión jurídica de expedientes de los predios a titular.
Se adelantó reunión con el Ministerio de Vivienda, Ciudad y Territorio, La Secretaría de Hábitat y Vivienda y la Agencia Catastral de Cundinamarca, para aunar esfuerzos y resolver dudas técnicas respecto al desenglobe de predios de mayor extensión. 
OCTUBRE:
En el mes de octubre y en el marco de la meta de titulación 056, conforme al procedimiento que tiene por objeto asesorar a los municipios en la titulación de bienes fiscales urbanos y según las etapas que deben ser agotadas para lograr titular los predios cuyas características cumplan con los requisitos que establece la normatividad vigente, se realizan las siguientes actividades contempladas en la ejecución de los convenios tripartitas suscritos para el cumplimiento de la meta:
Realización de cruce de información catastral de beneficiarios remitida por los municipios de Gutiérrez, Cáqueza, Gachalá, Pulí, Sasaima, San Juan de Rioseco y Chipaque.
Diagnóstico de información catastral de predios susceptibles de ser titulados en los municipios de Tena, Une, Medina y Yacopí.
Solicitudes a los municipios para la postulación de potenciales beneficiarios en los municipios de Albán, Guataquí
Revisión jurídica de resoluciones para titulación de predios en los municipios de Une y Cáqueza.
Informe definitivo de potenciales beneficiarios de titulación de predios en el marco de la ejecución de 23 convenios interadministrativos, con lo cual se titularían 1.407 predios.
NOVIEMBRE
Se continuó con actividades asistencia técnica y jurídica a los municipios,
Realización de cruce de información catastral de beneficiarios,
Diagnóstico de información catastral de predios susceptibles de ser titulados,
Solicitudes a los municipios para la postulación de potenciales beneficiarios,
Revisión jurídica de resoluciones para titulación de predios.
Informe de potenciales beneficiarios de titulación de predios en el marco de la ejecución de 23 convenios.</t>
  </si>
  <si>
    <t>Vigencia 2020: Se destinaron recursos departamentales por la suma de $497.309.346 para cofinanciar proyectos de construcción de vivienda rural en 4 municipios, los cuales beneficiarán a 16 hogares localizados en zonas de alto riesgo del sector rural y en condiciones de vulnerabilidad y pobreza.</t>
  </si>
  <si>
    <t>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Durante el mes de junio la meta no presenta avance.
JULIO
La Secretaría de Hábitat y Vivienda implementó la estrategia de unificar los recursos de la meta 052, 054, 055 y 057 para la modalidad de construcción de vivienda rural, para optimizar los recursos y obtener un mayor alcance de los mismos.
Se encuentran en proceso de formulación proyectos de construcción de vivienda rural para los municipios de Ubalá, Quetame, La Calera, Guataquí, La Vega y San Antonio del Tequendama.
En el mes de agosto se celebró convenio SHVS-CDCVI-043-2021 con el municipio de Jerusalén para la construcción de 7 viviendas rurales. Se adelanta el proceso de inscripción de proyectos con los municipios de Guataquí, El Peñón, La Vega, Quetame, La Calera, Ubalá, La Mesa y Fómeque para la celebración de los convenios para construcción de vivienda en sitio propio.
En el mes de agosto se inscribieron los proyectos de construcción de viviendas urbanas para la reubicación de 8 hogares en el municipio de Pacho y construcción de vivienda rural para reubicación de 2 hogares en el municipio de San Antonio del T/dama, en situación de riesgo no mitigable. Se adelantan procesos precontractuales para la celebración de los convenios.
De igual manera se inscribió el proyecto para la construcción de Vivienda rural para  hogares con viviendas en alto riesgo en los municipios de Guataquí, El Peñón, La Vega, Quetame, La Calera y Ubalá. Se adelantan procesos precontractuales para la celebración de los convenios.
SEPTIEMBRE:
Se celebró el convenio:
SHVS-CDCVI—065-2021 Aunar esfuerzos técnicos administrativos y financieros para la construcción de Vivienda urbana en el Municipio de Pacho, Departamento de Cundinamarca” Valor: $681.600.579 Aporte Dpto: $400.000.000. Aporte Mpio: $281.600.579. Beneficiarios: Reubicación de 8 hogares.
En proceso precontractual para celebración del convenio interadministrativo el proyecto de reubicación de 2 viviendas en el municipio de San Antonio del T/dama, en situación de riesgo no mitigable. 
OCTUBRE:
En el mes de octubre se celebró el convenio interadministrativo SHVS-CDCVI-075-2021 con el Municipio de Quetame para la construcción de 38 viviendas de las cuales 5 son de reubicación. El Dpto aporta $220 millones y el municipio aporta $56.157.063
Se celebró el convenio interadministrativo  SHVS-CDCVI-066-2021 con el municipio de San Antonio del Tequendama para la construcción de 2 viviendas para reubicar a 2 hogares. El Dpto aporta $105 millones y el Municipio $39.425.082
Se celebró el convenio interadministrativo  SHVS-CDCVI-076-2021 con el municipio de La Calera para la construcción de 13 viviendas de las cuales 2 hogares se benefician con la reubicación de sus viviendas. El Dpto aporta $108.768.904 y el Municipio no aporta recursos.
NOVIEMBRE
Durante este mes los convenios celebrados para el cumplimiento de la meta se encuentran en proceso precontractual para dar inicio a las obras.</t>
  </si>
  <si>
    <t>Pacho, San Antonio del Tequendama, Quetame, La Calera</t>
  </si>
  <si>
    <t>Vigencia 2020: No hubo asignación de recursos</t>
  </si>
  <si>
    <t>Para el presente reporte de Plan Indicativo, la meta no presenta avance.
Durante el mes de junio la meta no presenta avance, sin embargo se adelantan gestiones con el municipio de Supatá para apoyar la continuidad del proyecto Urbanización San Antonio que se encuentra estancada por revisión de obras estructurales.
Durante el mes de agosto se encuentra en proceso de formulación del proyecto Terminación de muros colindantes, pisos y fachadas de viviendas en la urbanización Aposentos en el Municipio de Venecia. Está pendiente CDP de contrapartida municipal para iniciar proceso precontractual.
SEPTIEMBRE:
Durante el mes de septiembre se continúa con el proceso de estructuración y formulación del proyecto Terminación de muros colindantes, pisos y fachadas de viviendas en la urbanización Aposentos en el Municipio de Venecia. Está pendiente CDP de contrapartida municipal para iniciar proceso precontractual.
OCTUBRE
En proceso precontractual para la celebración del Convenio Interadministrativo con el municipio de Venecia para la ejecución del proyecto Terminación de muros colindantes, pisos y fachadas de viviendas en la urbanización Aposentos en el Municipio de Venecia. 
NOVIEMBRE
Se celebró el convenio SHVS-CDCVI-092-2021 con el municipio de Venecia para apoyar la terminación del proyecto Urbanización Porvenir, el cual beneficiará a 49 hogares.</t>
  </si>
  <si>
    <t>Vigencia 2020: Se llevó a cabo la justificación de la Política Pública de Hábitat y Vivienda, la cual fue aprobada ante el CODEPS, se suscribió el Decreto de creación de la Mesa Departamental de Hábitat y Vivienda, Socialización de la Política Pública de Hábitat y Vivienda a las Administraciones Municipales, se definió el cronograma de aplicación de los instrumentos de recolección de información en el territorio, Planeación y coordinación logística para recolección de información, se identificaron los Ejes y Líneas de Acción, y se diseñaron los Indicadores para el cierre de brechas.</t>
  </si>
  <si>
    <t>Se suscribieron 20 contratos de prestación de servicios profesionales para el fortalecimiento de la capacidad técnica de la Secretaría, y para el apoyo a la gestión.
Se creó la instancia institucional, el Comité Departamental de Hábitat y Vivienda, que tiene como objetivo ser una instancia de participación para la coordinación interinstitucional e intersectorial en la formulación, implementación y ejecución de la Política Pública de Hábitat y Vivienda de Cundinamarca, orientada a mejorar la calidad de vida de los Cundinamarqueses. De igual manera, se activó la instancia de participación en el proceso de Diagnóstico de la Política Pública, donde se realizaron diferentes Focus Group, en los cuales tuvimos la participación de 9 provincias, abordando el 38% de los Municipios del Departamento, en esta etapa. Por otro lado, en coordinación con la Dirección de Sistemas de Información Geográfica, Análisis y Estadística se realizó un proceso de análisis cuantitativo que permitiera la identificación de necesidades habitacionales en el Departamento. Finalmente, el equipo de Política Pública de la Secretaría de Hábitat y Vivienda se encuentra en el proceso de sistematización de información, con el propósito de remitir a la Secretaría de Planeación los formatos correspondientes para la aprobación del Diagnóstico, y posteriormente dar inicio a la estructuración de la Política Pública.
En el mes de abril se suscribieron con cargo a esta meta 6 contratos de prestación de servicios profesionales.
para el mes de mayo basados en el diagnóstico se identificaron unas posibles soluciones de política, por lo que se implementó una evalucaión de alternativas de política pública, de acuerdo al método de evaluación multicriterio, el cual conjuga información cuantitativa y cualitativa e incorpora la ponderación de variables asociadas a la percepción, intuición y experiencia, permitiendo ordenarla y hacer comparable los diferentes factores asociados independientemente de la diversidad de su naturaleza. La anterior evalución se realizo a los Directores de la Secretaría de Hábitat y Vivienda.
En el proceso de la Política Pública enmarcado en el procedimiento de la Secretaría de Planeación, se plantea la necesidad en la etapa de Formulación, la evaluación de alternativas de política, la cual, se desarrolla de acuerdo al formato E-DEAG-FR - 90. Actividad realizada en este periodo.
A 31 de mayo el avance de la meta es de 6%.
A 31 de Julio del 2021 se ha logrado un avance acumulado del  36% de acuerdo al plan de seguimiento de la Dirección de Estudios Económicos y Políticas Públicas de la Secretaría de Planeación. Dicho avance, corresponde al cumplimiento en la estructuración de la política Pública, donde se plantearon los ejes que serán los pilares de  la política pública de Hábitat y Vivienda, estos son: Asequibilidad a la vivienda digna, Hábitat Seguro, Construcción de vivienda, Gestión social y Gestión del suelo.
Lo anterior permitió desarrollar los elementos que componen la Política Pública y así formular las alternativas de solución de acuerdo a las necesidades habitacionales identificadas en el proceso de diagnóstico. 
Estas alternativas fueron evaluadas por los funcionarios de la Secretaría de Hábitat y Vivienda de la Gobernación de Cundinamarca, de acuerdo a la matriz desarrollada por la Universidad de los Andes en el marco del convenio de asociación No. SHVS-CDCASO-028-2020.
Se identificaron los actores involucrados en la política reconociendo su nivel de interés y poder de acción. Finalmente, el equipo de la Dirección de Política Pública y titulación predial se encuentra en el proceso de desarrollo de la teoría del cambio de la alternativa seleccionada, estableciendo los insumos, las actividades, los productos, y los resultados esperados de la Implementación de la Política pública, midiéndolos con los indicadores seleccionados en el proceso de diagnóstico.
En el mes de agosto se presentó el documento final realizado por la Universidad de los Andes en el marco del Convenio de Asociación No. SHVS-CDCASO-028-2020 (Resultados finales del diagnóstico de la Política de Hábitat y Vivienda, las alternativas de solución a ser presentadas ante el Comité de Hábitat y Vivienda de Cundinamarca para su validación y puesta en marcha).
Se realizó mesa de trabajo con la Dirección de Sistemas de Información Geográfica, Análisis y Estadística, a cargo de Juan Ricardo Mozo, para presentar el análisis cuantitativo de la Política de Vivienda, con un panorama de las necesidades habitacionales. 
Se llevó a cabo reunión con la universidad Nacional para analizar el estudio de gestión del suelo en el Departamento, y usar ese insumo en la política de vivienda. 
Se remitió a la Dirección de Estudios Económicos y Políticas Públicas el Diagnóstico consolidado de la Política Pública, tanto el documento técnico desarrollado por la Universidad de los Andes y la Secretaría de Hábitat y Vivienda como el formato E-DEAG-FR–063.
Se remitieron las evidencias de la activación de la instancia de participación y el Plan de Trabajo de la Política pública.  
SEPTIEMBRE:
Durante el mes de septiembre se realizaron los siguientes avances: 
1.	Se realizó un encuentro con la Universidad Nacional de Colombia, con el objetivo de establecer una ayuda conjunta en el desarrollo del eje de gestión del suelo, la cual estará enmarcada en la investigación particular que está realizando la universidad, y donde se planteó que los resultados de la investigación fueran compartidos con la Secretaría de Hábitat y Vivienda para el desarrollo del componente “EJE GESTIÓN DEL SUELO”. 
2.	Se desarrolló junto con la Secretaría de Gobierno la estrategia de participación ciudadana en la gestión pública, donde se priorizó la instancia de participación de la Política Pública, Juntas de Acción Comunal, así como actores de los Entes territoriales que aportarán en la Formulación de la Política de Hábitat y Vivienda. 
3.	Se remitió a la Secretaría de Planeación el Diagnóstico de la Política Pública de Hábitat y Vivienda el día 23 de Septiembre del 2021. Para la revisión del documento, la Dirección de Estudios Económicos y Políticas Públicas  tiene un plazo de 10 días hábiles, posterior a esto lo remitirá a la Secretaría correspondiente y así avanzar en el proceso de la formulación de la Política Pública, razón por la cual, el porcentaje de avance se encuentra en un 33%. 
OCTUBRE:
Durante el mes de Octubre la Meta 059 no presenta avance.
NOVIEMBRE
Durante este mes se llevó a cabo la Instalación del Comité de Política Pública de Hábitat y Vivienda la cual contó con la participación de 14 dependencias.  Como evidencia de este evento se cuenta con el acta de reunión.</t>
  </si>
  <si>
    <t>Se adelantaron procesos de coordinación y concertación entre la Secretaría de Hábitat y Vivienda, la Secretaría Distrital de Hábitat y el Municipio de Soacha, para dar prioridad a la inversión de recursos del orden deparamental y municipal para los estudios detallados de riesgo y amenaza para la Comuna 4 - Sectores Los Robles, Mirador de Corinto, El Oasis del municipio de Soacha, y determinar las obras requeridas para su intervención.
Durante el mes de junio la meta no presenta avance.
Durante el mes de julio la meta no presenta avance. Se adelantan acciones de coordinación con el Municipio de La Calera para definir posibles zonas de borte con Bogotá que requeiran ser atendidas.
En el mes de agosto se llevaron a cabo reuniones con el Municipio de La Calera para la identificación de un sector de Borde con Bogotá donde se puedan llevar a cabo obras de mejoramiento integral de barrios, identificando los sectores Aurora Alta y La Capilla, para lo cual se está llevando a cabo la caracterización de la población, presupuesto de obras y formulación del proyecto.
En el municipio de Soacha se identificó el Sector Olivos III colindante con Bogotá, en donde se está caracterizando la población y evaluando las obras que mejoren las relaciones de conectividad y de integración entre las comunidades. El proyecto se encuentra en proceso de formulación.
SEPTIEMBRE: Se estructuró el proyecto “Apoyo al mejoramiento de la infraestructura física en el territorio de Borde del municipio de La Calera Cundinamarca para llevar a cabo obras de mejoramiento integral de barrios, identificando los sectores Aurora Alta y La Capilla. En proceso de inscripción en el Banco Departamental de Programas y Proyectos.
Se continúa el proceso de estructuración y caracterización de la población y evaluando las obras para el Sector Olivos III colindante con Bogotá, en donde se está. El proyecto se encuentra en proceso de formulación.
OCTUBRE:
Se encuentra en proceso precontractual el convenio interadministrativo con el municipio de La Calera para la ejecución del proyecto “Apoyo al mejoramiento de la infraestructura física en el territorio de Borde del municipio de La Calera Cundinamarca para llevar a cabo obras de mejoramiento integral de barrios, identificando los sectores Aurora Alta y La Capilla. 
NOVIEMBRE
Se celebró el convenio SHVS-CDCVI-080-2021 con el municipio de La Calera para llevar a cabo obras de mejoramiento integral de barrios, identificando los sectores Aurora Alta y La Capilla. Beneficiará a 152 hogares</t>
  </si>
  <si>
    <t xml:space="preserve">Dificultad en la coordinación entre la Secretaría de Hábitat Distrital, el Municipio de Soacha y la Secretaría de Hábitat y Vivienda para acordar sectores de borde Bogotá - Cundinamarca para su intervención.
</t>
  </si>
  <si>
    <t>La Calera</t>
  </si>
  <si>
    <t>Asistencia técnica a 344 actores mineros en temas interdisciplinares en las Unidades de Producción Minera priorizada</t>
  </si>
  <si>
    <t>Asistencia técnica interdisciplinar a las Unidades de Producción Minera priorizada</t>
  </si>
  <si>
    <t>LOGRAR QUE EL TITULAR MINERO REALICE LAS ACTIVIDADES Y OBRAS RECOMENDADAS EN LA VISITA TECNICA DE CAMPO.</t>
  </si>
  <si>
    <t>Solicitud de algunos beneficiarios para reagendamiento de las visitas.</t>
  </si>
  <si>
    <t>7 espacios especializados para la promoción e intercambio de conocimeintos de la actividad minera.</t>
  </si>
  <si>
    <t>Jornada ludico pedagogica concientización del auto cuidado.</t>
  </si>
  <si>
    <t>Una jornada lúdico pedagogica realizada a través de la Agencia Nacional de Minería, el IDECUP y la Sec de inclusión social en el municipio de Sutatausa.</t>
  </si>
  <si>
    <t>No contar con recursos propios para realizar mas jornadas con el fin de ampliar la cobertura en el departamento.</t>
  </si>
  <si>
    <t>Agencia Nacional de Minería, FEDECUNDI, FENALCO</t>
  </si>
  <si>
    <t>TRABAJO ARTICULADO CON LAS EMPRESAS MINERAS PARA ASISTIRLOS ADMINSITRATIVA Y CONTABLEMENTE FORTALECIENDO SU PRODUCTIVIDAD.</t>
  </si>
  <si>
    <t>ASISTENCIA TECNICA PARA EL FORTALECIMIENTO EMPRESARIAL DE LOS  TÍTULOS MINEROS</t>
  </si>
  <si>
    <t>SE REALIZÓ UN TRABAJO ARTICULADO CON LA EMPRESA MINERA PARA ASISTIRLOS EMPRESARIALMENTE</t>
  </si>
  <si>
    <t>HA SIDO DIFICIL ENCONTRAR LAS EMPRESAS MINERAS DISPUESTAS HA VINCULARSE AL PROGRAMA DE FORTALCIMIENTO EMPRESARIAL.</t>
  </si>
  <si>
    <t>SE HAN TENIDO QUE REPROGRAMAR VISITAS TECNICAS PORQUE EL PERSONAL DE LA EMPRESA SE ENCUENTRA EN AISLAMIENTO E INCAPACITADO POR EL COVID.</t>
  </si>
  <si>
    <t>Estudios y diseños del centro de formación minero energético. Mediante resolución No. 40137 del 30 de abril de 2021 el Ministerio de Minas y Energía adjudica recursos para la construcción del Centro minero energético de Cundinamarca</t>
  </si>
  <si>
    <t>Estudios y diseños del centro de formación minero energético</t>
  </si>
  <si>
    <t>Demoras en las entregas de los resultados por observaciones de la Sec de Planeación para ser aprobado.</t>
  </si>
  <si>
    <t>Sin impacto</t>
  </si>
  <si>
    <t>474 viviendas conectadas al servicio de energía eléctrica en zona rural del departamento.</t>
  </si>
  <si>
    <t>Viviendas conectadas al servicio de energía</t>
  </si>
  <si>
    <t>174 viviendas conectadas al servicio de energía eléctrica.</t>
  </si>
  <si>
    <t>Tiempo de ejecución demorado.</t>
  </si>
  <si>
    <t>Retrasos en la ejecución de las obras</t>
  </si>
  <si>
    <t>Codensa S.A ESP</t>
  </si>
  <si>
    <t>Se conectaron 8.698 usuarios al servicio de gas mejorando la calidad de vida y beneficiando la comunidad.</t>
  </si>
  <si>
    <t>Conexión a 6.206 usuarios que hoy cuenta con el servicio de gas natural por redes</t>
  </si>
  <si>
    <t>Se conectaron 6.206 usuarios al servicio de gas mejorando la calidad de vida y beneficiando la comunidad</t>
  </si>
  <si>
    <t>Retrasos en las obras a causa del Covid -19 / Demoras en el traslado de los insumos a causa del Paro nacional</t>
  </si>
  <si>
    <t>Miedo y desconfianza de la comunidad para el permiso de las intervenciones en las viviendas.</t>
  </si>
  <si>
    <t>VIDAGAS POR NATURALEZA SA ESP, GASES DEL LLANO SA ESP , YAVEGAS SA ESP , KEOPS SA ESP, MADIGAS SA ESP, ALCANOS, NORGAS S.A. ESP, ENERGYGAS S.A. ESP, REDEGAS S.A. ESP, PROYECTOS ENERGETICOS G8 SA ESP, OP&amp;S SA ESP,MUNICIPIO DE BELTRÁN</t>
  </si>
  <si>
    <t>Se realizó acercamiento con el Observatorio de Sabana Como Vamos y el Departamento Nacional de Planeación (DNP) con el propósito de obtener insumos para la estructura  del Observatorio. Se elaboró el Decreto de creación del Observatorio, el cual esta pendiente de firma del Gobernador. De acuerdo con la convocatoria realizada por MinTic, se han realizado reuniones técnicas para la medición del indicador de Felicidad y Bienestar. A la fecha (31 de agosto 2021), el observatorio cuenta con los siguientes documentos técnicos finales: Documento Marco, Parámetros para la elaboración del artículo de investigación y Decreto No. 316 de septiembre 13 de 2021 Por e cual se crea el Observatorio de Felicidad y Bienestar como estrategia fundamental para el soporte, monitoreo y seguimiento a la política publica de felicidad y bienestar subjetivo del Departamento de Cundinamarca.  Se realizó la entrega de los productos desarrolados por MinTic, sobre el indicador de Felicidad del Departramento. La Alta Consejeria adelanto la contratación de servicios profesionales con el fin de dar continuidad  a la meta No. 10 de la Alta Consejeria</t>
  </si>
  <si>
    <t>Se realizó acercamiento con el Observatorio de Sabana Como Vamos y el Departamento Nacional de Planeación (DNP) con el propósito de obtener insumos para la estructura  del Observatorio. Se elaboró el Decreto de creación del Observatorio, el cual esta pendiente de firma del Gobernador. De acuerdo con la convocatoria realizada por MinTic, se han realizado reuniones técnicas para la medición del indicador de Felicidad y Bienestar. A la fecha (31 de agosto 2021), el observatorio cuenta con los siguientes documentos técnicos finales: Documento Marco, Parámetros para la elaboración del artículo de investigación y Decreto No. 316 de septiembre 13 de 2021 Por e cual se crea el Observatorio de Felicidad y Bienestar como estrategia fundamental para el soporte, monitoreo y seguimiento a la política publica de felicidad y bienestar subjetivo del Departamento de Cundinamarca.  Se realizó la entrega de los productos desarrolados por MinTic, sobre el indicador de Felicidad del Departramento. La Alta Consejeria adelanto la contratación de servicios profesionales con el fin de dar continuidad  a la meta No. 10. Se firmó un contrato interadministrativo con las Universidad de Cundinarma cuyo objeto es Implementar la tercera y cuarta fase del Observatorio de Felicidad y Bienestar, acorde con el documento marco que corresponde al desarrollo de las líneas de investigación y su metodología definida, con sus respectivos procesos de socialización y publicación. Así como fortalecer los procesos de capacitación y formación de la Escuela de Felicidad y Bienestar.</t>
  </si>
  <si>
    <t>La consolidación de indicadores actualizados de bienestar subjetivo para los 116 municipios del Departamento. Se realizaron dos correcciones al documento original al documento del Decreto del Observatorio. La propuesta metodología del Min.Tic no se ajusta a la metodología utilizada para la medición de indicador de Felicidad. Por falta de recursos no se ha dado inicio con los estudios e investigaciones.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t>
  </si>
  <si>
    <t>Min TIc</t>
  </si>
  <si>
    <t>Se cuenta con avances de las metas de las diferentes dependencias del Departamento que se articulan en el plan operativo de la política pública de felicidad y bienestar subjetivo. Se realizó el primer y segundo Comité Transversal de Felicidad y Bienestar vigencia 2021 y se realizó socialización de la Política Pública a las instancias de particiación: Consejo Consultivo de Mujeres, las plataformas municipales y departamental de jóvenes y en el mes de julio: Consejo Territorial de Planeación y los representantes de las Juntas de Acción Comunal. Se realizo Conversatorio de Juventud en el Municipio de Cajicá en el marco de la Política Publica de Felicidad y Bienestar; La Alta Consejeria adelanto la contratación de servicios profesionales con el fin de dar continuidad a la meta No.11 de la Alta Consejeria</t>
  </si>
  <si>
    <t xml:space="preserve">Se cuenta con avances de las metas de las diferentes dependencias del Departamento que se articulan en el plan operativo de la política pública de felicidad y bienestar subjetivo. Se realizó el primer y segundo, Comité Transversal de Felicidad y Bienestar vigencia 2021 y se realizó socialización de la Política Pública a las instancias de particiación: Consejo Consultivo de Mujeres, las plataformas municipales y departamental de jóvenes y en el mes de julio: Consejo Territorial de Planeación y los representantes de las Juntas de Acción Comunal.  Se realizo Conversatorio de Juventud en el Municipio de Cajicá en el marco de la Política Publica de Felicidad y Bienestar; La Alta Consejeria adelanto la contratación de servicios profesionales con el fin de dar continuidad  a la meta No.11 de la Alta Consejeria. Se está adelantando la actualización del plan operativo de la política publica. </t>
  </si>
  <si>
    <t>Recibir la información de los avances por parte de cada una de las dependencias de la Gobernación de Cundinamarca, lo que genera reprocesos y dificulta la consolidación del avance de las metas del plan operativo de la política pública de felicidad y bienestar. Para la continuidad del desarrollo de la meta 11 se cuenta con una persona de planta, debido a la finalización de los contratos de prestación de servicios.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 Se convocó dos veces el tercer comité de felicidad en el mes de noviembre pero no se llevó a cabo debido a la falta de quorum.</t>
  </si>
  <si>
    <t>Se cuenta con el portafolio de servicios de Felicidad y Bienestar el cual consta de 13 cursos que se orientan a las dimensiones de la política pública de felicidad. Se está elaborando el Documento Marco de la Escuela de Felicidad y Bienestar. Se desarrollaron nueve cursos que se encuentran en revisión para cargar a la Escuela Virtual 2036 en la plataforma Moodle y se abrió el proceso de inscripión. Se prestó asistencia técnica a través de capacitaciones virtuales y presenciales dirigidas a los municipios de Cundinamarca y a las depencidas de la Gobernación. Se cuenta con el documento técnico final "Orientaciones para la construcción de programas de educación para el trabajo y desarrollo humano" de la Escuela de Fellcidad y Bienestar para ser radicado en la Secretaría de Educación Departamental. Se prestó asistencia técnica a través de capacitaciones virtuales y presenciales dirigidas a los municipios de Cundinama. La Alta Consejeria adelanto la contratación de servicios profesionales con el fin de dar continuidad a la meta No.12 de la Alta Consejeria</t>
  </si>
  <si>
    <t>Se cuenta con el portafolio de servicios de Felicidad y Bienestar el cual consta de 13 cursos que se orientan a las dimensiones de la política pública de felicidad. Se está elaborando el Documento Marco de la Escuela de Felicidad y Bienestar.  Se desarrollaron nueve cursos que se encuentran en revisión para cargar a la Escuela Virtual 2036 en la plataforma Moodle y se abrió el proceso de inscripión. Se prestó asistencia técnica a través de capacitaciones virtuales y presenciales dirigidas a los municipios de Cundinamarca y a las depencidas de la Gobernación. Se cuenta con el documento técnico final "Orientaciones para la construcción de programas de educación para el trabajo y desarrollo humano" de la Escuela de Fellcidad y Bienestar para ser radicado en la Secretaría de Educación Departamental.  Se prestó asistencia técnica a través de capacitaciones virtuales y presenciales dirigidas a los municipios de Cundinama. La Alta Consejeria adelanto la contratación de servicios profesionales con el fin de dar continuidad  a la meta No.12 de la Alta Consejeria. Se realizó un convenio interadministrativo con la Universidad de Cundinamarca cuyo objeto es Implementar el laboratorio de iniciativas que consiste en el desarrollar ideas de negocios para ser ejecutadas en el contexto de familia, así como el desarrollo de estrategias de felicidad y bienestar a treinta (30) familias cundinamarquesas  Implementar el laboratorio de iniciativas que consiste en el desarrollar ideas de negocios para ser ejecutadas en el contexto de familia, así como el desarrollo de estrategias de felicidad y bienestar a treinta (30) familias cundinamarquesas. En este contexto se realizó la selección de las 30 familias, se caracterizó la población y comenzaron a participar en el diplomado titulado jovenes emprendedores, felices y exitosos. Asimismo se realizó el conversatorio sobre el manejo del duelo.</t>
  </si>
  <si>
    <t>El equipo psicosocial es insufuciente para atender la demanda de solicitudes de los municipios, debido a la finalizacion de los contratos de prestación de serivicios.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t>
  </si>
  <si>
    <t>La participación presencial de la comunidad en las capacitaciones se ven afectadas por los picos de COVID.</t>
  </si>
  <si>
    <t>Alcaldía de Cajicá, Universidad Militar y Cemex</t>
  </si>
  <si>
    <t xml:space="preserve">El propósito de posicionamiento de la Marca Cundinamarca se concentra en posicionar a la Marca Cundinamarca como “La tierra que vive” en todos los cundinamarqueses, apostando por la apropiación de la Marca y las marcas sectoriales (Kuna Mya, Pueblos Dorados y Manar) en el corazón de los cundinamarqueses.
Durante el cuatrienio se ha logrado el diagnóstico de valoración de la marca territorial y la actualización de la narrativa de la misma, llegamos a una narrativa más cercana a los cundinamarqueses en la que los protagonistas son nuestros empresarios, productores y campesinos. Se llevó a cabo la inauguración de la primera Tienda Cundinamarca Kuna Mya, en la cual, la marca Cundinamarca aparece como protagonista a través del sello dorado en productos y servicios representativos del Departamento. Por primera vez en la historia, con el liderazgo de la Secretaría de Asuntos Internacionales se adelanta una estrategia de licenciamiento de productos agroindustriales, operadores turísticos y artesanos. A la fecha, se cuenta con 41 productos agroindustriales, pertenecientes a 12 empresas y asociaciones del departamento; 13 artesanos y 7 operadores de servicios turísticos licenciados. Se diseñó una parrilla de contenidos, no institucionales que muestran los atributos del territorio desde las cuentas oficiales de la Marca Cundinamarca. Presencia de la Marca Cundinamarca en los proyectos estratégicos del Departamento (sabores Cundinamarca) El departamento de Cundinamarca gracias a su marca territorial logro ser protagonista de dos capítulos del reconocido reality de televisión Master Chef Celebrity, uno de los más vistos en la televisión nacional. La grabación del programa se trasladó a dos municipios emblemáticos del departamento como son Villeta y Guatavita, lo que permitió que la audiencia que vio el programa pudo conocer un poco más de la cultura gastronómica de nuestro departamento, así como de los hermosos paisajes del territorio. Adicionalmente la marca Cundinamarca tuvo presencia en varios momentos de la emisión del capítulo lo que permitió dar a conocer nuestra marca territorial gracias a la pauta realizada durante el programa. Solo en el primer capítulo se logró que 3.315.740 personas conocieran un poco más de la riqueza gastronómica y cultural de nuestro departamento. En el segundo capítulo fueron 3.211.478 personas. Fueron firmados los contratos con los primeros 34 empresarios que portarán el Sello Dorado de la Marca Cundinamarca a los mejores productos y servicios que representan lo mejor del territorio.
Este es un reconocimiento que garantiza la excelente reputación, altos estándares de calidad, cumplimiento de criterios técnicos y, por supuesto, del fuerte arraigo e identidad cundinamarquesa. Así mismo, beneficia a sus portadores con la promoción de productos en el mercado internacional, la participación en eventos y ferias locales, nacionales e internacionales, la promoción y presencia de sus productos a través de diferentes medios de comunicación digitales de la marca, fortalecimiento y acompañamiento técnico, así como el certificado de uso de la marca.
</t>
  </si>
  <si>
    <t xml:space="preserve">Taller de socialización del Plan Táctico.
Reglamento del Comité de Marca aprobado.
Manual de Imagen de la Marca Actualizado.
Documento con el plan de acción y comunicaciones, aprobado por el comité.
Aprobación del Manual de Licenciamiento de Marca.
Documento con el proceso de gestión y despliegue de licenciamientos.
Marca Cundinamarca presente en los proyectos estratégicos del Departamento (KUNA MYA).
</t>
  </si>
  <si>
    <t xml:space="preserve">Se realizó taller de socialización del Plan Táctico/Estratégico de la marca Cundinamarca, con la participación de los miembros del comité. Cada uno de ellos aportó desde su sector actividades en las que se puede involucrar la activación y promoción de la marca y una lista de incentivos sectoriales para impulsarla.
 Se logró la actualización y aprobación del Decreto Ordenanza 372 del 2017 por el Decreto 116 del 2021. 
Se logró la adaptación del nuevo Manual de Imagen de la Marca de acuerdo a los lineamientos y la actualización de la nueva narrativa de marca. 
Se logró la aprobación del plan de acción y comunicaciones de la Marca Cundinamarca, por el comité. Se incluyeron actividades que vinculan a todas las Secretarías y entidades miembros del comité de marca.
Se logró la aprobación del Manual de Licenciamiento, el cual fue revisado y avalado por la Secretaria de Salud y los demás integrantes del Comité de Marca.
Se elaboró un documento con el proceso de gestión y despliegue de licenciamientos para la apertura de la Tienda Cundinamarca, en este documento, se incluyen los criterios y requisitos de licenciamiento para todos los empresarios que deseen participar del proceso y que adicionalmente, su producto haya sido seleccionado para estar en la apertura de la Tienda.
Se llevó a cabo la inauguración de la primera Tienda Cundinamarca Kuna Mya, en la cual, la marca Cundinamarca aparece como protagonista a través del sello dorado en productos y servicios representativos del Departamento. Por primera vez en la historia, con el liderazgo de la Secretaría de Asuntos Internacionales se adelanta una estrategia de licenciamiento de productos agroindustriales, operadores turísticos y artesanos. A la fecha, se cuenta con 41 productos agroindustriales, pertenecientes a 12 empresas y asociaciones del departamento; 13 artesanos y 7 operadores de servicios turísticos licenciados.
Presencia de la Marca Cundinamarca en los proyectos estratégicos del Departamento (sabores Cundinamarca) a través de 2 emisiones del programa MASTER CHEFF del canal RCN, en los Municipios de Guatavita y Villeta. 
Se construyó la parrilla de contenidos para las redes sociales (Facebook, Instagram y Tweeter) de la Marca Cundinamarca, para los meses de septiembre, Octubre, Noviembre y Diciembre. Se construyó la parrilla de contenidos para las redes sociales (Facebook, Instagram y Tweeter) de la Marca Cundinamarca, para los meses de septiembre, Octubre, Noviembre y Diciembre.
Por primera vez Cundinamarca otorga su marca a los mejores productos y servicios
•Fueron firmados los contratos con los primeros 34 empresarios que portarán el Sello Dorado de la Marca Cundinamarca a los mejores productos y servicios que representan lo mejor del territorio.
Este es un reconocimiento que garantiza la excelente reputación, altos estándares de calidad, cumplimiento de criterios técnicos y, por supuesto, del fuerte arraigo e identidad cundinamarquesa. Así mismo, beneficia a sus portadores con la promoción de productos en el mercado internacional, la participación en eventos y ferias locales, nacionales e internacionales, la promoción y presencia de sus productos a través de diferentes medios de comunicación digitales de la marca, fortalecimiento y acompañamiento técnico, así como el certificado de uso de la marca.
</t>
  </si>
  <si>
    <t xml:space="preserve">Se logró para la vigencia 2020,  la construcción de la Estrategia de Internacionalización del departamento de Cundinamarca a partir de la identificación de dos ejes estratégicos; Promoción del comercio internacional y promoción y consolidación de la inversión extranjera directa. Apoyo y Acompañamiento 63 empresas de Cundinamarca que cuenta con potencial exportador a partir de dos convenios;   Amcham para la promoción de los productos de Cundinamarca en el mercado de Estados Unidos,  se obtuvieron recursos no incorporados por valor de $16.140.000 y un segundo convenio con Pro Colombia en el que realizamos un diagnóstico empresarial para identificar el potencial de las empresas y, apoyo a las empresas del departamento en su plan exportador con el fin de promocionar los productos del territorio en el mercado internacional, se obtuvieron recursos no incorporados por valor de $71.775.000.
Para la vigencia 2021, se realizó socialización e implementación de la estrategia de internacionalización. Partiendo del eje de comercio internacional, con  un total de 199 participantes del sector empresarial de Cundinamarca, entre los que se encuentran representantes de entidades del orden nacional, alcaldes, Secretarios de Desarrollo Económico, Cámaras de Comercio, Cámaras binacionales, entidades académicas, gremios, empresas y asociaciones productivas.
La implementación se ha desarrollado a través de dos grandes estrategias: La intervención empresarial uno a uno, consistente en el acompañamiento a cada una de las empresas y asociaciones con potencial exportador, a través de actividades de asesoría en internacionalización, Diagnósticos a 76 empresas,  inteligencia de mercados, vinculación a actividades de fortalecimiento y promoción en el mercado internacional (a través de convenios y acompañamiento para la postulación a oportunidades del orden nacional e internacional), entre otros. Actualmente, 109 empresas y asociaciones del departamento cuentan con un asesor encargado de su acompañamiento uno a uno. Y la intervención a aglomeraciones productivas priorizadas de acuerdo a la identificación y caracterización de la oferta exportable del departamento, que se compone de aproximadamente treinta (30) productos del sector de agro alimentos, incluyendo subsectores como: frutas exóticas y tropicales, hortalizas y tubérculos, lácteos, pescados, especias, aromáticas y alimentos procesados. 
La Secretaría de Asuntos Internacionales, en alianza con entidades estratégicas como; (Innpulsa, Amcham, Min comercio, Industria y comercio, ICA) desarrolló cinco (5) webinars y eventos en materia de fortalecimiento empresarial y/o asociativo de acuerdo a las tendencias comerciales que exigen fortalecimiento para acceder a nuevos mercados y adelantar procesos de internacionalización.(1.540 participantes)
Se han logrado otras alianzas estratégicas mediante 3 convenios, el primero con  Euro Cámaras: promoción del tejido empresarial del Departamento en el mercado europeo, se logra realizar servicios de asistencia técnica a 10 empresas de Cundinamarca, se obtuvieron recursos no incorporados por valor de $48.000.000
Convenio con Analdex, en el que se busca desarrollar un programa de formación empresarial a 49 empresas y el diseño de un plan exportador a 11 empresas del departamento. Se obtuvieron recursos no incorporados por valor de $ 18.595.986.
Convenio con ICONTEC en el que se busca que 27 empresas participen en el Curso “Sistema HACCP para la industria de alimentos, 15 empresas para pre auditorias en estándares de calidad para exportar y 5 empresas de Cundinamarca en auditorias para la certificación en estándares de calidad para exportar. Se obtuvieron recursos no incorporados por valor de $ 42.857.142.
En lo transcurrido del cuatrienio la SAI, ha logrado gestionar recursos por valor de $197.368.128, logrando fortalecer  a más de 180 empresas de diferentes Municipios del Cundinamarca.
</t>
  </si>
  <si>
    <t xml:space="preserve">Diagnostico empresarial (Pro Colombia).
Cartilla de la estrategia de Internacionalización.
Documentos Oferta exportable de Cundinamarca.
Talleres en Ventanilla única, Plan Vallejo Express e  Innpulsa.
Ficha país.
Estrategia de atracción.
Diagnostico empresarial SAI.
Convenio Euro Cámaras
</t>
  </si>
  <si>
    <t xml:space="preserve">Socialización de la Estrategia de Internacionalización con  un total de 199 participantes del sector empresarial de Cundinamarca, entre los que se encuentran representantes de entidades del orden nacional, alcaldes, Secretarios de Desarrollo Económico, Cámaras de Comercio, Cámaras binacionales, entidades académicas, gremios, empresas y asociaciones productivas.
Diagnósticos a 76 empresas del Departamento para acompañarlas en su proceso de internacionalización.
A través la gestión de alianzas estratégicas se establecieron 3 convenios, entre los que se encuentran: Convenio Euro Cámaras: promoción del tejido empresarial del Departamento en el mercado europeo, se logra realizar servicios de asistencia técnica a 10 empresas de Cundinamarca.
Convenio con Analdex, en el que se busca desarrollar un programa de formación empresarial a 49 empresas y el diseño de un plan exportador a 11 empresas del departamento. 
Convenio con ICONTEC en el que se busca que 27 empresas participen en el Curso “Sistema HACCP para la industria de alimentos, 15 empresas para pre auditorias en estándares de calidad para exportar y 5 empresas de Cundinamarca en auditorias para la certificación en estándares de calidad para exportar.
En articulación con Min Comercio, Innpulsa y Amcham  se desarrollaron  cinco (5) webinars y eventos en materia de fortalecimiento empresarial y/o asociativo de acuerdo a las tendencias comerciales que exigen fortalecimiento para acceder a nuevos mercados y adelantar procesos de internacionalización (1.540 empresas participantes)
Talleres y capacitaciones con el apoyo de entidades del orden nacional como lo son Min comercio en temas de Comercializadoras Internacionales y el ICA para los procesos y requisitos de exportación para los productos agrícolas y pecuarios del departamento.
Construcción e Identificación de la oferta exportable de Cundinamarca a partir del estudio y análisis de la producción y comercialización dada la naturaleza del territorio.
Ficha país y ficha producto para los bienes y servicios del Departamento.
Estrategia de atracción “Por qué invertir en Cundinamarca”
</t>
  </si>
  <si>
    <t>Euro Camaras
Analdex
Icontec</t>
  </si>
  <si>
    <t xml:space="preserve">Mediante las dos líneas efectivas de Cooperación a lo largo del cuatrienio se  han establecido 14 alianzas estratégicas con entidades nacionales e internacionales, a través de la gestión de cooperación técnica y financiera, logran generar nuevos espacios y alianzas que contribuyen al desarrollo de diferentes sectores sociales y económicos del Departamento, beneficiando a los 116 municipios y a la población cundinamarquesa. A la fecha y gracias al esfuerzo conjunto con nuestros cooperantes hemos logrado gestionar recursos no incorporados por valor de $2.909.886.410.
.
Se han realizado 30 transferencias de conocimiento que aportan al fortalecimiento las capacidades y competencias del territorio cundinamarqués y diferentes departamentos
</t>
  </si>
  <si>
    <t>Se establecieron 6 alianzas estratégicas con entidades nacionales e internacionales por medio de las cuales,  Se logró beneficiar a 1290 madres lactantes y gestantes ubicadas en los 15 municipios priorizados en el marco del convenio de Asociación celebrado con el departamento de Cundinamarca y Fundación Éxito,858.520.000.Se adelantaron acciones de cooperación técnica y financiera logrando generar nuevas alianzas que permitan el desarrollo en los diferentes sectores sociales y económicos del departamento, beneficiando a los 116 municipios y entidades departamentales, el resultado en gestión incorporada por $ 329.365.812.Además se realizaron  11  transferencias de conocimientos logrando fortalecer las capacidades técnicas en la población de los 116 municipios, que permiten aportar al desarrollo del  Departamento y de los Cundinamarqueses.</t>
  </si>
  <si>
    <t>Convenios,proyectos  y transferencias de conocimiento gestionados.</t>
  </si>
  <si>
    <t xml:space="preserve">Gestión de cooperación técnica y financiera, se han generado 8 alianzas estratégicas con entidades nacionales e internacionales, que permitirán movilizar recursos técnicos y financieros de cooperación con el fin de aportar al desarrollo Departamento y los Cundinamarqueses: 1. FUNDACIÓN ÉXITO convenio a través del cual se desarrolla el programa GEN CERO que beneficia a 1500 madres gestantes y lactantes y a niños y niñas menores de 12 meses en 15 municipios del Departamento. Así mismo se desarrolló la actividad LACTATON que beneficio a 4000 mujeres, el Valor de la gestión no incorporada, en estas dos actividades es de $1.601.000.000, 2. MEMORANDO DE ENTENDIMIENTO ENTRE LA SAI Y FUNDACIÓN CAROLINA para fortalecimiento de capacidades de los cundinamarqueses, en los sectores que se identifiquen, 3. MEMORANDO DE ENTENDIMIENTO DE COOPERACIÓN ENTRE LA SAI Y  PACT INC. /PROYECTO EQUAL - VAMOS TEJIENDO para beneficiar a mujeres del sector floricultor de los municipios de Facatativá y Funza, 4. Memorando de Entendimiento Gobernación de Cundinamarca y Agencia Turca de Cooperación y Coordinación – TIKA, con el fin de presentar proyectos de impacto territorial. 5. PROYECTO APROBADO POR COOPERANTE INTERNACIONAL TIKA -  COOPERACIÓN FINANCIERA “FORTALECIMIENTO PARA LA TRANSFORMACIÓN DE RESIDUOS PLÁSTICOS EN EL MUNICIPIO DE FUNZA, se entregaron 4 máquinas industrializadas valor de $89.500.000.  6. COMIXTA PARAGUAY, Proyecto de internacionalización del municipio de Facatativá, se está realizando mesas técnicas SAI, APC, Gobierno de Paraguay y Facatativá.  7. CONVENIO DE ASOCIACION ENTRE SAI Y 2811, evento internacional YOUNG CLIMATHON dirigidos a los estudiantes de grado 10 y 11 y sus docentes de instituciones educativas no certificadas del departamento con el fin que presente soluciones al reto medio ambiental planteado  este último aportando recursos de cooperación por valor de $11.000.598. 8. CONVENIO MARCO DE COOPERACIÓN INTERADMINISTRATIVO ENTRE LA GOBERNACIÓN DE CUNDINAMARCA Y LA ESAP, con el fin de aunar esfuerzos técnicos, administrativos y financieros para establecer acciones de cooperación enfocadas al fortalecimiento institucional a través de la formación en el saber público y administrativo a los servidores públicos y los ciudadanos del Departamento de Cundinamarca.
Se han realizado 19 Transferencias de conocimiento con diferentes entes territoriales, departamento nacional e internacional que han expresado su interés por la gestión de la cooperación internacional, su normatividad, sus procedimientos, mapas de riesgos, proceso de gestión de calidad, metodología de la cuantificación de la cooperación internacional y estrategia de internacionalización, proceso de fortalecimiento marca Cundinamarca EL DORADO LA LEYENDA VIVE y metodologías de valoración en gestión pública de la cultura.
</t>
  </si>
  <si>
    <t xml:space="preserve">Uno de los sectores más golpeados por la crisis ha sido el de la cooperación internacional. El cual, no solo es nuestro principal insumo, sino también nuestro gran aliado en la gestión de recursos técnicos y financieros, contemplados en la meta 272 “Mantener 2 líneas efectivas de cooperación nacional e Internacional” del Plan de Desarrollo.
Al respecto y a pesar de las perspectivas hemos venido trabajando con aliados y cooperantes internacionales, que nos han permitido concretar acciones y generar oportunidades para el Departamento.
</t>
  </si>
  <si>
    <t xml:space="preserve">Fundaciòn Exito.
Gobierno de Turquía.
Agencia De Cooperación De Turquia – Tika.
Fundaciòn 2811.
</t>
  </si>
  <si>
    <t>Se ha logrado en la vigencia 9115 vinculaciones de Cundinamarqueses</t>
  </si>
  <si>
    <t>En la presente vigencia el mayor logro fue la vinculacion laboral de 484 victimas de conflicto armado en trabajo decente, se han realizado dos ferias de empleo virtual y presencial con la atencion de  mas de 19.000 buscadores de empleo y la participacion de mas de 43 empresas de los diferentes sectores economicos del departamento, complementando la ejecucion de 9115 colocaciones a la fecha.  Se logra en articulacion con la organizacion de estados Iberoamericanos la alianza para la vinculacion de 500 personas victimas del conflico armado, siendo el primer operador a nivel nacional adjudicado para este proyecto. En alianza con el Servicio Publico de Empleo se logra la articulacion con la Agencia Federal Alemana para los procesos de seleccion de las empresas Galabau y Vonovia para la contratacion de 30 personas con el fin de participar del programa formativo y de empleo Teams.</t>
  </si>
  <si>
    <t>Se dificulto la consecucion de buscadores de empleo victimas de conflicto armado por todo el tema de manejo de informacion de datos.</t>
  </si>
  <si>
    <t>Incide en la ejecucion de la meta, no se puede convocar abiertamente a los buscadores de empleo, por temas de bioseguridad. Actualmente se esta reactivando la economia, lo que permite que la Agencia Publica de Empleo de Cundinamarca pueda participar y realizar ferias de empleo y convocatorias especiales.</t>
  </si>
  <si>
    <t>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de igual manera, se ha realizado acompañamiento y asesoría a los municipios mediante las asistencias técnicas con el fin de fomentar el conocimiento del riesgo, la reducción del riesgo y el manejo de desastres en aras de lograr la implementación de la política pública lo que ha permitido fortalecer las acciones mediante las capacitaciones a más de 3.000 personas sobre la política publica, el plan departamental para la gestión del riesgo y la estrategia de respuesta. Asimismo, se cuenta a la fecha con la instalación del 100% de los comités provinciales para la gestión del riesgo de acuerdo a la ordenanza 066 de 2018. Por otra parte, se ha implementado el plan padrino por parte de la UAEGRD con el fin de poder realizar asesoría y seguimiento a las necesidades y acciones de los municipios en el marco de la implementación de la política publica. Se logró llevar a cabo el reporte a la Unidad Nacional para la Gestión del Riesgo del 100% de los municipios del departamento frente a la implementación de la política pública mediante los planes municipales para la gestión del riesgo y las estrategias municipales de respuesta. Se cuenta con plan operativo de la política publica para validación y ejecución.</t>
  </si>
  <si>
    <t xml:space="preserve">* Se realizaron 6 asistencias técnicas para un total de 58 personas asistidas de los consejos municipales para la gestión del riesgo y alcaldias con el fin de Fortalecer la gobernanza con el fin de formentar acciones que propendan al adecuado manejo de la gestión del riesgo, de las cuales cuatro fueron mediante acompañamiento para un total de 46 personas asistidas y dos mediantes asistencia para un total de 12 personas asistidas. 
* Se llevó a cabo la actualización de soportes de la política publica de acuerdo con la gestión del año 2021. 
* Mediante circular 10 se llevo a cabo requerimiento a los 116 municipios del departamento para la revisión y actualización de la estrategia de respuesta dada la calamidad pública por la emergencia del nevado del Ruiz con el fin de que se proyecten acciones ante los eventos que se puedan presentar en el mes de diciembre.
* Se formulo la circular 11 dado el reporte del servicio meteorológico colombiano articulando el sistema nacional con el sistema departamental y municipal para la gestión del riesgo y desastres. Bajo dicha circular se llevo a cabo articulación con los municipios de San Juan de Rio Seco, Puerto Salgar, Girardot, Guataquí, Nariño, Beltran, Pulí, Chaguaní y Jerusalén. 
* Se llevaron a cabo 10 mesas de trabajo virtual con el fin de realizar seguimiento a las circulares 5 y 6 del año 2020 mediante la cual se solicita reporte de los instrumentos de planificación de los municipios y seguimiento a la circular 6 de 2021 mediante la cual se solicita la inclusión de los comunales en los comités y procesos para al gestión del riesgo.
* Se gestiono mediante circular 12 del 17 de noviembre se fortaleció la gestión de seguimiento de la circular 6, reafirmando a los municipios la necesidad de incorporar a los presidentes de las juntas de acción comunal y veedurías en los procesos para la gestión del riesgo. Se logro el avance de 40 municipios que llevaron a cabo la inclusión comunal en los procesos.
* Mediante circular 13 se llevo a cabo la solicitud para formulación del plan de contingencia dirigida al sistema departamental de riesgos y desastres con motivo de la contingencia por la alerta del nevado del Ruíz llevando a cabo la articulación respectiva con el sistema nacional para la gestión del riesgo. 
* Se elaboró circular 14 mediante la cual se llevo a cabo la consolidación del diagnostico de los instrumentos de planificación territorial, logrando a la fecha que 94 municipios de los 166 cuenten con plan municipal para la gestión del riesgo, y 43 municipios cuenten con la estrategia municipal de respuesta, 86 municipios cuentan con fondo municipal para la gestión del riesgo, 97 municipios cuentan con acuerdo para la tasa bomberil y 35 municipios tienen convenio con bomberos. Asimismo, se llevo a cabo asistencia telefónica a cada municipio para el cumplimiento de los instrumentos de planificación en el marco de la política departamental para la gestión del riesgo. 
* Se llevo a cabo dos capacitaciones en el municipio de Fusagasugá, una capacitación responde al tema de planes comunitarios con 37 personas capacitadas, la segunda capacitación se desarrollo el tema de planes escolares con 37 personas capacitadas. 
* Se llevo a cabo la organización de la gestión documental de las actuaciones de la UAEGRD entorno al sistema nacional y departamental para requerimientos de la procuraduría. 
* Se realizó seguimiento y asesoría para todas las secretarias con el fin de dar cumplimiento a las acciones de reporte del plan nacional para la gestión del riesgo. 
* Se logro llevar a cabo la consolidación de los 116 municipios del departamento de acuerdo con las acciones realizadas en cumplimiento de la política publica departamental para la gestión del riesgo. 
* Se llevo a cabo acompañamiento para la instalación del PMU nacional para el plan de vacunación, la contingencia del nevado del Ruiz y se acompaño el proceso de elaboración del plan de contingencia para juegos comunales. 
* Se realizo asistencia telefónica a los 166 municipios del departamento para la incorporación comunal en los procesos para la gestión el riesgo. </t>
  </si>
  <si>
    <t xml:space="preserve">Se ha logrado mediante el acompañamiento y la asistencia a los municipios, que el 50% de los mismos cumplan con los requerimientos realizados por la UAEGRD en cumplimiento de la política publica, los cuales se orientan a los instrumentos de planificación como planes municipales para la gestión del riesgo y estrategias municipales de respuesta. 
Fortalecimiento del plan padrino mediante acciones de conocimiento, reducción y manejo de desastres a partir de las asistencias técnicas a los consejos municipales y capacitaciones en el marco de la implementación de la política pública en planes comunitarios de gestión del riesgo, planes escolares de gestión del riesgo, evidenciados en actas y listado de asistencias con firmas. Consolidación del 100% de los comités provinciales para la gestión del riesgo. Ejecución del plan de comunicaciones para la divulgación de la política publica y sus instrumentos de planificación. asistencia técnica a 116 municipios frente a la política pública y sus instrumentos de planificación, proceso que se ha llevado a cabo mediante la articulación de acciones entre la subdirección de conocimiento y la subdirección de manejo de la UAEGRD. Se logró llevar a cabo el reporte a la Unidad Nacional para la Gestión del Riesgo del 100% de los municipios del departamento frente a la implementación de la política pública mediante los planes municipales para la gestión del riesgo y las estrategias municipales de respuesta. </t>
  </si>
  <si>
    <t xml:space="preserve">Durante el primer semestre del año : Pese a que existe la formulación del plan de capacitación para los colegios  frente a la implementación de la política publica para la gestión del riesgo y sus instrumentos de planificación, no se ha logrado llevar a cabo las capacitaciones planteadas dada la emergencia por COVID-19
Durante el segundo semestre del año la dificultad que se presenta se relaciona a la disponibilidad de vehículos o transporte para llevar a cabo la movilización a los municipios por parte de la subdirección de conocimiento. </t>
  </si>
  <si>
    <t xml:space="preserve">Dada la imposibilidad de los procesos presenciales como consecuencia de la emergencia por COVID-19 se vio afectada la ejecución del plan de capacitación con los colegios, lo cual afecto el proceso durante el primer semestre del año. </t>
  </si>
  <si>
    <t>Definición de agendas y rutas para el desarrollo de las primeras 60 jornadas de fortalecimiento de las capacidades de gestión de riesgo.
8 Mesas de trabajo llevadas a cabo con los directivos de la corporación Maloka para la planeación del evento. 
Comités técnicos y directivos para el cumplimiento de meta 
Asistencia y socialización de proyecto con los integrantes del consejo municipal de gestión de riesgo de desastres del proyecto “unidad móvil para la gestión del riesgo”, verificación del lugar de instalación y plan de trabajo. 
Visitas técnicas a seis municipios de la avanzada con un total de 106 personas relacionadas con el plan de trabajo en los municipios de Paratebueno, Medina, Ubalá, Guatavita, Guasca, Gachetá.
Se cuenta con cronograma de ejecución establecido para el cuarto trimestre del año 2021 y para la ejecución de toda la vigencia 2022. A la fecha se cuenta con un avance del 30% de la meta establecida para el actual año y pese a que no se pudo dar inicio a la ejecución desde el primer trimestre del año, si se programa cumplimiento total de la meta. 
Fortalecimiento de las capacidades para la gestión del riesgo mediante la unidad móvil con un total de 8.311 personas entre estudiantes, docentes, servidores públicos y comunidad en general, logrando llevar la unidad móvil a los municipios de Ubaté, Zipaquirá, Sopo, Tausa, Medina, Guatavita , Cajicá, Gobernación de Cundinamarca, Paratebueno, Gacheta y Guasca.</t>
  </si>
  <si>
    <t xml:space="preserve">Para el mes de noviembre se llevaron a cabo 4 jornadas para el fortalecimiento de las capacidades de gestión de riesgo en los municipios de Ubate, Zipaquirá, Sopo y Tausa para un total de 2.675 personas capacitadas mediante las jornadas con la unidad móvil. De acuerdo con la gestión las jornadas se ejecutaron de la siguiente manera:
Municipio de Ubaté con 801 participantes
3 de noviembre - 215 personas
4 de noviembre - 494 personas
5 de noviembre - 92 personas
Municipio de Zipaquirá con 1.121 personas
9 de noviembre - 38 personas
10 de noviembre - 124 personas
11 de noviembre - 605 personas
12 de noviembre - 354 personas
Municipio de Sopo con 451 personas
17 de noviembre - 248 personas
18 de noviembre - 74 personas
19 de noviembre - 129 personas
Municipio de Tausa con 302 personas
24 de noviembre - 43 personas
25 de noviembre - 212 personas
26 de noviembre - 47 personas
</t>
  </si>
  <si>
    <t>Se ha logrado llevar a cabo las agendas de avanzada con los municipios que hacen parte de la primera fase de ejecución de capacitaciones para el fortalecimiento de las capacidades de gestión del riesgo. Se cuenta con cronograma de ejecución establecido para el cuarto trimestre del año 2021 y para la ejecución de toda la vigencia 2022. A la fecha se cuenta con un avance del 110%, se ha llevado a cabo el fortalecimiento de las capacidades para la gestión del riesgo mediante la unidad móvil con un total de 8.311 personas entre estudiantes, docentes, servidores públicos y comunidad en general, logrando llevar la unidad móvil a los municipios de Ubaté, Zipaquirá, Sopo, Tausa, Medina, Guatavita , Cajicá, Gobernación de Cundinamarca, Paratebueno, Gacheta y Guasca.</t>
  </si>
  <si>
    <t>Dificultad para ejecutar a tiempo las jornadas de capacitación y fortalecimiento en los municipios dada la emergencia y la limitación para realizar actividades donde puede existir aglomeración.</t>
  </si>
  <si>
    <t>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de igual manera, se ha realizado acompañamiento y asesoría a los municipios mediante las asistencias técnicas con el fin de fomentar el diseño e implementación de los planes municipales para la gestión del riesgo; asimismo, a la fecha se cuenta con la instalación del 100% de los comités provinciales para la gestión del riesgo.  Por otra parte, se ha implementado el plan padrino por parte de la UAEGRD con el fin de poder realizar asesoría y seguimiento a las necesidades y acciones de los municipios en el marco de la implementación de la política publica, el plan departamental y la estrategia departamental de respuesta. Finalmente, se cuenta con el plan de capacitación y plan de divulgación el cuals e ha ejecutado a partir de las asistencias técnicas mediante la implementación del plan padrino; asimismo, se ha logrado contar con el diagnostico de los instrumentos de planificación de los 116 municipios mediante la articulación entre la subdirección de conocimiento y manejo.</t>
  </si>
  <si>
    <t xml:space="preserve">* Se llevó a cabo contrato con EDURED con el fin de llevar a cabo la verificación de la implementación y cumplimiento del plan departamental y la politica publica en aras de formular la ruta requerida para la actaulización del plan departamental yla estrategia de respuesta. 
* Se realizó la formulación para llevar a cabo el encuentro de departamental de bomberos, defensa civil, cruz roja y los 116 coordinadores de gestión del riesgo de los municipios del departamento.
* Se realizaron 7 asistencias tecnicas para un total de 152 personas asistidas mediante 3 asistencias para un total de 24 personas asistidas de las alcaldias y consejos municipales para la gestión del riesgo; 3 capacitaciones para un total de 105 personas asistidas y un acompañamiento para un total de 23 personas. Los temas en los cuales se brindo asistencia cumplieron el objetivo de  Fortalecer los conceptos básicos de la gestión del riesgo mediante los instrumentos de planificaciòn de la politica pública; Orientar a los municipios frente al reconocimiento de las capacidades reales en factores de bioseguridad, psicosociales, logisticos, fisicos y preventivos e
Implementar el conocimiento frente al plan departamental y planes municipales  para la gestión del riesgo a partir de la socialización del marco normativo y legal.  </t>
  </si>
  <si>
    <t>Se ha fortalecido el conocimiento e implementación del plan departamental para la gestión del riesgo al igual que se ha promovido con los municipios mediante las asistencias, para que diseñen e implementen  sus planes municipales en el marco de la ejecución de la ordenanza 066 de 2018. Se cuenta con el plan de divulgación y respectivo cronograma el cual se ejecuta a través de las asistencias técnicas que realizan los funcionarios y contratistas. Se cuenta con la instalación del 100% de los comités provinciales para la gestión del riesgo; de igual manera, se cuenta con la elaboración de la ruta para la actualización del plan departamental para la gestión del riesgo.
Se cuenta con las matrices actualizadas de enlaces para la gestión del riesgo y los cuerpos oeprativos de los 116 municipios, asi mismo se cuenta con la matriz de inventario de planes municipales y estrategias municipales. finalmete, se ha logrado la articulación del sistema departamanetal para la gestión del riesgo a partir del eje de gobernanza el cual contara con un plan de capacitación y divulgaciób que se ejecutara en el mes de diciembre mediante 4 eventos macro con los coordinadores municipales y los cuerpos operativos.</t>
  </si>
  <si>
    <t>En el primer semestre del año temas como el paro nacional y las emergencias por temporada de lluvias así como la emergencia por COVID-19 generaron que las acciones de capacitación y divulgación se vieran retrasadas.</t>
  </si>
  <si>
    <t xml:space="preserve">Imposibilidad para realizar capacitaciones dada la emergencia sanitaria que impide la ejecución de eventos masivos en espacios cerrados; no obstante, dado el plan de vacunación se ha logrado avanzar en el tercer trimestre del año en procesos de capacitación. </t>
  </si>
  <si>
    <t xml:space="preserve">* 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 Se ha realizado acompañamiento y asesoría a los municipios mediante las asistencias técnicas con el fin de fomentar el diseño e implementación de la estrategia municipal para larespuesta aemergencias. 
*Se formularon protocolos para orientar a los municipios frente a la ruta para declarar emergencias y fortalecer el sistema de alertas tempranas. 
* Se ha implementado el plan padrino por parte de la UAEGRD con el fin de poder realizar asesoría y seguimiento a las necesidades y acciones de los municipios en el marco de la implementación de la política publica, el plan departamental y la estrategia departamental de respuesta. 
*Se cuenta con el plan de capacitación y plan de divulgación de la estrategia departamental de respuesta a emergencias. </t>
  </si>
  <si>
    <t xml:space="preserve">Para el mes de noviembre se realizaron 10 asistencias técnicas en los municipios de  Fusagasugá, Soacha, Arbelaez,Tibacuy, Cabrera, Venecia, Gacheta, Simijaca, Fúquene, Cucunuba, Ubaté, Beltrán, Zipaquirá, Caparrapí, Cáqueza, Tocancipá, Cajicá y Guaduas, mediante cuatro capacitaciones, cinco asesorías y dos acompañamientos para un total de 635 personas asistidas de los consejos municipales para la gestión del riesgo, funcionarios de las alcaldías, instituciones educativas, empresas de servicios públicos, juntas de acción comunal y población en general en relación con:
* Niveles de emergencia  1 asesorías para un total de 10 personas asistidas.
* Instrumentos legales y normativos de la estrategia departamental y estrategia municipal de respuesta a emergencias. 1 capacitación y una asesoría para un total de 13 personas.
* Articulación de los planes comunitarios. 2 capacitaciones y 1 asesoría para un total de 305 personas. 
3. Protocolos de acción para eventos de emergencia. 2 asesorías, 1 capacitación, 1 acompañamiento para un total de 37 personas
De igual manera se llevo a cabo diagnostico de los municipios frente a la formulación de la estrategia municipal de respuesta la cual a la fecha presenta un avance de 43 municipios con estrategia. De igual manera, se ha brindado acompañamiento a todos los municipios frente a la implementación de la política, el plan y la estrategia municipal de respuesta con el fin de llevar a cabo la articulación del sistema departamental.
Se llevó a cabo un convenio con FONDECUN con el fin de formular la ejecución de los eventos de divulgación y capacitación de los cuerpos operativos del departamento y los coordinadores municipales para la gestión del riesgo. De igual manera se formulo estrategia para la temporada de diciembre con el fin de disminuir los riesgos por majeo de pólvora. 
</t>
  </si>
  <si>
    <t>Fortalecimiento a los municipios frente a la implementación de la estrategia departamental de respuesta mediante las asistencias técnicas a los miembros que conforman el sistema municipal para la gestión del riesgo. Acompañamiento a los municipios que han decretado alertas con motivo a emergencias naturales y/o antrópicos, así como a los que requieren asesoría frente a la implementación de la estrategia de respuesta lo cual se ha fortalecido mediante la implementación del plan padrino por parte de la UAEGRD y la actualización del plan de asistencia técnica.</t>
  </si>
  <si>
    <t>La temporada de lluvias genero el incremento de emergencias y activo en mayor medida las solicitudes por ayudas humanitarias, lo cual conlleva a que se deban atender muchas solicitudes de asesoría y asistencia por parte de los municipios con el fin llevar a cabo el debido proceso estipulado en la política y  la estrategia, esto genera a su vez la modificación en el cronograma del plan de capacitación y divulgación, tema que también es afectado por la emergencia que aún se presenta por COVID-19. Para el mes de agosto se vio afectada la gestión dada la emergencia en el municipio de Guayabetal que genero que el recurso humano de la unidad se concentrara en las acciones de acompañamiento al municipio tanto en la entrega de ayuda humanitarias como en el apoyo psicosocial de la población afectada.</t>
  </si>
  <si>
    <t xml:space="preserve">Durante el primer semestre del año se vio afectada la ejecución del plan de capacitación y divulgación de la estrategia de respuesta en los tiempos y municipios proyectados debido a las dificultades de realizar dichos procesos con demasiado numero de personas. </t>
  </si>
  <si>
    <t xml:space="preserve">Se ha logrado atender el 100% de las solicitudes que realizan los municipios con el fin de llevar a cabo mediante las visitas y asistencias oculares, la formulación de acciones correctivas y prospectivas que permitan la disminución del riesgo y la incorporación de los escenarios identificados  en los instrumentos de planificación en el municipio. Actualmente se viene ejecutando el proyecto de obras de construcción para quebradanegra con el fin de disminuir el riesgo al que se expone la comunidad; proyecto que, se formula bajo la implementación del eje estratégico de gobernanza estipulado en la política pública departamental para la gestión del riesgo. </t>
  </si>
  <si>
    <t>Se realizó visita técnica e inspección ocular en 22 escenarios de riesgo identificados en 22 municipios por solicitud de los mismos (Albán, Bituima, Cabrera, Caparrapí, Choachí, Guayabetal, La mesa, la palma, Madrid, Nilo, Puerto Salgar, San Juan de Rioseco, Supatá, Susa, Tena, Topaipi, Ubalá, Venecia, Vergara,  Villa Gomez, Villa Pinzon y Villeta ), con el fin de formular las recomendaciones respectivas para las acciones de mitigación por parte de los municipios y entidades competentes.</t>
  </si>
  <si>
    <t>Se llevó a cabo informe técnico con las respectivas recomendaciones para los consejos municipales para la gestión del riesgo de acuerdo con la ejecución de 150 asistencias por parte del equipo de reducción del riesgo, atendiendo el 100% de solicitudes de los municipios del Departamento. Se realizó la respectiva recomendación para la incorporación de los escenarios de riesgo en los instrumentos de planificación de los municipios lo cual permite a su vez consolidar la base de datos de los escenarios de riesgo y amenazas del departamento conforme los estipula las metas de Bienestar del programa ruta de la gestión del riesgo.</t>
  </si>
  <si>
    <t>En el mes de agosto se llevó a cabo la inauguración del CRIR de Tocaima el cual realizó apertura y se encuentra al servicio de la comunidad. Se firmo convenio interadministrativo  con el objeto de aunar esfuerzos técnicos y administrativos entre el Departamento UAEGRD Secretaria General y el Municipio de Tocaima para la operación y puesta en funcionamiento. Se adelantaron acciones con la Universidad de Cundinamarca para la firma de un convenio con el propósito de prestar asistencia técnica a los municipios de la jurisdicción del CRIR, mediante el apoyo de docentes, pasantes y practicantes.</t>
  </si>
  <si>
    <t xml:space="preserve">Se garantizó la puesta en marcha y funcionamiento del CRIR de Tocaima a partir del 28 de agosto. </t>
  </si>
  <si>
    <t>Para garantizar el funcionamiento del CRIR de Tocancipá, se requiere llevar adecuación en tema de infraestructura, proceso que se realizará mediante la inversión del municipio en aras de garantizar la entrega del CRIR e iniciar la puesta en funcionamiento.</t>
  </si>
  <si>
    <t>Se logro dar cumplimiento a la creación e implementación del Centro de Información y Telecomunicaciones de la UAEGRD con el fin de integrar las acciones requeridas para atender las emergencias y realizar los respectivos reportes que permiten la formulación de acciones para la mitigación del riesgo como acción y funcion del sistema de información de gestión del riesgo y de alertas tempranas. Consolidación de base de información que permitirá identificar las provincias y municipios con mayor frecuencia de riesgo con el fin de llevar a cabo la identificación de las alertas tempranas implementadas y articular la creación del modulo con base en la priorización de las alertas identificadas  por la unidad nacional.</t>
  </si>
  <si>
    <t xml:space="preserve">Se realizo la asistencia técnica a los municipios que reportaron emergencias y/o desastres mediante CITEL, se llevó a cabo la consolidación del boletín mensual de octubre y la consolidación anual  con el fin de contar con las bases de información que serán insumo para la creación de un modulo que permita reportar información en tiempo real. 
Se lleva a cabo la consolidación de informe anual con corte al mes de noviembre, ejecutando de esta manera las acciones del proyecto de CITEL como funcionalidad del sistema de alertas tempranas. </t>
  </si>
  <si>
    <t>Consolidación de base de información que permitirá identificar las provincias y municipios con mayor frecuencia de riesgo y consolidación de la información de emergencias naturales y antrópicas del departamento, formulación de boletines semanales y mensuales frente a emergencias para la creación e base de datos de información para el modulo SAGA.
Se logro dar cumplimiento a la creación e implementación del Centro de Información y Telecomunicaciones de la UAEGRD con el fin de integrar las acciones requeridas para atender las emergencias y realizar los respectivos reportes que permiten la formulación de acciones para la mitigación del riesgo.</t>
  </si>
  <si>
    <t>Pese a los requerimientos realizados a la Secretaría de Tics, a la fecha no se ha logrado concretar plan de trabajo para definir las acciones requeridas para la nueva funcionalidad del sistema de SAGA</t>
  </si>
  <si>
    <t>ESBOCUN cuenta a la fecha con licencia de funcionamiento y se le otorgo el registro de los programas de formación laboral, cuenta también con aprobación dos carreras técnicas, cursos libres y diplomados todo incluyentes en el tema de gestión del riesgo, se ha ejecutado proceso de capacitación de técnico con las unidades de bomberos Tabio, personal invitado PONALSAR, ejército nacional y bomberos de otras instituciones. Se vienen realizando mesas de trabajo para el  acompañamiento al municipio de acuerdo con las necesidades requeridas para el proceso de adquisición del predio y posteriormente estudios de diseño donde se llevaría a cabo la construcción.</t>
  </si>
  <si>
    <t>* Se llevó cabo la operación de donación para pistas de entrenamiento para rescate en alturas, rescate en espacios confinados y rescate industrial. 
* los equipos de entrenamiento donados estan en el orden de los Cuatrocientos Setenta Millones de pesos ($470.000.000)
* los costos de desmonte, transporte, re-instalación y mantenimiento y pintura esta estimado en Cien Millones de Pesos ($100.000.000)
* Se logro contar con la licencia de funcionamiento a la Institución de Educación Para El Trabajo y El Desarrollo Humano a La Escuela De Bomberos De Cundinamarca “ESBOCUN” Del Municipio De Tabio – Cundinamarca
* Mediante Resolución número 103 se expidio la licencia de Subdivisión de un predio ubicado en la zona rural del municipio de Tabio expedida por la secretaria de planeación.
* Mediante resolución 003738  se otorgo el registro de los programas de FORMACION LABORAL a la Institución de Educación para el Trabajo y el Desarrollo Humano a la ESCUELA DE BOMBEROS DE CUNDINAMARCA “ESBOCUN” del municipios de Tabio – Cundinamarca
* Aprobación dos carreras técnicas, cursos libres y diplomados todo incluyentes en el tema de gestión del riesgo.
*Actualmente se inició proceso de capacitación de técnico con las unidades de bomberos Tabio, personal invitado ponalsar, ejército nacional y bomberos de otras instituciones. Un total de 30 personas.
* mediante escritura publica No. 2.002 se cuenta con donación predio “Las Brisas”
* Mediante contrato con FONDECUN se formulo evento para la socialización y divulgación de la estrategia de la escuela de bomberos con todo el sistema departamental de bomberos el cuals e llevara a cabo en el mes de diciembre.</t>
  </si>
  <si>
    <t>ESBOCUN cuenta a la fecha con licencia de funcionamiento y se le otorgo el registro de los programas de formación laboral, cuenta también con aprobación dos carreras técnicas, cursos libres y diplomados todo incluyentes en el tema de gestión del riesgo y  a la fecha ya se inició proceso de capacitación de técnico con las unidades de bomberos Tabio, personal invitado ponalsar, ejército nacional y bomberos de otras instituciones para un total de 30 personas.</t>
  </si>
  <si>
    <t>Como consecuencia de eventos de ola invernal, incendio forestal y desabastecimiento de agua se han atendido un total de 90 ayudas humanitarias mediante la entrega de bonos de alimentos, mercados, insumos y herramientas como kit de cocina, kit de aseso, tanques de agua, colchonetas, colchas entre otros, ayudando a un total de 10.059 familias</t>
  </si>
  <si>
    <t>Se atendio la solicitud de ayuda humanitaria de los municipios de Girardot, La peña, Villeta, Nocaima, Guacheta, Fuquene, Tiribitá, Machetá, Puli, Bituima, El Rosal, Zipacón y Subachoque, dada la emergencia por la segunda temporada de lluevias  mediante la cual se vieron beneficiadas 811 familias a quienes se les entregaron 1.421 tejas de zinc, 8 tejas eternit, 44 tanques de agua de 500 litros, 500 kit de cocina, 556 kit de aseo, 831 kit de mercado, 258 colchonetas y 333 frazadas.</t>
  </si>
  <si>
    <t>Se han atendido durante la vigencia del año 78 solicitudes de ayudas humanitarias por parte de los municipios afectados por eventos de ola invernal, incendio forestal y desabastecimiento de agua, entre otros, lo cual ha permitido beneficiar mediante las ayudas a un total de 10.059 familias. Se ha fortalecido el conocimiento de los sistemas municipales para la gestión del riesgo frente a la ruta de emergencias y la atención a solicitudes de ayudas humanitarias mediante las capacitaciones que se brinda a la comunidad en los momentos en que se atiende la emergencia.</t>
  </si>
  <si>
    <t>Se presenta incremento de emergencias y requerimientos de ayuda humanitaria como consecuencia de la primera y segunda ola invernal, temporada seca y otras emergencias y desastres de origen natural. Así mismo el Departamento se encuentra bajo alerta roja y varios municipios se enfrentan a la necesidad de declarar calamidad pública si las lluvias continuan en incremento.</t>
  </si>
  <si>
    <t xml:space="preserve">la UAEGRD suscribió los convenios interadministrativos UAEGRD-CDCVI-068-2021 con el municipio de El Rosal el 28 de septiembre de 2021; UAEGRD-CDCVI-069-2021 con el municipio de Chipaque el 28 de septiembre de 2021; UAEGRD-CDCVI-070-2021 con el municipio de Agua de Dios el 29 de septiembre de 2021. El objeto del convenio es “AUNAR ESFUERZOS TÉCNICOS, ADMINISTRATIVOS Y FINANCIEROS PARA LA ELABORACIÓN Y/O ACTUALIZACIÓN, DESARROLLO Y EVALUACIÓN DE LOS ESTUDIOS BÁSICOS DE RIESGO PARA LA ZONIFICACIÓN DE LA AMENAZA POR PROCESOS DE MOVIMIENTOS EN MASA, INUNDACIONES Y AVENIDAS TORRENCIALES EN SUELO URBANO, EXPANSIÓN URBANA, CENTROS POBLADOS RURALES Y SUELO RURAL, E INCENDIOS FORESTALES EN SUELO RURAL, DEL MUNICIPIO DE / AGUA DE DIOS / CHIPAQUE / EL ROSAL / CUNDINAMARCA, COMO MUNICIPIO PRIORIZADO PARA EL CUMPLIMIENTO DE LA SENTENCIA DEL RÍO BOGOTÁ DC, Y DEL PLAN DE DESARROLLO DEPARTAMENTAL 2020-2024 “CUNDINAMARCA, ¡REGIÓN QUE PROGRESA!””. El 3 de noviembre de 2021, en el marco de los tres convenios, se firmó acta de inicio.
Por otra parte, para los 10 municipios restantes los cuales son: El Peñón, Fosca, Gutiérrez, Manta, Quetame, San Bernardo, San Juan de Rioseco, Ubaque, Utica y Viani, de los cuales los municipios de Gutiérrez, Quetame y Ubaque manifestaron que no contaban con los recursos financieros para cofinanciar el diez por ciento (10%) del costo total de los Estudios Básicos de Riesgo, por lo tanto, allegaron carta de desvinculación del proceso. Siendo así, quedaron 3 espacios disponibles, por lo tanto, UAEGRD priorizó tres (3) municipios los cuales habían manifestado anteriormente la intención de ser incluidos en el proyecto, ellos son: Nocaima, Pasca y Une. El 13 de Octubre se suscribieron el convenio interadministrativo UAEGRD-CDCVI-072-2021 entre la UAEGRD y los 10 municipios priorizados, cuyo objeto es: “AUNAR ESFUERZOS TÉCNICOS, ADMINISTRATIVOS Y FINANCIEROS PARA LA ELABORACIÓN Y/O ACTUALIZACIÓN, DESARROLLO Y EVALUACIÓN DE LOS ESTUDIOS BÁSICOS DE RIESGO PARA LA ZONIFICACIÓN DE LA AMENAZA POR PROCESOS DE MOVIMIENTOS EN MASA, INUNDACIONES, AVENIDAS TORRENCIALES EN SUELO URBANO, EXPANSIÓN URBANA, CENTROS POBLADOS RURALES Y SUELO RURAL, E INCENDIOS FORESTALES EN SUELO RURAL, EN 10 MUNICIPIOS DEL DEPARTAMENTO DE CUNDINAMARCA, CON EL FIN DE DAR CUMPLIMIENTO AL PLAN DE DESARROLLO DEPARTAMENTAL 2020-2024 “CUNDINAMARCA, ¡REGIÓN QUE PROGRESA!”. 
Del convenio mencionado, se deriva el convenio interadministrativo con entidad pública EDURED, el cual se suscribió el dia 12 de Noviembre del presente año, cuyo objeto es: “AUNAR ESFUERZOS TÉCNICOS, ADMINISTRATIVOS Y FINANCIEROS PARA LA ELABORACIÓN Y/O ACTUALIZACIÓN, DESARROLLO Y EVALUACIÓN DE LOS ESTUDIOS BÁSICOS DE RIESGO PARA LA ZONIFICACIÓN DE LA AMENAZA POR PROCESOS DE MOVIMIENTOS EN MASA, INUNDACIONES, AVENIDAS TORRENCIALES EN SUELO URBANO, EXPANSIÓN URBANA, CENTROS POBLADOS RURALES Y SUELO RURAL, E INCENDIOS FORESTALES EN SUELO RURAL, EN 10 MUNICIPIOS DEL DEPARTAMENTO DE CUNDINAMARCA, CON EL FIN DE DAR CUMPLIMIENTO AL CONVENIO INTERADMINISTRATIVO NRO. UAEGRD- CDCVI-072-2021, SUSCRITO ENTRE LA UAEGRD  Y LOS MUNICIPIOS DE EL PEÑÓN, FOSCA, MANTA, NOCAIMA, PASCA, SAN BERNARDO, SAN JUAN DE RIOSECO, UNE, UTICA, Y VIANI DEL DEPARTAMENTO DE CUNDINAMARCA”. 
</t>
  </si>
  <si>
    <t>Con la misión de llegar a todo el departamento y en aras de articular a Cundinamarca por medio de una red departamental de radio, gracias al programa En Línea con el Gobernador logramos llegar a más de 53 emisoras comunitarias y 2 emisoras regionales. Además, ya tenemos conexión con más de 12 alcaldías municipales, las cuales ya están incluidas en la parrilla de programación del El Dorado Radio.</t>
  </si>
  <si>
    <t xml:space="preserve">A la fecha contamos con 42 programas al aire en la Emisora “El Dorado Radio” divididos en noticieros, programas de entretenimiento, musicales, de emprendimiento, salud, empoderamiento, participación y de secretarías y direcciones de las diferentes entidades de la Gobernación de Cundinamarca; adicional a ello también se efectúan transmisiones de eventos especiales que realiza la gobernación, por ejemplo, Gobernador en Línea, ferias de servicios y rendición de cuentas.  Se han transmitido eventos especiales en la frecuencia 99.5FM y redes sociales (Instagram, Facebook, YouTube y Twitter) teniendo las siguientes estadísticas con tendencia al incremento de seguidores en redes sociales así: Resumen estadísticas Instagram:  Seguidores: 2019, Cuentas alcanzadas: 3.802 Cuentas que interactuaron: 87. Resumen estadísticas twitter: Twitter: 4.336. Resumen estadísticas Facebook: Seguidores: 12,48 k, alcance de publicaciones: 115,7 mil interacciones con las publicaciones: 20,9 mil, nuevos me gusta de la página: 145, nuevos seguidores: 209, alcance de la página: 158,6 mil, visitas a la página: 3.638. Adicional a ello se ha logrado la conexión con 15 municipios para transmisión de programas de interés de cada territorio en la Emisora El Dorado Radio. A través del programa “En línea Con El Gobernador” llegamos a 53 emisoras comunitarias y 2 emisoras regionales. Se ha promovido el apoyo a jóvenes emprendedores del municipio de Gachancipá con la apertura de un espacio radial en la Emisora “El Dorado Radio” en los días viernes de 8pm a 10pm y sábados de 8pm a 11pm. Por último, mencionar que en el marco de la suscripción del contrato interadministrativo con el Fondo de Desarrollo de Proyectos de Cundinamarca- FONDECUN vigencia 2021; se evidencia un avance de ejecución del 78% de los siguientes productos: Radio regional, radio nacional y programa en línea con el Gobernador. </t>
  </si>
  <si>
    <t xml:space="preserve">Al mes de  noviembre de 2021, la emisora de interés público "El Dorado Radio" tiene al aire 42 programas que están divididos en noticieros, programas de entretenimiento, musicales, de emprendimiento, salud, empoderamiento, participación y de secretarías y direcciones de las diferentes entidades de la Gobernación de Cundinamarca; adicional a ello también se realizan transmisiones de eventos especiales que adelanta la gobernación, por ejemplo, Gobernador en Línea, ferias de servicios, rendición de cuentas, entre otros; tanto en la frecuencia 99.5 FM, como por nuestros diferentes canales virtuales, teniendo las siguientes estadísticas con tendencia al incremento respecto a meses anteriores:             Resumen estadísticas Instagram:                                                                                                                                                                                         Seguidores: 2019                                                                                                                                                                                                                         Cuentas alcanzadas: 3.802                                                                                                                                                                                                         Cuentas que interactuaron: 87                                                                                                                                                                                               Resumen estadísticas twitter:                                                                                                                                                                                                    Twitter: 4.336                                                                                                                                                                                                                               Resumen estadísticas Facebook: 
Seguidores: 12,48 k
Alcance de publicaciones: 115,7 mil 
Interacciones con las publicaciones: 20,9 mil 
Nuevos me gusta de la página: 145 
Nuevos seguidores: 209 
Alcance de la página: 158,6 mil 
Visitas a la página: 3.638
Ahora bien, durante el desarrollo de mesas de dialogo de la Gobernación de Cundinamarca, jóvenes del municipio de Gachancipa con un emprendimiento denominado “Maxi Rumba”, solicitaron un programa radial en la Emisora “El Dorado Radio”, razón por la cual se abrió una franja para tal efecto los días viernes de 8pm a 10pm y sábados de 8pm a 11pm. Por ultima, en el marco de la suscripción del contrato interadministrativo con el Fondo de Desarrollo de Proyectos de Cundinamarca- FONDECUN vigencia 2021, a la fecha se evidencia un avance de ejecución del 77% correspondiente a la ejecución de los siguientes productos:                                                                                    
Radio regional.                                                                                                               
Radio nacional.                                                                                                                    
Programa en Línea con el Gobernador.
</t>
  </si>
  <si>
    <t>Durante la vigencia 2020 a través de la suscripción del Contrato Interadministrativo con el Fondo de Desarrollo de Proyectos de Cundinamarca- FONDECUN, se realizó la caracterización y diagnóstico de los medios de comunicación del departamento identificando 411 medios de comunicación de la región distribuidos de la siguiente manera: Radio 217, medios impresos (prensa) 112, televisión 22 y web y redes sociales 60.                                                                                                                                                                     En el marco de la celebración del día del periodista durante la vigencia 2021 se realizó el evento denominado Reconocimiento "Periodismo Vivo Antonio Nariño", donde se entregaron 7 tablets  Marca Lenovo Tab M8 HDpantalla HD y altavoz con tecnología Dolby Audio, procesador de cuatro núcleos y batería de larga duración  a los periodistas ganadores en las 8 categorías descritas.                                                                                                                                                                                                                                               Por último, en el marco del acompañamiento técnico realizado por la Secretaría de Prensa y Comunicaciones para que los medios de comunicación postularán sus propuestas ante el Ministerio de Tecnologías de la Información y las Comunicaciones- MinTIC para recibir apoyos en transformación digital,  a la fecha se ha logrado impactar a 120 medios regionales, de los cuales 4 culminaron el proceso satisfactoriamente en la plataforma de MinTIC.                                                                                                                                                                                                                                    Además, se dio inició al curso de redacción y ortografía con un total de 54 periodistas inscritos que a la fecha se encuentra en curso.                                                                                                                                                                                                                                      Seguido a ello, hemos logrado impactar a 25 medios de comunicación del departamento en el marco de la convocatoria para capacitar a periodistas; en dicho contexto se entregaron 19 certificaciones de participación y aprobación del Curso Marketing Digital en su primera convocatoria.</t>
  </si>
  <si>
    <t>Se realizó la entrega de 7 tablets Marca Lenovo Tab M8 HD pantalla HD y altavoz con tecnología Dolby Audio, procesador de cuatro núcleos y batería a periodistas ganadores de 8 categorías en el marco de la celebración del día del periodista vigencia 2021 denominado Reconocimiento "Periodismo Vivo Antonio Nariño". En dicho contexto el día 04 de octubre de 2021, se dio apertura a la convocatoria de la 2ª versión de la condecoración ‘Periodismo vivo Antonio Nariño de Cundinamarca’ vigencia 2022, un reconocimiento a quienes, por su trabajo y servicio, a través del ejercicio del periodismo, aportan y exaltan el nombre del departamento.  Ahora bien, producto de una alianza estratégica con el Servicio Nacional de Aprendizaje- SENA se desarrollaron los cursos de marketing digital y redacción y ortografía donde se logró impactar a 25 y 41 periodistas de medios de comunicación del departamento. Por ultimo y en el marco de la alianza con la Casa Editorial El Tiempo S.A se desarrolló un taller enfocado en redes sociales, digital y edición de textos que permitió contribuir con la capacitación de 51 periodistas de medios de comunicación del departamento. Además, se realizó acompañamiento técnico a 120 medios de comunicación del departamento para la postulación de propuestas ante el Ministerio de Tecnologías de la Información y las Comunicaciones- MinTIC y así recibir apoyo en transformación digital; 4 de ellos culminaron el proceso exitosamente.</t>
  </si>
  <si>
    <t xml:space="preserve">En el mes de octubre de 2021 se culminó el cumplimiento a la programación física de la meta para la vigencia. </t>
  </si>
  <si>
    <t xml:space="preserve">En el marco de la celebración del día del periodista, se realizó el evento denominado Reconocimiento "Periodismo Vivo Antonio Nariño", donde se entregaron 7 tablets  Marca Lenovo Tab M8 HDpantalla HD y altavoz con tecnología Dolby Audio, procesador de cuatro núcleos y batería de larga duración  a los periodistas ganadores en las 8 categorías descritas. En el marco de las covocatorias para capacitar a periodistas del departamento se inició con un proceso de preinscripción que culminó el 25 de junio de 2021, con el fin de determinar el número de postulados preinscritos que a la fecha son: 
1. Curso Redacción y ortografía: 180 postulados preinscritos 
2.Curso Marketing digital: 115 postulados preinscritos.
3.Curso Maketing digital (para enlaces de la gobernación): 40 postulados preinscritos. En el marco del acompañamiento técnico realizado por la Secretaría de Prensa y Comunicaciones para que los medios de comunición postulen sus propuestas ante el Ministerio de Tecnologías de la Información y las Comunicaciones- Mintic  y así recibir apoyos en transformación digital a la  fecha se ha logrado impactar a 130 medios regionales, de los cuales 2 han cargado sus documentos satisfactoriamente a la plataforma de Mintic y 4 están haciendo los ajustes pertinentes para postularse.
</t>
  </si>
  <si>
    <t>La Secretaría de Prensa y Comunicaciones a la fecha ha brindado asistencia técnica a 1.305 solicitudes de las diferentes entidades del nivel central y descentralizado durante las vigencias 2020 y 2021 en temas como: acompañamiento de prensa y redes, apoyo de prensa, animación, aprobación y revisión gráfica, aprobación y revisión de piezas, archivo fotográfico y video, acompañamiento de camarógrafo, fotógrafo y presentador, copias fotográficas y de video, cuñas radiales, diseño, revisión y aprobación de piezas gráficas, revisión y edición de video, publicación en redes, entre otros.                                                           Además, se ha adelantado la suscripción de contratos de licencia de uso de la marca de Cundinamarca para productores de la región.                                                                                                                                    En el marco de la suscripción del contrato interadministrativo con el Fondo de Desarrollo de Proyectos de Cundinamarca- FONDECUN vigencia 2021, a la fecha se evidencia un avance de ejecución del 52% correspondiente a la ejecución de los siguientes productos: 
1.Plan de medios regionales y nacionales.                                                                
2.Material POP: Socialización gestión institucional en municipios, lanzamiento Agencia Comercial de Cundinamarca y material publicitario para el patrocinio de la marca “Cundinamarca- El Dorado, La Leyenda Vive” en el marco de la suscripción del Contrato No. SPC-CD-060-2021 con el Club Independiente Santafé S.A.                                                                    
3.Programa productora de televisión.  
La Secretaría de Prensa y Comunicaciones a través de una gestión interinstitucional con la Secretaría de Asuntos Internacionales ha desarrollado las siguientes actividades:                                                                   1. Avance para la suscripción de dos contratos interadministrativos en el fortalecimiento y posicionamiento de las marcas registradas del departamento a través de influencers y youtubers posicionados en redes sociales.
2.Realizar trabajos de campo a través del posicionamiento de la marca de Cundinamarca en el programa de televisión del canal RCN Master Chef con alto rating y transmitido en franja prime en sus dos emisiones en los municipios de Guatavita y Villeta.
3.Diseño y puesta en funcionamiento de un portal web de uso exclusivo de la marca Cundinamarca que permita promover ofertas gastronómicas, artesanales y turísticas del departamento.  
En el marco del posicionamiento y fortalecimiento de la imagen del departamento, se realizó el lanzamiento de la vitrina Kuna Mya donde se impulsan los productos de artesanos y agricultores de la región acompañados del sello dorado de la imagen departamental. Se suscribió Contrato No. SPC-CD-060-2021 con el Club Independiente Santafé S.A. para el patrocinio de la marca “Cundinamarca- El Dorado, La Leyenda Vive” en todos los partidos del equipo profesional femenino de Independiente Santafé en torneos oficiales y amistosos durante el año 2021. A través de la emisión del programa de televisión" Cundinamarca Región que Progresa" segunda temporada en el canal trece en franja prime, se han generado espacios para rendición de cuentas, avances en gestión institucional y promocionando de atractivos turísticos y gastronómicos de los diferentes municipios del departamento donde se realiza su transmisión.</t>
  </si>
  <si>
    <t xml:space="preserve">A la fecha se han atendido 1.772 solicitudes de entidades del nivel central y descentralizado atendidas durante la vigencia 2021. Se realizó apoyo técnico para la suscripción de dos contratos de licencia de uso de la marca Cundinamarca para productores de la región.  Se realizó registro ante la Superintendencia de Industria y Comercio de las siguientes marcas: El Sol Dorado de Cundinamarca (figurativa), El Sol Cundinamarca (mixta) y Emisora El Dorado Radio (mixta), en dicho contexto la Superintendencia de Industria y Comercio- SIC concedió los registros marcarios solicitados a nombre del departamento con lo cual se genera una propiedad más mediante estos intangibles, beneficiando a todos nuestros licenciatarios de marca puesto que se les da seguridad jurídica sobre el respectivo uso del sello Dorado. Se adelantó gestión interadministrativa con la Secretaría de Asuntos Internacionales para fortalecimiento y posicionamiento de las marcas registradas del departamento a través de influencers y youtubers posicionados en redes sociales, programa de televisión del canal RCN Master Chef en sus dos emisiones en los municipios de Guatavita y Villeta y diseño y puesta en funcionamiento de un portal web de uso exclusivo de la marca Cundinamarca que permita promover ofertas gastronómicas, artesanales y turísticas del departamento. En cuanto a la emisión del programa de televisión Cundinamarca ¡REGIÓN Que Progresa! durante la vigencia se han emitido 27 capítulos en Suesca, Sopó, San Juan de Rioseco, Anato, Ubaté, Girardot, Nemocón, Villeta, Villapinzón, Tienda Kuna Mya, Vergara, Subachoque, Gobernación de Cundinamarca (2 capitulos), Cáqueza, Silvania, Pacho, Sesquilé, San Francisco, Guachetá, La Mesa, Sibaté, AgroExpo, Ubaque, La Calera, Bojacá y Cogua. Ahora bien, en el marco de la suscripción del contrato interadministrativo con el Fondo de Desarrollo de Proyectos de Cundinamarca- FONDECUN vigencia 2021, a la fecha se evidencia un avance de ejecución del 78% correspondiente a la ejecución de los siguientes productos: 1. Plan de medios regionales y nacionales. 2. Material POP- Socialización gestión institucional en municipios y material publicitario para el patrocinio de la marca “Cundinamarca- El Dorado, La Leyenda Vive” en el marco de la suscripción del Contrato No. SPC-CD-060-2021 con el Club Independiente Santafé S.A. 3. Programa productora de televisión.               </t>
  </si>
  <si>
    <t xml:space="preserve">En el marco de la ejecución del Contrato No. SPC-CD-060-2021 con el Club Independiente Santafé S.A. para el patrocinio de la marca “Cundinamarca- El Dorado, La Leyenda Vive” el equipo femenino Club Independiente Santafé S.A. participó en la copa libertadores clasificando a la gran final lo que generó un impacto positivo para el departamento y para la marca toda vez que hicimos presencia en diferentes países de Sur América como lo fue Paraguay, Brasil y Ecuador. Una vez solicitados los registros de marca Cundinamarca tanto figurativo como mixto ante la autoridad nacional competente es decir la Superintendencia de Industria y Comercio-SIC se superaron los requisitos formales y se procedió con un estudio de fondo el cual arrojó resultados favorables para el Departamento de Cundinamarca toda vez que mediante los respectivos actos administrativos la SIC concedió los registros marcarios solicitados a nombre del departamento con lo cual se genera una propiedad más mediante estos intangibles, beneficiando a todos nuestros licenciatarios de marca puesto que se les da seguridad jurídica sobre el respectivo uso del sello Dorado. Ahora bien, durante el mes de noviembre se emitieron 4 capítulos del programa de televisión Cundinamarca ¡REGIÓN Que Progresa! en los municipios de Ubaque, La Calera, Bojacá y Cogua. Por último mencionar que durante el mes de noviembre de 2021 se han atendido 152 solicitudes de las diferentes entidades del nivel central y descentralizado en temas como: acompañamiento de prensa y redes,  apoyo de prensa,  animación, aprobación y revisión gráfica,  aprobación y revisión de piezas,  archivo fotográfico y video, acompañamiento de camarógrafo, fotógrafo y presentador, copias fotográficas y de video, cuñas radiales,  diseño, revisión y aprobación de piezas gráficas, revisión y  edición de video, publicación en redes, entre otros. Ahora bien, en el marco de la suscripción del contrato interadministrativo con el Fondo de Desarrollo de Proyectos de Cundinamarca- FONDECUN vigencia 2021, a la fecha se evidencia un avance de ejecución del 77% correspondiente a la ejecución de los siguientes productos: 
1. Plan de medios regionales y nacionales.                                                                
2. Material POP- Socialización gestión institucional en municipios y material publicitario para el patrocinio de la marca “Cundinamarca- El Dorado, La Leyenda Vive” en el marco de la suscripción del Contrato No. SPC-CD-060-2021 con el Club Independiente Santafé S.A.                                                                    
3. Programa productora de televisión.  
</t>
  </si>
  <si>
    <t>Se logra dar cumplimiento a la implementación de lineas estrategicas de politca pública, en los municipios priorizados de Sopo, Fusagasuga, Zipaquirá, Nilo, El Rosal y La Mesa, en la vigencia 2020. Para el año  2021, se ha logrado avanzar en  siete municipios los cuales son : Gachancipa, Cucunuba, Funza, Girardot,  Cota, Guaduas y Villeta con  la implementacion de acciones que permiten fortalecer las areas de politica pública orientadas al trabajador informal en cuanto a deberes y derechos, entornos laborales saludables, fomento del trabajo protegido, red sociales de trabajadores, Sivisala.</t>
  </si>
  <si>
    <t>Se avanzó en los siete municipios Gachancipa, Cucunuba, Funza, Girardot, Cota, Guaduas y Villeta  con  la implementacion de acciones que permiten fortalecer las areas de politica pública orientadas al trabajador informal en cuanto a deberes y derechos, entornos laborales saludables, fomento del trabajo protegido, red sociales de trabajadores, Sivisala.</t>
  </si>
  <si>
    <t xml:space="preserve">La totalidad de los  municipios a la fecha no cuenta con ejecutor de salud laboral.  Algunos no atienden las solciitudes por parte de los referentes, por lo tanto no se cuenta con la totalidad de PAS municipales para conocer quienes cuentan con acciones de la Dimensión y qiuenes no. A la fecha no se cuenta con contrato interadministrativo de concurrencia. </t>
  </si>
  <si>
    <t>Afectación de asistencias tecnicas en territorio, tanto de referentes departamentales como de profesionales vinculados por Concurencia. Limitación en proceso de caracterización.</t>
  </si>
  <si>
    <t>N/A</t>
  </si>
  <si>
    <t>1. La Secretaría de Salud tramita las solicitudes de los servicios de salud para la población pobre no asegurada y extranjera sin afiliación al Sistema General de Seguridad Social en Salud SGSSS con las Instituciones Prestadoras de Salud IPS públicas, privadas y Empresas Sociales de Estado Hospitales del Departamento garantizando la facturación generada por la prestación de los servicios de salud este acorde con los parámetros contractuales entre las entidades prestadoras de servicio de salud.
2. La cobertura del aseguramiento en salud establece el porcentaje de la población que cuenta con afiliación al sistema general de seguridad social en salud, garantizando así su acceso a los diferentes servicios de salud que brinda el sistema. A nivel Nacional el estándar o meta a cumplir frente al aseguramiento se encuentra en 97% con el propósito de lograr la cobertura universal.</t>
  </si>
  <si>
    <t>•	En la Secretario de Salud del Departamento se ha teniendo en cuenta el recaudo del Departamento de las fuentes que financia esta meta, lo cual es baja en el 1er semestre del año que implica a celebrar contratación de prestación de servicios y el pago de cartera a las Instituciones Prestadoras de Salud. 
•	En la Secretaria de Salud del Departamento no cuenta un cuadro o programa del seguimiento de las factoras o cuentas de cobro desde su la radicación en la Dirección de Aseguramiento hasta su pago. contratación parcial en la medida que se tenga recaudo efectivo.</t>
  </si>
  <si>
    <t>Durante el impacto del COVID-19 en la ejecucion de la meta el recaudo de las fuentes para la Secretaria de Salud en Departamento no han sido favorables para el Departamento, para poder realizar las diferentes contratos interadministrativo con las ESE Hospitales y tambien en la gestion del pago de cartera.  Y por otro lado se ha tramitado de las solicitudes en los servicios de salud de la población a cargo del departamento que no se encuentral afiliadas al SGSSS.</t>
  </si>
  <si>
    <t>1, En la Secretaría de Salud con los diferentes grupos de profesionales de la Dirección de Aseguramiento realiza asistencias técnicas y acompañamientos con las Entidades Administradoras de Planes de Beneficios de Salud EAPB, con los municipios en donde se garantiza el acceso a los servicios de salud de sus afiliados del Departamento de Cundinamarca.
2, Se ha generado un incremento en las afiliacion de los usuarios que demandan servicios de salud y las IPS a través de la herramienta de miseguridad social se ha realizado el aseguramiento por SAT como lo indica el decreto 064 de 2020 permitiendo una disminución considerable de la población no asegurada PNA.</t>
  </si>
  <si>
    <t>•	Las Entidades Administradoras de Planes de Beneficios de Salud EAPB se demora en la entrega de la información solicitada y solicitan plazo para la entrega.
•	Empresa Prestadora de Salud Sanitas ha incumplido con varios requerimientos, solicitando plazo la entrega y no cumplen con lo acordado.
•	 Las Empresas Prestadoras de Salud no dan respuesta a los requerimientos de la auditoria a los municipios.
•	Los municipios no entregar los informes de auditora oportunamente a Secretaría de Salud con los diferentes grupos de profesionales de la Dirección de Aseguramiento.</t>
  </si>
  <si>
    <t>Durante el impacto del COVID-19 se ha realizado el seguimiento a las EAPB en garantizar el acceso a los servicios de salud a los afiliados en el Regimen Subsidiado y Contributivo que se encuentran habilitados en el Departamento de Cundinamarca.</t>
  </si>
  <si>
    <t xml:space="preserve">Se han adelantado acciones para la identificacion de enfermerdades trasnmitidas por vectores, georreferenciación, identificación de vector y capacitación a la comunidad, para la identificacion de factores de riesgo en los municipios de Fusagasuga, Girardot y Ricaurte, además, se estan trabajando 4 municipios más del departamento a saber Anapoima, Villeta, La Mesa y Guaduas para avanzar en la consecución de metas del cuatrenio </t>
  </si>
  <si>
    <t xml:space="preserve">se cambiaron las dinamicas de  abordaje en los municipios dentro de una nueva realidad que ha limitado las acciones  por motivos de pandemias , cuarentena; esto influye en la rigurosidad  para estructurar y realizar acciones </t>
  </si>
  <si>
    <t>En el año 2.021 a través del modelo de Atención Primaria Región que progresa en salud se logra la caracterización a través de la “Ficha Familiar” de 42.235 personas (8.502 familias) de las cuales el 9% son de la zona urbana y el restante (91%) corresponde a zona rural y rural disperso; desde  la estrategia "Protegiendo a tu bebe" se encontraron y canalizaron  483 gestantes a varios servicios, entre ellos; aseguramiento, vacunación, curso de preparación a la maternidad, controles prenatales, odontología, psicología, otros servicios de salud y servicios sociales; de ellas 304 (63%) efectivamente asisten al servicio canalizado; igualmente se identifican 847 migrantes, son canalizados 378 menores de 5 años por esquema de vacunación incompleto, de los cuales 286 (75%) completan su esquema de vacunación
Se han canalizado un total de 302 gestantes (48%) sin controles prenatales, de las cuales 75 (25%) han retomado o iniciado sus controles prenatales.
De otra parte, se han encontrado y canalizado 23 gestantes (3.6%) sin aseguramiento, siendo afiliadas 16 (69%).
Respecto a Gestantes con diagnóstico o sintomatología de Covid – 19 se han encontrado 25 equivalentes al 4%, quienes de manera prioritaria y efectiva han sido tratadas y se les hace los seguimientos correspondientes de manera obligatoria.
56 de las 630 (8,8%) gestantes son encontradas y canalizadas por no contar con la vacunación regular, de ellas 13 (23%) se hace efectiva la vacunación.
Sólo 2 gestantes son encontradas con diagnóstico de sífilis, son canalizadas y tratadas.
 Por otra parte desde el proyecto piloto en Rio Negro en articulación con Crónicas para abordar los siguientes temas "Hipertensión arterial y Diabetes Mellitus" se logró lo siguiente: 1 ENTREGA: 99 beneficiarios 2 ENTREGA: 202 beneficiarios 3. ENTREGA: 197 beneficiarios</t>
  </si>
  <si>
    <t xml:space="preserve">El covid  ha afectado la presencialidad  de los referentes en los territorios, por otra parte la baja conectividad que existe en algunos municipios dificulta demaciado el poder realizar  sus asistencias tecnicas </t>
  </si>
  <si>
    <t xml:space="preserve">Se logró la caracterización de la población con Tuberculosis en los 20 municipios con mayor carga de la enfermedad en el departamento: Girardot, Guaduas, Soacha, Fusagasugá, Mosquera, Zipaquirá, Chía, La Mesa, Facatativá, Yacopí, Funza, Pacho, Villeta, Nilo, El Colegio, Madrid, Anapoima, La Palma, Puerto Salgar, Tocaima; análisis epidemiológico del comportamiento del evento, evaluando los indicadores de impacto, programáticos y de cumplimiento de las metas de los planes estratégicos nacional y departamental. Se realizaron mesas de trabajo para análisis de la situación de TB con participación de Secretarias de Salud municipal, EAPB, red de prestadores y otros actores en los municipios de Tocaima, Funza, Soacha, Girardot, Puerto Salgar, Fusagasugá, Mosquera, Yacopí, Chía, Zipaquirá, Sibaté, la Mesa, Anapoima, La Palma , Madrid, Villeta, Guaduas, Facatativá, Nilo validando el plan de trabajo presentado por Tocaima, Girardot, Fusagasugá, Yacopí, Chía, Sibaté, Soacha; lográndose un avance del 40% en la implementación de actividades para fortalecimiento de las líneas estratégicas 1 y 2 del plan departamental y nacional "Hacia el fin de la tuberculosis" en los municipios de Tocaima, Girardot, Soacha, Guaduas, Villeta, La Mesa, Yacopí y Anapoima. </t>
  </si>
  <si>
    <t>Municipios con acciones del plan estratégico departamental “Hacia el fin de la tuberculosis" en la línea estratégica 1 y 2. implementadas</t>
  </si>
  <si>
    <t>Se avanzó en los cinco municipios Guaduas, Villeta, La Mesa, Yacopí y Anapoima con la implementación de las líneas 1 y 2 del Plan Estratégico hacia el fin de la Tuberculosis, así como en la realización de asistencias técnicas, seguimiento a los pacientes con diagnóstico de Tuberculosis en IPS, EAPB y Entidades Territoriales Municipales fortaleciendo acciones de prevención y control de la tuberculosis.</t>
  </si>
  <si>
    <t>Continuidad en las acciones debido a los cortes de vigencias  y los inicios de nuevas contrataciones</t>
  </si>
  <si>
    <t>La pandemia ha limitado las actividades de deteccion por la baja consulta de pacientes en los servicios de salud . Por otro lado las investigaciones de campo que permiten  detectar factores de riesgo y que antes de la pandemia se hacian presenciales y ahora se hacen virtuales o por canal telefonico, en cuanto a las acciones de gestion sectorial e intersectorial se ve limitado el contexto debido a la fuerte carga laboral debido a las acciones realcaionadas con Covid 19 .</t>
  </si>
  <si>
    <t>Se ha logrado la implementacón de estrategias de prevención  de conducta suicida y violencias  en 49 municipios así: estrategia  "Desarrollo de habilidades de afrontamiento" , se ha realizado en 29 municipios: Agua de Dios, Anolaima, Anapoima, Arbelaez,  Apulo,  Bituima,  Cáqueza ,  Cajica,  Chia, Chipaque, Choachi, Choconta, Cogua, Cota, El Colegio, El Peñon, Facatativa, Funza, Fuquene, Fusagasuga, Gachala, Gachancipa, Girardot, Guacheta, Guaduas, Guataqui, La Calera, La Mesa, La Peña 
Con recuros Nacionales aducuionalemtne se implemento la estrategia: Cundinamarca región que progresa promoviendo la convivencia, transformando imaginarios estereotipos y representaciones sociales en las familias y las comunidades" en  20 municipios : Cota, El Rosal, Cajicá, El Peñón, Pacho, La Calera, La Vega, Choachí, Tena, Fusagasugá, Apulo, Lenguazaque, Bituima, Sutatausa, Ubaté, Tabio, Nariño, Paratebueno, Tibirita y Soacha.
Otro logro ha sido el Desarrollo  de Capacidades a los equipos psicosociales   al 100% del departamento,  brindando  herramientas para el abordaje de los eventos de la dimensión  (conducta suicida, violencia, consumo de SPA  y trastonos mentales ,  procurando una  atención integran en salud mental para los  usuarios y la  comunidad Cundinamarquesa ; Dentro de la principales tematicas  se desarrolladas  están:  *Tele orientación, Proceso de formación virtual para el personal de líneas amigas ; * Triage en salud Mental; *Primeros Auxilios Psicológicos en atención telefónica y autocuidado;*Depresión duelo y ansiedad; *Inteligencia emocional en tiempos de cuarentena y post cuarentena; *Alcohol en el entorno familiar; *Autocuidado en casa; *Salud mental de los trabajadores de la salud; *Orientación Familiar en violencia de genero e intrafamiliar *Curso delegados ESE , IPS, EAPB, secretarias de salud  para brindar apoyo emocional al personal de la salud de la primera línea atención COVID-19;* Resoluci´pn de conflictos; *Resiliencia, con aceptación y compromiso  más acción * Resiliencia y afrontamiento en la empresa * Logoterapia y Resiliencia, El sentido de la vida</t>
  </si>
  <si>
    <t>Municipios con Estrategias de prevención de conducta suicida  y / o violencia intrafamiliar en el marco de la Política Departamental de Salud Mental</t>
  </si>
  <si>
    <t>Se logra la implementación de estrategias de prevención  de conducta suicida y violencias en 42 municipios así:  "Desarrollo de habilidades de afrontamiento"  en  22 los siguientes 22:  Apulo,  Bituima,  Chia, Chipaque, Choachi, Choconta, Cogua, Cota, El Colegio, El Peñon, Facatativa, Funza, Fuquene, Fusagasuga, Gachala, Gachancipa, Girardot, Guacheta, Guaduas,La Calera, La Mesa, La Peña ;  y con recursos Nacionales estrategia "Cundinamarca región que progresa promoviendo la convivencia, transformando imaginarios estereotipos y representaciones sociales en las familias y las comunidades", en 20  : Cota, El Rosal, Cajicá, El Peñón, Pacho, La Calera, La Vega, Choachí, Tena, Fusagasugá, Apulo, Lenguazaque, Bituima, Sutatausa, Ubaté, Tabio, Nariño, Paratebueno, Tibirita y Soacha.</t>
  </si>
  <si>
    <t>Dificultad para realizar actividades  presenciales masivas y en algunos casos se observa falta de compromiso por parte de sectores diferentes al sector salud para el desarrollo de las estrategias</t>
  </si>
  <si>
    <t xml:space="preserve">Fortalecer las acciones de primeros auxilios psicologicos, estrategias de afrontamiento, sentido de vida,  autocuidado, autorregulación (emociones).
Fortalecer las lineas de atención en salud mental
Organizar grupos de ayuda mútua con pacientes Y/O familias que hayan o esten experimentando situaciones de duelo por enfermedad o fallecimiento de algun familiar, realizar psicoeducación, seguimiento por  whastsapp  y  Llevar a cabo  encuentros   virtuales y/o presenciales  "ENFRENTAR = RESOLVER"   para reconocer las estrategias de afrontamiento propias y fortalecerlas.
Fortalcer la red de salud mental  para realizar seguimientos  a los casos y articular acciones  con los diferentes sectores segun corresponda.
Estrategia de comunicaciones que pueda ser difundida por emisoras,redes sociales, programas institucionales dirigido a  padres, madres  y otros integrantes de la familia que hayan enfrentado perdidas o  sucesos vitales </t>
  </si>
  <si>
    <t>Se formuló el proyecto "Fortalecimiento , reorganización y establecimiento del Sistema de Atención de Urgencias en Emergencias y Desastres del departamento de Cundinamarca".
Se realizó la contratación de recurso humano (médicos) para la regulación de urgencias y emergencias en el Departamento y de profesionales de apoyo en los procesos administrativos del CRUE. 
Se coordinó la atención de 680 emergencias con afectaciones en salud de las cuales el 89,7% corresponden a accidentes de tránsito. La cobertura de la atención en urgencias de ascenció a 43,317 pacientes, de los cuales 37,771 (87,20%) corresponde a población venezolana. Durante el periodo, se realizó el comité de referencia y contrarreferencia según cronograma para con los hospitales de segundo y tercer nivel de atención, suspendido por la Pandemia de marzo a julio de 2020;  desde el mes de agosto 2020 se retomó esta actividad, en mayo de 2021 no se realizó el comite en razón a contingencias externas de los integrantes de los mismos. Se realizó visita de seguimiento al proceso de referencia y contrreferencia en 2020 a los municipios de Choconta, Sopo y Girardot de conformidad a lo planeado. 
Se realizó el comité virtual mensual del convenio del Sistema de Emergencias Medicas entre el Dpto de Cundinamarca y los Municipios primera categoría una vez declarada la cuarentena y alerta del COVID 19. en mayo de 2021 no se realizó comite en razón a contingencias externas de los participantes. Se apoyó a la Secretaria en el diseño de estudios previos en la  contratación del servicio de transporte helicoportado para transporte de vacunas COVID 19, según Plan Nacional de Vacunación.</t>
  </si>
  <si>
    <t>Se realizó la contratación de recurso humano (médicos) para la regulación de urgencias y emergencias en el Departamento y de profesionales de apoyo en los procesos administrativos del CRUE. Se Coordinó la atención de 604 emergencias con afectaciones en salud de las cuales el 90,6% corresponden a accidentes de tránsito. Se gestionó la atención en urgencias de 19,166 pacientes, de los cuales 18,414 (96,08%) corresponde a población venezolana.
También es preciso mencionar que se presentaron 789 incidentes medicos durante lo corrido del año.
Mensualmente se realizó el comite de referencia y contrarreferencia segun cronograma para con los hospitales de segundo y tercer nivel de atención, (excepto mayo en razón a contigencias externas de los integrantes del Comité).
Se realizó el comité virtual mensual del convenio del Sistema de Emergencias Medicas entre el Dpto de Cundinamarca y los Municipios de primera categoria. (excepto mayo en razón a contigencias externas de los integrantes del Comité) .
Se apoyó la Dirección en el diseño de estudios previos en la  contratación del servicio de transporte helicoportado para transporte de vacunas COVID 19, según Plan Nacional de Vacunación.</t>
  </si>
  <si>
    <t>Se presentó dificultad en la atención de urgencias de la población extranjera principalmente venezolana quienes marcan el mayor porcentaje en la prestación.  Hubó dificultad en la  remisión y traslado de pacientes por limitación de la oferta de servicios de salud. Otra dificultad fué la Declaratoria de cuarentena en el País y alerta por el  COVID-19.</t>
  </si>
  <si>
    <t>Aumento en la demanda de solicitudes de Urgencias en la Red departamental regulada por el CRUE</t>
  </si>
  <si>
    <t xml:space="preserve">A partir del año 2020 el Ministerio de salud y Protección Social viabilizó el documento técnico de Reorganización, modernización y Rediseño de la Red pública Departamental en las 14 Regiones de Salud con el soporte jurídico Departamental de la ordenanza 007 del 2020 , mediante el decreto 221 del 9 de junio del 2021 se fusionan unas Empresas Sociales del Estado de nivel Departamental y se establece la reorganización y modernización de la red pública de prestadores de servicios de salud del Departamento De Cundinamarca en el marco de lo dispuesto por la ordenanza 07 de 2020. Se elaboró la hoja de ruta  de acuerdo con los lineamientos establecidos en la circular número 100 de 2021 de Secretaria de Salud de Cundinamarca  para la implementación de las 14 regiones de salud con sus 7 componentes: administrativo - inventarios, financiero, participación social, jurídico, redes calidad y sistemas de información con un avance en el cumplimiento de lo programado de un 31.64% (corte:noviembre 2021). En el año 2021 mediante ordenanza Departamental 048 se prorroga la implementación de las Regiones de Salud hasta el 1 de abril de 2022. </t>
  </si>
  <si>
    <t>Servicios de salud en las 14 Regiones de Salud. Regiones de salud implementadas</t>
  </si>
  <si>
    <t>Durante la vigencia 2021 se logró asistir técnicamente a las 14 Regiones de Salud en la hoja de ruta en todos sus componentes para la implementación de las 14 Regiones de Salud en el año 2022.
Se cuenta con el decreto 221 del 2021 POR EL CUAL SE FUSIONAN UNAS EMPRESAS SOCIALES DEL ESTADO DE NIVEL DEPARTAMENTAL Y SE ESTABLECE LA REORGANIZACIÓN Y 
MODERNIZACIÓN DE LA RED PÚBLICA DE PRESTADORES DE SERVICIOS DE SALUD DEL DEPARTAMENTO DE CUNDINAMARCA, EN EL MARCO DE LO DISPUESTO POR LA ORDENANZA 07 DE 2020
Al mes de noviembre se lleva un avance total en los entregables de la hoja de ruta del 31.64%</t>
  </si>
  <si>
    <t>Falta de continuidad en el personal que brinda asistencia técnica tanto en el tema de infraestrucura, dotación y redes
Ordenanza 048 del 2021: prorrogación de la implementación de las 14 regiones del salud hasta el 1 de abril 2022</t>
  </si>
  <si>
    <t xml:space="preserve">El impacto de la Pandemia por COVID 19 para la ejecución de esta meta ha sido negativo  ya que todos los esfuerzos de los hospitales se han centrado en la atenciòn oportuna para lo causado por el Covid 19 a pesar de que  ha fortalecido la oferta de servicios y la capacidad instalada de las ESE del Departamento, se ha iniciado la articulación de las ESE para el trabajo como Región Salud </t>
  </si>
  <si>
    <t xml:space="preserve">1. Se realizaron 2325 visitas desde los subprocesos de establecimientos farmacéuticos y tiendas naturistas, verificación de condiciones de habilitación, flujo de recursos.
2. Por medio de las visitas se logra minimizar el riesgo en la prestación del servicio en los 116 municipios del departamento de Cundinamarca, bajo la identificación de servicios prestados no acorde a la normativa generando imposiciones de medida de medida y remisión a procesos sancionatorios, se inician procesos de verificación virtual para dar continuidad en las acciones de Inspección vigilancia y Control. 
3. Se fortalece la articulación con los entes externos e internos para fortalecer las acciones de seguimiento a los actores vigilados en el departamento por medio de unificación de conceptos normativos,  la socialización en los lineamientos Nacionales y Departamentales y la ejecución de   encuentros de Tecnovigilancia y simposios de Farmacovigilancia que brinda herramienta en tiempos de pandemia llegando a una  participación de 2060 asistentes. Se priorizan prestadores de servicio de salud bajo riesgo alto teniendo en cuenta los servicios inscritos de forma transitoria en COVID-19 </t>
  </si>
  <si>
    <t>1, Se logra realizar 1401 visitas desde los subprocesos de establecimientos farmacéuticos y tiendas naturistas, verificación de condiciones de habilitación, flujo de recursos, y los programas de gestión de riesgo como (Faramacivigilancia, Tecnovigilancia, Reactivovigilancia y Mantenimiento Hospitalario) 
2, Por medio de las visitas se logra minimizar el riesgo en la prestación del servicio en los 116 municipios del departamento de Cundinamarca, bajo la identificación de servicios prestados no acorde a la normativa generando imposiciones de medida de medida. 
3, Así mismo se logra articulación con los entes externos e internos para fortalecer las acciones de seguimiento a los actores vigilados en el departamento por medio de unificación de conceptos normativos,  la socialización en los lineamientos Nacionales y Departamentales y la ejecución del  VI encuentro de Tecnovigilancia, y el VIII Simposio de Farmacovigilancia  con una participación de 941 asistentes</t>
  </si>
  <si>
    <t xml:space="preserve">Con ocasión de la emergencia sanitaria declarada por el Gobierno Nacional por la pandemia COVID-19 se ha requerido ajustar la planeación de cada actividad lo que genera    e diseño e implementación de procedimientos virtuales  sin embargo la verificación virtual no permite la verificación de estructuras o equipos de forma específica por lo tanto se debe reprogramar para complementar la verificación. Así mismo se recibió orden del Ministerio de Salud y Protección Social donde se suspenden la realización de  visitas de verificación de condiciones de habilitación relacionada con Resolución 856 del 2020.
</t>
  </si>
  <si>
    <t>Teniendo En cuenta que las competencias de la Dirección de Inspección, Vigilancia y Control están enfocadas en trabajo de campo, se disminuyó el personal para realizar estas acciones, acorde a sus condiciones y restricciones de riesgo que no les permitía continuar su labor bajo presencialidad. Teniendo en déficit de personal técnico VS aumento de solicitudes de parte de entidades de control y ciudadanía.
De acuerdo a ello se generaron estrategias para dar respuesta de manera virtual, ajuste de procedimientos, inclusión de personal en comisión en alternancia y optimización del talento humano distribuyéndolos en diferentes procesos, con énfasis en dar respuesta a la emergencia sanitaria.</t>
  </si>
  <si>
    <t>Se realizó la implementación de los procedimientos virtuales con ocasión de la pandemia COVID-19  lo que permitió la realización de vistas virtuales de los diferentes programas, tales como  farmacovigilancia, (2020: 32 - 2021: 44) visitas a IPS, Articulación Externa Por Medio De Mesas De Trabajo Con Las Diferentes Direcciones Y Entes De Control Para Priorizar Estrategias De Intervención Como Nodo Territorial por medio de  video conferencia con UPPSALA MONITORING CENTRE – INVIMA. Para el Fondo rotatorio de estupefacientes Se adelantaron reuniones de forma articulada con salud pública para la divulgación de políticas públicas y homologación de requisitos normativos y Se realizaron visitas de inspección vigilancia y control para el manejo de MCE a los prestadores de servicios de Salud en el Departamento. Se da continuidad a la verificación virtual de los programas de Reactivovigilancia y Tecnovigilancia. En cuanto al programa de Tecnovigilancia han ingresado a la plataforma (2020: 393- 2021:138) verificaciones de eventos adversos asociados a dispositivos médicos, de igual forma se realizó el encuentro de Tecnovigilancia, simposio de Farmacovigilancia y apoyo del programa de Reactivovigilancia de forma virtual, con una participación de (1119) asistentes, En cuanto a Reactivovigilancia se han realizado (2021: 43) visitas presenciales y virtuales, para el programa de Mantenimiento hospitalario se han realizado en la vigencia 2021:(117 visitas) Así mismo para el fondo local de salud Se realizaron visitas a secretarias de salud municipal con el fin de realizar seguimiento a la ejecución de los recursos asignados terminando el proceso de verificación para certificación vigencia 2020  logrado certificar 116 secretarias municipales e iniciando la verificación para la vigencia 2021. Para establecimientos farmacéuticos Se realizaron (2020: 350 – 2021:416) visitas, se realizó apoyo en implementación normativa a establecimientos farmacéuticos. En cuanto a habilitación Se realizaron lo que corresponde al 2020 (615visitas) y 2021 (615 visitas),  a prestadores de servicios de salud, Se logra certificar a (6) prestadores de servicio de salud Privados (7) Públicos (3) Unificación de conceptos e implementación de lineamientos normativos por parte de los entes Nacionales para ejercer acciones de IVC frente a prestadores de servicios de salud en Pandemia COVID-19, inclusión de personal de salud para el seguimiento de casos COVID- 19 priorización para servicios de vacunación en COVID-19, Unidades de Cuidado Intensivo, servicios de Expansión en el Marco de la Pandemia.</t>
  </si>
  <si>
    <t>Se realizan (10) mesas de trabajo con el fin de homologar conceptos frente a los avances frente al fondo rotatorio de estupefacientes de Cundinamarca con DAF (Departamento administrativo financiera, (FNE) Fondo Nacional de Estupefacientes y con el grupo de auditores del subproceso de establecimientos farmacéuticos y tiendas naturistas. Se realiza (67) Visitas de Inspección, Vigilancia y Control para el manejo de Los Medicamentos de Control Especial a los prestadores de Servicios de salud y establecimientos farmacéuticos en el Departamento</t>
  </si>
  <si>
    <t>1.Declaración de la Pandemia por COVID 19
2.La realización de visitas virtuales no permiten evidenciar la gestión general de la Gestión de los Servcios Farmaceuticos</t>
  </si>
  <si>
    <t xml:space="preserve">Se a logrado el fortalecimiento de los lineamientos de los  eventos de interes en salud publica en  los 116 municipios del departamento, mendiante el seguimiento en promedio mensual de 30 a  35 eventos de los cuales se resalta los eventos de maternidad, nutricion, Infecciones respiratorias, zonoticos, enfermedad transmitidas por vectores  y COVID 19 entre otros logrando a  semana epidemiologica 46  un 100% en la notificacion de evento de interes en salud publica por las unidades notificadoras municpales, de igual manera se dio respuesta y acompañamiento a brote en los municipio de  Zipaquira, Fomeque y Subachoque </t>
  </si>
  <si>
    <t>linemaientos de vigilancia en salud publica</t>
  </si>
  <si>
    <t xml:space="preserve">Demoras en la adquisicion del talento humano a nivel departarmental y municipal </t>
  </si>
  <si>
    <t>Orientar en la detección de los casos por COVID-19 y sus contactos, lo que facilita el control de las cadenas de transmisión como una de las acciones.</t>
  </si>
  <si>
    <t>La estrategia se ha trabajado en 10 ESES priorizadas,  por su nivel de avance en la implementación de la Estrategia, han  logrado  obtener su certificación 6 ESES Arbelaez, Caqueza, El colegio, Choconta, La mesa, Fusagasuga.
6492 gestantes depuradas, con malnutrición y que se han subido con seguimiento al link, de las cuales 4634 tuvieron cita de nutrición</t>
  </si>
  <si>
    <t>La acreditación requiere el cumplimiento de fases, de un proceso que se da a lo largo del año. Los tiempos no se han cumplido y estamos atrasados frente a la planeación para lograr ceremonias de acreditación en el  mes de diciembre 2021. Por otro lado, se requiere del compromiso de las ESES, compromiso gerencial y un equipo fortalecido que se encargue de la implementación en la Institución</t>
  </si>
  <si>
    <t>Hay una reducción en la prevalencia de la lactancia materna, las madres de los menores tienen miedo a contagiar a los menores. Los equipos de PAI no vacunaban lactantes, sin embargo la directriz del MinSalud es que si se pueden y deben vacunar mujeres lactantes. 
Los picos de COVID afectan los acompañamientos y asistencias técnicas para la implemntación de la estrategia IAMII y virtualmente no se logra el mismo avance que presencialmente. Algunos servicios han sido reacomodados en las ESES, eliminando en algunos Hospitales los espacios definidos para las salas de extracción manual. Se disminuyo la donación de leche humana en los Bancos de leche humana.
El COVID a generado problemas y disminución frente a la atención integral de los menores de 5 años, adicionalmente se han incrementado los problemas de SAN que afectan el estado nutricional de la población, se aumenta la desnutrición aguda y se disminuye la lactancia que es un factor protector en los menores.</t>
  </si>
  <si>
    <t>Elaboración de lineamientos Departamentales para la implementación de la estrategia Tiendas Escolares Saludables. Se contacta a los rectores de las Instituciones Educativas en donde se proyecta la implementación de la estrategia en el año 2021. Participación en el Comité PAE. Se inicia proceso de asistencia técnica dirigido a rectores y alcaldias municipales priorizados. Se realizan reuniones con Secretaria de Educación e INDEPORTES a fin de articular acciones de la estrategia. Socialización de los lineamientos Departamentales, coordinación con IED para dar inicio a la ejecución de las fases para la implementación de la Estrategia.</t>
  </si>
  <si>
    <t>Acercamiento con las IED, y las Alcaldias municipales de los municipios priorizados, reuniones de articulación con Secretaria de Educación Departamental e INDEPORTES a fin de generar acciones articuladas frente a la estrategia de tiendas escolares saludables.  Ajuste del documento lineamiento técnico Departamental "Implementación de la estrategia tiendas escolares" . Socialización del lineamiento ajustado a las 30 IED y municipios priorizados. Asistencia técnica y seguimiento para el inicio de la ejecución de las fases de implementación de la estrategia. Acompañamiento a las IED en cuanto a conformación y funcionamiento de comités, Sensibilización a actoes de la comunidad educativa, Caracterización de las IED, Grupos focales y encuesta de frecuencia de consumo de alimentos</t>
  </si>
  <si>
    <t xml:space="preserve">Debido a la contigencia por COVID 19 las IED continuan funcionando de manera virtual y las tiendas escolares están cerradas lo cual limita el cumplimiento de la implementación de la estrategia, lo que nos llevo a ajustar los lineamientos Departamentales. No ha sido posible la articulación con Secretaria de Agricultura </t>
  </si>
  <si>
    <t>Implementar la estrategia es mucho más dificil de forma virtual, el contacto con los rectores y comunidad educativa no es tan fácil cuando se realiza de forma presencial. Algunos rectores no le ven la importancia a la estrategia debido a que las tiendas escolares estan cerradas.</t>
  </si>
  <si>
    <t>Se realizaron planes de acción intersectorial con las instituciones educativas de Susa 2 (I.E.D ​​Tisquesusa y Nuestra Señora del Carmen), Guachetá 3 (​I.E.D Niña, Ticha, Nuestra Señora del Transito), Lenguazaque 1. (I.E.D Nuestra Señora del Carmen), Ubaté 5 (I.E.D Santa María, El Volcán, Bruselas, Normal Superior, Bolivar), Paratebueno 3 (​I.E.D Josué Manrique, Agrícola, Santa Cecilia), Cucunuba 1 (I.E.D ​Divino Salvador), Cáqueza 3 (​I.E.D Girón de blancos, Rionegro sur, Urbana), Utica 2  (I.E.D Manuel Murillo Toro,​ I.E.D Gonzalo Jiménez de Quesada​), Sasaima 2 (I.E.D Nuestra Señora de Fátima y San Nicolas), Pacho 3 (I.E.D PIOXII, Aquileo Parra, técnico agrícola), Villeta 2 (I.E.D Cune y Promoción Social),​ Gacheta 2 (I.E.D Piloto y Abdón López), Guatavita 1 (​I.E.D José Gregorio Salas), San Juan de Rioseco 1 (I.E.D San Juan de Rioseco), La Calera 2 (​I.E.D Aurora, Salitre y Mundo Nuevo), Alban 1 (I.E.D Chimbe)
Y además se organizaron el día del cepillado en las instituciones de los municipios de Cucunuba 1 (Divino Salvador), Guachetá 4 (El Transito, Niña, Ticha, El Carmen), Lenguazaque 1 (El Carmen), Susa 1 (Tisquesusa), Ubaté 4 (Bruselas, Volcán , Normal superior, Santa María), Paratebueno 1 (Josué Manrique), Bojacá 1 (Barroblanco), Suesca 3 (I.ED Garcilasgo, San Juan apóstol, Gonzalo Jiménez de Quesada), Puerto Salgar 1 (I.ED departamental), El Colegio 1 (I.E.D El Triunfo), Funza 1 (I-E.D Bicentenario), Sopo 2 (Pablo sexto, La Victoria), Anolaima 1 (I:E:D La florida), Silvania 3 (Agua Bonita, Santa Inés y Subía), Sibaté 1 (Pablo Neruda), Nilo 3 (Oreste Sindice, Pueblo Nuevo, La esmeralda) y Ricaurte 1 (Antonio Ricaurte</t>
  </si>
  <si>
    <t>Se logra organizar con las instituciones educativas el día del cepillado como parte de las acciones intersectoriales de gestión de la salud pública en las instituciones de los municipios de Cucunuba 1 (divino salvador), Guachetá 4 (El transito, Niña, Ticha, El Carmen), Lenguazaque 1 (El Carmen), Susa 1 (Tisquesusa), Ubaté 4 (Bruselas, Volcán , Normal superior, Santa María), Paratebueno 1 (Josué Manrique), Bojacá 1 (Barroblanco), Suesca 3 (I.ED Garcilasgo, San Juan apóstol, Gonzalo Jiménez de Quesada), Puerto Salgar 1  (I.ED departamental), El Colegio 1 (I.E.D El Triunfo), Funza 1 (I-E.D Bicentenario), Sopo 2 (Pablo sexto, La Victoria), Anolaima 1 (I:E:D La florida), Silvania 3 (Agua Bonita, Santa Inés y Subía), Sibaté 1 (Pablo Neruda), Nilo 3 (Oreste Sindice, Pueblo Nuevo, La esmeralda) y Ricaurte 1 (Antonio Ricaurte).</t>
  </si>
  <si>
    <t>Las instituciones adoptaron la alternacia , y se hace dificil trabajar con la comunidad educativa esto incide en la formulacion de los planes de trabajo y actividades que requieren presencialidad</t>
  </si>
  <si>
    <t>Se logra consolidar la Mesa Departamental de seguimiento a la malnutrición de la gestante y el niño pequeño, intersectorial e interinstitucional. Se consolida el seguimiento semanal municipal a las gestantes con malnutrición y la gestión con las EAPB para la atención oportuna. Se consolida la mesa Departamental de trabajo con las EAPB para el seguimiento a la malnutrición</t>
  </si>
  <si>
    <t>Gestantes identificadas con malnutrición con garantia de valoración nutricional por parte del asegurador</t>
  </si>
  <si>
    <t>Se logra consolidar la Mesa Departamental de seguimiento a la malnutrición de la gestante y el niño pequeño, intersectorial e interinstitucional. 
Se consolida el seguimiento semanal municipal a las gestantes con malnutrición y la gestión con las EAPB para la atención oportuna. 
Se consolida la mesa Departamental de trabajo con las EAPB para el seguimiento a la malnutrición</t>
  </si>
  <si>
    <t>Inoportunidad en la entrega de los seguimientos por parte de los municipios y de las EAPBS con el fin de verificar el cumplimiento frente a la valoración nutricional en las gestantes. Inasistencia a las reuniones Departamentales por parte de CONVIDA y Famisanar que son las EAPB con mayor cobertura en el Departamento.</t>
  </si>
  <si>
    <t>A pesar de que en el marco del COVID las gestantes han sido priorizadas para la atención en salud, muchas de ellas tienen miedo de ir a los Hospitales y  las IPS no estan garantizando en el 100% las atenciones domiciliarias cuando se requiere</t>
  </si>
  <si>
    <t>se socializo propuesta para construcción y aprobación del plan de acción para la reducción de la morbilidad materna extrema en el departamento de Cundinamarca, una vez se consoliden las acciones propuestas por las diferentes direcciones se procederá a la aprobación y socialización del plan. La implementación se hará  por fases, nos encontramos en el alistamiento identificando barreras y facilitadores, como respaldo a la propuesta realizada por el Departamento.La implementación se hará  por fases, nos encontramos en el alistamiento identificando barreras y facilitadores, como respaldo a la propuesta realizada por el Departamento, con apoyo del desarrollo de mesas de trabajo con Ministerio de salud y proteccion social, municipios y EAPBSLa implementación se hará  por fases, nos encontramos en el alistamiento identificando barreras y facilitadores, como respaldo a la propuesta realizada por el Departamento, con apoyo del desarrollo de mesas de trabajo con Ministerio de salud y protección social, municipios y EAPBS
Desde la DSDSDR se realizan acciones concernientes al plan accion para la reduccion de la mme en base a las competencias propias como son los procesos de asitencias tecnicas a IPS, EAPBS, DTS, mesas de trabajo con DTS,IPS,EAPBS, Visitas de asistencia tecnica a las ESEs priorizadas de acuerdo al comportamiento del indicador de mortalidad materna
Se cuenta con documento firmado por secretario y aprobado por la diferentes direcciones el cual sera socializado e iniciara proceso de implemetacion para 4 trimestre de 2021</t>
  </si>
  <si>
    <t>se socializo propuesta para construcción y aprobación del plan de acción para la reducción de la morbilidad materna extrema en el departamento de Cundinamarca, una vez se consoliden las acciones propuestas por las diferentes direcciones se procederá a la aprobación y socialización del plan. La implementación se hará  por fases, nos encontramos en el alistamiento identificando barreras y facilitadores, como respaldo a la propuesta realizada por el Departamento.
La implementación se hará  por fases, nos encontramos en el alistamiento identificando barreras y facilitadores, como respaldo a la propuesta realizada por el Departamento, con apoyo del desarrollo de mesas de trabajo con Ministerio de salud y proteccion social, municipios y EAPBS
Se cuenta con documento firmado por secretario y aprobado por la diferentes direcciones el cual sera socializado e iniciara proceso de implemetacion para 4 trimestre de 2021</t>
  </si>
  <si>
    <t>Demoras en los tramites administrativos (DIRECCION DESARROLLO DE SERVICIOS)
Desde julio se estan desarrollando las acciones inmersas en el plan de accion de competencias de la DSDSDR, Aseguramiento dado que la direccion de desarrollo de servicios aun no define su responsabilidad en la ejecucion de este plan.</t>
  </si>
  <si>
    <t xml:space="preserve">EL COVID 19 afectado  la cobertura de controles prenatales debido a que las gestantes no han asistido a los controles prenatales por temor de contagio, adicionalmente se ha visto una baja implementación de los lineamientos establecidos en la resolución 521 que permite plantea la cobertura de las atenciones de gestante a través de telemedicina, visita domiciliarias, captacion temprana de getantes, caracterizacion de las mismas, seguimientos a los eventos de morbilidad materna extrema debido a la demora en las acciones de los PIC por la contratacion tardia </t>
  </si>
  <si>
    <t>Se realizan procesos de asistencias tecnicas para IPS Publicas y privadas, EAPBS y direcciones territoriales de salud en la implementacion de la RIA MATERNO PERINATAL, GESTION DEL RIESGO OBSTETRICO, con el fin de garantizar la captación temprana de la gestante para así lograr la garantía a los controles prenatales completos durante el proceso de gestación</t>
  </si>
  <si>
    <t>EL COVID 19 afectado  la cobertura de controles prenatales debido a que las gestantes no han asistido a los controles prenatales por temor de contagio, adicionalmente se ha visto una baja implementación de los lineamientos establecidos en la resolución 521 que permite plantea la cobertura de las atenciones de gestante a través de telemedicina, visita domiciliarias</t>
  </si>
  <si>
    <t xml:space="preserve">Coberturas:
	Menor de un año 61,1 % con la tercera dosis del biológico de pentavalente; equivalente al 93%.
	Menor de año 60% con el biológico de triple viral; equivalente al 90,6% 
	Menor de cinco Años 63,9% para el trazador de cinco años con el biológicos de primer refuerzo de triple viral; equivalente al 96,2% 
El ideal para el periodo es de 63,2% para poder estar con coberturas del 95%, a la fecha el departamento lleva  coberturas  óptimas solo en menor de cinco años con el trazador de refuerzo de Triple viral, para un año y menor de  año estamos en coberturas  en riesgo por debajo del 95%, , sin empbaro estamos  por ecima del resultado de la nacion y de departametos como  boyaca y valle del cauca. </t>
  </si>
  <si>
    <t>Para Los trazadores del programa menor de un año terceras de pentavalente   el 93,4%; en triple viral del año  en 93% y en triple viral de 5 años 93,6% se van cumpliendo  un  en 93% de las coberturas meta ajustada  a partir del 20 de noviembre del 2020;  al realizar el comparativo con el mismo periodo del 2019 tenemos un déficit  de menos del 2% de la población.</t>
  </si>
  <si>
    <t>informe de coberturas de vacunación</t>
  </si>
  <si>
    <t>Falta de personal exclusivo para el programa, al iguial incermeto de actividades en el talento humano, inasistencia oportuna de los menores causando una prologacion en la cohorte.</t>
  </si>
  <si>
    <t>Desercion de los menores sujeto del programa, temores de la poblacion frente al incrmento de casos positivos en los diferentes servicios de salud.</t>
  </si>
  <si>
    <t>Se logra el mantenimiento de la estrategia AIEPI (Atención de las Enfermedades Prevalentes de la Infancia) en el departamento con seguimiento a los sistemas de información para orientar y fortalecer las acciones dirigidas a la primera infancia; dentro de lo que se ha socializado bases de datos, generado lineamientos, establecido comunicación a traves de correos electronicos y la generación de grupo WhatsApp Departamental donde se dan tips necesarios para generación de actividades dirigidas a la población de primera infancia e infancia; se realizo jornada de capacitación en articulación con el ICBF logrando capacitar a 227 personas responsables de la atención en los CDI de las 14 regionales del ICBF para Cundinamarca; igualmente se realizaron 3 jornadas de capacitación en donde se abordaron 2 temas principales Generalidades de AIEPI con la participación de 544 personas y aplicación y valoración del menor mediante la ficha AIEPI Comunitaria con la participación de 447 personas  de 106 municipios del departamento, igualmente se realiza programación de capacitaciones para el año 2021 la cual esta hasta diciembre para el fortalecimiento de capacidades del talento humano en salud del departamento en temas relacionados a la primera infancia en infancia de las cuales se lleva a la fecha 1336 personas; se inicia proceso de ejecución en 15 municipios del departamento mediante la contratación con 9 ESE´S;  se inicio con las asistencias técnicas Instituciones Prestadoras de Servicios y Entidades territoriales en los municipios de Agua de Dios, Albán, Anapoima, Anolaima, Apulo, Arbeláez, Beltrán, Bituima, Bojaca, Cachipay, Cajica, Caparrapi, Caqueza, Carmen de Carupa, Chaguani, Chía, Chipaque, Choachi, Chocontá, Cogua, Cota, El Colegio, El Peñón, El Rosal , Facatativá, Fomeque, Fosca, Funza, Fúquene, Fusagasugá, Gachala, Gachancipa, Gacheta, Gama, Girardot, Granada, Guachetá, Guaduas, Guasca, Guatavita, Guayabal de Siquima, Guayabetal, Gutiérrez, Jerusalén, Junín, La Calera, La Mesa, La Palma, La Peña, La Vega, Lenguazaque, Macheta, Madrid, Manta, Medina, Mosquera, Nemocón, Nilo, Nimaima, Nocaima, Pacho, Paime, Paratebueno, Pasca, Puerto salgar, Pulí, Quebrada Negra, Quetame, Quipile, Ricaurte, San Bernardo, San Francisco, San Juan de Rio Seco, Sasaima, Sesquile, Sibate, Silvania, Simijaca, Soacha, Sopo, Subachoque, Suesca, Supata, Susa, Tabio, Tenjo, Tibirita, Tocaima, Tocancipa, Topaipi, Ubala, Ubaque, Une, Utica, Vergara, Viani, Ubaté, Villagomez, Villapinzón, Villeta, Viota, Yacopi, Zipacon, Zipaquirá para desarrollar capacidades y adoptar, adaptar e implementar RPMS a Primera mediante la estrategia AIEPI,  igualmente se continua en proceso de contratación de 2 profesionales para dar cumplimiento a las actividades programadas.</t>
  </si>
  <si>
    <t xml:space="preserve">Se logra el mantenimiento de la estrategia AIEPI (Atención de las Enfermedades Prevalentes de la Infancia) en el departamento con seguimiento a los sistemas de información para orientar y fortalecer las acciones dirigidas a la primera infancia; dentro de lo que se ha socializado bases de datos, generado lineamientos, establecido comunicación a traves de correos electronicos y la generación de grupo WhatsApp Departamental donde se dan tips necesarios para generación de actividades dirigidas a la población de primera infancia e infancia; se realizo jornada de capacitación en articulación con el ICBF logrando capacitar a 227 personas responsables de la atención en los CDI de las 14 regionales del ICBF para Cundinamarca; igualmente se realizaron 3 jornadas de capacitación en donde se abordaron 2 temas principales Generalidades de AIEPI con la participación de 544 personas y aplicación y valoración del menor mediante la ficha AIEPI Comunitaria con la participación de 447 personas  de 106 municipios del departamento, igualmente se realiza programación de capacitaciones para el año 2021 la cual esta hasta diciembre para el fortalecimiento de capacidades del talento humano en salud del departamento en temas relacionados a la primera infancia en infancia de las cuales se lleva a la fecha 1336 personas; se inicia proceso de ejecución en 15 municipios del departamento mediante la contratación con 9 ESE´S;  se inicio con las asistencias técnicas Instituciones Prestadoras de Servicios y Entidades territoriales en los municipios de Agua de Dios, Albán, Anapoima, Anolaima, Apulo, Arbeláez, Beltrán, Bituima, Bojaca, Cachipay, Cajica, Caparrapi, Caqueza, Carmen de Carupa, Chaguani, Chía, Chipaque, Choachi, Chocontá, Cogua, Cota, El Colegio, El Peñón, El Rosal , Facatativá, Fomeque, Fosca, Funza, Fúquene, Fusagasugá, Gachala, Gachancipa, Gacheta, Gama, Girardot, Granada, Guachetá, Guaduas, Guasca, Guatavita, Guayabal de Siquima, Guayabetal, Gutiérrez, Jerusalén, Junín, La Calera, La Mesa, La Palma, La Peña, La Vega, Lenguazaque, Macheta, Madrid, Manta, Medina, Mosquera, Nemocón, Nilo, Nimaima, Nocaima, Pacho, Paime, Paratebueno, Pasca, Puerto salgar, Pulí, Quebrada Negra, Quetame, Quipile, Ricaurte, San Bernardo, San Francisco, San Juan de Rio Seco, Sasaima, Sesquile, Sibate, Silvania, Simijaca, Soacha, Sopo, Subachoque, Suesca, Supata, Susa, Tabio, Tenjo, Tibirita, Tocaima, Tocancipa, Topaipi, Ubala, Ubaque, Une, Utica, Vergara, Viani, Ubaté, Villagomez, Villapinzón, Villeta, Viota, Yacopi, Zipacon, Zipaquirá para desarrollar capacidades y adoptar, adaptar e implementar RPMS a Primera mediante la estrategia AIEPI,  igualmente se continua en proceso de contratación de 2 profesionales para dar cumplimiento a las actividades programadas. </t>
  </si>
  <si>
    <t>En la mayoria de municipios el talento humano como gestoras, promotoras y ejecutores de actividades dirigidas a la población de primera infancia e infancia, se encuentran dificultades de contratación (tardia o incompleta) y alta rotación de los profesionales. Igualmente se evidencia baja ejecución de las actividades incorparadas en los municipios dentro de los PAS (Planesd de acción en salud) para la población de primera infancia e infancia.</t>
  </si>
  <si>
    <t>La pandemia ha ocasionado que algunas actividades se ejecuten de forma virtual lo que debilita generar procesos intersectoriales y sectoriales que permitan implementar las estrategias; sin embargo a hecho que los municipios deban establecer acciones enfofacas a la prevención manejo y control de el Covid lo que ha beneficiado en cierta forma el fortalecimiento del programa de prevención manejo y control de la IRA/EDA.</t>
  </si>
  <si>
    <t>Se logra consolidar la Mesa Departamental de seguimiento a la malnutrición de la gestante y el niño pequeño, intersectorial e interinstitucional. 
Se consolida el seguimiento semanal municipal a los menores de 5 años con desnutrición aguda y la gestión con las EAPB para la atención y tratamiento oportuno. 
Se consolida la mesa Departamental de trabajo con las EAPB para el seguimiento a la desnutrición. Se avanza en la capacitación en la Resolución 2350/20 dirigida a los profesionales de la salud que atienden menores de 5 años. 
Se genero recursos adicionales para el fortalecimiento del proceso de Centros de Manejo Integral de la DNT Aguda en los Hospitales Mario Gaitan Yanguas de Soacha y San Rafael de Fusagasuga</t>
  </si>
  <si>
    <t>ESEs certificadas como Centros Regionales de atención integral a la Desnutrición aguda en menores de 5 años</t>
  </si>
  <si>
    <t>La contingencia por COVID 19 ha afectado a los profesionales de la salud, disminuyendo la posibilidad de cobertura en la formación de capacidades y habilidades en el manejo de la DNT aguda. Algunas EAPB generar barreras al momento de entregar la fórmula terapeutica para manejo de la DNT.  La alta rotación de personal dificulta los procesos</t>
  </si>
  <si>
    <t>Muchos profesionales en las ESES se han enfermado, se han incapacitado a razón del COVID, lo que ha generado una mayor carga laboral para los profesionales de las ESES, lo que dificulta los espacios para la formación del talento humano.
La crisis económica y social geenrada por la pandemia ha generado un incremento en los casos de desnutrición y el manejo que se realiza con la FTLC se ha visto afectado ya que el país ha presentado desabastecimiento de la fórmula debido a que viene de otro país y los protocolos por el COVIDh na dificultado su ingreso al país, actualmente algunas EPS e IPS reportan estar sin el insumo.</t>
  </si>
  <si>
    <t>Se realiza la implementación de servicios amigables en el municipio de La Palma  y se realizá seguimiento a  25 ESE Departamentales en SSAAJ.  
Se realiza proceso de asistencia tecnica y verificacion del funcionamiento de los servicios amigables para adolescentes y jovenes en los 7 municipios priorizados para el 2021: Suesca, Guatavita, Une, Nemocon, Sopo, Carmen de Carupa, Tausa</t>
  </si>
  <si>
    <t>Demoras administrativas</t>
  </si>
  <si>
    <t xml:space="preserve">Servicios amigables en salud consulta del Joven, PNF. La denanda de los servicios ha disminuido notablemente por consecuencia de la Pandemia, independientemente que en algunas IPS se cuenta con teleconsulta, esta no es suficiente y la preferencia es esperar a que disminuya el pico epidemiológico generando no solo inoportunidad en el acceso a la consulta de anticoncepcion sino tambien a los metodos anticonceptivos </t>
  </si>
  <si>
    <t>La implementación de la Estrategia “Conoce Tu riesgo, Peso saludable” permitió detectar tempranamente el Riesgo Cardiovascular (Hipertensión) en 16.478 hombres y mujeres en edades desde los 18 años, así como “Cundinamarca vive Saludable” y “Cundinamarca más sonriente”, promocionaron en esta población estilos de vida saludables como factores protectores generadores de una Cultura de Autocuidado, en el marco de La Ruta de Promoción y Mantenimiento de la Salud</t>
  </si>
  <si>
    <t>Población con Detección Temprana de Hipertensión</t>
  </si>
  <si>
    <t>La implementación de la Estrategia “Conoce Tu riesgo, Peso saludable” permitió detectar tempranamente el Riesgo Cardiovascular (Hipertensión) en 14.124 hombres y mujeres en edades desde los 18 años, así como la promocion  de estilos de vida saludables como factores protectores generadores de una Cultura de Autocuidado, en el marco de La Ruta de Promoción y Mantenimiento de la Salud</t>
  </si>
  <si>
    <t xml:space="preserve">1. Inoportunidad en el envío de la información para monitoreo de indicadores
2. Rotación del talento humano en los Planes de intervenciones Colectivas e Instituciones de Salud </t>
  </si>
  <si>
    <t>POSITIVO. 
. Se ha hecho visible la población Hipertensa para que reciba una atención especial. 
. La virtualidad permitio llegar a coberturas mas grandes de población en procesos de capacitacion y asistencia técnica sobre la Deteccion temprana de la Hiperrtension
. Hubo necesidad de aprendizaje y actualizacion en cuanto al  uso de la virtualidad para acceder a este unico medio de comunicación disponible con los actores del sistema 
. Se genero cultura de autocuidado en gran parte de la población Hipertensa
NEGATIVO
. Hay miedo en la población para el despalzamiento a los servicios de salud lo que dificulta un proceso completo de Gestion del Riesgo detectado en Hipertension
.Se aumento la no adherencia a tratamientos y en algunas situaciones  aumentando la sintomatologia asociada a la Hipertension
. El Talento humano de la Estrategia de Atención  Primaria en Salud, debe atender en muchas oportunidades las actividades relacionadas con el COVID,  lo que interrumpe los procesos de busqueda permanente de riesgos asociados a Hipertensión en el entorno comunitario
. Excesiva carga laboral asignadas al talento humano en todas las Instituciones a nivel municipal y departamental, lo que no permite el contacto  ni cumplimiento de cronogramas para procesos de asiastencia Técnica y capacitación</t>
  </si>
  <si>
    <t>La implementación de la Estrategia “Conoce Tu riesgo, Peso saludable” permitió detectar tempranamente el Riesgo Metabólico (Diabetes) en 16.478 hombres y mujeres en edades desde los 18 años, así como “Cundinamarca vive Saludable” y “Cundinamarca más sonriente”, promocionaron en esta población estilos de vida saludables como factores protectores generadores de una Cultura de Autocuidado, en el marco de La Ruta de Promoción y Mantenimiento de la Salud</t>
  </si>
  <si>
    <t>Población con Detección Temprana de Diabetes</t>
  </si>
  <si>
    <t>Se Detecto Tempranamente  el  Riesgo Metabólico  (Diabetes), en un total de 16.478  hombres y mujeres de 18 años en adelante, cumpliendose de esta manera  la Meta programada para el año 2021</t>
  </si>
  <si>
    <t xml:space="preserve">1. Inoportunidad en el envío de la información para monitoreo de indicadores
2. Rotación del talento humano en los Planes de Intervenciones Colectivas e Instituciones de Salud </t>
  </si>
  <si>
    <t>POSITIVO. 
. Se ha hecho visible la población Diabética para que reciba una atención especial. 
. La virtualidad permitio llegar a coberturas mas grandes de población en procesos de capacitacion y asistencia técnica sobre la Deteccion temprana de la Diabetes
. Hubo necesidad de aprendizaje y actualizacion en cuanto al  uso de la virtualidad para acceder a este unico medio de comunicación disponible con los actores del sistema 
. Se genero cultura de autocuidado en gran parte de la población Diabetica
NEGATIVO
. Hay miedo en la población para el despalzamiento a los servicios de salud lo que dificulta un proceso completo de Gestion del Riesgo detectado en Diabetes
.Se aumento la no adherencia a tratamientos y en algunas situaciones  aumentando la sintomatologia asociada a la Diabetes
. El Talento humano de la Estrategia de Atención  Primaria en Salud, debe atender en muchas oportunidades las actividades relacionadas con el COVID,  lo que interrumpe los procesos de busqueda permanente de riesgos asociados a Diabetes en el entorno comunitario
. Excesiva carga laboral asignadas al talento humano en todas las Instituciones a nivel municipal y departamental, lo que no permite el contacto  ni cumplimiento de cronogramas para procesos de asiastencia Técnica y capacitación</t>
  </si>
  <si>
    <t>Mejorar la estadia de los residentes en centros de protección mediante la implementacion de estandares de calidad habitacionales y la aplicación de  programas integrales con el uso de escalas de valoracion de motricidad, psicosocial individuales a cada residente para realizar  actividades en el tiempo libre de acuerdo a lineamientos sugeridos para una  mejor calidad de vida en los  a los municipios de   Albán ,Beltrán,Cachipay,Cajicá,Chipaque,Choachí ,Cogua ,Cota ,El Peñón ,Fomeque ,Gachala ,Girardot ,Guaduas ,Gutiérrez, Jerusalén.Nocaima ,Pandi .Quebradanegra ,Quipile .San Antonio del Tequendama ,Sasaima , Sibaté ,Soacha ,Tabio ,Tena ,Tenjo ,Tibirita ,Topaipí ,Viotá,Agua de Dios, Anolaima, Anapoima, Apulo,  Bituima,   Caparrapí, Caqueza, Chaguani,  Gacheta, Girardot, Guasca, Junín,  La Calera, La Mesa,   Mesitas del Colegio,   Medina, Nariño , Nilo,  Pacho, Puerto Salgar,   San Francisco,  San Juan de Rioseco, Sopo, Tausa,  Tocancipa ,Tocaima, Villeta, Ubaté, Zipaquirá</t>
  </si>
  <si>
    <t>Mejorar la estadia de los residentes en centros de protección mediante la implementacion de estandares de calidad habitacionales y la aplicación de  programas integrales con el uso de escalas de valoracion de motricidad, psicosocial individuales a cada residente para realizar  actividades en el tiempo libre de acuerdo a lineamientos sugeridos para una  mejor calidad de vida en los  a los municipios de  Agua de Dios, Anolaima, Anapoima, Apulo, Arbelaez, Beltran, Bituima,   Caparrapí, Carupa, Cogua, Cota, Chaguani, Chia, Chipaque, Choachi, Choconta, Facatativa, Funza, Gacheta, Girardot, Guaduas,  Guatavita, Junín,  La Calera, La Mesa,  Manta, Medina,  Nariño , Nimaima, Nilo, Nocaima, Sesquile, Subachoque, Suesca,  Pacho, Puerto Salgar,  Quebradanegra, Sasaima,  San Francisco,  San Juan de Rioseco, Subachoque, Suesca,Tabio, Tausa,  Tibirita,Tocaima, Topaipi,  Villeta, Viota.Zipaquirá.</t>
  </si>
  <si>
    <t xml:space="preserve">Por la pandemia COVID las actividades se realizan de manera virtual, se priorizó la vacunación en población mayor,  con el único talento humano contratado, </t>
  </si>
  <si>
    <t>Impacto positivo por la realizacion de reuniones virtuales provinciales , aumentando la cobertura de asistencias técnicas a los centros de protección.
Sobrecarga de trabajo por nuevos planes y normas para la contención de la pandemia. Apoyo al manejo del COVID en los 240 centros de protección.</t>
  </si>
  <si>
    <t>Se logro implementar la La estrategia preventiva: " Mi fortaleza mi familia" en 41 municipios: Anolaima, Apulo, Cachipay, Chaguaní, Chipaque,El colegio,EL peñon, Fomeque, Guaduas,Guataqui, Guayabal de siquima, Gutierrez, La palma, La Peña, Leguazaque, Medina,Nariño, Pandi, Paratebueno,Ricaurte,  San Antonio del Tequendama, San Cayetano Sasaima, Supata,  Tausa,Tibacuy, Tocaima,Utica, Villa Gomez, Villapinzón,  Vergara,    Venecia, Yacopi, Zipacon , cabrera. 
Se desarrollo el proyecto Scala: Deteccion del riesgo de consumo de alcohol y depresiòn asociada en 5 municipios: Funza, Madrid, Nemocon Soachay  Suesca, donde se hicieron 11.821 tamizaje e intervenciones breves, Total de capacitaciones realizadas 147. 
Se apoyo  implementacion  Zoec en 5 municipios: Cogua, Silvania, Ubate, Chia y Tocancipà.En el mes de octubre se recibiò reconocimiento por parte del Min de salud y proteccion social como entidad comprometida con la prevenciòn de consumo, abuso y adicciòn a las sustancias psicoactivas. Ley 1566 de 2012. 
Se realizò la semana de la salud mental, con una participacion de 800 personas.Se brindò lineamientos del PAS a los 116 municipios del depto</t>
  </si>
  <si>
    <t>Se logro implementar la La estrategia preventiva: " Mi fortaleza mi familia", con sius tres areas tematicas : Comunicativa, supervision control, y expresion del afecto</t>
  </si>
  <si>
    <t>Rotaciòn del talento humano encargado de coordinar o ejecutar las actividades de salud mental</t>
  </si>
  <si>
    <t>Ha generado  impacto debido a que las actividades vituales no garantizan los procesos formativos</t>
  </si>
  <si>
    <t xml:space="preserve">Se implementaron las Fases de Alistamiento (con sus componentes: caracterización situacional, levantamiento de barreras) y el Desarrollo de Capacidades con los actores del sistema General de Salud a nivel departamental y municipal, lográndose un avance del 45% en la Implementación de las Rutas Integrales de Atención del cáncer.
POBLACION BENEFICIADA:
116 Entes Territoriales Municipales con sus IPS 
9 EAPB
1033 Hombres y mujeres capacitados 
</t>
  </si>
  <si>
    <t>Aseguradoras en proceso de implementación de la Ruta Integral de Atención del cáncer</t>
  </si>
  <si>
    <t xml:space="preserve">1.Disponibilidad de tiempo por parte del Talento humano para el desarrollo de las diferentes Fases. 
2.Escasa participación por parte de algunas Direcciones del Ente Territorial Departamental para el desarrollo de las fases propuestas
3.Implementación de la Ruta de Promoción y mantenimiento de la Salud </t>
  </si>
  <si>
    <t>POSITIVO. 
. Se ha hecho visible la población con Cancer para que reciba una atención especial. 
. La virtualidad permitio llegar a coberturas mas grandes de población en procesos de capacitacion y asistencia técnica sobre la Deteccion temprana del Cáncer
. Hubo necesidad de aprendizaje y actualizacion en cuanto al  uso de la virtualidad para acceder a este unico medio de comunicación disponible con los actores del sistema 
. Se genero cultura de autocuidado en gran parte de la población con Cáncer
NEGATIVO
. Hay miedo en la población para el despalzamiento a los servicios de salud lo que dificulta un proceso completo de Gestion del Riesgo detectado en Cáncer
.Se aumento la no adherencia a tratamientos y en algunas situaciones  aumentando la sintomatologia asociada al Cáncer
. El Talento humano de la Estrategia de Atención  Primaria en Salud, debe atender en muchas oportunidades las actividades relacionadas con el COVID,  lo que interrumpe los procesos de busqueda permanente de riesgos asociados a Cáncer en el Entorno Comunitario
. Excesiva carga laboral asignadas al talento humano en todas las Instituciones a nivel municipal y departamental, lo que no permite el contacto  ni cumplimiento de cronogramas para procesos de asistencia Técnica y capacitación</t>
  </si>
  <si>
    <t xml:space="preserve">Implementación  del  protocolo  atención integral en salud con  enfoque psicosocial y diferencial diseñado por el Ministerio de Salud con base en la ley 1448 de 2011.en   el muncipios de La palma y avance en Soacha y zipaquira </t>
  </si>
  <si>
    <t>municipio con la implementación del protocolo  atención integral en salud con  enfoque psicosocial y diferencial diseñado por el Ministerio de Salud con base en la ley 1448 de 2011.</t>
  </si>
  <si>
    <t xml:space="preserve">No existe compromiso de la institucionalida frente a las actividades que se realizan desde lo virtual </t>
  </si>
  <si>
    <t xml:space="preserve">Se realizaron fortalecmiento a las acciones de salud intregrales para personas con discapacidad en los municipios de  Guatativa, Choconta. Macheta. La Mesa. Nocaima. Tabio, fuquene, chia, Guasca, Lenguazaque, Chipaque, Choachi, cucunuba, fosca, guayabetal, gutierrez, Paratebueno, Sutatausa, tausa, El peñon, La Palma, La peña, Manta, Paime, Supata, tenjo Tibirita, villagomez, Villapinzon,  Arbelaez, Silvania, Villeta, Funza, Zipacon, San Juan de Rioseco, Mosquera, Bituima, Madrid, Bojaca, Beltran, Pandi, Zipaquira, Anapoima, Tocancipa, Caparrapi, Girardot, Quipile, Anolaima, Guaduas, Gachancipa, El Colegio, Nariño, Nilo, Agua de Dios, Fusagasuga, Viota, San Antonio del tequendama, Cachipay.Nemocon, Apulo, La Calera, Medina, Une, Fomeque, Carmen de carupa, Pacho, La vega, San francisco, Soacha, Suesca, Sesquile, Venecia, Cabrera, Puli, El rosal, Subachoque, Guayabal de siquima.  Alban, Caqueza, Gachala, Gama, Granada, Guacheta, Junin, La Vega, Simijaca, Supata, Tibirita, Ubaque, Viani, Villagomez, Dando continudad a la vigencia 2020 donde se realizaron en los 116 municipios </t>
  </si>
  <si>
    <t>municipios con acciones integrales para las personas con discapacidad.</t>
  </si>
  <si>
    <t xml:space="preserve">Se realiza acciones integrales en la estrategia de rehabilitación basada en comunidad en los municipios de   Guatativa, Choconta. Macheta. La Mesa. Nocaima. Tabio, fuquene, chia, Guasca, Lenguazaque, Chipaque, Choachi, cucunuba, fosca, guayabetal, gutierrez, Paratebueno, Sutatausa, tausa, El peñon, La Palma, La peña, Manta, Paime, Supata, tenjo Tibirita, villagomez, Villapinzon,  Arbelaez, Silvania, Villeta, Funza, Zipacon, San Juan de Rioseco, Mosquera, Bituima, Madrid, Bojaca, Beltran, Pandi, Zipaquira, Anapoima, Tocancipa, Caparrapi, Girardot, Quipile, Anolaima, Guaduas, Gachancipa, El Colegio, Nariño, Nilo, Agua de Dios, Fusagasuga, Viota, San Antonio del tequendama, Cachipay.Nemocon, Apulo, La Calera, Medina, Une, Fomeque, Carmen de carupa, Pacho, La vega, San francisco, Soacha, Suesca, Sesquile, Venecia, Cabrera, Puli, El rosal, Subachoque, Guayabal de siquima.  Alban, Caqueza, Gachala, Gama, Granada, Guacheta, Junin, La Vega, Simijaca, Supata, Tibirita, Ubaque, Viani, Villagomez. </t>
  </si>
  <si>
    <t>se concertaron así asistencias virtuales en los municipios del Departamento. y sumado a esto la situación de orden público por la que atraviesa el país a causa de los bloqueos por el Paro Nacional, se hizo dificultoso el desplazamiento a los municipios, además se realizan asistencias virtuales con funcionarios de las alcaldias , pero con muchas limitaciones , se evidencia la nesesidad de realizar asistencias presenciales.</t>
  </si>
  <si>
    <t>Se implementaron los 7 planes de acción de las mesas técnicas de agua, aire, alimentos seguridad alimentaria y nutrición, zoonosis, sustancias químicas, residuos sólidos y entornos saludables. y se realizara el seguimiento trimestral a la ejecución de los planes de acción de las mesas técnicas de agua, aire, alimentos seguridad alimentaria y nutrición, zoonosis, sustancias químicas, residuos sólidos y entornos saludables.</t>
  </si>
  <si>
    <t>Imposibilidad de realizar las reuniones presenciales.</t>
  </si>
  <si>
    <t>Se han elaboraron 16 mapas de riesgo de fuentes de abastecimiento de los sistemas de acueducto ubicados en los municipios  de Choconta (4), el Colegio (2), Anolaima (1),  Mesa (1), Suesca (1) , la Calera (2), Subachoque (4), Sesquile (1) , Subachoque (1)</t>
  </si>
  <si>
    <t>Apoyo interinstitucional entre Empresas Públicas de Cundinamarca - EPC y la Secretaria de Salud de Cundinamarca, para apoyar a los acueductos rurales en las tomas de muestra de Anexo 1 para la elaboración de  los mapas de riesgo de la calidad del agua para consumo humano, y en los diseños de los sistemas de tratamiento, con el fin de otorgar el respectivo mapa de riesgo de Agua para Consumo Humano de las fentes Hídricas: en los municipios de choconta (2)  ,el colegio  (2),la  mesa (1) , la calera (1) , Suesca (1) Anolaima (1), municipio de Subachoque (2), Municipio de Sesquile (1), Municipio de Subachoque (1)</t>
  </si>
  <si>
    <t>Reduccion en la posibilidad de realizar las visitas a las fuentes de abastecimiento.</t>
  </si>
  <si>
    <t xml:space="preserve">Acualmente nos encontramos trabajando artículadamente con el componente de ETV con el fin de llegar a los municipios con la implementacion de la Estrategia Integral  Zoonosis, de acuerdo a   la modificacion de la legislación departamental con el fin de incluir los dos temas y potencializar las intervenciones de los profesionales en los dos  saberes. Se va a interractuar con las ESEs para la custodia y red de frio del biologico antirrabico canino y felino ,  cobertura de vacunación felina y canina en el departamento en los 116 municipios : durante el 2020 se vacunaron 156.293 caninos y 68.894 felinos , y para el 2021 se han vacunado caninos y felinos  32556  </t>
  </si>
  <si>
    <t xml:space="preserve">Se ha intervenido los animales de compañía en los municipios 116 municipios incentivando la tenencia responsable de los mismos, realizando seguimiento a las coberturas vacunales consistentes en la poblacion proyectada. Se encuentra trabajando diariamente en los diferentes Municipios del Departamento con jornadas y recorridos casa a casa. al igual en el mes de septiembre se realizara una intensifiacion de acciones con el fin de cumplir . </t>
  </si>
  <si>
    <t>Se ha tenido cambio en la estructura organica organizacional del componente de zoonosis donde el ingreso de nuevo personal posee competencias en Enfermedades trasmitidas por vectores pero en menor proporcion en zoonosis.  las intervenciones  con el mismo Aumento de la población en el año 2021  dada por el Ministerio de Salud y Protección Social. En el año  2020 se proyecto una poblacion total de  de 504,022  animales; con relacion al año 2021 con una poblacion total de 675,788  con un  incremento de 25,4 % . De está poblacion tendriamos que vacunar el 85 % lo que corresponderia a 574.420 del total de animales.</t>
  </si>
  <si>
    <t>Se realizan jornadas en menor proporción debido a las medidas de bioseguridad que se deben tener por la pandemia y esto baja la productividad por dia de numero de animales vacunados /día. El personal se  ha contagiado del virus y ello ha bajado la cobertura ;  por otra parte la actividad de inmunizacion que se venia realizando , debe cumplir los protocolos de bioseguridad, y esto hace mas complejo realizar las jornadas .</t>
  </si>
  <si>
    <t xml:space="preserve">El Laboratorio de Salud Pública, para la vigencia  2020 y 2021 realizo logros importantes dirigidos a controlar el impacto de la pandemia ocasionada por SARS Cov-2 (COVID 19) y demás eventos de Salud Pública, en donde se aunaron esfuerzos hacia el fortalecimiento de la infraestructura, el talento humano e insumos, obteniendo como resultados: La inauguración del área de Biología Molecular, el aval por parte del Instituto Nacional de Salud para el procesamiento de COVID 19, la coordinación de la red de laboratorios, bancos de sangre y servicios de transfusión sanguínea del Departamento y la realización de exámenes de laboratorio de interés en salud pública en apoyo a la vigilancia de los eventos de importancia en salud pública, vigilancia y control sanitario. Adicionalmente,  se realizó el procesamiento de muestras de la unidad de vigilancia de eventos de interés en salud pública (clínico), entomología y unidad de factores de riesgo del ambiente y del consumo (alimentos y aguas micro-fisicoquímico), de los 116 municipios del Departamento, obteniendo como resultado
</t>
  </si>
  <si>
    <t>Sistema de gestión de calidad en el laboratorio</t>
  </si>
  <si>
    <t>El Laboratorio de Salud Pública, para la vigencia 2021 realizo logros importantes dirigidos a controlar el impacto de la pandemia ocasionada por SARS Cov-2 (COVID 19) y demás eventos de Salud Pública, en donde se aunaron esfuerzos hacia el fortalecimiento de la infraestructura, el talento humano e insumos, obteniendo como resultados: La inauguración del área de Biología Molecular, el aval por parte del Instituto Nacional de Salud para el procesamiento de COVID 19, la coordinación de la red de laboratorios, bancos de sangre y servicios de transfusión sanguínea del Departamento y la realización de exámenes de laboratorio de interés en salud pública en apoyo a la vigilancia de los eventos de importancia en salud pública, vigilancia y control sanitario. Adicionalmente,  se realizó el procesamiento de muestras de la unidad de vigilancia de eventos de interés en salud pública (clínico), entomología y unidad de factores de riesgo del ambiente y del consumo (alimentos y aguas micro-fisicoquímico), de los 116 municipios del Departamento, obteniendo como resultado</t>
  </si>
  <si>
    <t>Se ha presentado suspensión del proceso de contratación SCTEI-CD-050-2020, del mejoramiento de infraestructura del Laboratorio de Salud Pública  realizado por  la Secretaria de Ciencia y Tecnología de la Gobernación de Cundinamarca, generando demoras en la entrega de algunas áreas del laboratorio, ocasionando incomodidades entre el personal que trabaja en este.</t>
  </si>
  <si>
    <t>Contar con una evaluación de desempeño del sistema obligatorio de garantía de la calidad estructurada, ligada a la meta 382 del Plan Departamental de Desarrollo y al Premio Departamental al Fortalecimiento de la Autoridad Sanitaria. Contar con 14 Planes de mejora de la calidad de las 14 regiones de salud formulados, suscritos por los representantes legales y en proceso de implementación.</t>
  </si>
  <si>
    <t>Contar con Planes de Mejora de la Calidad articulados con los componentes de la hoja de ruta y los parámetros de evaluación del desempeño del SOGC, Premio Departamental al Fortalecimiento de la Autoridad Sanitaria en su 5ta versión</t>
  </si>
  <si>
    <t xml:space="preserve">Escaso talento h​​umano para asumir la totalidad de competencias asignadas. Designación de nuevas actividades relacionadas con la actual situación de emergencia sanitaria lo cual genera recarga de trabajo, nueva función establecida en el Decreto Ordenanza relacionada con el seguimiento a la implementación de las guias de atención la cual sobre pasa lo establecido en el marco legal vigente y la capacidad de respuesta de un grupo de trabajo con 3 personas de planta y 3 de contrato .​ Falta de homogeneidad en experiencia y conocimiento de los integrantes por contrato del grupo. Supervisiones que generan trabajo adicional por seguimiento, evaluación y verificación del cumplimiento del objeto contractual y la presentación de informes. Fallas en la Plataforma del REPS por actualización normativa y parametrización de los cambios normativos. Falta de presupuesto en las ESE para implementar acciones de mejora que permitan el levantamiento de medidas de seguridad y la contratación de talento humano asistencial y referentes de calidad. Modalidad de contratación de referentes de calidad, bajo compromiso de Gerentes frente a temas de calidad conllevando a la perdida de certificación de cumplimiento de condiciones de habilitación y a la imposición de medidas por parte de la Dirección de IVC. </t>
  </si>
  <si>
    <t>​Impacto negativo por cuanto los prestadores de servicios de salud se centran en la atención de la emergencia sanitaria y la vacunación perdiendo foco en la mejora de procesos, la documentación de protocolos, guías, procedimientos. Falta de talento humano y alta rotación del mismo.</t>
  </si>
  <si>
    <t xml:space="preserve">1. Articular actividades de competencias M.E.S con la Secretaria de Función Pública en relación a los resultados de las encuestas de clima organizacional y el trabajo relacionado con los valores, con la participación de 393 colaboradores y representantes de las direcciones y oficinas asesoras de la SSC.
2. Se realizó la inscripción al curso de inducción y reinducción de todos los colaboradores de la secretaría de salud con la participación de 598 funcionarios y contratistas de la secretaría de salud 
3. Realizamos campañas en relación a nuestro valor de cercanía con el aporte de 96 personas en la definición del valor cercanía.
4. Encuentro de bienestar con el secretario de salud para esta ocasión nos acompañaron 15 personas representando a las direcciones, encontrando entre los asistentes un canal de comunicación positiva y la construcción de oportunidades de mejora.
5. Articulación con secretaria de la mujer y género, alta consejería para la felicidad, en el Nodo de Atención Centrada a las Persona con la participación de 1.356 personas de las 53 IPS del departamento las 116 alcaldías, 53 secretarías de salud, academia, Secretaria de salud de Cundinamarca.
6. Se realizó la invitación e inscripción al curso de humanización en la atención materna y perinatal a 106 personas de las ESE, tuvimos la participación de 22 Hospitales.
7. Se aplicó encuesta de satisfacción de cliente externo a 53 Gerentes, 116 alcaldes, 116 líderes del sistema de atención al ciudadano de las alcaldías, 18 veedores, 110 líderes de Comités de Participación Social en Salud, 37 miembros de asociación de usuarios y 160 usuarios del Laboratorio de Salud Pública. 2021 Encuestas de satisfacción al cliente interno de la SSC se evidencio la participación de 510 colaboradores, a la fecha se evidencia la participación de 51 hospitales a las encuestas de cliente externo IPS, 162 encuestas a clientes externos de la SSC.
8. Participamos en la Validación externa de la política pública Nacional de humanización con el Ministerio de Salud realizando aportes al documento técnico y al plan de Acción como ente territorial en (10) reuniones
9. Metodología de la Defensoría del pueblo, tuvimos la participación de las Referentes de Humanización de 51 Hospitales y 27 Alcaldías, entre otros invitados de la Gobernación de Cundinamarca, para un total de 621 participantes en total, Creación y validación de los cuatro módulos de la metodología de Dignificación de Servicios de Salud con enfoque en derechos humanos con la Defensoría del Pueblo Al mes de Noviembre completamos 54 reuniones con la Mesa de dignificación de servicios de salud, de la Defensoría del Pueblo, creando y validando tres módulos, que serán validados con los colaboradores de IPS del departamento de Cundinamarca Curso
</t>
  </si>
  <si>
    <t>A la fecha hemos logrado  
1. Articular actividades de competencias M.E.S con la Secretaria de Función Pública en relación a los resultados de las encuestas de clima organizacional y el trabajo relacionado con los valores, con la participación de 393 colaboradores y representantes de las direcciones y oficinas asesoras de la SSC.
2. Se realizó la inscripción al curso de inducción y reinducción de todos los colaboradores de la secretaría de salud con la participación de 507 funcionarios y contratistas de la secretaría de salud 
3. Realizamos campañas en relación a nuestro valor de cercanía con el aporte de 96 personas en la definición del valor cercanía.
4. Encuentro de bienestar con el secretario de salud para esta ocasión nos acompañaron 15 personas representando a las direcciones, encontrando entre los asistentes un canal de comunicación positiva y la construcción de oportunidades de mejora.
5. Articulación con secretaria de la mujer y género, alta consejería para la felicidad, en el Nodo de Atención Centrada a las Persona con la participación de 526 personas de las 53 IPS del departamento las 116 alcaldías
6. Se realizó la invitación e inscripción al curso de humanización en la atención materna y perinatal a 30 personas de las ESE
7. Encuestas de satisfacción al cliente interno de la SSC se evidencio la participación de 510 colaboradores, a la fecha se evidencia la participación de 51 hospitales a las encuestas de cliente externo IPS, 162 encuestas a clientes externos de la SSC.
8. Participación en reuniones con el MSPS, en relación a la política de humanización.</t>
  </si>
  <si>
    <t>1. La virtualidad, la falta de participación de todos los actores (Hospitales) para la muestra, compromiso de parte de los representantes de las instituciones.
2. Recursos para las actividades de Clima Organizacional y Valores.
3. En la programación de la actividad presencial de clima organizacional con función pública algunas personas no pudieron asistir, se encontraban en aislamiento por covid.
4. Los datos de consultas de los hospitales para la muestra de las encuestas de satisfacción no se encuentran completos no todas las IPS  reportan en el SIUS</t>
  </si>
  <si>
    <t>No se han podido visitar los hospitales de manera presencial  y no se ha logrado tener contacto directo con las personas- clientes internos y externos, para evaluar los programas y planes en el contexto 
Debido a la contingencia del covid hemos logrado llegar a las personas en competencias MES- Mentales, Emocionales y Sociales, reforzando la importancia de trabajar en una atención centrada en las personas. 
Debido al aislamiento no se pudo llegar de manera presencial con algunas actividades.
Hemos tenido presencia de la comunidad en las reuniones mensuales, contanto con sus opiniones y sugerencias.
Articulación con las direcciones de la Secretaría llegando a las IPS, EPS, ACADEMÍA Y COMUNIDAD EN GENERAL</t>
  </si>
  <si>
    <t>Se mantienen las acciones de inspección de vigilancia y control en los objetos  sanitarios de los municipios categorías  4,5,6</t>
  </si>
  <si>
    <t>Se mantienen las  acciones de Inspección, Vigilancia y Control en los objetos sanitarios de los municipios categorías 4,5 y 6 en los sujetos de vigilancia de la linea de  aguas, seguridad quimica, alimentos , y establecimientos comerciales y especiales.</t>
  </si>
  <si>
    <t>Se presentó dificulta en la movilidad ocasionada por los paros realizados durante el año.</t>
  </si>
  <si>
    <t xml:space="preserve">El retrazo en el cumplimiento de las acciones programadas de ivc Sanitario por los cierres en algunos municipios y falta de trasporte intermunicipal.  </t>
  </si>
  <si>
    <t>Se realizó adición a los convenios de apalancamiento de los hospitales de: san juan de rio seco: ese hospital san vicente de paul de san juan de rioseco, medina: ese hospital nuestra sra del pilar de medinay puerto salgar: ese hospital diogenes troncoso de puerto salgar asi mismo se apalancaron financieramente anolaima: e.s.e ,hospital san antonio de anolaima,villeta: e.s.e hospital salazar de villeta,arbelaez: e.s.e hospital san antonio de arbelaez,tocaima ese hospital marco felipe afanador de tocaima, la palma :e.s.e hospital san jose de la palma, sasaima: e.s.e hospital hilarlo lugo,vergara:e.s.e hospital santa barbara de vergara, viota :el hospital san francisco de viota,tabio: e.s.e hospital nuestra señora de tabio,sesquile: empresa social del estado hospital san antonio de sesquile, silvania: e.s.e hospital ismael silva de silvania ,san antonio de tequendama:e.s.e. hospital san antonio del tequendama .samaritana zipaquira: e.s.e hospital universitario de la samaritana en la operación del nuevo hospital regional de zipaquirá,se realizó apalancamiento a las 53 E.S.E.s del departamento mediante transferencia de la resolución 970 del 27 de marzo del 2020, con el fin de mitigar en las E.S.E.s el efecto del covid 19, atendiendo la emergencia presentada por la pandemia y se realizo aplancamiento a  la EAPB CONVIDA y las 53 E.S.E.s del departamento para contribuir en el fortalecimiento, mejoramiento y cumplimiento para la prestación de servicios de salud a su cargo impactando en la calidad de los servicios a la población cundinamarquesa.se realizo apalancamiento financiero a ESE HOSPITAL MARIO GAITAN YANGUAS DE SOACHA, ESE HOSPITAL SAN VICENTE DE PAUL DE FOMEQUE.,ESE HOSPITAL MARCO FELIPE AFANADOR DE TOCAIMA,ESE HOSPITAL SAN VICENTE DE PAUL DE SAN JUAN DE RIOSECO,ESE HOSPITAL NUESTRA SEÑORA DEL ROSARIO DE SUESCA,ESE HOSPITAL SAN ANTONIO DE CHIA,ESE HOSPITAL DIOGENES TRONCOSO DE PUERTO SALGAR,ESE NUESTRA SEÑORA DEL PILAR DE MEDINA,ESE HOSPITAL SAN FRANCISCO DE SALES,ESE HOSPITAL SAN ANTONIO DEL TEQUENDAMA,ESE HOSPITAL SAN MARTIN DE PORRES DE CHOCONTA,ESE HOSPITAL  SAN ANTONIO DE SESQUILE,ES,E HOSPITAL SAN ANTONIO DE ANOLAIMA,ESE HOSPITAL UNIVERSITARIO DE LA SAMARITANA,ESE HOSPITAL SANTA MATILDE DE MADRID,ESE HOSPITAL SANTA ROSA DE TENJO,ESE HOSPITAL SAN RAFAEL DE FACATATIVA ,ESE HOSPITAL SAN FRANCISCO DE VIOTA,ESE HOSPITAL SAN RAFAEL DE PACHO,ESE HOSPITAL SAN JOSE DE LA PALMA,ESE HOSPITAL SALAZAR DE VILLETA,ESE HOSPITAL SAN JOSE DE GUACHETA,ESE HOSPITAL MERCEDES TELLEZ DE PRADILLA VIANI,,ESE HOSPITAL HABACUC CALDERON DEL CARMEN DE CARUPA,ESE HOSPITAL EL SALVADOR DE UBATE,ESE SAN ANTONIO DE GUATAVITA,ESE CENTRO DE SALUD SAN JOSE DE NIMAIMA,ESE HOSPITAL SAN RAFAEL DE CAQUEZA,ESE HOSPITAL NUESTRA SEÑORA DE LAS MERCEDES DEL MUNICIPIO DE FUNZA,ESE HOSPITAL SAN VICENTE DE PAUL DE FOMEQUE,ESE NUESTRA SEÑORA DEL CARMEN DEL COLEGIO,ESE CENTRO DE SALUD CUCUNUBA ,ESE HOSPITAL HILARIO LUGO DE SASAIMA,ESE HOSPITAL ISMAEL SILVA DE SILVANIA,ESE CENTRO DE SALUD RICAURTE,ESE HOSPITAL CAYETANO MARIA ROJAS DEL MUNICIPIO DEL PEÑON,ESE HOSPITAL SAN MARTIN DE PORRES DE CHOCONTA,ESE NUESTRA SEÑORA DEL CARMEN DEL COLEGIO,ESE HOSPITAL DIVINO SALVADOR DE SOPO,ESE HOSPITAL SAN RAFAEL DE FACATATIVA ,ESE HOSPITAL SALAZAR DE VILLETA,ESE HOSPITAL LA VEGA, ESES HOSPITAL MARIA AUXILIADORA DE MOSQUERA,ESE HOSPITAL SAN FRANCISCO DE GACHETA,ESE HOSPITAL SAN FRANCISCO DE VIOTA,ESE HOSPITAL SAN RAFAEL DE CAQUEZA,ESE HOSPITAL SAN FRANCISCO DE SALES,ESE HOSPITAL SALAZAR DE VILLETA,ESE NUESTRA SEÑORA DEL PILAR DE MEDINA,ESE HOSPITAL SANTA BARBARA DE VERGARA,ESE HOSPITAL DIOGENES TRONCOSO DE PUERTO SALGAR,ESE HOSPITAL SANTA ROSA DE TENJO</t>
  </si>
  <si>
    <t>se realizo apalancamiento financiero a ESE HOSPITAL MARIO GAITAN YANGUAS DE SOACHA, ESE HOSPITAL SAN VICENTE DE PAUL DE FOMEQUE.,ESE HOSPITAL MARCO FELIPE AFANADOR DE TOCAIMA,ESE HOSPITAL SAN VICENTE DE PAUL DE SAN JUAN DE RIOSECO,ESE HOSPITAL NUESTRA SEÑORA DEL ROSARIO DE SUESCA,ESE HOSPITAL SAN ANTONIO DE CHIA,ESE HOSPITAL DIOGENES TRONCOSO DE PUERTO SALGAR,ESE NUESTRA SEÑORA DEL PILAR DE MEDINA,ESE HOSPITAL SAN FRANCISCO DE SALES,ESE HOSPITAL SAN ANTONIO DEL TEQUENDAMA,ESE HOSPITAL SAN MARTIN DE PORRES DE CHOCONTA,ESE HOSPITAL  SAN ANTONIO DE SESQUILE,ES,E HOSPITAL SAN ANTONIO DE ANOLAIMA,ESE HOSPITAL UNIVERSITARIO DE LA SAMARITANA,ESE HOSPITAL SANTA MATILDE DE MADRID,ESE HOSPITAL SANTA ROSA DE TENJO,ESE HOSPITAL SAN RAFAEL DE FACATATIVA ,ESE HOSPITAL SAN FRANCISCO DE VIOTA,ESE HOSPITAL SAN RAFAEL DE PACHO,ESE HOSPITAL SAN JOSE DE LA PALMA,ESE HOSPITAL SALAZAR DE VILLETA,ESE HOSPITAL SAN JOSE DE GUACHETA,ESE HOSPITAL MERCEDES TELLEZ DE PRADILLA VIANI,ESE HOSPITAL HABACUC CALDERON DEL CARMEN DE CARUPA,ESE HOSPITAL EL SALVADOR DE UBATE,ESE SAN ANTONIO DE GUATAVITA,ESE CENTRO DE SALUD SAN JOSE DE NIMAIMA,ESE HOSPITAL SAN RAFAEL DE CAQUEZA,ESE HOSPITAL NUESTRA SEÑORA DE LAS MERCEDES DEL MUNICIPIO DE FUNZA,ESE HOSPITAL SAN VICENTE DE PAUL DE FOMEQUE,ESE NUESTRA SEÑORA DEL CARMEN DEL COLEGIO,ESE CENTRO DE SALUD CUCUNUBA ,ESE HOSPITAL HILARIO LUGO DE SASAIMA,ESE HOSPITAL ISMAEL SILVA DE SILVANIA,ESE CENTRO DE SALUD RICAURTE,ESE HOSPITAL CAYETANO MARIA ROJAS DEL MUNICIPIO DEL PEÑON,ESE HOSPITAL SAN MARTIN DE PORRES DE CHOCONTA,ESE NUESTRA SEÑORA DEL CARMEN DEL COLEGIO,ESE HOSPITAL DIVINO SALVADOR DE SOPO,ESE HOSPITAL SAN RAFAEL DE FACATATIVA ,ESE HOSPITAL SALAZAR DE VILLETA,ESE HOSPITAL LA VEGA, ESES HOSPITAL MARIA AUXILIADORA DE MOSQUERA,ESE HOSPITAL SAN FRANCISCO DE GACHETA,ESE HOSPITAL SAN FRANCISCO DE VIOTA,ESE HOSPITAL SAN RAFAEL DE CAQUEZA,ESE HOSPITAL SAN FRANCISCO DE SALES,ESE HOSPITAL SALAZAR DE VILLETA,ESE NUESTRA SEÑORA DEL PILAR DE MEDINA,ESE HOSPITAL SANTA BARBARA DE VERGARA,ESE HOSPITAL DIOGENES TRONCOSO DE PUERTO SALGAR,ESE HOSPITAL SANTA ROSA DE TENJO,:   ESE HOSPITAL SAN ANTONIO DE SESQUILE,ESE HOSPITAL NUESTRA SRA DEL PILAR DE MEDINA,ESE HOSPITAL SAN ANTONIO DE ANOLAIMA,ESE HOSPITAL SAN ANTONIO DEL TEQUENDAMA,ESE HOSPITAL SAN FRANCISCO DE VIOTA,EMPRESA SOCIAL DEL ESTADO DEL MUNICIPIO DE MOSQUERA,ESE HOSPITAL NUESTRA SRA DE LAS MERCEDES DE FUNZA,ESE HOSPITAL SANTA MATILDE DE MADRID ,ESE HOSPITAL SAN VICENTE DE PAUL DE NEMOCON ,ESE HOSPITAL DIVINO SALVADOR DE SOPÓ,ESE HOSPITAL PEDRO LEON ALVAREZ DIAZ DE LA MESA,ESE HOSPITAL SAN RAFAEL DE PACHO,ESE HOSPITAL EL SALVADOR DE UBATE,ESE HOSPITAL SAN RAFAEL DE FUSAGASUGÁ,ESE HOSPITAL UNIVERSITARIO DE LA SAMARITANA ,ESE HOSPITAL DE LA VEGA 
ESE CENTRO DE SALUD DE FOSCA
ESE CENTRO DE SALUD DE TAUSA
ESE HOSPITAL NUESTRA SENORA DEL ROSARIO DE SUESCA 
ESE CENTRO DE SALUD TIMOTEO REYES DE UNE
ESE HOSPITAL REGIONAL DE ZIPAQUIRÁ – SAMARITANA</t>
  </si>
  <si>
    <t>bajo recaudo en los fondos con que se realiza el apalancamiento financiero a la ESE que conforman la red publica del departamento .</t>
  </si>
  <si>
    <t>Mediante el apalancamiento financiero a las E.S.E.s contribuye al el fortalecimiento, mejoramiento y cumplimiento para la prestación de servicios de salud a su cargo impactando en la calidad de los servicios a la población cundinamarquesa y atendiendo de manera oportuna la emergencia sanitaria presentada por el covid 19.</t>
  </si>
  <si>
    <t xml:space="preserve">Mediante las trasferencias de ley realizadas a los tribunales de ética médica, odontológica y enfermería aportamos al cumplimiento de los objetivos propuestos así mismo con las transferencias al hospital universitario de la samaritana y Colciencias para realizar mejores labores en contratos de prestación de servicios como apoyo a la gestión administrativa y financiera de la secretaria de salud </t>
  </si>
  <si>
    <t>Mediante las trasferencias de ley realizadas a los tribunales de ética médica, odontológica y enfermería aportamos al cumplimiento de los objetivos propuestos así mismo con las transferencias al hospital universitario de la samaritana y Colciencias; ademas se realizaron 39 contratos de prestación de servicios como apoyo a la gestión administrativa y financiera de la secretaria de salud y se realizo adición al convenio No.682 de 2020, para dar continuidad a  la interventoria en terminos de ley  al Contrato de Concesión No.002 de 2003</t>
  </si>
  <si>
    <t>se encontraba en recodificacion ante secretaria de hacienda , ya se solicito el respectivo precontractual , para realizar resoluciones.</t>
  </si>
  <si>
    <t xml:space="preserve">Mediante las transferencias al hospital universitario de la Samaritana se logra un mejor impacto en apoyo economico para el funcionamieto y prestacion de servicios mitigando el impacto por covid a dicho hospital,asi mismo con la prestación de servicios combinados en dias presencial y de manera virtual en apoyo a la gestión administrativa y financiera de la secretaria de salud se va cumpliendo la meta. </t>
  </si>
  <si>
    <t>1. Se LOGRA que los 52  hospitales de la red pública departamental cuenten con la formulación y seguimiento al Plan Indicativo y POA hospitalario 2020 y 2021.
2. Se ALCANZA que los 116 Entes territoriales municipales cuenten con la formulación del PTS, COAI, PAS y seguimiento al PAS reportada al Ministerio de Salud y Protección Social  en la plataforma web GESTION PDSP.
3. Se CONSIGUE que dependencias de la Secretaria de Salud Departamental cuenten con los los lineamentos para la formulación, y seguimiento de los proyectos y presupuestos;  los formatos para el reporte del SPI y la focalización de la inversión y los lineamentos para el  seguimiento de los planes departamentales (plan indicativo, plan de acción y plan de coherencia) PDD y PTS.</t>
  </si>
  <si>
    <t>1. Se LOGRA realizar asistencia técnica a los hospitales de la red pública departamental en el seguimiento al POA 2020, formulación y seguimiento al Plan Indicativo y POA 2021.
2. Se ALCANZA por medio de la asistencia técnica que los 116 Entes territoriales municipales cuenten con la planeación operativa reportada al Ministerio de Salud y Protección Social  en la plataforma web GESTION PDSP.
3. Se CONSIGUE a través de la asistencia técnica a las dependencias de la Secretaria de Salud Departamental socializar los lineamentos para la formulación y seguimiento de los proyectos y presupuestos;  socialización de los formatos para el reporte del SPI y la focalización de la inversión y los lineamentos para el  seguimiento de los planes departamentales (plan indicativo, plan de acción y plan de coherencia) PDD y PTS.</t>
  </si>
  <si>
    <t>El cambio de la presencialidad a la virtualidad no ha afectado el cumplimiento de la Secretaria en sus planes de asistencia a hospitales, municipios y demás entidades.</t>
  </si>
  <si>
    <t>Se logra en los 116 municipios del departamento con el fin ha garantizado la participación en la cofinanciación de la Unidad de Pago por Capitación del régimen Subsidiado UPC-S, con la transferencia de los recursos a la Administradora de los Recursos del Sistema General de Seguridad Social en Salud – ADRES, permitiendo la garantía continuada sobre la afiliación al Régimen Subsidiado y el acceso a los diferentes programas de promoción y mantenimiento de la salud.</t>
  </si>
  <si>
    <t xml:space="preserve">Las dificultades se han presentado  para contabilizar los recursos sin situación de fondos lo que ha generado retrasos en la solicitud de los correspondientes registros presupuestales. Esta es una situación que por no depender de la Dirección de Aseguramiento se ha escalado a la Dirección Administrativa y financiera. </t>
  </si>
  <si>
    <t xml:space="preserve">Durante el impacto del COVID-19 se ha mantenido los recursos transferidos a la ADRES para cofinanciar la unidad de pago por capacitación del Régimen Subsidiado (UPC-S), de esta manera se garantíza la prestacion a los servicios de salud a nuestros afiliados del Régimen Subsidiado de Salud en el Departamento de Cundinamarca. </t>
  </si>
  <si>
    <t xml:space="preserve">Se logra que los 53 hospitales y 116 municipios mantengan activas y funcionando las formas de participacion social en salud, mediante comunicacion y asistencia tecnica efectiva continua y permanente con la oficina de participacion social </t>
  </si>
  <si>
    <t>Juntas asesoras conformadas</t>
  </si>
  <si>
    <t xml:space="preserve">Se logra adelantar asistencia tecnica a los hospitales y alcaldias del Departamento (169) según distribucion de regiones de salud, para que tengan creadas activas y funcionanado sus formas de participacion social en salud  </t>
  </si>
  <si>
    <t>Demoras  por parte del Ministerio, Secretaria Juridica de la Gobernacion, Oficina de asuntos juridicos de la Secretaria de Salud, Direccion de Desarrollo de Servicios, en la revision de aspectos tecnicos y juridicos de los documentos para reglamentar los aspectos de la reorganizacion de la red, ademas de dificultades de conectividad y de recursos que garanticen la continuidad del recurso humano de referentes en paticipacion y atencion a los usuarios y comunidad, en los hospitales y alcaldias.</t>
  </si>
  <si>
    <t>El covid ha impactado con contagios que generan incapacidades estrés y miedo, atencion y recursos canalizada casi de forma exclusiva en los temas de prevencion y vacunacion del covid, baja preparacion y adaptacion para la virtualidad, limitacion a las reuniones, demoras en contratacion de funcionarios, desinformacion, mitos y retrasos en la vacunacion, ademas cuando se adelantaron programaciones de metas y cantidades, No nos encontrabamos en pandemia por covid 19.</t>
  </si>
  <si>
    <t>1. Se logró el  apoyo en la revisión de las actividades propuestas en la matriz del plan de acción de acuerdo a las competencias del equipo de sistemas de información de la secretaria de salud en lo referente a la construcción e implementación de las RIAS, proponiendo la modificación de las actividades relacionadas inicialmente, elaboración de la encuesta para el seguimiento de la implementación de las RIAS en las IPS´S, a través de un formulario de Google.
2. Se realizó el  seguimiento de evidencias  a las ESEs del departamento en la instalación y adecuación de los equipos entregados por la gobernación,  
3. Se logró  el levantamiento de las condiciones y requerimientos de la infraestructura tecnológica del  Fondo Rotatorio de Estupefacientes de Cundinamarca, como soporte del proceso de venta y distribución de medicamentos controlados.
4. Se realizó el proceso de contratación del mantenimiento y soporte del sistema de gestión documental "DATADOC", utilizado por la dirección administrativa y financiera de la Secretaria de Salud.  
5. Se realizó la entrega y seguimiento de 1344 computadores para la optimización de la prestación del servicio, procesamiento de información y fortalecimiento de la infraestructura tecnológica en los hospitales de la red pública departamental, que serán insumo fundamental para cada una de las etapas del proceso de vacunación contra el Covid-19. 
6. Se logró la depuración y adaptación de los datos referentes a las dosis entregadas, dosis aplicadas y discriminación de primeras y segundas dosis, por cada uno de los Municipios del Departamento, del proceso de vacunación contra la covid-19, para el cargue de la información a la base de datos de la plataforma radar salud. 
7. Se realizó el levantamiento del inventario del software y la actualización de los servicios tics de la red pública del departamento, se da inicio a la nueva funcionalidad de la plataforma radar salud las cuales serán para el tema de brindar datos sobre el plan maestro de vacunación.
8. Se hizo entrega formal de los formatos de metadatos de los indicadores SALUDATA propuestos por el distrito además de  reuniones  de  TICs en la implementación de SALUD DATA DIGITAL a las redes  RED  DE SALUD NORORIENTE, NOROCCIDENTE,  RED REGIÓN DE SALUD MEDINA, RED REGIÓN DE SALUD SOACHA, REDES DE SABANA CENTRO, REDES DE SALUD BAJO MAGDALENA Y LA RED DE SALUD SUR. 
9. Se consolido el  soporte y seguimiento al aplicativo SIUS, Mango, ficha familiar y telemedicina, por parte de las ESES del departamento, garantizando la estabilidad y disponibilidad de la aplicación.
10. Se realizó apoyo en asistencia técnica en el modelo de prestación de servicios bajo la modalidad de telemedicina 2021 para centros de referencia en la nueva red pública de prestadores de salud del departamento de Cundinamarca. 
11. Se apoyó en la implementación del tablero de control crue y formulario uci, se realizó el seguimiento al proceso de adquisición de equipos, por parte de la dirección de IVC, para la implementación del fondo rotatorio de estupefacientes de Cundinamarca.</t>
  </si>
  <si>
    <t xml:space="preserve">1. Se logró el  apoyo en la revisión de las actividades propuestas en la matriz del plan de acción de acuerdo a las competencias del equipo de sistemas de información de la secretaria de salud en lo referente a la construcción e implementación de las RIAS, proponiendo la modificación de las actividades relacionadas inicialmente, elaboración de la encuesta para el seguimiento de la implementación de las RIAS en las IPS´S, a través de un formulario de Google.
2.  Se realizó el  seguimiento de evidencias  a las ESEs del departamento en la instalación y adecuación de los equipos entregados por la gobernación,  
3. Se logró  el levantamiento de las condiciones y requerimientos de la infraestructura tecnológica del  Fondo Rotatorio de Estupefacientes de Cundinamarca, como soporte del proceso de venta y distribución de medicamentos controlados.
4.  Se realizó el proceso de contratación del mantenimiento y soporte del sistema de gestión documental "DATADOC", utilizado por la dirección administrativa y financiera de la Secretaria de Salud.  
5. Se realizó la entrega y seguimiento de 1344 computadores para la optimización de la prestación del servicio, procesamiento de información y fortalecimiento de la infraestructura tecnológica en los hospitales de la red pública departamental, que serán insumo fundamental para cada una de las etapas del proceso de vacunación contra el Covid-19. 
6. Se logró la depuración y adaptación de los datos referentes a las dosis entregadas, dosis aplicadas y discriminación de primeras y segundas dosis, por cada uno de los Municipios del Departamento, del proceso de vacunación contra la covid-19, para el cargue de la información a la base de datos de la plataforma radar salud. 
7. Se realizó el levantamiento del inventario del software y la actualización de los servicios tics de la red pública del departamento, se da inicio a la nueva funcionalidad de la plataforma radar salud las cuales serán para el tema de brindar datos sobre el plan maestro de vacunación.
8. Se hizo entrega formal de los formatos de metadatos de los indicadores SALUDATA propuestos por el distrito además de  reuniones  de  TICs en la implementación de SALUD DATA DIGITAL a las redes  RED  DE SALUD NORORIENTE, NOROCCIDENTE,  RED REGIÓN DE SALUD MEDINA, RED REGIÓN DE SALUD SOACHA, REDES DE SABANA CENTRO, REDES DE SALUD BAJO MAGDALENA Y LA RED DE SALUD SUR. 
9. Se consolido el  soporte y seguimiento al aplicativo SIUS, Mango, ficha familiar y telemedicina, por parte de las ESES del departamento, garantizando la estabilidad y disponibilidad de la aplicación. </t>
  </si>
  <si>
    <t xml:space="preserve">Levantamiento de informacion </t>
  </si>
  <si>
    <t>El Impacto del Covid-19 en ejecución de la meta, logro que se desarrolla el sistema de información Radar salud en el monitoreo de salud de los cundinamarqueses, además se doto de infraestructura tecnológica a las 53 ESE de departamento dando prioridad a los puesto de vacunación cerrando las brecha tecnológica que existe en el Departamento.</t>
  </si>
  <si>
    <t>Instituto de Protección y Bienestar Animal de Cundinamarca - IPYBAC</t>
  </si>
  <si>
    <t>Para cumplir esta meta se han diseñado 5 líneas de acción: Desde la Línea de Acción de Manejo Humanitario de Poblaciones se han atiendido solicitudes de los municipios en cuanto a estimativos poblacionales de animales en condición de vulnerabilidad, generación de los programas de Capturas – Esterilizar – Soltar (CES), Animal Comunitario, Red de Hogares de Paso, y programa de adopciones. Además, se ha apoyado desde la medicina de albergues las asesorías en la instauración de Centros de Bienestar Animal y las valoraciones de comportamiento de animales bajo la custodia del albergue municipal. Para la Línea de Acción de Protección Ante la Crueldad Animal se ha venido realizando un consultorio jurídico, abierto a la comunidad en especial para la denuncia de presuntos casos de maltrato animal, así como para los diferentes actores que desde el municipio necesitan conocer la forma técnica y jurídica de atender las diferentes problemáticas asociadas a los animales. Desde el 15 de marzo del presente años al 31 de octubre se han atendido 377 casos. Desde la Línea de Gestión del Bienestar Animal, se han realizado 23 Jornadas de Bienestar Animal donde se han atendido 1144 animales para consulta médica veterinaria prioritaria y se han realizado 3545 cirugías para el control de poblaciones. Además, se realizó la entrega de alimentos balanceados en el marco de la Ruta Huella Animal 2021 con un total de 15.760 kilogramos entregados a los 116 municipios del Departamento. A partir del 4 de octubre se han entregado kits de medicamentos veterinarios a las UMATAS y/o las Secretarias que tengan sus competencias, para fortalecer la atención de los animales en estado de vulnerabilidad de cada uno de  los 116 municipios del Departamento. Para la Línea de Acción de Fortalecimiento del Vínculo Humano – Animal, se han realizado 2 charlas virtuales a los 116 municipios del Departamento sobre la necesidad de la atención articulada en los temas de Protección y Bienestar Animal, las competencias del Instituto de Protección y Bienestar Animal de Cundinamarca – IPYBAC y las competencias de los diferentes actores del municipio. De igual manera se han realizado 48 capacitaciones a 36 municipios del Departamento sobre la ruta de atención de casos por presunto maltrato animal, tenencia responsable desde el concepto de “Un Solo Bienestar”, Bienestar Animal en las Cabalgatas, entre otros temas; buscando sensibilizar al Alcalde Municipal o su delegado, representantes de la UMATA o Secretarías Municipales que atienden los temas de Animales, Secretario de Gobierno o su delegado, Secretario de Salud o su delegado (Municipios Categoría I – II – III), Comandante de Policía Municipal o su delegado, Inspectores de Policía, Miembros de la Junta  Defensora de Animales y el Personero o su delegado, además de la comunidad en general. Durante estas capacitaciones se han sensibilizado dos mil ciento cuarenta y dos (2142) personas en los temas relacionados a la Protección y el Bienestar Animal, que deben actuar como multiplicadores de la información. Cabe resaltar que se realizó el Primer Simposio de Protección Ante la Crueldad Animal el pasado mes de Agosto, el pasado 29 de noviembre inicio el Primer Diplomado en Medicina Veterinaria Legal y Forense donde se están capacitando 30 medicos veterinarios que trabajan con las alcaldías del Departamento para fortalecer la protección ante la crueldad animal y en Diciembre tendremos el Primer Curso de Capacitación en Atención en Primeros Auxilios y Atención de Desastres para fortalecer estos servicios desde la Junta Defensora de Animales y el ente territorial.</t>
  </si>
  <si>
    <t xml:space="preserve">Se han atendido 377 casos de presunto maltrato animal, se han realizado 23 Jornadas de Bienestar Animal donde se han atendido 1144 animales para consulta médica veterinaria prioritaria y se han realizado 3545 cirugías para el control de poblaciones. Además, se realizó la entrega de 15.760 kilogramos de concentrado a los 116 municipios del Departamento. Se han entregado 116 kits de medicamentos veterinarios a las UMATAS y/o las Secretarias del Departamento. Se han realizado 2 charlas virtuales a los 116 municipios del Departamento sobre la necesidad de la atención articulada en los temas de Protección y Bienestar Animal, las competencias del Instituto de Protección y Bienestar Animal de Cundinamarca – IPYBAC y las competencias de los diferentes actores del municipio. De igual manera se han realizado 48 capacitaciones a 36 municipios del Departamento sobre la ruta de atención de casos por presunto maltrato animal, tenencia responsable desde el concepto de “Un Solo Bienestar”, Bienestar Animal en las Cabalgatas, entre otros temas; buscando sensibilizar al Alcalde Municipal o su delegado, representantes de la UMATA o Secretarías Municipales que atienden los temas de Animales, Secretario de Gobierno o su delegado, Secretario de Salud o su delegado (Municipios Categoría I – II – III), Comandante de Policía Municipal o su delegado, Inspectores de Policía, Miembros de la Junta  Defensora de Animales y el Personero o su delegado, además de la comunidad en general. Durante estas capacitaciones se han sensibilizado dos mil ciento cuarenta y dos (2142) personas en los temas relacionados a la Protección y el Bienestar Animal, que deben actuar como multiplicadores de la información. Se realizó el Primer Simposio de Protección Ante la Crueldad Animal el pasado mes de Agosto, el pasado 29 de noviembre inicio el Primer Diplomado en Medicina Veterinaria Legal y Forense donde se están capacitando 30 médicos veterinarios que trabajan con las alcaldías del Departamento para fortalecer la protección ante la crueldad animal y en Diciembre tendremos el Primer Curso de Capacitación en Atención en Primeros Auxilios y Atención de Desastres para fortalecer estos servicios desde la Junta Defensora de Animales y el ente territorial.
</t>
  </si>
  <si>
    <t>La puesta en marcha del IPYBAC, su alistamiento institucional y conformación de la planta de personal han retrasado la consecucion de actividades que permiten el cumpmienmto de la totalidad de la meta</t>
  </si>
  <si>
    <t>La no presencialidad en territorio ha retrasado un poco la ejecucion de diferentes actividades, aún así a traves de la vrtualidad se a tratado de brindar atención constante y permanente a los municipios y comunidad que han requeridodel equipop técnico del IPYBAC</t>
  </si>
  <si>
    <t>PURINA ( Donación de 2.000 kg de concentrado)</t>
  </si>
  <si>
    <t>Frente a la formulación de la Política Pública de Bienestar Animal y su diferentes fases se dio cumplimiento  a la Fase 1 de la Agenda Pública donde se realizó el documento de justificación de la política, se socializó la decisión de la formulación frente al CODEPS y así mismo esta instancia la validó y aprobaron la continuidad del proceso de formulación. Se generó el decreto de creación de las instancias de participación institucional y técnica el cual se socializará a la comunidad a inicios de la vigencia 2021 para que los mismos hagan los aportes que estimen necesarios y de esa manera lograr la aprobación final del mismo por parte de la Secretaria Jurídica de la Gobernación y su expedición final, así mismo se generó el plan de trabajo de la formulación de la política con la matriz PPPYBA (Política Pública de Protección y Bienestar Animal) el cual está pendiente por revisión por parte del nuevo gerente que se designara para el Instituto.
Vigencia futuras aprobadas por $270.000.000 para el año 2022 y 2023 por medio de la Ordenanza 069 de 2021.  
Así mismo se han convocado a las Entidades Sin Ánimo de Lucro ESAL que se encuentren interesadas en presentar propuestas para la suscripción de un convenio de asociación para continuar con el proceso de formulación de esta Política Pública.
Actualmente se encuentra recibiendo propuestas de  ESAL, para celebrar un Convenio de Asociación para la formulación de la Política Pública de Protección y Bienestar Animal del Departamento de Cundinamarca, por lo que el día 03 de noviembre de 2021 publicó la invitación para la presentación de manifestación de interés mediante el proceso No. IPYBAC-COT-015-2021. Cargado en la plataforma electrónica SECOP II. El proceso en mención cuenta con fecha de presentación de ofertas para el día 8 de noviembre de 2021 y con fecha estimada de firma del convenio del 12 de noviembre de 2021.</t>
  </si>
  <si>
    <t>Para el cumplimiento de la meta No. 298 Formular la Política Pública en Protección y Bienestar Animal, la Subgerencia de Bienestar Animal ha trabajado en la estructuración del proceso contractual para la etapa de formulación de la política pública. De igual manera se recibieron los aportes y observaciones de la ciudadanía del proyecto de decreto de creación de las instancias de participación de protección y bienestar animal en el Departamento, las cuales fueron remitidas al área jurídica para evaluarlas y adoptarlas si así se consideran. 
Así mismo ante la Secretaría de Hacienda se tramitó autorización para vigencia futuras, la cual se encuentra incluida en el proyecto de ordenanza 069 de 2021 por la cual se pretende autorizar al sr. Gobernador asumir obligaciones que afectan el presupuesto de vigencias futuras ordinarias y excepcionales, el cual fue aprobado en primer debate el pasado 20 de septiembre de 2021. El IPYBAC ha sustentado la justificación de la necesidad de acogernos a este trámite en razón a que se hace necesario que la contratación para la formulación de política pública sea continua e ininterrumpida por la naturaleza de las acciones que verticalmente no pueden ser fraccionadas y ejecutadas por contratistas diferentes. Vale la pena mencionar que el pasado mes este mismo consejo fue convocado de manera extraordinaria para pedir autorización para adelantar este trámite, sesión en la cual cada uno de ustedes recibió un minucioso informe de lo que se pretende ejecutar y una exposición de la necesidad de la justificación.</t>
  </si>
  <si>
    <t>La puesta en marcha del IPYBAC, su alistamiento institucional y conformación de la planta de personal han retrasado la consecucion de actividades que permiten el cumpmiento de las actividades que continuan en el poceso de formulación de la PP.</t>
  </si>
  <si>
    <t>La no presencialidad en territorio ha retrasado un poco la ejecucion de diferentes actividades.</t>
  </si>
  <si>
    <t>Se desarrollaron actividades de formación y capacitación dirigidas a afiliados de las organizaciones comunales del Departamento. Los temas tratados son relacionados con el proceso de elecciones comunales 2021, constitución de juntas, emprendimiento comunal, capacitación en convivencia y conciliación, asesorías y capacitación en temas legales.  Se llevaron a cabo jornadas de capacitación en 116 municipios del Departamento, en las cuales participaron 17446 personas afiliadas a 1312 organismos de acción comunal.</t>
  </si>
  <si>
    <t>Capacitación y formación a afiliados de organizaciones comunales de Cundinamarca, en temas relacionados con el proceso de elecciones comunales 2021, constitución de juntas, emprendimiento comunal, capacitación en convivencia y conciliación, asesorías y capacitación en temas legales.</t>
  </si>
  <si>
    <t>Se desarrollaron actividades de formación y capacitación dirigidas a afiliados de las organizaciones comunales del Departamento. Los temas tratados son relacionados con el proceso de elecciones comunales 2021, constitución de juntas, emprendimiento comunal, capacitación en convivencia y conciliación, asesorías y capacitación en temas legales.  Se llevaron a cabo jornadas de capacitación en 116 municipios del Departamento, en las cuales participaron 15834 personas afiliadas a 1095 organismos de acción comunal</t>
  </si>
  <si>
    <t>Limitados desplazamientos y participación de funcionarios y afiliados a organismos comunales por disposiciones gubernamentales, período de vacaciones de funcionarios.</t>
  </si>
  <si>
    <t>Limitados desplazamientos y participación de funcionarios y afiliados a organismos comunales por disposiciones gubernamentales</t>
  </si>
  <si>
    <t xml:space="preserve"> Teniendo en cuenta el llamado de las comunidades en torno al desarrollo e integración local, el Instituto lleva a cabo los V Juegos deportivos y recreativos comunales. </t>
  </si>
  <si>
    <t>Encuentros comunales con participación de representantes de organizaciones de acción comunal del Departamento.</t>
  </si>
  <si>
    <t xml:space="preserve">Teniendo en cuenta el llamado de las comunidades en torno al desarrollo e integración local, el Instituto lleva a cabo los V Juegos deportivos y recreativos comunales. </t>
  </si>
  <si>
    <t xml:space="preserve">Se llevaron a cabo actividades de recolección de información en campo y levantamiento de un diagnostico  para el diseño e implementación de un modelo de gestión, control, vigilancia y red de apoyo para las organizaciones comunales.  Se ha llevado a cabo la etapa de diseño e implementación del modelo de gestión, la cual se encuentra ejecutada en un 100%  dando cumplimiento a lo programado y encontrandose en pleno funcionamiento el sistema de apoyo y gestión: Idaconecta. </t>
  </si>
  <si>
    <t xml:space="preserve"> Modelo de gestión, control, vigilancia y red de apoyo para las organizaciones comunales.</t>
  </si>
  <si>
    <t xml:space="preserve">Se llevaron a cabo actividades de recolección de información en campo y levantamiento de un diagnostico  para el diseño e implementación de un modelo de gestión, control, vigilancia y red de apoyo para las organizaciones comunales.  En esta vigencia, se ha llevado a cabo la etapa de diseño e implementación del modelo de gestión, la cual se encuentra ejecutada en un  90%  dando cumplimiento en un 100% a lo programado para esta vigencia y encontrandose en pleno funcionamiento el sistema de apoyo y gestión Idaconecta. </t>
  </si>
  <si>
    <t>Limitados desplazamientos y participación de funcionarios y afiliados a organismos comunales por disposiciones gubernamentales. Funcionarios en período de vacaciones.</t>
  </si>
  <si>
    <t xml:space="preserve">A 30 de Noviembre de 2021 se han entregado 254 obras ejecutadas en un 100 %.   Con el propósito de promover la participación y el desarrollo comunal, además de una reactivación económica de las Juntas de acción comunal y de los municipios del Departamento, a través de la ejecución de estas obras de desarrollo comunitario y de impacto social. En desarrollo del cronograma de las convocatorias 001 y 002 de 2021,  se llevó a cabo la firma de contrato interadministrativo de gerencia integral del proyecto con Fondecun.   A la fecha se han firmado convenios solidarios para la ejecución de 665 Placas huellas, 18 alcantarillas y/o Box Culvert, 28 escenarios deportivos, 35 mejoramientos
comunales, 33 parques andenes y alamedas, para un total de 779 obras en 114 municipios correspondientes a las provincias de: Almeidas, Alto Magdalena, Bajo Magdalena, Gualivá, Guavio, Magdalena Centro, Medina, Oriente, Rionegro, Sabana Centro, Sabana Occidente, Soacha, Sumapaz, Tequendama    y Ubaté.   Correspondientes a esta convocatoria se han ejecutado en un 100%,  93 obras en 41 municipios del departamento.
</t>
  </si>
  <si>
    <t>Desarrollo de las Juntas de acción comunal y de los municipios del Departamento, promoviendo la participación de los diferentes sectores de la comunidad, a través de la ejecución de obras de desarrollo comunitario y de impacto social.</t>
  </si>
  <si>
    <t xml:space="preserve">128 obras de impacto social y comunitario se entregaron con una ejecución del 100% y con la participación de los diferentes sectores que conforman las comunidades beneficiadas.  Con el propósito de promover la participación y el desarrollo comunal, además de una reactivación económica de las Juntas de acción comunal y de los municipios del Departamento, a través de la ejecución de estas obras de desarrollo comunitario y de impacto social. En desarrollo del cronograma de las convocatorias 001 y 002 de 2021,  se llevó a cabo la firma de contrato interadministrativo de gerencia integral del proyecto con Fondecun.   A la fecha se han firmado convenios solidarios para la ejecución de 665 Placas huellas, 18 alcantarillas y/o Box Culvert, 28 escenarios deportivos, 35 mejoramientos de espacios comunales, 33 parques andenes y alamedas, para un total de 779 obras en 114 municipios correspondientes a las provincias de: Almeidas, Alto Magdalena, Bajo Magdalena, Gualivá, Guavio, Magdalena Centro, Medina, Oriente, Rionegro, Sabana Centro, Sabana Occidente, Soacha, Sumapaz, Tequendama    y Ubaté.   Correspondientes a esta convocatoria se han ejecutado en un 100%,  93 obras en 41 municipios del departamento.
</t>
  </si>
  <si>
    <t>Se han realizado 777 dotaciones a organizaciones comunales del Departamento:  106 organismos comunales (Asojuntas municipales) de 106 municipios, dotados con elementos, herramientas, materiales y equipos para la  gestión, funcionamiento y el ejercicio pleno de la acción comunal. Teniendo en cuenta el llamado de las comunidades en torno al desarrollo e integración local, el Instituto lleva a cabo los V Juegos deportivos y recreativos comunales. Para lo cual  se realizó la dotación de uniformes y elementos deportivos con destino a  671 organizaciones comunales que participan en el mencionado evento.
Se han realizado 310 dotaciones a organizaciones comunales del Departamento:  106 organismos comunales (Asojuntas municipales) de 106 municipios, dotados con elementos, herramientas, materiales y equipos para la  gestión, funcionamiento y el ejercicio pleno de la acción comunal. En 2021, teniendo en cuenta el llamado de las comunidades en torno al desarrollo e integración local, el Instituto lleva a cabo los V Juegos deportivos y recreativos comunales. Para lo cual  se realizó la dotación de uniformes y elementos deportivos con destino a  204 organizaciones comunales que participan en el mencionado evento.</t>
  </si>
  <si>
    <t xml:space="preserve">Elementos, herramientas, materiales y equipos para la  gestión, funcionamiento y el ejercicio pleno de la acción comunal y  la participación por parte de las organizaciones comunales de Cundinamarca. </t>
  </si>
  <si>
    <t>Se han realizado 777 dotaciones a organizaciones comunales del Departamento:  106 organismos comunales (Asojuntas municipales) de 106 municipios, dotados con elementos, herramientas, materiales y equipos para la  gestión, funcionamiento y el ejercicio pleno de la acción comunal. Teniendo en cuenta el llamado de las comunidades en torno al desarrollo e integración local, el Instituto lleva a cabo los V Juegos deportivos y recreativos comunales. Para lo cual  se realizó la dotación de uniformes y elementos deportivos con destino a  671 organizaciones comunales que participan en el mencionado evento.</t>
  </si>
  <si>
    <t>Se ejecutó en un 100%  el proyecto de innovación comunal, conformación de empresa y buenas practicas para el desarrollo sostenible presentado por la Asociación de Juntas de acción comunal ASORURALVI del municipio de Villeta.  En 2021 se han ejecutado en un 100% , 44 proyectos de innovación comunal, conformación de empresa y buenas practicas para el desarrollo sostenible presentados por Juntas de acción comunal del Departamento.  Se llevó a cabo la  Convocatoria Nº 003 de 2021 “PROYECTO DE FOMENTO Y FORTALECIMIENTO DEL EMPRENDIMIENTO PRODUCTIVO COMUNAL” , a la cual se postularon organizaciones comunales.  Actualmente se han ejecutado 44 proyectos.</t>
  </si>
  <si>
    <t>Realización de proyectos de innovación comunal, conformación de empresa y buenas practicas para el desarrollo sostenible presentados por organizaciones de acción comunal.</t>
  </si>
  <si>
    <t>Se han ejecutado en un 100% , 44 proyectos de innovación comunal, conformación de empresa y buenas practicas para el desarrollo sostenible presentados por Juntas de acción comunal del Departamento.  Se dió apertura a la Convocatoria Nº 003 de 2021 del “PROYECTO DE FOMENTO Y FORTALECIMIENTO DEL EMPRENDIMIENTO PRODUCTIVO COMUNAL” , a la cual se postularon organizaciones comunales.  Actualmente se han ejecutado 44 proyectos.</t>
  </si>
  <si>
    <t xml:space="preserve">996 personas adultas mayores de 60 años, víctimas de una o más violencias, viviendo en medio seguro y con el disfrute de sus derechos fundamentales en 5 centros de la Beneficencia </t>
  </si>
  <si>
    <t>Protección integral institucionalizada donde reciben alojamiento, alimentación, vestido, dotación personal de elementos de aseo, atención especializada en trabajo social, psicología, terapias física y ocupacional, nutrición, gerontología, enfermería, talleres ocupacionales, recreación, acceso a servicios de salud y funerarios</t>
  </si>
  <si>
    <t xml:space="preserve">Se han atendido durante la vigencia 284 mujeres y 358 hombres mayores de 60 años, víctimas de una o más violencias, quienes disfrutan de sus derechos fundamentales en 5 centros de la Beneficencia </t>
  </si>
  <si>
    <t>Los recursos económicos propios de la entidad son insuficientes  y se requiere de la articulación y cofinanciación con el Departamento para cumplir a cabalidad con la inversión social en estas metas</t>
  </si>
  <si>
    <t>En 2020 se contagiaron 177 personas adultas mayores, equivalente al 49% de las atendidas en los centros de protección de la Beneficencia de Cundinamarca y fallecieron  45 (25%).  En 2021 se han contagiado 150 (22%) y han fallecido 14 (9%).  Se observa una disminución en las tasas de contagio y de mortalidad, en respuesta a las medidas de atención y prevención adoptadas por la entidad, de los protocolos de bioseguridad implementados, medios diagnósticos, remisión oportuna, manejo terapéutico en los centros, intervención por parte del recurso humano calificado, la articulación con secretarías de salud, EPS s, ARL, laboratorios para toma de muestras, participación en  comité departamental de Covid, enseñanza y aprendizaje de las experiencias exitosas, retroalimentación continua, acompañamiento y la supervisión por parte de la entidad.  Estas actividades se realizaron con gran compromiso, responsabilidad, articulación, coordinación y apoyo, siguiendo las directrices de la OPS, Ministerio de Salud, INS, Secretaría Departamental de Salud y Gobernación de Cundinamarca y de la vacunación del 100% de los adultos mayores. Así mismo se observa una reducción significativa en la tasa de  mortalidad sobre la población general atendida que, en 2020 fue de 6.2 % y en 2021 de 1.9%.</t>
  </si>
  <si>
    <t>No se ha iniciado con el programa de atención a personas consumidoras de sustancias psicoactivas</t>
  </si>
  <si>
    <t>Los recursos económicos propios de la entidad son insuficientes y se requiere de la articulación y cofinanciación con el Departamento para cumplir a cabalidad con la inversión social en estas metas</t>
  </si>
  <si>
    <t xml:space="preserve">1311 personas con discapacidad mental y cognitiva mayores de 18 años, víctimas de una o más violencias, viviendo en medio seguro y con el disfrute de sus derechos fundamentales en tres centros de la Beneficencia </t>
  </si>
  <si>
    <t>Protección integral institucionalizada donde reciben alojamiento, alimentación, vestido, dotación personal de elementos de aseo, atención especializada en psiquiatría,  psicología, trabajo social, gerontología, enfermería, terapias física y ocupacional, nutrición, talleres ocupacionales, recreación, acceso a servicios de salud y funerarios</t>
  </si>
  <si>
    <t>Se han atendido durante la vigencia 660 mujeres y 674 hombres mayores de 18 años, con discapacidad mental y cognitiva, víctimas de una o más violencias, quienes disfrutan de sus derechos fundamentales en 3 centros de la Beneficencia de Cundinamarca</t>
  </si>
  <si>
    <t>La pandemia ha contagiado al 22% de personas con discapacidad mental atendidas, fallecidos en 2020 el 7% y ninguno en 2021, el 1.7% de los usuarios tiene diagnóstico por Covid -19 en 2021, con medidas de prevención, protocolo y dotación de bioseguridad, vacunación del 100% de usuarios y personas que les atienden 
Considerando la vulnerabilidad de las personas atendidas los índices de contagio y mortalidad son muy inferiores a los pronósticos y soportes bibliográficos para este tipo de centros en el mundo, por lo cual la Beneficencia de Cundinamarca en sus centros de atención para Discapacidad mental y Vejez logró recuperar al 88 % del total de contagiados en el período.</t>
  </si>
  <si>
    <t>Para el año 2021, logramos desarrollar las fases municipales, provinciales y la final departamental en el municipio de Girardot del 5 al 7 de noviembre. El regional nacional se disputó en la ciudad de Ibagué del 22 al 25 de noviembre y la gran final nacional que se disputará en la ciudad de Cartagena fecha por confirmar. Durante el desarrollo del evento, contamos con la participación de 102 municipios del departamento y 4.639 comunales compitiendo en los diferentes deportes individuales como billar, ajedrez, atletismo, tejo, mini tejo, rana, trompo y domino, y deportes de conjunto como baloncesto y futbol de salón.</t>
  </si>
  <si>
    <t>Programas de hábitos y estilos de vida saludables en el marco del convenio interadministrativo No. 257 con FONDECUN. Capacitaciones a través de campamentos y actividad física. Se hizo una capacitación denominada "Recreación en tiempos de COVID - 19". Se lograron beneficiar a un total de 450 personas.</t>
  </si>
  <si>
    <t xml:space="preserve">Para el año 2021, teníamos programado capacitar 2.000 voluntarios. Para dar cumplimiento a esta meta de producto, hemos desarrollado las siguientes acciones: en el mes de febrero se realizó la capacitación para 100 personas en “Educar para la Vida” a todo el cuerpo docente del Municipio de  San Juan de Rioseco, formadores e instructores de las EFD, se apoyó con el cuerpo biomédico, estrategias de educación física frente a los retos de la vida, dos fisioterapeutas apoyaron la estrategia de como arrancar actividad física luego de un largo periodo de sedentarismo, planificación de la Educación Física.
En el mes de mayo capacitamos a 946 personas del área de recreación, aprovechamiento del tiempo libre y campamento juvenil, a jóvenes de los grados 9, 10 y 11 de los municipios interesados. Trabajamos en temáticas como recreación, campamentos, liderazgo juvenil y ecología. Se trabajó con los municipios de la provincia del Gualivá, en el Municipio de La Vega, capacitando a 59 líderes. En la provincia de Magdalena centro, los 7 municipios de la provincia se unieron a esta actividad, capacitando a 213 líderes. En el municipio de Soacha, se trabajó con líderes sociales, estudiantes de 10 y 11, formadores recreativos, con presencia de 74 personas. El personal restante, se capacito de manera virtual, para dar contenido y línea temática para el desarrollo de los campamentos infantiles que se celebraron en el mes de junio.
En el mes de junio capacitamos 320 personas. Del 21 al 28 de junio se realizó la capacitación en actividad física, dirigida musicalizada, se realizó de manera mixta, presencial y virtual. En presencialidad las sedes fueron: Zipaquirá, Sibaté y Villeta.
En el mes de julio se capacitaron para vacaciones recreativas un total de 500 formadores para el correcto desarrollo de la actividad de vacaciones recreativas.  Está capacitación fue certificada por INDEPORTES. Para el 3 de julio en el Municipio de Zipaquirá se realizó capacitación en seguimiento de ciclovías, con una asistencia de 40 personas. 
En agosto logramos capacitar a 350 personas.  Se capacitó a los líderes y formadores de recreación en temática dirigida al encuentro de adulto mayor que se desarrolló durante el mes de agosto en las diferentes provincias del departamento. Estas capacitaciones se realizaron de manera virtual y la convocatoria se realizó a través de los provinciales.
A la fecha, en total, hemos capacitado a 2.261 voluntarios en todo el departamento de Cundinamarca.
</t>
  </si>
  <si>
    <t>Se han realizado dos concursos: 1). El día del desafío con la participación del 99% de los municipios del departamento y el 2). Evento denominado Cundinamarca Activa y Saludable, a través de las redes sociales de los municipios y de Indeportes. Se han beneficiado con los dos eventos aproximadamente 30.000 personas. Se han realizado actividades dirigidas a la población diversamente hábil y víctimas. Lo anterior en el marco del convenio interadministrativo No. 257 celebrado con FONDECUN.</t>
  </si>
  <si>
    <t xml:space="preserve">Para el año 2021, teníamos programado vincular 40.000 personas en las actividades de recreación y actividad física. Para dar cumplimiento a la meta programada, desde Indeportes realizamos las siguientes actividades: A través del programa denominado Ciclovía por la vida, logramos desarrollar 9 actividades en diferentes municipios del departamento, logrando beneficiar a 11.243 personas. El 06 de abril se desarrolló el día mundial de la actividad física con una participación de 83 municipios y más de 5000 personas beneficiadas de manera virtual y presencial. Entre abril y junio con grupos regulares de actividad física beneficiamos 800 personas y con grupos no regulares de actividad física beneficiamos 160 personas. Entre abril y junio, en eventos masivos, llegamos a 820 personas, en Zipaquirá, Facatativá, Ubaté, Sibaté y Soacha.  Entre abril y junio se realizaron 10 acciones para promover hábitos y estilos de vida saludables, se realizaron actividades en los mismos municipios anteriormente nombrados, con un total de 432 personas beneficiadas. El 26 de mayo se realizó el día del desafío, con una participación de 90 municipios y más de 20.000 personas beneficiadas de manera virtual y presencial
El 3 de junio realizamos la celebración del día mundial de la bicicleta con una participación de 3.455 personas.  
A través del programa de campamentos infantiles y juveniles, hemos podido vincular a mas de 4.500 niños, niñas, jóvenes y adolescentes de nuestro departamento. En total, hasta la fecha, hemos logrado vincular a 73.147 personas.
</t>
  </si>
  <si>
    <t>La Licitación Pública cuyo objeto es PRESTACIÓN DE SERVICIOS DE APOYO LOGÍSTICO PARA EL DESARROLLO DEL PROYECTO "FESTIVAL LA LEYENDA DEL DORADO 2021" PARA EL CUMPLIMIENTO DE LAS METAS DEL PLAN DE DESARROLLO “CUNDINAMARCA REGIÓN QUE PROGRESA”. Se encuentra publicado, por un valor de $365.000.000 y ejecución programada a partir del 14 de diciembre del 2021. Los eventos serán desarrollados durante dos fines de semana en los municipios de La Calera, El Rosal y Villeta.</t>
  </si>
  <si>
    <t>Durante el año 2021 vamos a realizar el lanzamiento y firma del pacto por los juegos departamentales. En el año 2022 se realizarán las siguientes fases, programadas a partir del mes de septiembre.</t>
  </si>
  <si>
    <t>1. En mayo se realizaron dos eventos, uno para celebrar el día de la afrocolombianidad en el Municipio de Soacha, y el otro con agremiaciones campesinas en el Municipio de San Juan de Rioseco.
2. En junio se realizó evento con Juntas de acción comunal en el Municipio de Ubaque y conmemoración del día del orgullo Gay en el Municipio de Madrid
3. En julio se realizó evento en el Municipio de Guachetá con agremiación de mineros
4. En Agosto se realizó evento en Puerto Bogotá con agremiación de pescadores y en Girardot con la comunidad LGBTIQ+
11 de septiembre Gachetá con JAC, 12 de septiembre Cáqueza con JAC, 9 de octubre comunidades indígenas en Chía, 10 de octubre Fusagasugá conmemoración día de la raza</t>
  </si>
  <si>
    <t>En mayo se realizaron dos eventos, uno para celebrar el día de la afrocolombianidad en el Municipio de Soacha, y el otro con agremiaciones campesinas en el Municipio de San Juan de Rioseco. En junio se realizó evento con Juntas de acción comunal en el Municipio de Ubaque y conmemoración del día del orgullo Gay en el Municipio de Madrid. En julio se realizó evento en el Municipio de Guachetá con agremiación de mineros. En agosto se realizó evento en Puerto Bogotá con agremiación de pescadores y en Girardot con la comunidad LGBTIQ+. El 19 de septiembre se realizó un evento dirigido a la comunidad indígena JE ERURIWA del municipio de Medina, donde se beneficiaron 100 personas. El 4 de octubre realizamos un evento dirigido a las comunidades indígenas Muiscas de los Municipios de Chía, Cota y Sesquilé, donde se beneficiaron 200 personas. Durante el mes de noviembre realizamos un evento en el Municipio de Guaduas dirigido a la agremiación de mujeres y un segundo evento en el municipio de Jerusalén beneficiando a las Juntas de Acción Comunal. En estos dos eventos logramos beneficiar a 310 personas.</t>
  </si>
  <si>
    <t>Se desarrollaron 6 campamentos municipales virtuales en ocasión a la emergencia sanitaria por el COVID - 19. Se han realizado en los municipios de Vergara, Cajicá, La Vega, Tenjo, Facatativá y Tabio. Se beneficiaron 730 personas adolescentes.</t>
  </si>
  <si>
    <t xml:space="preserve">En el mes de abril se realizaron los campamentos infantiles en las provincias de Ubaté, Oriente, Almeidas, Guavio, Rionegro y Sabana Centro.
En el mes de junio se realizaron los campamentos infantiles en las provincias de Sabana Occidente, Sumapaz, Tequendama, Alto Magdalena, Gualivá, Magdalena Centro. Se llevo a cabo durante los días 13 y 14 el campamento regional juvenil dirigido a las provincias de Ubaté, Rionegro, Gualivá y Magdalena Centro.
</t>
  </si>
  <si>
    <t>Esta meta se encuentra en ejecución y se han realizado las siguientes actividades: COFINANCIACIÓN CONVENIO PARA EL DESARROLLO DEL PROYECTO DE DEPORTE ESCOLAR -ESCUELAS DEPORTIVAS- , CON EL MINISTERIO DEL DEPORTE.GERENCIA INTEGRAL DE PROYECTOS PARA LA PLANEACIÓN, ADMINISTRACIÓN Y EJECUCIÓN DE ACCIONES TENDIENTES A MEJORAR LA CALIDAD, LA COMPETITIVIDAD Y LA PROMOCIÓN DEL DEPORTE EN CUNDINAMARCA, DE ACUERDO CON LOS LINEAMIENTOS DEL PLAN DE DESARROLLO “CUNDINAMARCA REGIÓN QUE PROGRESA.En el marco del convenio No. 257 de 2020 se adelanta la entrega de kits deportivos para 4 escuelas de cada uno de los 116 municipios que contiene, entre otras cosas, colchonetas, balones, bandas elásticas, balones medicinales, conos reflectivos, aros, lazos, etc.</t>
  </si>
  <si>
    <t>Cumplimos con la entrega de tulas deportivas y uniformes compuestos por camiseta y pantaloneta a más de 15.000 niños, niñas, jóvenes y adolescentes del departamento que se encuentran vinculados a las Escuelas de Formación deportiva, de igual forma, dotamos a los 116 Municipios del Departamento con Kits de elementos deportivos para las modalidades de futbol, futbol de salón, voleibol, baloncesto, natación, entre otros. La inversión realizada supero los tres mil quinientos millones de pesos ($3.500.000.000).</t>
  </si>
  <si>
    <t>La meta se encuentra en ejecución: Se han recibido solicitudes de 18 municipios, que contemplan un total de 38 parques saludables, de las cuales 7 adjuntan documentos completos para el proceso. Se realizó el estudio del sector y del mercado para llevar a cabo la etapa pre contractual de la adquisición de parques saludables. Se inicia el proceso de contratación para la dotación de 15 parques saludables para los municipios del departamento.</t>
  </si>
  <si>
    <t>Se encuentran ejecución 14 convenios firmados en diciembre de 2020, en los cuales se estableció la dotación de módulos saludables (8 módulos por cada convenio), se tendría en total 112 módulos saludables (Gutiérrez, La Vega, Carmen de Carupa, Chía, Tocancipa, Nocaima, Ubalá,, Nilo, La mesa, Gachalá, Viotá, Ubaté, La Palma, Funza)</t>
  </si>
  <si>
    <t>Se realizaron capacitaciones sobre la formulación y estructuración de proyectos de inversión pública a todas las provincias y municipios del departamento, con el fin de acompañar el proceso de presentación de proyectos al instituto. Se está adelantando la revisión de los proyectos radicado en la plataforma BIZAGI. A la fecha tenemos radicados 103 proyectos, de los cuales se han devuelto 18 porque corresponden a escenarios dentro de las instituciones educativas (Secretaría de Educación), revisado 51 y 2 de ellos ya están viabilizados.</t>
  </si>
  <si>
    <t>Durante el último bimestre del año 2020 se suscribieron 68 convenios interadministrativos con los Municipios del Departamento relacionados con construcción y/o adecuación de la infraestructura deportiva, durante el primer trimestre del año los Municipios han venido adelantando los procesos contractuales y se espera que con corte al segundo semestre del año 2021 se tenga un avance superioor al 60% en la ejecución de los Convenios Interadministrativos.</t>
  </si>
  <si>
    <t>Se han adelantado diferentes reuniones con el Municipio de Soacha y el Municipio de Chía quienes han manifestado su interes para la construcción del Cnetro de Alto Rendimiento en sus Municipios, sin embargo, la Alcaldía de Soacha se comprometio a destinar los recursos necesarios para la fase de estudios y diseños.</t>
  </si>
  <si>
    <t>A través del convenio No. 257 celebrado con FONDECUN,se contrató la realización de este evento para el mes de diciembre.</t>
  </si>
  <si>
    <t>Se desarollaron mesas técnicas con directores de deporte, coordinadores, formadores de EFD del Instituto, promocionando el evento. Se capacito a todo el personal por provincias, dando a connocer la temática, la planeación y la ejecución para el desarrollo del evento. Se logro desarrollar actividdaes relacionadas con las vacaciones recreativas en 103 municipios del departamento, beneficiando a mas de 4444 niños y niñas, brindando un espacio propicio para el desarrollo de habiliddaes lúdicas y recreativas.</t>
  </si>
  <si>
    <t>La meta se encuentra en ejecución: Se han recibido solicitudes de 12 municipios, que contemplan un total de 34 parques saludables, de las cuales 6 adjuntan documentos completos para el proceso. Se realizó el estudio del sector y del mercado para llevar a cabo la etapa pre contractual de la adquisición de parques saludables. Se inicia el proceso de contratación para la dotación de 10 parques saludables para los municipios del departamento.</t>
  </si>
  <si>
    <t>La Licitación Pública cuyo objeto es: CONTRATAR EL SUMINISTRO E INSTALACIÓN DE PARQUES SALUDABLES Y PARQUES INFANTILES PARA EL CUMPLIMIENTO DE LAS METAS DEL PLAN DE DESARROLLO "CUNDINAMARCA REGIÓN QUE PROGRESA “, por valor de $2.628.000.000, se encuentra en proceso de adjudicación y ejecución programada partir del 06 de diciembre de 2021.</t>
  </si>
  <si>
    <t>La meta se encuentra en ejecución, sin embargo, se han realizado las siguientes actividades y contrataciones: COFINANCIACIÓN CONVENIO PARA EL DESARROLLO DEL PROYECTO DE DEPORTE ESCOLAR -ESCUELAS DEPORTIVAS- , CON EL MINISTERIO DEL DEPORTE.GERENCIA INTEGRAL DE PROYECTOS PARA LA PLANEACIÓN, ADMINISTRACIÓN Y EJECUCIÓN DE ACCIONES TENDIENTES A MEJORAR LA CALIDAD, LA COMPETITIVIDAD Y LA PROMOCIÓN DEL DEPORTE EN CUNDINAMARCA, DE ACUERDO CON LOS LINEAMIENTOS DEL PLAN DE DESARROLLO “CUNDINAMARCA REGIÓN QUE PROGRESA.Adicionalmente, a través del convenio No. 257 celebrado con FONDECUN se contrató la realización de este evento que se llevará a cabo del 5 al 30 de octubre de 2020.</t>
  </si>
  <si>
    <t>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t>
  </si>
  <si>
    <t>Se adelanto el proceso contractual para el apoyo logístico y suministro de elementos publicitarios, premiación, alimentación, hospedaje y transporte y demás necesarios para la realización de las actividades propias de la meta de producto programada para la presente vigencia</t>
  </si>
  <si>
    <t>Se apoyó a un deportista de la Liga de Squash de Cundinamarca para participar en Barcelona, para ello se realizó un apoyo económico: COOPERAR CON LA LIGA DE SQUASH DE CUNDINAMARCA PARA LA PARTICIPACION DEL ATLETA EDGAR ALEXANDER RAMIREZ BAUTISTA, EN EL ENTRENAMIENTO CONVOCADO POR LA ACADEMIA GLOBAL SQUASH DE BARCELONA.En el marco del convenio No. 257 celebrado con FONDECUN se realizó la contratación de indumentaria deportiva para las ligas existentes en el departamento. Se incluye camisetas de presentación, sudaderas, tanto para deportistas como entrenadores y metodólogos.</t>
  </si>
  <si>
    <t>Durante el año 2021, hemos invertido cerca de mil ciento sesenta millones de pesos ($1.160.000.000) para brindar apoyo a nuestros deportistas de alto rendimiento, quienes nos representan a través de las diferentes ligas y federaciones con presencia en el departamento, para garantizar su participación en eventos nacionales e internacionales. En total hemos realizado 34 apoyos distribuidos en 25 disciplinas deportivas.</t>
  </si>
  <si>
    <t>Pago  del estímulo o beneficio económico para los atletas, entrenadores, atletas guía y asistentes incluidos en el plan estrellas de Cundinamarca 2020, durante los meses de agosto y septiembre. Se han beneficiado 242 deportistas del alto rendimiento del departamento.</t>
  </si>
  <si>
    <t>Se tramitó el pago del estimulo o beneficio económico para los atletas, entrenadores, atletas guía y asistentes incluidos en el Plan Estrellas de Cundinamarca 2021 hasta el mes de julio de 2021</t>
  </si>
  <si>
    <t>La meta está en ejecución y se ha realizado la COFINANCIACIÓN CONVENIO PARA EL DESARROLLO DEL PROYECTO DE JUEGOS INTERCOLEGIADOS CON EL MINISTERIO DEL DEPORTE.</t>
  </si>
  <si>
    <t>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 Se adelanto el proceso contractual para realizar las actividades de juzgamiento de las actividades del programa Juegos Intercolegiados Virtuales. De igual manera se destinaron los recursos económicos para suscribir el convenio interadministrativo con el Ministerio del Deporte para realizar el programa de juegos intercolegiados para la presente vigencia.</t>
  </si>
  <si>
    <t>Se han contratado 93 personas para el apoyo técnico, administrativo y deportivo del Instituto, que permitan fortalecer el desarrollo de todas las actividades contempladas en el plan de desarrollo. Estas personas apoyan las áreas administrativa y financiera y área técnica.</t>
  </si>
  <si>
    <t xml:space="preserve">En el componente de alto rendimiento se ha realizado la contratación de 114 personas, con una inversión de $2.753.000.000 distribuido de la siguiente manera: 
94 entrenadores para el deporte de alto rendimiento del departamento, 18 en el sistema paralímpico y 76 en el deporte convencional.
10 profesionales del área metodológica
8 profesionales del área biomédica.
6 profesionales de apoyo administrativo y técnico.
En el componente administrativo y técnico para el desarrollo de los diferentes programas a cargo del instituto se realizó la contratación de 51 personas.
</t>
  </si>
  <si>
    <t>Con una inversión sin precedentes, superior a los cinco mil seiscientos millones de pesos ($5.600.000.000) logramos garantizar la presencia de 444 formadores en los 116 municipios del departamento, beneficiando a más de 22.000 niños y niñas cundinamarqueses a través del programa de Escuelas de Formación Deportiva.</t>
  </si>
  <si>
    <t>De acuerdo con el Plan de Acción formulado para el cumplimiento de esta meta de producto, y los recursos disponibles, se tiene programado realizar 1 festival deportivo durante la clausura de las actividades durante los días 13 y 14 de diciembre en los 116 municipios del departamento.</t>
  </si>
  <si>
    <t xml:space="preserve">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 </t>
  </si>
  <si>
    <t>La buena voluntad de la población a beneficiar, siempre van a estar dispuestos a participar de las actividades. Se desarrolló el día del adulto mayor de manera virtual, donde participaron 135 personas de los diferentes municipios del departamento.</t>
  </si>
  <si>
    <t>Se realizarón mesas técnicas, y se definio la participación de 30 adultos mayores por Municipio, para los encuentros provicniales intergeneracionales, esto con el fín de garantizar los protocolos de bioseguridad. Iniciamos nuetsros encuentros intergeneracionales el 18 de agosto con la provincia de Almeidas, municipio anfitrión Manta conm una participación de 235 adultos mayores. Ese mismo día realizamos el encuentro en la provincia del Guavio con Muniicpio anfitrión Guasca con una participación de 163 adultos mayores. El 19 de agosto llegamos a la provincia de Sabana Centro, municipio anfitrión Tenjo con una participación de 272 adultos mayores. El 20 de agosto llegamos a la provincia de Rionegro, municipio anfitrión Yacopí con una participación de 258 adultos mayores. El 23 de agosto llegamos a la provincia de Gualivá, municipio anfitrión San Francisco con una participación de 377 adultos mayores. El 23 de agosto llegamos a la provincia de Sabana Occidente, municipio anfitrión Facatativá con una participación de 285 adultos mayores. El 24 de agosto llegamos a la provincia de Ubaté, municipio anfitrión Guachetá con una participación de 272 adultos mayores.El 25 de agosto llegamos a la provincia del Tequendama, municipio anfitrión San Antonio con una participación de 280 adultos mayores. El 26 de agosto llegamos a la provincia de Sumapaz, municipio anfitrión Silvania con una participación de 250 adultos mayores. El 27 de agosto llegamos a la provincia de Alto Magdalena, municipio anfitrión Girardot con una participación de 227 adultos mayores. El 28 de agosto llegamos a la provincia de Magdalena Centro, municipio anfitrión San Juan de Rioseco (Cambao) con una participación de 120 adultos mayores. El 30 de agosto llegamos a la provincia de Magdalena Centro, municipio anfitrión Bituima con una participación de 271 adultos mayores.El 31 de agosto llegamos a la provincia de Oriente, municipio anfitrión Chipaque con una participación de 263 adultos mayores, y finalmente terminamos nuestro evento en la provincia de Medina, con muniicpio anfitrión Medina y una participación de 77 adultos mayores</t>
  </si>
  <si>
    <t>En el marco del convenio No. 257 celebrado con FONDECUN, esta meta se encuentra en ejecución y se pretende realizar el evento de reconocimiento a las mujeres en el mes de diciembre en la noche de los mejores.</t>
  </si>
  <si>
    <t xml:space="preserve">Se firmo contrato interadministrativo con el Municipio de Sopó, por un valor de $10.000.000 para desarrollar la carrera de la mujer durante el mes de julio. Durante el mes de noviembre se suscribieron los siguientes contratos interadministrativos:
 Zipaquirá por un valor de $20.000.000, para la realización de la carrera atlética de la mujer.
Fusagasugá por un valor de $24.000.000, para la realización de la carrera atlética de la mujer.
San Juan de Rioseco por un valor de $10.000.000, para la realización de la carrera atlética de la mujer.
Adicional a los convenios suscritos anteriormente, se ha brindado la cofinanciación a través de la entrega de camisetas, gorras y diferentes implementos deportivos a los municipios de Guaduas inspección La Paz, Guaduas centro, Cachipay, San Antonio del Tequendama, Apulo, Nemocón, y Guasca.
</t>
  </si>
  <si>
    <t>La meta se encuentra en ejecución. Se han contratado monitores para llevar a cabo el desarrollo de esta meta. PRESTACIÓN DE SERVICIOS PARA DESARROLLAR ACTIVIDADES COMO PROMOTOR MUNICIPAL EN LA ESTRATEGIA “TODOS POR COLOMBIA" SEGUN CONVENIO COID N° 527-2020 MINISTERIO DEL DEPORTE. Se suscribió un convenio con el Ministerio del Deporte: COFINANCIACIÓN CONVENIO PARA EL DESARROLLO DEL PROYECTO DE RECREACIÓN, CON EL MINISTERIO DEL DEPORTE.Se contrató la logística para llevar a cabo esta meta: GERENCIA INTEGRAL DE PROYECTOS PARA LA PLANEACIÓN, ADMINISTRACIÓN Y EJECUCIÓN DE ACCIONES TENDIENTES A MEJORAR LA CALIDAD, LA COMPETITIVIDAD Y LA PROMOCIÓN DEL DEPORTE EN CUNDINAMARCA, DE ACUERDO CON LOS LINEAMIENTOS DEL PLAN DE DESARROLLO “CUNDINAMARCA REGIÓN QUE PROGRESA"</t>
  </si>
  <si>
    <t xml:space="preserve">En el mes de septiembre realizamos reunión con la mesa departamental de participación de víctimas del conflicto armado, para definir el cronograma de ejecución de la meta de producto.
El 9 de septiembre se realizó evento dirigido a los niños y niñas víctimas del conflicto armado en el parque Mundo Aventura, con una participación de 250 niños, niñas jóvenes y adolescentes, provenientes de los municipios de: San Juan de Rioseco, Sesquilé, Agua de Dios, Guaduas, Fómeque, Nocaima, Pacho, Vergara, Viotá y Vianí.
En el mes de octubre realizamos eventos deportivos y recreativos con la población víctima del conflicto armado de los municipios de Gama, Chocontá, San Juan de Rioseco y Cambao, Une, Zipacón, Supatá, Beltrán, Guataquí y Caparrapí.
En el mes de noviembre realizamos eventos deportivos y recreativos con la población víctima del conflicto armado de los municipios de Quipile, Cabrera y Silvania. Se tiene programado realizar el último evento en el municipio del Peñón el 09 de diciembre.
</t>
  </si>
  <si>
    <t>ACTIVATE LIVE; PROGRAMA EL CUAL SE TRASMITE POR MEDIO DE LA PAGINA DE FACEBOOK “INDEPORTES CUNDINAMARCA”.VACACIONES RECREATIVAS.MARATÓN DE RUMBA  AERÓBICA. ACERCAMIENTO CON LOS CENTROS DE APOYO PARA DISCAPACIDAD.</t>
  </si>
  <si>
    <t xml:space="preserve">Se suscribieron convenios con los Municipios de San Juan de Rioseco, Guayabal de Síquima, Machetá y Chaguaní.
Se entregaron dotaciones compuestas de balones medicinales, mancuernas, balón de futbol de salón laminado, balón de baloncesto, Ula Ula, pelotas de caucho, conos de 20 cm, escaleras de agilidad, vallas de saltabilidad y colchonetas a las escuelas de formación deportiva discapacidad de Cota, Silvania, Soacha, Sibaté, Fusagasugá, Fúquene y Ubaté.
</t>
  </si>
  <si>
    <t>Se logró llegar a mas beneficiados de los presupuestados debido a que se generaron nuevas estrategias para mitigar el impacto de la pandemia que afecta a los afiliados de l CSC.</t>
  </si>
  <si>
    <t>Afiliaciones ,subsidios educativos,Promocion de portafólio de servicios</t>
  </si>
  <si>
    <t>Aliaciones 384 ,subsidios educativos 21,Promocion de portafolio de servicios 1616</t>
  </si>
  <si>
    <t>Dada la misionalidad de la corporación Social de Cundinamarca se incrementó la solicitud de créditos atendiendo al llamado del Departamento para contribuir a la reactivación económica</t>
  </si>
  <si>
    <t>En el 2020 se cumplió con las tres estrategias y en el 2021 hemos ejecutado dos de las tres, debido a que no se han realizado convenios con otras entidades.</t>
  </si>
  <si>
    <t>Se otorgan créditos en cofinanciación con otras entidades, devolución de ahorros e intereses</t>
  </si>
  <si>
    <t xml:space="preserve">Estrategia 1:Creditos otorgados 1692,Estrategia2: Creditos con Covenio .Estrategia 3:Devoluciòn de Ahorros </t>
  </si>
  <si>
    <t>Durante el 2020, se dió acompañamiento a ocho (8) procesos musicales como músicas tradicionales, populares, campesinas, urbanas y  bandísticos desarrollados en los municipios del departamento,  a través de talleres virtuales (técnicas de afinación, digitación, interpretación de instrumentos sinfónicos dirigido a los músicos integrantes de las bandas municipales, lo cual ayuda a su fortalecimiento y evaluación de los avances.  Adicionalmente, se brindó apoyo a los procesos musicales en la edición de audio y video de montajes y ensambles musicales (preproducción, producción , post producción, grabación). En lo corrido del 2021,    Se apoyaron 9 procesos musicales:
Prácticas y agrupaciones
1. Orquestas de cuerdas pulsadas
2. Músicas tradicionales, populares, campesinas y urbanas
Circulación
3. Alianza agrupaciones musicales Región Metropolitana Bogotá-Cundinamarca
Gobernanza
4. Comunicación interactiva entre actores (Red de voceros)
5. Datos e información disponible (SIMUS)
6. Recursos y herramientas facilitadoras de la gestión (Banco de Partituras)
7. Participación real y propositiva
8. Gestión articulada y reciproca con la música (Agendas áreas artísticas con entidades regionales y departamentales)
9. Plan Departamental de Música
aumentando la cobertura en el departamento en  78 municipios con Bandas musicales; en 41 municipios en dotaciòn intrumental;  78 municipios con proceso de formacion musical- escuelas, beneficiando a la población de los municipios de Quipile, Gachalá, Vianí, Cachipay, Tausa, Bojacá, Anolaima, Albán, Arbeláez, Guaduas, Junín, El Rosal, La Vega, Tabio, Cota, Arbeláez, Fúquene, Puerto Salgar, Lenguazaque, La Peña, Beltrán, Chipaque, Venecia, San Bernardo, Quetame, Bituima, Vergara, Vianí, Carmen De Carupa, Fómeque, Zipacón, Albán, Pulí, Fosca, Sutatausa, Bojacá, Ubaque, Gama, Villa pinzón, Tibacuy, Tena, Anolaima, Suesca, Nocaima, Suesca, La Vega, Manta, Cucunubá, Medina, Topaipí, Nemocón, Nimaima, Soacha, Chía, Facatativá, Mosquera, El Rosal, Sopó, Cajicá, Sibaté, Funza, Cota, Gachetá, Nemocón, Guasca, Puerto Salgar, Villeta, Cogua, Lenguazaque, Gachalá, Paratebueno, Gama, Supatá, Gutierrez, Chaguaní, Yacopí, San Francisco y Nariño con servicios de formación, acompañamiento y dotación musical. Se realizó acompañamiento y apoyo técnico a 29 municipios de 6, 5 y 4 categoría. A la fecha se  atendido a más de 321 personas en el área de música.</t>
  </si>
  <si>
    <t>Clases virtuales</t>
  </si>
  <si>
    <t xml:space="preserve">Se realizó acompañamiento y apoyo técnico a 29 municipios de 6, 5 y 4 categoría. A la fecha se  atendido a más de 321 personas en el área de música </t>
  </si>
  <si>
    <t xml:space="preserve">Durante la vigencia 2021, se han cofinanciado 3 eventos de celebraciones de prácticas artísticas y culturales colectiva beneficiando a los municipios de Sopo, Cucunuba, Soacha, Girardot, Facatativá y Fusagasugá. La primera, corresponde a  la celebración del día nacional de la afro colombianidad, donde se logro la participación de las comunidades afro del departamento, logrando así el rescate de la identidad cultural, sus raíces y sus costumbres afro; así como también  se realizaron capacitaciones a la población afro sobre el origen y el uso de sus derechos, beneficiando de esta manera a la comunidad perteneciente a esta etnia, en especial a los representantes de los municipios de Soacha, Fusagasugá, Girardot y Facatativá quienes fueron los que asistieron al evento y replicaron la información. 
Por otro lado, el segundo evento se realizo en  el municipio de Sopo,  donde se llevó a cabo el XX festival de teatro, arte y folclor del 8 de septiembre hasta el 11 de septiembre; en éste se apoyó con  la entrega de insumos alimenticios para los artistas que invitados . Con la realización de este evento, se rescato los valores de identidad cultural y artística, logrando de esta forma la debida construcción del tejido social mediante la consolidación de actividades desarrolladas alrededor del arte y la cultura. 
y por ultimo,se brindó  apoyo  a la Segunda feria artesanal “ Expolana" en el municipio de Cucunuba, especificamente apoyo logístico y de soporte  con el alquiler del sonido y de la tarima para el desarrollo  de la feria. Cabe anotar, que estos eventos benefician a toda la población del municipio, en especial a los artesanos y comerciantes con la  generación de espacios y estrategias de  reactivación económica.
La primera, la celebración del día nacional de la afro colombianidad, donde se logro la participación de las comunidades afro del departamento, logrando así el rescate de la identidad cultural, sus raíces y sus costumbres afro.  Se realizaron capacitaciones a la población afro sobre el origen y el uso de sus derechos. El beneficio fue para toda la comunidad perteneciente a esta etnia, en especial para los representantes de los municipios de Soacha, Fusagasugá, Girardot y Facatativá quienes fueron los que asistieron al evento y replicaron la información. 
Por otro lado, el segundo evento se realizo con el municipio de Sopo,  XX festival de teatro, arte y folclor en el municipio. Se realizo la entrega de insumos alimenticios para los artistas invitados del 8 de septiembre hasta el 11 de septiembre. Con la realización de este evento, se rescato los valores de identidad cultural y artística, logrando de esta forma la debida construcción del tejido social mediante la consolidación de actividades desarrolladas alrededor del arte y la cultura. 
y por ultimo, apoyo  a la 2da feria artesanal “ expolanas en el municipio de Cucunuba, para este evento se apoya con el alquiler del sonido y de la tarima para el desarrollo total de la feria. Cabe anotar, que estos eventos benefician a toda la población del municipio, en especial a los artesanos y comerciantes en la medida que genera una reactivación económica importante, pues este evento genera un impacto importante en la región.  </t>
  </si>
  <si>
    <t>Cofinanciacion</t>
  </si>
  <si>
    <t>Durante la vigencia 2021, se han cofinanciado 3 eventos de celebraciones de prácticas artísticas y culturales colectiva beneficiando a los municipios de Sopo, Cucunuba, Soacha, Girardot, Facatativá y Fusagasugá. La primera, corresponde a  la celebración del día nacional de la afro colombianidad, donde se logro la participación de las comunidades afro del departamento, logrando así el rescate de la identidad cultural, sus raíces y sus costumbres afro; así como también  se realizaron capacitaciones a la población afro sobre el origen y el uso de sus derechos, beneficiando de esta manera a la comunidad perteneciente a esta etnia, en especial a los representantes de los municipios de Soacha, Fusagasugá, Girardot y Facatativá quienes fueron los que asistieron al evento y replicaron la información. 
Por otro lado, el segundo evento se realizo en  el municipio de Sopo,  donde se llevó a cabo el XX festival de teatro, arte y folclor del 8 de septiembre hasta el 11 de septiembre; en éste se apoyó con  la entrega de insumos alimenticios para los artistas que invitados . Con la realización de este evento, se rescato los valores de identidad cultural y artística, logrando de esta forma la debida construcción del tejido social mediante la consolidación de actividades desarrolladas alrededor del arte y la cultura. 
y por ultimo,se brindó  apoyo  a la Segunda feria artesanal “ Expolana" en el municipio de Cucunuba, especificamente apoyo logístico y de soporte  con el alquiler del sonido y de la tarima para el desarrollo  de la feria. Cabe anotar, que estos eventos benefician a toda la población del municipio, en especial a los artesanos y comerciantes con la  generación de espacios y estrategias de  reactivación económica.</t>
  </si>
  <si>
    <t xml:space="preserve">Durante la vigencia 2020 se apoyaron 92 municipios del departamento con la contratación de 148 formadores  y en lo corrido de la vigencia 2021. Se han potencializado 103 municipios (AGUA DE DIOS, ALBÁN, ANOLAIMA, APULO, ARBELAÉZ, BELTRAN, BITUIMA, BOJACÁ, CABRERA, CACHIPAY, CAPARRAPÍ, CAQUEZA, CARMEN DE CARUPA, CHAGUANÍ, CHIPAQUE, CHOACHÍ, CHOCONTÁ, COGUA, COTA, CUCUNUBÁ, EL COLEGIO, EL PEÑÓN, EL ROSAL, FACATATIVÁ, FÓMEQUE, FOSCA, FÚQUENE, FUSAGASUGA, GACHALÁ, GACHANCIPÁ, GACHETÁ, GAMA, GRANADA, GUACHETÁ, GUADUAS, GUASCA, GUATAVITA, GUAYABAL DE SÍQUIMA, GUAYABETAL, GUTIERREZ, JERUSALÉN, JUNIN, LA MESA, LA PALMA, LA PEÑA, LA VEGA, LENGUAZAQUE, MACHETÁ, MANTA, MEDINA, NARIÑO, NEMOCÓN, NILO, NIMAIMA, NOCAIMA, PACHO, PAIME, PANDI, PARATEBUENO, PASCA, PUERTO SALGAR, PULÍ, QUEBRADANEGRA, QUETAME, QUIPILE, RICAURTE, SAN ANTONIO DEL TEQUENDAMA, SAN BERNARDO, SAN CAYETANO, SAN FRANCISCO, SAN JUAN DE RIO SECO, SASAIMA, SESQUILÉ, SIBATÉ, SILVANIA, SIMIJACA, SOACHA, CHÍA,, MOSQUERA, SOPÓ, CAJICÁ, FUNZA, SUBACHOQUE, SUESCA, SUPATÁ, SUSA, SUTATAUSA, TABIO, TAUSA, TENA, TIBACUY, TIBIRITA, TOCAIMA, TOPAIPÍ, UBALÁ, UBAQUE, UBATÉ, UNE, ÚTICA, VENECIA, VERGARA, VIANÍ, VILLAGÓMEZ, VILLAPINZÓN, VILLETA, VIOTÁ, YACOPÍ, ZIPACÓN.) con 249 formadores en las diferentes áreas artísticas. Los procesos de formación artística se desarrollan de forma transversal e incluyente para toda la población, lo cual permite beneficiar porblación victima, ROM, Indígena, Afrodescendiente, en condición de discapacidad, LGTBI, entre otros; y a su vez, se ha buscado garatnizar el acceso a  la población rural, priorizando a los  municipios de categoría 5 y 6.  
</t>
  </si>
  <si>
    <t>Clases en areas artisticas</t>
  </si>
  <si>
    <t xml:space="preserve">Se han potencializado 103 municipios (AGUA DE DIOS, ALBÁN, ANOLAIMA, APULO, ARBELAÉZ, BELTRAN, BITUIMA, BOJACÁ, CABRERA, CACHIPAY, CAPARRAPÍ, CAQUEZA, CARMEN DE CARUPA, CHAGUANÍ, CHIPAQUE, CHOACHÍ, CHOCONTÁ, COGUA, COTA, CUCUNUBÁ, EL COLEGIO, EL PEÑÓN, EL ROSAL, FACATATIVÁ, FÓMEQUE, FOSCA, FÚQUENE, FUSAGASUGA, GACHALÁ, GACHANCIPÁ, GACHETÁ, GAMA, GRANADA, GUACHETÁ, GUADUAS, GUASCA, GUATAVITA, GUAYABAL DE SÍQUIMA, GUAYABETAL, GUTIERREZ, JERUSALÉN, JUNIN, LA MESA, LA PALMA, LA PEÑA, LA VEGA, LENGUAZAQUE, MACHETÁ, MANTA, MEDINA, NARIÑO, NEMOCÓN, NILO, NIMAIMA, NOCAIMA, PACHO, PAIME, PANDI, PARATEBUENO, PASCA, PUERTO SALGAR, PULÍ, QUEBRADANEGRA, QUETAME, QUIPILE, RICAURTE, SAN ANTONIO DEL TEQUENDAMA, SAN BERNARDO, SAN CAYETANO, SAN FRANCISCO, SAN JUAN DE RIO SECO, SASAIMA, SESQUILÉ, SIBATÉ, SILVANIA, SIMIJACA, SOACHA, CHÍA,, MOSQUERA, SOPÓ, CAJICÁ, FUNZA, SUBACHOQUE, SUESCA, SUPATÁ, SUSA, SUTATAUSA, TABIO, TAUSA, TENA, TIBACUY, TIBIRITA, TOCAIMA, TOPAIPÍ, UBALÁ, UBAQUE, UBATÉ, UNE, ÚTICA, VENECIA, VERGARA, VIANÍ, VILLAGÓMEZ, VILLAPINZÓN, VILLETA, VIOTÁ, YACOPÍ, ZIPACÓN.) con 249 formadores en las diferentes áreas artísticas. Los procesos de formación artística se desarrollan de forma transversal e incluyente para toda la población, lo cual permite beneficiar porblación victima, ROM, Indígena, Afrodescendiente, en condición de discapacidad, LGTBI, entre otros; y a su vez, se ha buscado garatnizar el acceso a  la población rural, priorizando a los  municipios de categoría 5 y 6.  
</t>
  </si>
  <si>
    <t>Durante la vigencia 2020 se dió acompañamiento a ocho (8) municipios y se designaron formadores en seis(6) municipios.  En lo corrido de la vigencia 2021. A la fecha se han implementado 13 procesos de formación  literaria por medio de talleres, los cuales se desarrollan  entre la teoría y la práctica a través de la  conformación de grupos en la cabecera municipal y por lo menos en dos zonas rurales de cada municipio, beneficiando a los diferentes grupos etarios y poblacionales en los municipios de Alban, Anapoima, Cachipay, Caparrapí, Fúquene, Puerto Salgar, Simijaca, Soacha, Tabio, Topaipí, Útica, Viotá y Zipacón.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
Se implementaron procesos de formación literaria a través de la estrategia de literatura diseñada por el Idecut, y desarrollada en 13 municipios en el 2021 (Alban, Anapoima, Cachipay, Caparrapí, Fúquene, Puerto Salgar, Simijaca, Soacha, Tabio, Topaipí, Útica, Viotá y Zipacón.)
Se ha logrado gran impacto en niños, adultos mayores, población discapacitada y víctimas del conflicto armado en el municipio de Viotá.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t>
  </si>
  <si>
    <t>Clases de literatura</t>
  </si>
  <si>
    <t>A la fecha se han implementado 13 procesos de formación  literaria por medio de talleres, los cuales se desarrollan  entre la teoría y la práctica a través de la  conformación de grupos en la cabecera municipal y por lo menos en dos zonas rurales de cada municipio, beneficiando a los diferentes grupos etarios y poblacionales en los municipios de Alban, Anapoima, Cachipay, Caparrapí, Fúquene, Puerto Salgar, Simijaca, Soacha, Tabio, Topaipí, Útica, Viotá y Zipacón.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t>
  </si>
  <si>
    <t xml:space="preserve">Durante 2021 se han aprobado los proyectos de intervención de infraestructura física cultural de los municipios de Supatá, Paratebueno, Sibaté, Une, </t>
  </si>
  <si>
    <t>Convenios Iccu</t>
  </si>
  <si>
    <t xml:space="preserve">En la vigencia 2020, se dió inicio a la implementación de la primera fase del modelo de gestión cultural en el departamento, a  través de estrategias que potencializaron las capacidades de participación cultural de las 116 administraciones municipales, donde a partir de la asistencia técnica territorial se diagnosticaron las principales necesidades y problemáticas de los entes permitiendo marcar una hoja de ruta que facilitó la toma de decisiones en favor del desarrollo cultural, estrategia que dio inicio durante el primer trimestre de 2020. 
-Adicionalmente, como parte de las estrategias que dieron inicio durante el primer semestre de 2020, se financió el Servicio Social Complementario de Beneficios Económico Periódicos BEPS en la modalidad vitalicia de 90 gestores y creadores culturales de 18 municipios de Cundinamarca, mediante transferencia de recursos por valor de $3.032.388.709 realizada a Colpensiones, por el Departamento a través IDECUT, en cumplimiento del decreto 2012 de 2017 el cual estableció la manera de invertir los recursos provenientes del 10% del recaudo de la Estampilla Procultura Ley 666/01. En la vigencia 2021. Asistencia tecnica y acompañamiento en  la implementación del modelo de gestion publica de la cultura en los 116 municipios del departamento. Dentro del modelo de gestión se han realizado los consejos departamentales de cultura y las sesiones del consejo departamental de cinematografía y medios audiovisules, brindando apoyo, asistencia técnica y acompañamiento en los espacios de participación y gobernanza culturañ. Asimismo, se llevó a cabo el encuentro con el Ministerio de Cultura y se ha desarrollado la estrategia de acompañamiento territorial mediante la cual se brinda asistencia técnica, asesoria y acompañamiento a los 116 municipios en la consolidación e implementación del modelo de gestión pública de la cultura con el objetivo de garantarizar el acceso a los derechos culturales de la población cundinamarquesa.                                                                                           9. fortalecimiento provincial en el primer encuentro de planeación y gestión pública de la cultura provincia de rio negro.                                                                                    10. realización de Encuentro departamental fortalecer las capacidades de la institución cultural de los gestores y actores culturales de las entidades territoriales en los componentes culturales del sistema nacional de cultura.                                                                  11. se realiza acompañamieto a evaluación y seguimiento a los procesos de formación artística por provincia en el departamento.                                                     12. Articulación implementación programa “por mi familia cuido mi vida” a cargo de la secretaria de minas y la agencia nacional de minas en las provincias del Guavio y Ubaté.  </t>
  </si>
  <si>
    <t>Asistencias tecnicas</t>
  </si>
  <si>
    <t>Asistencia tecnica y acompañamiento en  la implementación del modelo de gestion publica de la cultura en los 116 municipios del departamento. Dentro del modelo de gestión se han realizado los consejos departamentales de cultura y las sesiones del consejo departamental de cinematografía y medios audiovisules, brindando apoyo, asistencia técnica y acompañamiento en los espacios de participación y gobernanza culturañ. Asimismo, se llevó a cabo el encuentro con el Ministerio de Cultura y se ha desarrollado la estrategia de acompañamiento territorial mediante la cual se brinda asistencia técnica, asesoria y acompañamiento a los 116 municipios en la consolidación e implementación del modelo de gestión pública de la cultura con el objetivo de garantarizar el acceso a los derechos culturales de la población cundinamarquesa.</t>
  </si>
  <si>
    <t>En la vigencia 2020 a cada una de las 158 bibliotecas que conforman la red departamental se le asignó un tutor. Adicionalmente, dentro de la convocatoria de estímulos "Corazonarte Cultura para Cuidarte" fueron adjudicados 30 para temas relacionados con bibliotecas públicas entre los cuales se encuentran: creación en conformación de club de lectura, fotografía y memoria en bibliotecas públicas y creación en laboratorios bibliotecarios.  Durante el año 2021 se continua con el acompañamiento in situ a las bibliotecas públicas municipales en un 100%, Se resalta que  al 31 de octubre se ha hecho acompañamiento técnico in situ a 113 bibliotecas públicas del departamento y al 100% de la red en modalidad virtual, por WhatsApp, Teams, Zoom y demás plataformas virtuales. Adicioalmente, se obtuvieron bibliotecas digitales makina editorial (Micro-servidores llamado “La Cajita” precargados con 330 libros pertenecientes a la Biblioteca Digital Offline de MakeMake), para entregar a cada una de las bibliotecas públicas del departamento.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
Durante el año 2021 se continua con el acompañamiento in situ a las bibliotecas públicas municipales, al 27 de septiembre se ha hecho acompañamiento técnico in situ a 83 bibliotecas públicas del departamento y al 10% de la red en modalidad virtual, por WhatsApp, Teams y Zoom.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
Durante el año 2021 se continua con el acompañamiento in situ a las bibliotecas públicas municipales, al 27 de septiembre se ha hecho acompañamiento técnico in situ a 83 bibliotecas públicas del departamento y al 10% de la red en modalidad virtual, por WhatsApp, Teams y Zoom.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t>
  </si>
  <si>
    <t>Se realizo con el acompañamiento in situ a las bibliotecas públicas municipales, en acompañamiento técnico in situ a 158 bibliotecas públicas del departamento y al 100% de la red en modalidad virtual, por WhatsApp, Teams y Zoom. Se adquirieron bibliotecas digitales makina editorial (Micro-servidores llamado “La Cajita” precargados con 330 libros pertenecientes a la Biblioteca Digital Offline de MakeMake), para entregar a cada una de las bibliotecas públicas del departamento.</t>
  </si>
  <si>
    <t>Durante el año 2021. Se han cofinanciado cinco (5) proyectos que desarrollan actividades para la socialización y acceso al patrimonio cultural, a través de los cuales se ha beneficiado a la comunidad de los municipios de Facatativá, Albán, Sesquilé, Tena y Cota. Mediante las  actividades se socializacón se pretende incrementar el sentido de partenencia de los cundinamarqueses hacia su territorio.Para la consecución de los objetivos trazados en la identificacion, rescate y conservación del patrimonio cultural se  suscribieron  de cinco convenios interadministrativos con el fin de beneficiar a los municipios de Facatativá, Tena, Sesquilé, Cota y Albán.</t>
  </si>
  <si>
    <t>Documentos tecnicos</t>
  </si>
  <si>
    <t>Se han cofinanciado cinco (5) proyectos que desarrollan actividades para la socialización y acceso al patrimonio cultural, a través de los cuales se ha beneficiado a la comunidad de los municipios de Facatativá, Albán, Sesquilé, Tena y Cota. Mediante las  actividades se socializacón se pretende incrementar el sentido de partenencia de los cundinamarqueses hacia su territorio.Para la consecución de los objetivos trazados en la identificaci+on, rescate y conservación del patrimonio cultural se  suscribieron  de cinco convenios interadministrativos con el fin de beneficiar a los municipios de Facatativá, Tena, Sesquilé, Cota y Albán.</t>
  </si>
  <si>
    <t>Durante 2021 se han cofinanciado tres( 3) proyectos para la realización de  actividades de preservación y conservación de patrimonio material, a través de los cuales se beneficia la población  de los municipios de Chaguaní, Suesca y Mosquera, ya que  con la intervención y restauración de este patrimonio cultural, se busca incrementar el sentido de partenencia del habitante cundinamarqueses.</t>
  </si>
  <si>
    <t>Convenio</t>
  </si>
  <si>
    <t>Se han cofinanciado tres( 3) proyectos para la realización de  actividades de preservación y conservación de patrimonio material, a través de los cuales se beneficia la población  de los municipios de Chaguaní, Suesca y Mosquera, ya que  con la intervención y restauración de este patrimonio cultural, se busca incrementar el sentido de partenencia del habitante cundinamarqueses.</t>
  </si>
  <si>
    <t>Durante la vigencia 2021. Se realizo capacitación para los informadores de los puntos de información turístico de los Pits de la Red Nacional Fontur y la red departamental sobre el programa de Escnna por parte del Viceministerio, beneficiando a 33 PITS en los municipios de Agua de Dios, Anapoima, Arbeláez, Bojacá, Cajicá, Chía, Cachipay, Cota, Fusagasugá, Girardot, Guaduas, Guasca, Guatavita, La Mesa, La Vega, Mesitas del Colegio, Nemocón, Nimaima-Tobia, Nocaima, Soacha-Salto del Tequendama , San Antonio del Tequendama, Sesquilé, Sopó, Subachoque, Suesca, Tabio, Tenjo, Tocaima, Tocancipa, Ubaté, Vergara, Villeta y Zipaquirá.
*participa activamente en cada comité departamental con los temas que tienen relación a la Explotación Sexual Comercial de Niños, Niñas y Adolescentes ESCNNA, Lucha Contra la Trata de Personas y de Derechos Humanos.</t>
  </si>
  <si>
    <t>Se realizo capacitación para los informadores de los puntos de información turístico de los Pits de la Red Nacional Fontur y la red departamental sobre el programa de Escnna por parte del Viceministerio, beneficiando a 33 PITS en los municipios de Agua de Dios, Anapoima, Arbeláez, Bojacá, Cajicá, Chía, Cachipay, Cota, Fusagasugá, Girardot, Guaduas, Guasca, Guatavita, La Mesa, La Vega, Mesitas del Colegio, Nemocón, Nimaima-Tobia, Nocaima, Soacha-Salto del Tequendama , San Antonio del Tequendama, Sesquilé, Sopó, Subachoque, Suesca, Tabio, Tenjo, Tocaima, Tocancipa, Ubaté, Vergara, Villeta y Zipaquirá.</t>
  </si>
  <si>
    <t xml:space="preserve">Durante la vigencia 2020 se brindó acompañamiento técnico a 7 procesos bandísticos ( 1.	Sección o familia de las maderas agudas: bandas infantiles y juveniles 2. sección o familia de las maderas graves: bandas infantiles y juveniles 3. sección o familia de bronces agudos: bandas infantiles y juveniles 4. sección o familia de bronces graves: bandas infantiles y juveniles 5. sección o familia de percusión latina y folclórica: bandas infantiles y juveniles. 6. sección o familia de percusion sinfónica: bandas infantiles y juveniles 7. sección o familia de cuerdas frotadas) en  60 municipios, beneficiando a 1.000 integrantes de las agrupaciones bandísticas y sus 60 maestros formadores, a través de la conformación de la banda sinfónica juvenil de Cundinamarca, la cual se dio mediante Resoluciones 155 de 28 de julio 2020 y 190 del 11 de septiembre de 2020  y se dio la contratación de cuarenta (40) músicos instrumentistas, siete (7) músicos profesionales, un (1) director y demás equipo de apoyo para su funcionamiento. Igualmente, la banda acompañó algunos eventos culturales desarrollados en el departamento y en entidades donde fue invitada. En lo corrido de 2021. Acompañamiento a procesos bandistico musical:
Bandas muestra o prebandas
Bandas infantiles
Bandas juveniles
Bandas libres o mayores
Bandas fiesteras
Bandas sinfónicas y especiales
Orquesta de cuerdas pulsadas
Coros 
Beneficiando a 65 municipios de 6, 5 y 4 categoría. A la fecha hemos atendido a más de 1200 personas con la Banda Sinfónica Juvenil de Cundinamarca. </t>
  </si>
  <si>
    <t>Asistencia tecnica proceso de formacion</t>
  </si>
  <si>
    <t xml:space="preserve">Acompañamiento a procesos bandistico musical:
Bandas muestra o prebandas
Bandas infantiles
Bandas juveniles
Bandas libres o mayores Bandas fiesteras
Bandas sinfónicas y especiales
Orquesta de cuerdas pulsadas
Coros 
Beneficiando a 65 municipios de 6, 5 y 4 categoría. A la fecha hemos atendido a más de 1200 personas con la Banda Sinfónica Juvenil de Cundinamarca. </t>
  </si>
  <si>
    <t xml:space="preserve">En el 2020 se aunaron esfuerzos con el municipio de Fusagasugá para el fortalecimiento de los procesos de formación artística dirigida a la población en condición de discapacidad a través de la suscripción de un convenio para la  dotación de elementos acorde con las necesidades de las áreas artísticas, con el cual se benefició a 278 personas en condición de discapacidad física, sensorial auditiva, sensorial visual, sistémica, cognitiva, mental, psicosocial y múltiple. En 2021. Se ha apoyado un proceso cultural que beneficie a la población en condicion de discapacidad, especificamente en el municipio de Funza, el cual se encuentra en etapa de  convocatoria y tramite administrativo para firma. EL proyecto que tiene como objeto la creación de  "el vuelo de las aves"como un espacio  para la creacion de  artes escénicas y medios de comunicación con personas en discapacidad. </t>
  </si>
  <si>
    <t>Proceso</t>
  </si>
  <si>
    <t xml:space="preserve">Se ha apoyado un proceso cultural que beneficie a la población en condicion de discapacidad, especificamente en el municipio de Funza, el cual se encuentra en etapa de  convocatoria y tramite administrativo para firma. EL proyecto que tiene como objeto la creación de  "el vuelo de las aves"como un espacio  para la creacion de  artes escénicas y medios de comunicación con personas en discapacidad. </t>
  </si>
  <si>
    <t xml:space="preserve"> El embellecimiento del centro histórico del municipio de Sesquilé, se encuentra en proceso de ejecución; actualmente se esta evaluando la  propuesta de color con la Fundación Pintuco y  con la Empresa Energía se están determinando la propuesta de avisos para los establecimientos comerciales, con el fin deunificarlas en el espacio turístico y cultural. La evaluación de las propuestas y las decisiones se trabajan en conjunto con la comunidad, como parte fundamental en la determinación de Pueblo Dorado.
Adicionalmente, se encuentra en proceso la firma del convenio con el municipio de Tena para el embellecimiento del centro históric, el cual tiene como objetivo  arreglar fachadas y mejorar los espacios públicos de la zona.</t>
  </si>
  <si>
    <t xml:space="preserve"> El embellecimiento del centro histórico del municipio de Sesquilé, se encuentra en proceso de ejecución; actualmente se esta evaluando la  propuesta de color con la Fundación Pintuco y  con la Empresa Energía se están determinando la propuesta de avisos para los establecimientos comerciales, con el fin deunificarlas en el espacio turístico y cultural. La evaluación de las propuestas y las decisiones se trabajan en conjunto con la comunidad, como parte fundamental en la determinación de Pueblo Dorado.
Adicionalmente, se encuentra en proceso la firma del convenio con el municipio de Tena para el embellecimiento del centro históric, el cual tiene como objetivo  arreglar fachadas y mejorar los espacios públicos de la zona.
Adicionalmente, se firmó convenio con PINTUCO para embellecer los centros historicos de municipios que hacen parte del proyecto pueblos dorados.</t>
  </si>
  <si>
    <t>Durante 2020 se ejecutó el plan de incentivos, beneficiando a 346 emprendedores turísticos de 74 municipios, a través de la estrategia "Touremprender", contribuyendo a la reactivación económica de micro negocios empresariales y/o asociativos y/o solidarios del turismo. A través de convocatoria pública se entregaron incentivos por valor de $4.500.000 a emprendedores turísticos del departamento para la reactivación económica del turismo 2020, como compromiso de la gobernación con el sector afectados por el aislamiento físico a causa de la emergencia. En 2021, se brindó acompañamiento a los empresarios turisticos incentivandolos a certificarse con el fin de fidelizar mayor número de turistas para reactivar su economía.</t>
  </si>
  <si>
    <t xml:space="preserve">Durante la vigencia 2020 se estructuró una estrategia para promover la cultura y el turismo cultural de la sabana centro a través de una pauta publicitaria, articulación para el apoyo a las estrategias de marketing promoción y comercialización de los artesanos en el marco de la reactivación económica y transmisión del programa radial "de tour por Cundinamarca" y divulgación de las actividades y convocatorias realizadas por el IDECUT a través de emisoras municipales y "El Dorado Radio". Durante la vigencia 2021. Se logró mantener y continuar con el desarrollo del plan de medios, dando una mayor cabida a la publicidad con artesanos, implementando una campaña de sesión de fotos, realización de catálogo, creación de contenidos para la comercialización de sus productos y capacitación para los artesanos en medios digitales.  Acompañamiento con el desarrollod el plan de medios  para apoyar el evento de EXPOCUNDINAMARCA .Acompañamiento con el desarrollod el plan de medios  para apoyar el evento de EXPOCUNDINAMARCA </t>
  </si>
  <si>
    <t>Plan de medios</t>
  </si>
  <si>
    <t>Se logró mantener y continuar con el desarrollo del plan de medios, dando una mayor cabida a la publicidad con artesanos, implementando una campaña de sesión de fotos, realización de catálogo, creación de contenidos para la comercialización de sus productos y capacitación para los artesanos en medios digitales.  Acompañamiento con el desarrollod el plan de medios  para apoyar el evento de EXPOCUNDINAMARCA .Acompañamiento con el desarrollod el plan de medios  para apoyar el evento de EXPOCUNDINAMARCA .</t>
  </si>
  <si>
    <t>En el 2021. La implementación del modelo de pueblo Dorado se encuentra en proceso de firma del convenio con los municipios de Tena y Sesquilé, para que estos sean incluidos dentro de los pueblos dorados del Departamento. De igual manera, se ha llevado a cabo la revisión de los avances el proyecto de Pueblos Dorados y se han desarrollado reuniones con la concesión Devisab para concretar su vinculación al proyecto. Por último, se han llevado a cabo capacitaciones por parte de Procolombia dirigidas a  la provincia de Almeidas en temas turísticos.</t>
  </si>
  <si>
    <t>Talleres</t>
  </si>
  <si>
    <t>La implementación del modelo de pueblo Dorado se encuentra en proceso de firma del convenio con los municipios de Tena y Sesquilé, para que estos sean incluidos dentro de los pueblos dorados del Departamento. De igual manera, se ha llevado a cabo la revisión de los avances el proyecto de Pueblos Dorados y se han desarrollado reuniones con la concesión Devisab para concretar su vinculación al proyecto. Por último, se han llevado a cabo capacitaciones por parte de Procolombia dirigidas a  la provincia de Almeidas en temas turísticos.</t>
  </si>
  <si>
    <t>En el 2021. Se ha impulsado el reconocimiento gastronómico mediante la realizacion de diferentes visitas de producción, de entrevistas y de recopilación  de la historia, preparación y fotografias de cada una de las  recetas tradicionales que se publicaran en el libro "Sabores de Cundinamarca". Las visitas se llevaron a cabo por personal tecnico y profesional. Esta iniciativa beneficia a la población y el reconocimiento gastronómico y cultural de los municipios de Guasca, Zipaquirá, Gachancipá, Chía, Sibaté, La Calera, Albán, Cota, Tena, Manta. Soacha, Sibaté, Silvania, Tausa, Ubaté, Guachetá, Pacho, La Palma, Yacopí, La Calera, Guasca y Manta, Chía, Pasca, Arbeláez, Pandi, Junín, Ubalá, Anapoima, Tocaima, Girardot, Zipaquirá, Cogua, Gachancipá, Anapoima, Tocaima,Tena,Girardot,El Colegio,facatativa,Mosquera, Sesquilé y Villa Pinzón, Tabio. 
Posteriormente, se realizaron las visitas correspondientes en coordinación del Idecut, en acompañamiento de la chef Jennifer Rodríguez y de la escritora y el fotógrafo de la Editorial Planeta. A la fecha, falta visitar 6 establecimientos y se encuentran en redacción de las primeras páginas y diseño de las propuestas del diseño del libro. Se da  inicio de proceso de edición e impresión, de la entrega de los ejemplares al Gobierno Departamental para el mes de diciembre del presente año,</t>
  </si>
  <si>
    <t>Convocatoria para la seleccion de mejores restaurantes</t>
  </si>
  <si>
    <t>Se ha impulsado el reconocimiento gastronómico mediante la realizacion de diferentes visitas de producción, de entrevistas y de recopilación  de la historia, preparación y fotografias de cada una de las  recetas tradicionales que se publicaran en el libro "Sabores de Cundinamarca". Las visitas se llevaron a cabo por personal tecnico y profesional. Esta iniciativa beneficia a la población y el reconocimiento gastronómico y cultural de los municipios de Guasca, Zipaquirá, Gachancipá, Chía, Sibaté, La Calera, Albán, Cota, Tena, Manta. Soacha, Sibaté, Silvania, Tausa, Ubaté, Guachetá, Pacho, La Palma, Yacopí, La Calera, Guasca y Manta, Chía, Pasca, Arbeláez, Pandi, Junín, Ubalá, Anapoima, Tocaima, Girardot, Zipaquirá, Cogua, Gachancipá, Anapoima, Tocaima,Tena,Girardot,El Colegio,facatativa,Mosquera, Sesquilé y Villa Pinzón, Tabio. Se da  inicio de proceso de edición e impresión, de la entrega de los ejemplares al Gobierno Departamental para el mes de diciembre del presente año,</t>
  </si>
  <si>
    <t>En 2020 se llevó a cabo la implementación de las estrategias de reactivación económica del turismo tales como capacitación en los protocolos de bioseguridad en articulación con los gremios ANATO y COTELCO, programas de incentivos para artesanos y la implementación del programa de bilingüismo dirigida a prestadores de servicios turísticos. A través de la Resolución 283 de 2020 le dio apertura a la convocatoria denominada "Incentivos para la reactivación económica de los artesanos" beneficiando a 288 personas con un estímulo de 1.000.000 de pesos cada uno. En 2020 se empiezó a divulgar a través de encuesta en google a los municipiosy en acuerdo con los directores de turismo para la recolección de datos de prestadores turísticos en el departamento, la cual busca tener la mayor cantidad de datos posibles para que estos actores del turismo puedan aplicar a convocatorias y ser legalizados. Durante el año 2021.  Se han impulsado operadores turísticos con capacitaciones en comercialización, promoción y marketing turístico; y apoyo a través de canales de comunicación y difusión con el desarrollo de 30 recorridos de los Fam trip los cuales tuvieron una participación activa de 378 personas, donde se presentó el  recorrido de  6 diferentes rutas turísticas por el departamento de Cundinamarca, contribuyendo a la reactivación económica en el sector turismo. Se logro la certificación de 21 prestadores de servicios turísticos a la fecha en el sello de Bioseguridad, Check in Certificado y actualmente se continua el proceso de apoyo a los prestadores que tienen pendiente alguna documentación, para poderse certificar en sello Check in. De esta manera se han beneficiado los municipios de:  Bojaca, Cachipay, Cajica, Chía, Chipaque, Choachi, Choconta, Cogua, El Colegio, El Rosal, Facatativa, Facatativá, Fómeque, Funza, Fuquene, Gachalá, Girardot , Guachetá, Guaduas, Guatavita, Guaduas, La Calera, La Mesa, la vega, Madrid, Mosquera, Neiva, San Antonio del Tequendama, San francisco, San Juan de Rioseco, Sasaima , Soacha, Subachoque, Sutatausa, Tibacuy, Tocancipá, Ubaque, Zipaquirá. Agua de dios, Alban,Anapoima, Arbelaez, Bojaca, Cajica, Caqueza , Chia, Choachi, Cota, El Colegio, El Rosal, Facatativa, Gacheta, Girardot, Guaduas, Guasca, Guatavita, Junin, La Mesa, La Vega, Mosquera, Medina, Nemcón,  Ricaurte, San Antonio del Tequendama, San Juan de Rioseco, Silvania, Suesca, Soacha, Subachoque, Tabio, Tenjo, Utica, Ubate, Ubaque.   Garantizar la participación de dos (2) artesanos en L’Artigiano in Fiera como una oportunidad excepcional en términos de dimensión, visibilidad y presencia de público, que servirá de vitrina para el Departamento. Desarrollo de 32 recorridos de los Fam trip, con una participación de 423 personas, donde se han recorrido 5 diferentes rutas por el departamento de Cundinamarca, contribuyendo a la reactivación económica en el sector turismo. Se logro la certificación de 33 prestadores de servicios turísticos a la fecha en el sello de Bioseguridad, Check in Certificado.</t>
  </si>
  <si>
    <t>Asesoria</t>
  </si>
  <si>
    <t>Garantizar la participación de dos (2) artesanos en L’Artigiano in Fiera como una oportunidad excepcional en términos de dimensión, visibilidad y presencia de público, que servirá de vitrina para el Departamento. Desarrollo de 32 recorridos de los Fam trip, con una participación de 423 personas, donde se han recorrido 5 diferentes rutas por el departamento de Cundinamarca, contribuyendo a la reactivación económica en el sector turismo. Se logro la certificación de 33 prestadores de servicios turísticos a la fecha en el sello de Bioseguridad, Check in Certificado.</t>
  </si>
  <si>
    <t>Se acompañó al municipio de Chaguaní en la implementación del Plan De Desarrollo Turístico que fue asesorado en el 2019, aprobado por parte del concejo municipal en el año 2020, para toda la comunidad y se organiza el acompañamiento para la implementación con los operadores y prestadores de servicios turísticos del municipio. •	Se realiza visita a los municipios de Mosquera y Madrid para brindar apoyo en la actualización y elaboración del plan de desarrollo turístico municipal.  Se dio asesoría y acompañamiento territorial a los municipios de, Madrid, Suesca, Junín, Villeta, La Mesa y Guasca para, revisión de plan de desarrollo turístico de estos municipios.  
*Se recibe plan de desarrollo turístico municipal por parte del municipio de Guatavita para revisión y posterior radicación ante concejo municipal.</t>
  </si>
  <si>
    <t>Acompañamiento</t>
  </si>
  <si>
    <t>Se dio asesoría y acompañamiento territorial a los municipios de, Madrid, Suesca, Junín, Villeta, La Mesa y Guasca para, revisión de plan de desarrollo turístico de estos municipios.  
*Se recibe plan de desarrollo turístico municipal por parte del municipio de Guatavita para revisión y posterior radicación ante concejo municipal.</t>
  </si>
  <si>
    <t>En 2020 Se logró aunar esfuerzos entre el centro Colombo Americano, la embajada de EEUU y el IDECUT para implementar la estrategia de biligüismo dirigida a los promotores de turismo del departamento de Cundinamarca. Se dio inicio al programa de bilingüismo dirigido a prestadores de servicios turísticos a través  de convocatoria, mediante la cual se recibieron  237 postulaciones,  quedando admitidos formalmente y con el lleno de los requisitos 140 personas. Dentro de este programa está contemplado que los participantes cursen de los niveles A0 a A2. Se firma convenio 400-2021 entre Idecut y Centro Colombo americano, donde se capacitarán en idioma ingles a 80 personas en nivel B1 y 40 en nivel A2. Se busca dar continuidad el programa dándole la oportunidad a quienes lograron graduarse de seguir formándose en inglés como segunda lengua.
En lo corrido de 2021, se gestionó ante El Centro Colombo Americano $243.229.500 como tipo de aporte académico para el curso de Bilingüismo. Se dio inicio con el ciclo 4 de ingles con 115 estudiantes de la siguiente manera: 
 B1.3 = 55 estudiantes 
 A2.2 = 22 estudiantes 
 A2.1 = 18 estudiantes 
 A1.1 = 20 estudiantes 
Total = 115 estudiantes 
* se gestiono con CENCOSISTEMAS  capacitación a 45 beneficiarios turísticos de Cundinamarca enhabilidades tecnológicas y marketing digita</t>
  </si>
  <si>
    <t>Formacion enguanza turistica</t>
  </si>
  <si>
    <t>Se dio inicio con el ciclo 4 de ingles con 115 estudiantes de la siguiente manera: 
 B1.3 = 55 estudiantes 
 A2.2 = 22 estudiantes 
 A2.1 = 18 estudiantes 
 A1.1 = 20 estudiantes 
Total = 115 estudiantes 
* se gestiono con CENCOSISTEMAS  capacitación a 45 beneficiarios turísticos de Cundinamarca enhabilidades tecnológicas y marketing digital.</t>
  </si>
  <si>
    <t>$243.229.500</t>
  </si>
  <si>
    <t>Centro Colombo Americano</t>
  </si>
  <si>
    <t>Durante el año 2021. Se han cofinanciado  eventos de trayectoria turística, dentro de los cuales se destacan el Reinado Nacional del Turismo y EXPOTRAVEL. Se brindó apoyo  al municipio de Girardot en el evento Reinado Nacional del Turismo, el cual permite la reactivación turística y consolidación como destino turístico a nivel regional y nacional.
Tambien,  se brindó apoyo a la Corporación de turismo en la segunda versión del evento Expotravel, el cual sea consolidado para mostrar la riqueza natural y la magia cultural de nuestro departamento, el corazón de Colombia. Permitió a los empresarios del sector turismo tener oportunidades para hacer visible su negocio a miles de personas, adicionalmente tuvieron la oportunidad de participar en ruedas de negocio y una agenda académica de primer nivel. Se apoyo a los municipios de: Fosca, Subachoque, Cucunuba, Paratebueno, El Peñón y Tabio con eventos turísticos, los cuales permitieron la reactivación turística y dinamización económica para el departamento a través de la promoción de sus destinos.</t>
  </si>
  <si>
    <t>Coonfinanciacion</t>
  </si>
  <si>
    <t>Se apoyo a los municipios de: Fosca, Subachoque, Cucunuba, Paratebueno, El Peñón y Tabio con eventos turísticos, los cuales permitieron la reactivación turística y dinamización económica para el departamento a través de la promoción de sus destinos.</t>
  </si>
  <si>
    <t xml:space="preserve">A través de convenios interadministrativos se apoyaron eventos culturales y artísticos en actividades como soporte operativo, premiación, promoción y difusión, como parte de la reactivación del sector promoviendo y estimulando el talento local, la creación, producción, formulación y circulación artística. Durante el 2021.  Se confinanciaron 14 eventos beneficiando a los municipios de San Antonio de Tequendama, Sutatausa, El Colegio,  Anolaima, Bituima, Ubaque, Medina, Vianí, Gama, San Bernardo, Facatativá, Gachancipá, Tabio, Nemocón
Los eventos generan un gran impacto en la reactivación económica y crea espacios de recreación y aprendizaje en los participantes.
</t>
  </si>
  <si>
    <t xml:space="preserve">Se confinanciaron 14 eventos beneficiando a los municipios de San Antonio de Tequendama, Sutatausa, El Colegio,  Anolaima, Bituima, Ubaque, Medina, Vianí, Gama, San Bernardo, Facatativá, Gachancipá, Tabio, Nemocón
Los eventos generan un gran impacto en la reactivación económica y crea espacios de recreación y aprendizaje en los participantes.
</t>
  </si>
  <si>
    <t>Durante la vigencia 2020, en el marco de la emergencia el IDECUT trabajó en estrategias para brindar apoyo a los creadores, gestores y artistas cundinamarqueses  dentro de las cuales se resalta el portafolio de estímulos "corazonarte. inspírese y eche pa la casa" el cual dio inicio en el primer semestre de 2020 y continuó su etapa de implementación y entrega durante lo corrido del segundo  semestre de 2020. Adicionalmente,  a través de la Resolución N 193 del 15 de septiembre de 2020, se dio apertura a la convocatoria "CORAZONARTE cultura para cuidarte 2020", en las modalidades de bibliotecas, artes plásticas y visuales, música, teatro y circo, danza, patrimonio, literatura, cinematografía y artes audiovisuales, industrias creativas y culturales, gestión cultural y comunicaciones. En lo corrido de 2021.  Se entregaron 160 estímulos a agentes culturales de las áreas artísticas de artes plásticas y visuales, música, teatro y circo, danzas, literatura, patrimonio, bibliotecas, comunicaciones, cinematografía y artes audiovisuales, gestión cultural e industrias creativas y culturales en los municipios de Chía, Soacha, Funza, Sibaté, Fusagasugá, Mosquera, Zipaquirá, Facatativá, Cajicá, Tabio, La Calera, Guasca, Madrid, Tocancipá, Sesquilé, Subachoque, Guaduas, Tenjo, Ubaté, Cogua, Silvania, Sasaima, Gachancipá, Gutiérrez, Viotá, Topaipí, Choachí, Anolaima, Chocontá, Nimaima, Venecia, Sopó, Yacopí, Caparrapí, Medina, Suesca, Sutatausa, Vianí, San Francisco, Cota, San Juan de Rio Seco, Paratebueno y Puerto Salgar, apoyando la reactivación de los proyectos artísticos y culturales que se vienen desarrollando desde el inicio de la pandemia hasta la fecha.</t>
  </si>
  <si>
    <t>Estimulos economicos</t>
  </si>
  <si>
    <t>Se entregaron 160 estímulos a agentes culturales de las áreas artísticas de artes plásticas y visuales, música, teatro y circo, danzas, literatura, patrimonio, bibliotecas, comunicaciones, cinematografía y artes audiovisuales, gestión cultural e industrias creativas y culturales en los municipios de Chía, Soacha, Funza, Sibaté, Fusagasugá, Mosquera, Zipaquirá, Facatativá, Cajicá, Tabio, La Calera, Guasca, Madrid, Tocancipá, Sesquilé, Subachoque, Guaduas, Tenjo, Ubaté, Cogua, Silvania, Sasaima, Gachancipá, Gutiérrez, Viotá, Topaipí, Choachí, Anolaima, Chocontá, Nimaima, Venecia, Sopó, Yacopí, Caparrapí, Medina, Suesca, Sutatausa, Vianí, San Francisco, Cota, San Juan de Rio Seco, Paratebueno y Puerto Salgar, apoyando la reactivación de los proyectos artísticos y culturales que se vienen desarrollando desde el inicio de la pandemia hasta la fecha.</t>
  </si>
  <si>
    <t>Durante el año 2021. Se han potencializado 123 procesos creativos culturales contemporáneos mediante el acompañamiento, capacitación y asesoramiento en la formulación de proyectos. En el marco de la ejecución, 52 municipios han sido asesorados y acompañados en la formulación de sus proyectos y  24  de ellos han sido asesorados y avalados por la corporación Cocrea.</t>
  </si>
  <si>
    <t>Se han potencializado 123 procesos creativos culturales contemporáneos mediante el acompañamiento, capacitación y asesoramiento en la formulación de proyectos. En el marco de la ejecución, 52 municipios han sido asesorados y acompañados en la formulación de sus proyectos y  24  de ellos han sido asesorados y avalados por la corporación Cocrea.</t>
  </si>
  <si>
    <t xml:space="preserve">Se han apoyado con asesoría y acompañamiento a las industrias culturales innovadoras en los municipios de Sesquilé, Tena y Guatavita donde se pretende mejorar la capacidad cultural pública y privada mediante la formulación de proyectos que permitan el desarrollo de la productividad y sostenibilidad del sector cultural con el objetivo de fortalecer y consolidar el tejido empresarial en el Departamento.
</t>
  </si>
  <si>
    <t>Asesoria y acompañamiemto</t>
  </si>
  <si>
    <t>Durante el 2020 se realizó la implementación de estrategia que ayudó a contrarrestar el impacto social y económico de los artesanos de Cundinamarca a través de marketing, promoción y comercialización; emprendimiento social y productivo e incentivos económicos, impulsando principalmente la línea artesanal de cestería.  durante el año 2021. Se impulsaron las  9 lineas artesanales de Cesteria, Tejeduría, Cerámica, Trabajo en madera, Joyería, Alfarería, Orfebrería, Totumo, Trabajo en cuero, Marroquinería beneficiando a 350 Artesanos del departamento  de Cundinamarca en 33 Municipios (Cucunubá, La peña;Tena, Tausa;Sutatausa, Guaduas, Fúquene, Tena, Granada,Soacha ; Anapoima; Fomeque; Choachi, Nemocon ; Gachancipa; La calera, Chocontá; Chía, Cota, Mosquera, Facatativá, Cajicá, La Calera, La Mesa, Tocaima, El colegio,  Sopó;
Cogua,, Tenjo,  Gacheta, Guasca, Junín, Cachipay y Zipaquirá.) con Fortalecimiento artesanal,módulos de producción, diseño y comercialización</t>
  </si>
  <si>
    <t>Apoyo al sector artesanal con adquisicon de productos</t>
  </si>
  <si>
    <t>Se impulsaron las  9 lineas artesanales de Cesteria, Tejeduría, Cerámica, Trabajo en madera, Joyería, Alfarería, Orfebrería, Totumo, Trabajo en cuero, Marroquinería beneficiando a 350 Artesanos del departamento  de Cundinamarca en 33 Municipios (Cucunubá, La peña;Tena, Tausa;Sutatausa, Guaduas, Fúquene, Tena, Granada,Soacha ; Anapoima; Fomeque; Choachi, Nemocon ; Gachancipa; La calera, Chocontá; Chía, Cota, Mosquera, Facatativá, Cajicá, La Calera, La Mesa, Tocaima, El colegio,  Sopó;
Cogua,, Tenjo,  Gacheta, Guasca, Junín, Cachipay y Zipaquirá.) con Fortalecimiento artesanal,módulos de producción, diseño y comercialización</t>
  </si>
  <si>
    <t>Durante el 2020 se apoyo para la reactivación económica y turística 3 atractivos turísticos catedral de sal de Zipaquirá,  termales el Zipa del municipio de Tabio y mina de sal de Nemocón con la adquisición de pasaportes de ingreso y pasadías,  los cuales permitirán el acceso de la población cundinamarquesa en condición de vulnerabilidad y adicionalmente, dar flujo de caja a estos sitios de interés con el fin de apoyar su sostenimiento (personal de operación, administración y logística). Durante el 2021 Se logro firmar convenios con seis (6) municipios de:  Ubaté
Chipaque
Facatativá
Guayabal De Síquima
Tibacuy 
Guayabetal con el fin de apoyarlos en la adecuación de un atractivo turístico del municipio.</t>
  </si>
  <si>
    <t>Informe de caracterizacion</t>
  </si>
  <si>
    <t>Se logro firmar convenios con seis (6) municipios de:  Ubaté
Chipaque
Facatativá
Guayabal De Síquima
Tibacuy 
Guayabetal con el fin de apoyarlos en la adecuación de un atractivo turístico del municipio.</t>
  </si>
  <si>
    <t>En el 2021 Se da inicio a  la implementación del proyecto de alojamientos rurales "Posadas Turísticas" con la  firma el contrato con la universidad Externado de Colombia para iniciar las capacitaciones dirigidas a los propietarios de las posadas turísticas beneficiadas en 2019 y 2021, los temas a tratar son:
1.       Ética de los negocios.
2.       Buenas prácticas de turismo.
3.       Gestión de alojamientos, de alimentos y bebidas.
4.       Etiqueta y protocolo.
5.       Calidad e inocuidad en los alimentos.
6.       Protocolos de bioseguridad.
7.       La cocina regional y preparación de platos.
8.       Control y costos de alojamiento, de alimentos y bebidas.
9.       Mercadeo y estrategias de marketing digital.
10.   Servicio al cliente.
11.   Primeros auxilios.
12.   Prevención y control de incendios.                            Con esta iniciativa se han beneficiado los municipios de: GACHANCIPA, GUAYABETAL, LA VEGA, SESQUILE, TENA, ANOLAIMA, UBALA, VENECIA, LA PEÑA.
1.Viotá        Posada viota extreme
2.La Vega     ​Portal de las cascadas
3.Gachancipá     Museo campesino
4.Sesquilé        Posada paraiso
5.Sesquilé        Posada Santana
6.Tena                ​El cielo</t>
  </si>
  <si>
    <t>Formalizacion</t>
  </si>
  <si>
    <t>En 2020 se creó  un nuevo producto turístico alrededor de Biciturismo en la provincia de Gualivá, Subachoque,  El Rosal, y la provincia de Sumapaz; creación circuito turístico MTB Bogotá-Región, dos localidades de Bogotá y 15 municipios de Cundinamarca. Adicionalmente, se ha fortalecido el producto de aviturismo, por medio de capacitaciones y posicionamiento en el OCTOBER BIG del municipio de San Antonio del Tequendama como el mejor lugar a nivel nacional para avistamiento de aves. Reconocimiento de los atractivos turísticos que comprenden la ruta Leyenda el Dorado en articulación con el Instituto Distrital de Turismo - IDT.  Durante la vigencia 2021, se han realizado las siguientes estrategias para la implementación y fortalecimiento de los 3 productos turisticos de Biciturismo,Aviturismo, Ruta Leyenda el Dorado con el fin de beneficiar a las 116 municipios:*Sensibilización para que los conductores respeten a los Biciusuarios en la vía, incrementar el uso de la bicicleta y la actividad física, reactivación económica del sector en los Municipios participantes, a través de la estrategia Ciclovía por la Vida Interdepartamental.
*Descripción de cada una de las Rutas, basada en cada una de las fichas de caracterización obtenidas en las visitas de campo a los 65 municipios que conforman las cuatro Rutas que se definieron; la Ruta del agua, Ruta Dulce y Aventura, Ruta del Rio y el encanto y la Ruta del Origen Ancestral para entregar de una forma práctica esta información a turistas y visitantes para fortalecer los destinos e integrar toda la cadena de valor turístico en pro de su reactivación económica. 
*Se firmo contrato con Cotelco con el fin de realizar el 1er Encuentro de Glamping, con una asistencia de más de 50 propietarios de glamping y otras modalidades de alojamiento, representándose esta asistencia en un 80% de Bogotá y Cundinamarca; el 20% restante provenientes de: Costa Atlántica, Eje Cafetero, Antioquia, Meta, Casanare y Huila. Con el propósito de visibilizar al glamping como una nueva modalidad de alojamiento, dándole su reconocimiento al sector privado siendo identificados dentro del sector turístico, que cada día viene evolucionando y trayendo nuevas formas de hospedaje. La agenda académica se enmarcó en temas como el enfoque estratégico frente a las nuevas tendencias de viaje, nuevos canales de comercialización, casos exitosos de sostenibilidad, requisitos para la operación, seguridad industrial y prevención de riesgos, glamping como emprendimiento y la participación de cerca de 35 agencias de viajes durante cuatro horas en una rueda de negocios con los empresarios asistentes.
*La Subgerencia de turismo participo en el evento “turismo para un crecimiento inclusivo” el cual permitió discutir acerca de accesibilidad e inclusión para el sector turismo. 
*Se esta llevando a cabo proceso de formación para guías y operadores turísticos en biciturismo, esta capacitación esta dirigida a quienes realicen actividades de naturaleza como: ecoturismo, senderismo y turismo de aventura; Con el objetivo de fortalecer el turismo de naturaleza, particularmente el biciturismo. Una vez los participantes culminen el proceso de formación, podrán operar en el circuito Bici Bogotá Región, un sistema de rutas de biciturismo de 300 kilómetros, con altos estándares de diseño y señalización turística; en el que se puede disfrutar de riquezas paisajísticas, avistamiento de aves, cultura, gastronomía y mucha naturaleza. 
Se encuentra totalmente señalizada, en este momento estamos en la etapa de formación, con cursos dirigidos a (69) Operadores Turísticos en Biciturismo y curso en acompañamiento y uso de la Bicicleta a (140) Bici – Guías o Vigías. Se realizo el Encuentro de Directores de turismo con capacitaciones a cargo de ProColombia, Viceministerio de turismo, con una participación de 78 municipios.
*Se realizo el IV Encuentro de Puntos de Información Turística PIT con capacitaciones a cargo de la Policía de Turismo, Consejería Presidencial para la Participación de las Personas con Discapacidad para el turismo accesible y Viceministerio de turismo, sobre el programa de turismo responsable, turismo accesible, y legalización de operadores y prestadores de turismo, con una participación de 29 PIT.</t>
  </si>
  <si>
    <t>Producto</t>
  </si>
  <si>
    <t>Se realizo el Encuentro de Directores de turismo con capacitaciones a cargo de ProColombia, Viceministerio de turismo, con una participación de 78 municipios.
*Se realizo el IV Encuentro de Puntos de Información Turística PIT con capacitaciones a cargo de la Policía de Turismo, Consejería Presidencial para la Participación de las Personas con Discapacidad para el turismo accesible y Viceministerio de turismo, sobre el programa de turismo responsable, turismo accesible, y legalización de operadores y prestadores de turismo, con una participación de 29 PIT.</t>
  </si>
  <si>
    <t>En 2021. En la legalización de empresarios turisticos, durante la vigencia 2021 se han realizado las siguientes actividades con los 116 municipios del Departamento:                                                              *Apoyo y asesoría a los empresarios turísticos de Cundinamarca, incentivándolos a certificarse con el fin de fidelizar un mayor número de turistas que ayuden a reactivar su economía y a su vez ayuden a promover el crecimiento y sostenibilidad en sus Municipios, de acuerdo con la labor encomendada por la Subgerencia de turismo.
*Contacto con los Prestadores que fueron apoyados para obtener su RNT, con el fin de invitarlos a capacitaciones organizadas por Procolombia-Idecut en Pro de brindarles nuevas herramientas para seguir en el proceso de reactivación del sector.
*A partir del seguimiento continuo a los prestadores informales, se logra que 50 de estos obtengan su registro nacional de turismo, cumpliendo de esta manera con la meta propuesta para la vigencia 2021 que era de 35 prestadores con RNT</t>
  </si>
  <si>
    <t>En la legalización de empresarios turisticos, durante la vigencia 2021 se han realizado las siguientes actividades con los 116 municipios del Departamento:                                                              *Apoyo y asesoría a los empresarios turísticos de Cundinamarca, incentivándolos a certificarse con el fin de fidelizar un mayor número de turistas que ayuden a reactivar su economía y a su vez ayuden a promover el crecimiento y sostenibilidad en sus Municipios, de acuerdo con la labor encomendada por la Subgerencia de turismo.
*Contacto con los Prestadores que fueron apoyados para obtener su RNT, con el fin de invitarlos a capacitaciones organizadas por Procolombia-Idecut en Pro de brindarles nuevas herramientas para seguir en el proceso de reactivación del sector.
*A partir del seguimiento continuo a los prestadores informales, se logra que 50 de estos obtengan su registro nacional de turismo, cumpliendo de esta manera con la meta propuesta para la vigencia 2021 que era de 35 prestadores con RNT</t>
  </si>
  <si>
    <t>En 2021, Se firmó el convenio marco entre el Instituto Distrital De Turismo y El Instituto Departamental de Cultura y Turismo de Cundinamarca, para el desarrollo de acciones que propendan a impulsar el turismo sostenible, responsable, incluyente, inteligente y productivo en Bogotá y Cundinamarca.
*Se firmo memorando de entendimiento entre el Idecut y la Cámara de Comercio de Bogotá, como alianza estratégica para fortalecer gestión turística para que contribuya al desarrollo, la competitividad, el fortalecimiento y reactivación económica del sector turístico en provincias como Sabana Centro, Sumapaz, Almeidas, Guavio, Oriente y Ubaté</t>
  </si>
  <si>
    <t>Ruta biciturismo</t>
  </si>
  <si>
    <t>Se firmó el convenio marco entre el Instituto Distrital De Turismo y El Instituto Departamental de Cultura y Turismo de Cundinamarca, para el desarrollo de acciones que propendan a impulsar el turismo sostenible, responsable, incluyente, inteligente y productivo en Bogotá y Cundinamarca.
Se firmo memorando de entendimiento entre el Idecut y la Cámara de Comercio de Bogotá, como alianza estratégica para fortalecer gestión turística para que contribuya al desarrollo, la competitividad, el fortalecimiento y reactivación económica del sector turístico en provincias como Sabana Centro, Sumapaz, Almeidas, Guavio, Oriente y Ubaté</t>
  </si>
  <si>
    <t>El IDECUT ha participado en dos eventos durante la vigencia 2021 de la tienda Kuna Mya en la Feria AgroExpo2021 evento que permite posicionar al departamento las artesanías que se ofrecen y también en la promoción turística de nuestros diferentes atractivos turísticos beneficiando a los 116 municipios del Departamento. Se participo en el Concurso Nacional de la Belleza con la Reina Departamental de Cundinamarca, evento que se llevo a cabo en la ciudad de Cartagena.</t>
  </si>
  <si>
    <t>Convocatoria</t>
  </si>
  <si>
    <t>Se participo en el Concurso Nacional de la Belleza con la Reina Departamental de Cundinamarca, evento que se llevo a cabo en la ciudad de Cartagena.</t>
  </si>
  <si>
    <t>En 2020 se realizaron actividades de promoción de potencial turístico del departamento de Cundinamarca a través de medios de comunicación (virtuales, televisión, radio), aportando y apoyando la reactivación del sector turístico, con el cual se evidencia un incremento en la llegada de visitantes y turistas a los diferentes atractivos y destinos turísticos del departamento. En lo corrido de la vigencia 2021, se han realizado estrategias de promoción, comunicación y marketing turístico implementadas que benefician a los 116 municiíos del departamento con las siguientes actividades:                                            *Revisión de la Guía, contactando otros Prestadores de servicios Turísticos y los recomendados por la Gerente, que cumplen con los requisitos exigidos. Contacto con los PST con el fin de solicitar, tras el envío de una carta, la autorización del Uso de Datos publicados en la Guía.
*Reunión virtual con los encargados de Turismo de Sabana Centro, Sabana Occidente y Almeidas para recibir sugerencias y aportes para completar información de los datos que se encuentran en la Guía Turística del Departamento con el fin de entregar datos reales a los turistas y visitantes locales, nacionales e internacionales que puedan contribuir a la reactivación económica del sector Turístico.
*Se ha logrado generar reconocimiento del departamento y los diferentes atractivos que componen cada una de las rutas, en las personas que han participado de los Fam trip.
*Se continua todos los viernes realizando el programa radial De Tour por Cundinamarca, hablando de diferentes temas en torno a la cultura y el turismo del departamento.
*Capacitación a los empresarios de como generar los códigos QR para poder tener sus portafolios y tarjetas de presentación de manera digital y pódelas entregar a sus posibles clientes minimizando el riesgo de posibles contagios.
*Los viernes se esta llevando a cabo el programa Dorado Radio donde se promociona los atractivos, destinos, operadores, prestadores de servicio turístico.
*El departamento se ha ido reactivando en el sector turismo y esto se ve reflejado en el aumento de estadísticas reportado por los Puntos de Información Turística PIT, para el segundo semestre se recibieron 10.362 turistas.
*Se dio capacitación a los informadores de la red nacional y red departamental para el funcionamiento de los puntos de información de turismo, como deben diligenciar el informe de actividades, reportar actividades que desarrollan en sus puntos para subir a redes sociales, fotografías de los puntos de información, y dar a conocer las capacitaciones que se deben dar en el segundo semestre.
*• Se dio apertura a la tienda Cundinamarca “Kuna Mya” en la ciudad de Bogotá el mágico espacio que recopila todos los encantos, tradiciones, sabores y saberes de nuestra Cundinamarca; contando con una línea artesanal que hace parte del esfuerzo de capacitación y de apoyo a 104 artesanos, Otro de los grandes atractivos de la tienda es que tiene la primera guía de turismo de Cundinamarca la cual ofrece los sitios turísticos por pisos térmicos que tiene el departamento. En el segundo piso los visitantes podrán, a través de una pantalla interactiva, conocer los 26 sitios imperdibles en Cundinamarca, los planes y prestadores de servicio turísticos con registro nacional de turismo. De igual forma podrán conocer los lugares más representativos de los 116 municipios.</t>
  </si>
  <si>
    <t>En lo corrido de la vigencia 2021, se han realizado estrategias de promoción, comunicación y marketing turístico implementadas que benefician a los 116 municiíos del departamento con las siguientes actividades:                                            *Revisión de la Guía, contactando otros Prestadores de servicios Turísticos y los recomendados por la Gerente, que cumplen con los requisitos exigidos. Contacto con los PST con el fin de solicitar, tras el envío de una carta, la autorización del Uso de Datos publicados en la Guía.
*Reunión virtual con los encargados de Turismo de Sabana Centro, Sabana Occidente y Almeidas para recibir sugerencias y aportes para completar información de los datos que se encuentran en la Guía Turística del Departamento con el fin de entregar datos reales a los turistas y visitantes locales, nacionales e internacionales que puedan contribuir a la reactivación económica del sector Turístico.
*Se ha logrado generar reconocimiento del departamento y los diferentes atractivos que componen cada una de las rutas, en las personas que han participado de los Fam trip.
*Se continua todos los viernes realizando el programa radial De Tour por Cundinamarca, hablando de diferentes temas en torno a la cultura y el turismo del departamento.
*Capacitación a los empresarios de como generar los códigos QR para poder tener sus portafolios y tarjetas de presentación de manera digital y pódelas entregar a sus posibles clientes minimizando el riesgo de posibles contagios.
*Los viernes se esta llevando a cabo el programa Dorado Radio donde se promociona los atractivos, destinos, operadores, prestadores de servicio turístico.
*El departamento se ha ido reactivando en el sector turismo y esto se ve reflejado en el aumento de estadísticas reportado por los Puntos de Información Turística PIT, para el segundo semestre se recibieron 10.362 turistas.
*Se dio capacitación a los informadores de la red nacional y red departamental para el funcionamiento de los puntos de información de turismo, como deben diligenciar el informe de actividades, reportar actividades que desarrollan en sus puntos para subir a redes sociales, fotografías de los puntos de información, y dar a conocer las capacitaciones que se deben dar en el segundo semestre.
*• Se dio apertura a la tienda Cundinamarca “Kuna Mya” en la ciudad de Bogotá el mágico espacio que recopila todos los encantos, tradiciones, sabores y saberes de nuestra Cundinamarca; contando con una línea artesanal que hace parte del esfuerzo de capacitación y de apoyo a 104 artesanos, Otro de los grandes atractivos de la tienda es que tiene la primera guía de turismo de Cundinamarca la cual ofrece los sitios turísticos por pisos térmicos que tiene el departamento. En el segundo piso los visitantes podrán, a través de una pantalla interactiva, conocer los 26 sitios imperdibles en Cundinamarca, los planes y prestadores de servicio turísticos con registro nacional de turismo. De igual forma podrán conocer los lugares más representativos de los 116 municipios.</t>
  </si>
  <si>
    <t>$303.000.000</t>
  </si>
  <si>
    <t>IDT ($155.000.000) / Fondo Nacional del Turismo ($148.000.000)</t>
  </si>
  <si>
    <t xml:space="preserve">Durante el cuatrienio se han intervenido 47.441,05 de espacios públicos y parques con obras de construcción, adecuación y mejoramiento, fomentando la constucción de tejido social y la apropiación del territorio. </t>
  </si>
  <si>
    <t xml:space="preserve">32.164,57m2 de espacio público intervenidos </t>
  </si>
  <si>
    <t>Durante la vigencia 2021 se han ejecutado obras de construcción y adecuación en 32.164,57 m2 de espacio público beneficiando a los municipios de Albán, Apulo, El Rosal, Girardot, Funza, Mosquera, Nemocón, Pacho, Paime, Ricaurte, San Francisco, Tabio, Villeta, Zipacón, San Cayetano, Anapoima, Guatavita,  Bituima y La Peña.</t>
  </si>
  <si>
    <t> Durante el cuatrienio se han realizado el mejoramiento de 168,59 Km de vías de primer orden, mejorando la transitabilidad y seguridad en las vías con tercer carril y segunda calzada, que propician mayor conectividad y reducción en los tiempos de desplazamiento.</t>
  </si>
  <si>
    <t>93,94 Km de vías de primer orden mejorados</t>
  </si>
  <si>
    <t> Durante la vigencia 2021 se han mejorado 93,94 Km de vías de primer orden, en ejecución del proyecto correspondiente a los meses de enero, febrero, marzo y abril de 2021, el cual tiene una ejecución de total de  37.31 km, equivalente a 30.08 km de tercer carril y 7.23 km de segunda calzada nueva. Para el presente reporte de acuerdo con el informe presentado por INVIAS se obtuvo una ejecución financiera y un avance de: 0,36 km de tercer carril y 1,15 km de segunda calzada. Cabe resaltar que dicha inversión corresponde a gestión no incorporada, la cual sale del presupuesto de la nación, el cual tiene impacto en la vía Departamental de primer orden Chía- Mosquera - La Mesa -Girardot. Conforme al reporte de la ANI de fecha 15 de julio de 2021, en la que se reporta el avance de las unidades funcionales UF2 Y UF3  que corresponde a los sectores Cumaral - Paratebueno con 14 km y Paratebueno - Villanueva con 12 km. Ejecución financiera de las concesiones Devisab y Panamericana.</t>
  </si>
  <si>
    <t>+170012586536,6+476392020976</t>
  </si>
  <si>
    <t>Convenio INVIAS 1711 de 2014; Contrato 01 de 1996; Contrato de Interventoría  ICCU  057 DE 2017; Ingresos por concepto de Peajes, Contrato de Concesión CONTRATO OJ -121-97; Ingresos por concepto de Peajes, Contrato de Concesión No 01 de 1996; Contrato de Interventoría 154 de 2020; Interventoria  073 de 2016. Contrato de Asociación Público Privada No. 001 del 10 enero de 2017; Contrato de Asociación Público Privada No. 002 de 8 de septiembre de 2014 - ANI; Contrato de Concesión bajo esquema de APP No. 010 del 23 de julio de 2015 - ANI.</t>
  </si>
  <si>
    <t> Durante el cuatrienio se han realizado estudios y diseños a 107,79 Km de vías en el Departamento para proyectos de infraestructura víal.</t>
  </si>
  <si>
    <t>107,79 Km de vías con estudios y diseños para infraestructura víal en el departamento.</t>
  </si>
  <si>
    <t>Durante la vigencia 2021 se han realizado Estudios y Diseños a 107,79 Km de vías en los municipios de Villeta, Quebradanegra, Útica, Reventones-Los Alpes, Ubalá- Sueva, Nimaima-Nocaima, La Calera, Pulí-San juan de Rio seco, Cabrera, Venecia, Pandi, Arbeláez, Fusagasugá.</t>
  </si>
  <si>
    <t xml:space="preserve">Durante el cuatrienio se han adelantado obras de infraestructura en 52,47 Km de vías de segundo orden contribuyendo a la ejecución del proyecto memorable Plan 500, adicionalmente se han puesto en operación 4 casetas de recaudo para la financiación de proyectos de infraestructura operadas directamente por el Departamento, y se adelantó la reversión de la concesión Tequendama, permitiendo un recaudo directo para la ejecución de obras de mejoramiento, mantenimiento y rehabilitación que permitiran mejorar las condiciones de la red vial de segundo orden. </t>
  </si>
  <si>
    <t xml:space="preserve">52,47 Km de vías de segundo orden mejorados </t>
  </si>
  <si>
    <t>Durante la vigencia 2021 se han ejecutado obras de mejoramiento en 52,47 Km de vías de segundo orden en el Departamento, beneficiando a los municipios de Nimaima, La Peña, Cachipay, Guachetá, Anolaima, Sesquilé, Cáqueza, Chaguaní, Pacho, Supatá, Lenguazaque, Villapinzón, La Palma.</t>
  </si>
  <si>
    <t> Durante el cuatrienio se han rehabilitado de 3.61 Km de vías de segundo orden, realizando obras de mitigación en los sitios inestables que contribuyen a la seguridad vial del Departamento.</t>
  </si>
  <si>
    <t>1.13 Km de vías de segundo orden rehabilitadas</t>
  </si>
  <si>
    <t> Durante la vigencia 2021 se han rehabilitado 1,13 Km de vías de segundo orden, realizando obras de mitigación en los sitios inestables que contribuyen a la seguridad vial del Departamento.</t>
  </si>
  <si>
    <t>Durante el cuatrienio se ha mantenido la ejecución anual de 1000 km de vías pavimentadas a través de los tres contratos de concesion.</t>
  </si>
  <si>
    <t>1.496,46 Km de mantenimiento a vías Departamentales pavimentadas</t>
  </si>
  <si>
    <t>Durante la vigencia 2021 se ha realizado mantenimiento de 1.496,46 Km de vías pavimentadas del Departamento, con ejecución de proyectos de rehabilitación y mantenimiento rutinario de la red vial secundaria del Departamento de Cundinamarca, rehabilitando las vías de los municipios de La Calera, Guasca, Junín, Tausa, Sutatausa, Cucunuba, Tibirita, Pandi, Fusagasugá, Arbeláez, La Mesa, La Palma, La Peña, Pacho, Zipaquirá, Yacopí, Cota, Tenjo, Pasca, San Bernardo, Gachalá, Gachetá, Junín, Ubalá, Pacho, El Peñón, La Palma, Ubaté, Lenguazaque, Gachalá, Medina, Ubalá, Cogua, Manta, Pandi, Venecia, Cabrera, Manta, La Palma, Pacho, Sibaté, Silvania, Agua de Dios, Ricaurte, Anapoima, Bojacá, Soacha, Tena, Villeta, Sasaima, La Vega, Albán, San Juan de Rioseco, Pulí, Chaguaní, Vianí, Bituima, Guayabal de Síquima, Anolaima, Quipile, Ubaque, Chipaque, Gama, Suesca, Nocaima, Topaipí, Útica, Quebrada Negra, San Francisco, Pacho, Supatá, El Colegio.</t>
  </si>
  <si>
    <t> Durante el cuatrenio se ha realizado mantenimiento de 5.555,83 Km de vías de segundo y tercer orden en afirmado, con la atención y prevención de emergencias viales, así mismo, la operación de combos de maquinaria que contribuyen al mantenimiento de las vías existentes en afirmado en las diferentes provincias del Departamento.</t>
  </si>
  <si>
    <t>5133,02 Km de vías de segundo y tercer orden en afirmado</t>
  </si>
  <si>
    <t> Durante la vigencia 2021 se ha realizado mantenimiento de 5.133,02 Km de vías de segundo y tercer orden en afirmado, con la atención y prevención de emergencias viales, así mismo, la operación de combos de maquinaria que contribuyen al mantenimiento de las vías existentes en afirmado en las diferentes provincias del Departamento.</t>
  </si>
  <si>
    <t xml:space="preserve">Durante el cuatrienio se han intervenido 58 puentes en el departamento con obras de construcción y mejoramiento, permitiendo mejorar las condiciones de conectividad y reduciendo los tiempos de desplazamiento. </t>
  </si>
  <si>
    <t xml:space="preserve">53 puentes intervenidos </t>
  </si>
  <si>
    <t>Durante la vigencia 2021 se han ejecutado obras de construcción y adecuación 53 puentes en el Departamento, beneficiando a los municipios de: Lenguazaque, Carmen de Carupa, Machetá, Villapinzón, Tibirita, San Cayetano, Viotá, Paime, Guayabetal, Fúquene, Ubalá, San Antonio del Tequendama, Quipile, Medina, Anapoima, Alban, Gachetá, Tocaima, Bituima, Gutiérrez, Cachipay, Manta, El Colegio, Fusagasugá, Suesca.</t>
  </si>
  <si>
    <t xml:space="preserve">Durante el cuatrienio se han atendido el 100% de las emeregencias viales presentadas en el Departamento, garantizando la transitabilidad y mejorando la seguridad vial. </t>
  </si>
  <si>
    <t xml:space="preserve">100% de las emergencias viales reportadas por los municipios atendidas </t>
  </si>
  <si>
    <t>Durante el año 2021 se han atendido al 100% las emergencias presentadas en el Departamento. Se han atendido 120 emergencias en 65 municpios del Departamento.</t>
  </si>
  <si>
    <t xml:space="preserve">Durante el cuatrienio se han ejecutado obras de mejoramiento en 27.960,14 m2 de vías urbanas mejorando las condiciones de la infraestructura vial en el casco urbano de los municipios del Departamento, y permitiendo una mejor transitabilidad al interior de cada entidad territorial. </t>
  </si>
  <si>
    <t xml:space="preserve">23.450,53 m2 de vías urbanas mejorados </t>
  </si>
  <si>
    <t>Durante la vigencia 2021 se han ejecutado obras de mejoramiento en 23.450,53m2 de vías urbanas en el Departamento beneficiando los municipios de El Colegio, La Mesa, Apulo, Pacho, Chocontá, Sutatausa, Susa, Agua de Dios.</t>
  </si>
  <si>
    <t xml:space="preserve">Durante el cuatrienio se han construido 293.511,02 m2 de placa huella en las diferentes provincias del Departamento, mejorando las condiciones de la red terciaria Departamental y contribuyendo así en la mejora de las condiciones de conectividad y transitabilidad, fomentando las dinámicas competitivas y mejorando la calidad de vida de los habitantes de Cundinamarca. </t>
  </si>
  <si>
    <t>191.819,72 m2 de placa huella construidos</t>
  </si>
  <si>
    <t>Durante el año 2021 se han construido 191.819,72 m2 de placa huella, beneficiando a los municipios de: Apulo, Granada, Sibaté, Silvania, Zipaquirá, Paime, El Colegio, Chocontá, Tena, Machetá, La Mesa, Cáqueza, Quetame, Gama, San Antonio, Viotá, Apulo, Arbeláez, Chocontá, Villagómez, Quebradanegra, Topaipí, Villapinzón, Vianí, Vergara, Chaguaní, Bituima, Villeta, Pacho, Carmén de Carupa, Chipaque, Cabrera, Pasca, San Bernardo, Silvania, Nemocón, Granada, Zipaquirá, Guayabetal, Pandi, Cachipay, San Cayetano, Guataquí, Nariño, Cabrera, Paca, San Bernardo.</t>
  </si>
  <si>
    <t>Durante el cuatrenio se han intervenido 5 conexiones viales, correspondientes a ACCENORTE II – “Ampliación autopista norte y carrera Séptima”, la Vía el Codito - Serrezuela, que corresponda la conexión La Calera – Bogotá, Cota -Bogotá, Alo Sur, que contribuyen a la competitividad, al crecimiento económico y al desarrollo social de la ciudad-región.</t>
  </si>
  <si>
    <t>3 conexiones viales Ciudad - Región.</t>
  </si>
  <si>
    <t>En la vigencia 2021, se han intervenido 3 conexiones viales, correspondientes a Interconexión Cota - Bogota, Alo Sur y La Calera - El Codito, que contribuyen a la competitividad, al crecimiento económico y al desarrollo social de la ciudad-región.</t>
  </si>
  <si>
    <t>10,11 y ,17</t>
  </si>
  <si>
    <t>catastro multiproposito</t>
  </si>
  <si>
    <t>Mpio actualizado</t>
  </si>
  <si>
    <t>Se termino la etapa contractual de los operadores</t>
  </si>
  <si>
    <t>Los recursos para el proceso de actualización catastral fueron el producto de la gestión ante la CAR  para la cofinanciación, el convenio fue firmado el 30 de septiembre y a partir de la firma se realizo la incorporación de los recursos  en el mes de octubre y posteriormente la contratación, por ello el producto programado para esta vigencia no se alcanza.</t>
  </si>
  <si>
    <t>Hubo mayor dificultad para lograr la cofinanciación del proyecto por las medidas administrativas que cada una de las entidades  involucradas adoptaron por temas de covid 19</t>
  </si>
  <si>
    <t>Coorporacion autonoma regional CAR</t>
  </si>
  <si>
    <t>10,11 y 17</t>
  </si>
  <si>
    <t>Tramites de conservacion catastral</t>
  </si>
  <si>
    <t>Al inicio de la operación de la agencia catastral en el mes de octubre de 2020, se recibe un cumulo importante de tramites pendientes  del anterior opertador, por ello la agencia catastral ha realizado una labor importante para la atención de dichos tramites  y para  desarrolalr una plataforma tecnologica que cumpla con las especificaciones de la nueva politica de catastro multipropositop.</t>
  </si>
  <si>
    <t>se realizó asistencia técnica para la conformación de los CMPRC en las provincias del DepartamentoSe inicio articulación con la provincia de magdalena centro para la recuperación de la memoria histórica Se avanzó en el diseño metodológico del sistema de monitoreo y análisis de conflictividades.se elaboró justificación de la formulación de la política pública de paz y se sustentó esta ante el CODEPS y se recibió visto bueno de este para realizar formulación. Se diseñó plan de trabajo para la formulación.</t>
  </si>
  <si>
    <t>Se realizó asistencia técnica para la creación y actualización de los CMPRC, se consolido y envió documento a la universidad de cundinamarca  con el fin de que esta universidad presente una propuesta para la segunda etapa de recolección de información diagnóstica para la Formulación de la Política Pública que tiene como objetivo "Identificar, analizar y priorizar los problemas, necesidades, que se presentan en el departamento de Cundinamarca respecto a la construcción de paz desde la perspectiva de las comunidades, Se consolido y envió documento a la universidad de cundinamarca con el fin de que esta universidad presente una propuesta para operar plan piloto del sistema de monitoreo que tiene como objetivo "Identificar y analizar las conflictividades sociales territoriales, y su vinculación con movilizaciones sociales y alteración de la orden pública presentada durante el 2021 en diez municipios del Departamento con mayor presencia de ellas. fue firmado convenio con la universidad de cundinamarca y se avanzó en cada uno de los procesos propios de la meta sus componentes especificos para su avance y complimiento. se firmo Contrato interadministrativo entre ACPC y Red Colombiana de Instituciones de Educación Superior - EDURED</t>
  </si>
  <si>
    <t>Realización de mesas técnicas para la Formulación y presentación de proyectos al mecanismo OXI en los municipios de Paratebueno y Medina, Seguimiento en la presentación de la manifestación de interés para la ejecución del proyecto de Dotación de los CDI en los municipios Zomac (La Palma,  Cabrera, Puli, Viota, Medina),  Alianza con la Fundacion Catalina Muñoz, alcaldia Municipal de Viotá, Fundación Arturo calle, en la gestión de recursos para la  construcción de dos (2) viviendas para la poblacion vulnerable del Departamento de Cundinamarca,  Asistencia Técnica  para fortalecimiento organizacional de las asociaciones en el Departamento de Cundinamarca.
Dotación no fungible para modalidad institucional de CENTROS DE DESARROLLO INFANTIL para el desarrollo integral de primera infancia en 5 municipios ZOMAC, tales como LA PALMA, CABRERA, MEDINA, PULI  Y VIOTA, con cada uno de los municipios se avanza en mesas tecnicas con el fin de aterrizar y estructurar proyecto de inversion mediante el mecanismo OxI, se ejecuto todas las obras mediante el mecanismo OxI por un valor aproximado de gestion no incorporada por 9mil millones de pesos</t>
  </si>
  <si>
    <t>no se ha presentado dificultades para el cumplimiento de la meta</t>
  </si>
  <si>
    <t>Las reuniones que se adelantaron para el avance en el proceso de adquisicion de recursos y su viabilización de los mismo en el proyecto se desarrollaron de manera virtual y asi evitar que el covid-19 se propague a causa de la articulacion presencial en reuniones.</t>
  </si>
  <si>
    <t>1.436.008.920</t>
  </si>
  <si>
    <t>AGENCIA DE RENOVACION DEL TERRITORIO</t>
  </si>
  <si>
    <t>Se diseñó proyecto de formación Se estableció articulación con JEP y FARC para la implementación de los TOAR con el acompañamiento de la ARN y misión de observación de la ONU.</t>
  </si>
  <si>
    <t xml:space="preserve">Asistencia técnica para la formulación de proyectos, Acompañamiento a la presentación de proyectos TOAR ante la JEP Acompañamiento y asesoría de los informes destino JEP, </t>
  </si>
  <si>
    <t>Asesoria virtual y presencial a comunidad general y entes territoriales de 54 municipios del departamento de Cundinamarca brindando información sobre el reconocimiento de prestaciones, programa BEPS, actualización del pasivo pensional y recursos del FONPET .</t>
  </si>
  <si>
    <t>Asesoria en materia pensional</t>
  </si>
  <si>
    <t>Asesoria a comunidad general y entes territoriales de  39 municipios del departamento de Cundinamarca brindando información sobre el reconocimiento de prestaciones, programa BEPS, actualización del pasivo pensional y recursos del FONPET .</t>
  </si>
  <si>
    <t xml:space="preserve">Reducción en la cantidad de población asistente a eventos debido a la situación generada por el COVID-19 y necesidad de implementar nuevos protocolos para atención de cundinamarqueses. Restricciones y cerramientos en vias debido a manifestaciones a lo largo del pais. </t>
  </si>
  <si>
    <t>Disminución asistentes a los eventos presenciales y aumento costos por concepto de EPP</t>
  </si>
  <si>
    <t>Se han realizado 5 eventos de capacitación en seguridad social con enfoque diferencial a mujeres lideresas y agricultoras del departamento. Para lograr un mayor impacto en las jornadas de capacitación se invitó a otras secretaías a participar con su oferta institucional y brindar capacitaciones en temas de importancia para la mujer y actividades de recreación.</t>
  </si>
  <si>
    <t>Eventos de capacitación en seguridad social</t>
  </si>
  <si>
    <t>Realizamos 5 eventos de capacitación en seguridad social a mujeres lideresas y agricultoras del departamento de Cundinamarca, solicitando el acompañamiento de otras secretarías con su oferta institucional para robustecer las jornadas con capacitaciones en temas de interes para las mujeres como lo son la felicidad, el empoderamiento femenino y el emprendimiento, y la realización de actividades de recreación activa y pasiva.</t>
  </si>
  <si>
    <t xml:space="preserve">Dificultad para realizar las convocatorias y la losgistica dando cumplimiento a los protocolos de bioseguridad </t>
  </si>
  <si>
    <t>Hemos realizado actividades online y presenciales como clases de Yoga, charlas de psicología entre otras, y hemos implementado diferentes estrategias como el acompañamiento psicosocial por parte de una trabajadora social y los mensajes de cumpleaños, buscando beneficiar y generar una comunicación permanente con el 100% de los afiliados al Club del Pensionado.</t>
  </si>
  <si>
    <t>Actividades de bienestar para los pensionados</t>
  </si>
  <si>
    <t xml:space="preserve">Acompañamiento psicosocial a 51 pensionados a través de zoom y llamadas telefónicas, actividades de bienestar realizadas a través de nuestras redes sociales, 12 jornadas de bienestar realizadas en el Club del Pensionado "Casa Acuaries" y celebración del día del pensionado en dónde se realizaron actividades de bienestar y un Bingo con incentivos para los pensionados. </t>
  </si>
  <si>
    <t>Dificultad para realizar las convocatorias y la losgistica dando cumplimiento a los protocolos de bioseguridad con mayor medida qué los eventos de mujer, ya que los pensionados son en su mayoria personas de la tercera edad, población de alto riesgo frente al virus.</t>
  </si>
  <si>
    <t>Proyecto de Investigación Actualizado</t>
  </si>
  <si>
    <t>Se han realizado reuniones  periódicas (semanalmente) con la universidad de los Andes y la Secretaría de Ciencia Tecnología en Innovación, donde se ha trabajado el documento técnico y el presupuesto.
Se realizó reunión  con el Viceministerio el 9 de marzo de 2021, donde asistió el Subdirector de Programas Viceministerio de Agua y Saneamiento Básico, la Directora de Infraestructura, Universidad de los Andes y un representante de la Secretaría de Ciencia Tecnología e Innovación, donde se presentó el proyecto, y se envió el día 11 de marzo vía correo electrónico el borrador del documento técnico y presupuesto para adelantar una revisión por parte de los profesionales del Viceministerio.
Se cuenta con el presupuesto y documento técnico actualizado. 
En el mes de abril se llevó a cabo reunión con la Secretaria de Ciencia Tecnología e Innovación, la Universidad de los Andes y el Subgerente General de EPC, con el fin de revisar los recursos que posiblemente se van a usar para financiar el proyecto de investigación e innovación.
Ya se cuenta con documento técnico actualizado y presupuesto, sin embargo, este último se dividió en fases para estudio de posibles fuentes de financiación. Internamente EPC ha venido desarrollando reuniones para verificar estas posibles fuentes. Para el próximo 3 de junio se llevará  a cabo reunión con la Secretaría de Ciencia Tecnología e Información con el fin de definir la presentación del proyecto ante la convocatoria del Ministerio.
En el mes de junio, se continua en la espera de la apertura de la convocatoria por parte del Ministerio.
Se solicita reprogramación de la meta teniendo en cuenta la modificación que sufrió  la normatividad de regalías y los recursos asignados al Departamento para la ejecución de este tipo de proyectos, por lo cual no fue posible presentarlo ante la convocatoria del Ministerio este año.
En el mes de septiembre se realiza mesa de trabajo con la Secretaria de Ciencia y Tecnología, Universidad de los Andes, Viceministerio de Agua y EPC para dar a conocer las alternativas que desde la Gerencia se consideran viables para la financiación del proyecto. Se realizará próxima reunión el jueves 14 de octubre donde la Universidad expondrá la alternativa de reducir el alcance del proyecto para reducir los costos en caso de no obtener la financiación completa del proyecto.
Entre los meses de octubre y noviembre se Integró la Dirección de Nuevos Negocios al apoyo del cumplimiento de la meta, buscando que ésta plantee alternativas de financiación, se ha realizado la búsqueda de financiación en entidades de educación superior que realizan convocatorias para proyectos de investigación, entidades del orden nacional, se realizó la solicitud y viabilidad de ajuste de la propuesta general por parte de la Universidad de los Andes</t>
  </si>
  <si>
    <t xml:space="preserve">Las fechas de las convocatorias para presentar el proyecto aun no se han definido por el Ministerio, 
Frente a la búsqueda de financiación para el proyecto, la principal problemática fue que las convocatorias que se pudieron identificar, tenían como fecha máxima para postulación en octubre, por ende, se contaba con menos de 10 días hábiles para poderlo hacer.  2. El borrador de la propuesta que se solicitó para un posible ajuste al proyecto, será enviada a más tardar el 6 de diciembre del 2021, por parte de la Universidad de los Andes, para posteriormente ser socializada con la subgerencia general, en caso tal, sea determinada como viable, la Universidad de los Andes envía a la propuesta formal antes del 31 de diciembre del 2021. </t>
  </si>
  <si>
    <t>Municipios con estrategia para mejorar la eficiencia de los prestadores de servicios públicos</t>
  </si>
  <si>
    <t>Para el proyecto de metrología y el Programa Optimización Operacional Emserfusa ESP se encuentra actualizando el componente institucional del proyecto para radicarlo al mecanismo departamental.
El plan de aseguramiento 2021 , se encuentra en proceso de viabilización con el Ministerio de Vivienda, Ciudad y Territorio, donde se tiene proyectada la programación de cada uno de los proyectos que conforman la meta.
Se ejecutaron las obras del proyecto de metrología y control operacional de pérdidas en el sistema urbano de agua potable para los municipios de  La Calera, Nimaima, Pacho y Ubaté, Anapoima, San Juan de Rio Seco, Zipaquirá y Facatativá, donde se realizó el suministro, la instalación y la puesta en marcha de medidores tipo volumétricos cuerpo de plástico, macromediddores electromagnéticos y caja para macromedidor
Para el mes de septiembre se tienen elaborados 20 diagnósticos técnico-operativos, en buenas prácticas operativas en plantas de tratamiento de agua potable a los prestadores priorizados, tambien se suscribieron los respectivos planes de acción, los cuales se encuentra en ejecución: Carmen de Carupa, Quipile, Tibirita, Apulo, Chipaque, Cachipay, Nariño, Cáqueza, Nimaima, Quebradanegra, Guatavita, San Cayetano, Lenguazaque, Pulí, Machetá, Albán, Gachalá, Sibaté, San Bernardo (Portones), Puerto Salgar</t>
  </si>
  <si>
    <t>Nuevas personas con acceso  al servicio de acueducto rural</t>
  </si>
  <si>
    <t>Proyectos Terminados:
Construcción de obras para la optimización y ampliación del sistema de acueducto del centro poblado de Santandercito, municipio de San Antonio del Tequendama – Fase I: optimización de redes de acueducto 80 usuarios nuevos conectados, beneficiando a 176 personas.
Construcción para la optimización del sistema de acueducto y alcantarillado del centro poblado El Puente, municipio de Villeta, 75 usuarios nuevos conectados, beneficiando a 170 personas
Construcción de las obras de captación, conducción, tratamiento, almacenamiento y distribución del nuevo sistema de acueducto del río teusaca para beneficio del casco urbano y centros poblados del municipio de sopó
Al terminar la primera convocatoria del programa agua a la vereda como resultado de los 80 acueductos beneficiados se conectaron al servicio de acueducto rural 4.973 nuevos usuarios
Diseños en Ejecución:
EPC-CI-012-2018 Junín
EPC-CI-016-2019 Bojacá
EPC-CI-024-2019 Bojacá
Diseños aprobados:
Aprobación de diagnóstico y alternativas del Acueducto de la Vereda San Francisco del municipio de Junín
EPC-CI-013-2018 Diseños de detalle acueducto y alcantarillado rural municipio de Gama
Acueductos rurales EPC-CI-024-2019 Bojacá
Acueducto Regional EPC-PDA-C-092-2020 La Mesa Quipile Anapoima
Acueducto Veredal EPC-PDA-C-248-2019 Cucunubá
Acueducto Regional EPC-PDA-C-432-2019 Tena La Mesa
Acueducto Veredal del Muña, San Francisco EPC-PDA-C-501-2017
Pozos Profundos de Zipacón y Ubaté EPC-PDA-C-393-2017
PMAA Zipacón El Ocaso EPC-PDA-C428-2018
Proyectos contratados: 
Municipio de Beltrán con la construcción del plan maestro de acueducto del sector Paquiló y La Popa
Municipio de Sasaima construcción 4 tanques 
PUEAA del Centro Poblado de Sáname del municipio de Fosca
Construcción de 4 Tanques del Acueducto Rural, Vereda Santa Ana, San Vicente, Loma Larga y Cuatro Esquinas (Acualimonar Y Suroccidente Del Municipio De Sasaima - Cundinamarca. 
Construcción Del Plan Maestro De Acueducto De Los Centros Poblados De Paquiló La Popa, Municipio De Beltrán Fase I. 
Construcción De Planta De Tratamiento De Agua Potable Del Acueducto De La Vereda La Unión Municipio De Fómeque  
Construcción De La Planta De Tratamiento De Agua Potable Vereda Alto Grande, Inspección De La Esperanza Municipio De La Mesa, 7 
Construcción De La Planta De Tratamiento De Agua Potable Vereda Santa Teresa Municipio De Sasaima,  
Construcción Tanque De Almacenamiento Acueducto De La Vereda San Benito Del Municipio De Sibaté, 
Acueducto De Las Veredas La Esmeralda, Monte Largo, San Jerónimo, Milán Y Limonal (Incluye Ptap) Del Municipio De Anolaima
Construcción De La PTAP Vereda La Colonia Del Municipio Del Colegio,  
Construcción De La PTAP Vereda Anatolí Municipio De La Mesa, 
Construcción De La PTAP Vereda Buenavista Municipio De La Mesa, 
Construcción De La PTAP Vereda Payacal Municipio De La Mesa, 
Construcción De La PTAP vereda Catalamonte, Municipio De Tena 
Construcción De La PTAP vereda Santa Rita, Municipio De Silvania 
Construcción De La PTAP Inspección Departamental De Subia Central, Municipio De Silvania 
Construcción De La PTAP Vereda Alto De Las Pavas De Subia Central Municipio De Silvania 
Construcción De La PTAP Vereda Liberia Centro, Municipio De Viotá  
Proyectos viabilizados
Tanque de almacenamiento vereda San Benito - Sibaté
Acueducto veredas La Esmeralda, San Jerónimo, Milán y Limonal - Anolaima
Gestión Predial en ejecución:
Apulo/Viotá/Tocaima - Acueducto regional
Guataquí/Nariño/Jerusalén - Acueducto regional
Fosca - Acueducto La Mesita
Sibaté - Tanque San Benito
Tocaima - Acueducto Vereda Morro Azul
Seguimiento
Villeta - Acueducto Rio Tobia
Nimaima -  Acueducto Centro Poblado Tobia 
Anapoima - Acu Las Margaritas
Vergara - Acu Casco Urbano y Vereda El Palmar
Nariño - Tanque La Pola
Fúquene - Acu Capellanía
Junín - PMAA San Roque
Tanque de almacenamiento vereda San benito - Sibaté
Acueducto veredas La Esmeralda, San Jerónimo, Milán y Limonal - Anolaima</t>
  </si>
  <si>
    <t xml:space="preserve">Se presentan dificultades en las entregas de los productos terminados por parte de las consultorías, ya se por componentes de dificil revisón o permisos necesarios.
 La subgerencia técnica se encuentra en tramites precontractuales debido a la liquidación del contrato anterior.
se han presentado dificultades en la obtencion de permisos, asi mismo las lluvias que se han presentado han generado suspensiones lo que nos lleva prorrogar los tiempos de terminar los proyectos.
se han presentado dificultades en atender observaciones en los ajustes de los diseños para la radicacion de la solicitud  de contratacion del proyecto.
 Los predios a adquirir se encuentran en trámites y requisitos previos para su adquisición. </t>
  </si>
  <si>
    <t>SGP Municipios, Nación</t>
  </si>
  <si>
    <t>Se fortalecieron 80 sistemas de acueducto rurales en 32 municipios con el componente de fortalecimiento técnico en un 100%
Se están realizando las visitas para los 103 acueducto que cumplieron con la revisión documental. Dicha revisión se realizará con el personal técnico contratado por FONDECUN. Una vez terminado el proceso de diagnóstico se realizará la selección de los 80 acueductos para la firma de los contratos.
Se empezó la estructuración del plan de aseguramiento 2021 en donde se tiene proyectado adelantar la segunda convocatoria para el programa agua a la vereda
En este período se realiza la firma de convenios entre FONDECUN y los 80 operadores seleccionados.
Fondecun inicia en el mes de junio la fase contractual para los 80 prestadores de la vigencia 2020, Se formularon 80 planes de acción, y se ejecutó en un 100% el componente institucional el cual se encuentra en proceso de entrega a los acueductos,  el componente de fortalecimiento técnico tiene un avance físico en promedio del 30.83% entre los 80 beneficiados
La fase 2021 (150 prestadores) no ha iniciado, se está a la espera de la aprobación del plan de aseguramiento</t>
  </si>
  <si>
    <t>Nuevas personas con acceso  al servicio de acueducto urbano</t>
  </si>
  <si>
    <t>Nuevas conexiones: Al hacer seguimiento a los nuevos usuarios  del servicio de acueducto urbano conectados a través de los prestadores, se realiza una encuesta a los prestadores del Departamento, la cual arroja el siguiente resultado:  51.054 nuevas personas beneficiadas con  el servicio de acueducto.
Proyectos terminados:  se logró la terminación del proyecto optimización del acueducto de manta por un valor de $2.370 conectando a 12 usuarios nuevos al servicio, conectando a 21 habitantes nuevos.
Se logró la culminación del proyecto de Facatativá cuyo objeto es "Reposición del pozo subterráneo Deudoro Aponte del Sistema de acueducto del casco urbano del municipio de Facatativá 
Construcción de las Obras del Plan Maestro del Acueducto y Alcantarillado Municipio De Arbeláez no conecta usuarios nuevos al servicio. 
Diseños aprobados:
EPC-PDA-C-433-2019 San Cayetano
EPC-CI-141-2017 Plan maestro de acueducto y alcantarillado de Supatá; incluye PTAP
EPC-PDA-C-393-2017 Pozo Profundo de Pulí 
 Diseños en proceso de aprobación
EPC-PDA-C-286-2018 Aguasiso
Viabilización de proyectos 
Acueducto - Guayabal de Síquima
Tanque de almacenamiento casco urbano de Sutatausa
Optimización del sistema de acueducto de La Palma 
Proyectos contratados:
Optimización de la planta de tratamiento de agua potable en el municipio de Guasca
Construcción del sistema de aducción, conducción de la red de apoyo del acueducto urbano y optimización de la planta de tratamiento de agua potable del municipio de Guayabal de Síquima
Construcción Del Tanque Compensación De 10.000 M3 Como Estructura Complementaria Al Sistema De Servicio De Acueducto En El Municipio De Cajicá 
Construcción Tanque De Almacenamiento De Agua Potable Para El Casco Urbano Del Municipio De Sutatausa Construcción De Las Obras De Captación, Conducción, Tratamiento, Almacenamiento Y Distribución Del Nuevo Sistema De Acueducto Del Rio Teusaca Para Beneficio Del Casco Urbano Y Centros Poblados Del Municipio De Sopo 
Gestión predial en Ejecución:
Ubalá - Plan Maestro de Acueducto y Alcantarillado
La Calera - Acueducto
Seguimiento
Medina - Plan Maestro Acueducto
Fómeque - Plan Maestro Acueducto y Alcantarillado
Sibaté - PMAA fase II: Acueducto
Topaipí - Plan Maestro de Acueducto y Alcantarillado
Facatativá - Plan Maestro de Acueducto y Alcantarillado Chipaque - Plan Maestro de Acueducto
Zipacón - Plan Maestro de Acueducto
Tanque de almacenamiento casco urbano de Sutatausa
Optimización del sistema de acueducto de La Palma</t>
  </si>
  <si>
    <t>Se presentan dificultades en las entregas de los productos terminados por parte de las consultorías, ya se por componentes de dificil revisón o permisos necesarios.
 La subgerencia técnica se encuentra en tramites precontractuales debido a la liquidación del contrato anterior.
se han presentado dificultades en la obtencion de permisos, asi mismo las lluvias que se han presentado han generado suspensiones lo que nos lleva prorrogar los tiempos de terminar los proyectos.
se han presentado dificultades en atender observaciones en los ajustes de los diseños para la radicacion de la solicitud  de contratacion del proyecto.</t>
  </si>
  <si>
    <t xml:space="preserve">SGP Municipios, Saldos en ejecución </t>
  </si>
  <si>
    <t>Nuevas personas con acceso  al servicio de alcantarillado rural</t>
  </si>
  <si>
    <t>Proyectos Terminados:
Emisario final en alcantarillado pluvial en el Municipio de Cachipay, el cual beneficio a  585 personas al servicio. (el proyecto no realiza conexiones)
Construcción de colectores y emisarios final fase 2 (alcantarillado residual) para el centro poblado Peña Negra municipio de Cachipay, con el cual se realizaron 50 conexiones nuevas para un total de 90 nuevas personas con acceso al servicio de alcantarillado
Construcción para la optimización del sistema de acueducto y alcantarillado del centro poblado El Puente, municipio de Villeta, 75 usuarios nuevos conectados, beneficiando a 170 personas
Unidades terminadas:
Fúquene 32 Unidades Sanitarias beneficiando a 52 personas
Fosca 30 Unidades Sanitarias beneficiando a 74 personas
La Palma 50 Unidades Sanitarias beneficiando a 115 personas
Tibirita 31 Unidades Sanitarias beneficiando a 47 personas
Villapinzon 25 Unidades Sanitarias beneficiando a 74 personas
Vergara 75 Unidades Sanitarias beneficiando a 198 personas 
Se logro la conexión con proyectos de unidades sanitarias en los municipios de: 
La Palma 47 Unidades Sanitarias beneficiando a	
Guaduas 100 Unidades Sanitarias beneficiando a	 258 personas
Quetame 50 Unidades Sanitarias beneficiando a 104 personas
Junín 38 Unidades Sanitarias beneficiando a 59 personas
Granada 65 Unidades Sanitarias beneficiando a 165 personas
Zipacón 90 Unidades Sanitarias beneficiando a 189 personas
Paime 47 Unidades Sanitarias beneficiando a 110 personas
Viotá 223 Unidades Sanitarias beneficiando a 427 personas
Machetá 47 Unidades Sanitarias beneficiando a
Diseños Terminados: 
Aprobación de diagnóstico y alternativas de la PTAR de Mata de Guadua, Anolaima.
Aprobación de diagnóstico y alternativas de plan maestro de alcantarillado de centro poblado de alto de trigo, Guaduas.
Estudios y diseños de la actualización de alcantarillado de san roque del municipio de Junín
Diseños de detalle Acueducto y Alcantarillado municipio de Gama
PMAA Zipacón El Ocaso EPC-PDA-C428-2018
Alcantarillado Anapoima Rural San Judas Bajo y La Estrella EPC-CI-078-2017 
Proyectos contratados:
Construcción alcantarillado sanitario y pluvial del centro poblado Pasoancho de Zipaquirá.
Construcción de las obras plan maestro de alcantarillado del centro poblado Cumaca, de Tibacuy.
Construcción, mejoramiento y adecuación del canal natural de aguas lluvias que atraviesa los barrios Santa Barbara, Luis Carlos Galán, Las Quintas y barrio El Centro de Guataquí.
Proyectos Unidades Sanitarias Viabilizadas:
9 proyectos de unidades sanitarias con un numero de 511 unidades sanitarias en los municipios de Gachalá etapa I Y II, Nemocón, Yacopí, Nocaima, Quipile etapa I Y II, San Antonio del Tequendama,  y Jerusalén, Gama
Gama: 50 unidades, Gachalá Etapa 1: 46 unidades, Gachalá etapa II: 50 Unidades, Nemocón: 70 Unidades, Yacopí: 80 Unidades, Nocaima: 44 Unidades, Quipile etapa I: 25 Unidades, Quipile etapa II: 50 Unidades, San Antonio Tequendama :117 Unidades, Jerusalén: 29 Unidades, San Bernardo: 51 Unidades, San Bernardo: 46 unidades
Gestión Predial
Seguimiento
Junín - Alcantarillado San Roque</t>
  </si>
  <si>
    <t xml:space="preserve"> Se presentan dificultades en las entregas de los productos terminados por parte de las consultorías, ya se por componentes de dificil revisón o permisos necesarios.
Retrasos en las consultorías de diseños, para poder trámitar los respectivos permisos
Tiempos de evaluación técnica por parte de la Corporación
Se han presentado dificultades en atender observaciones en los ajustes de los diseños para la radicacion de la solicitud  de contratacion del proyecto.
Obtencion de certificacion por parte de los municipios. 
 Los predios a adquirir se encuentran en trámites y requisitos previos para su adquisición. </t>
  </si>
  <si>
    <t>SGP Municipios</t>
  </si>
  <si>
    <t>Nuevas personas con acceso  al servicio de alcantarillado urbano</t>
  </si>
  <si>
    <t>Proyectos terminados: 
PTAR de Junín y conexiones al alcantarillado conectando a 322 usuarios nuevos al servicio, 606 nuevos habitantes conectados
Construcción de alcantarillado de aguas lluvias emergencia municipio de Pacho (Sin nuevas conexiones)
Construcción de las obras del plan maestro de alcantarillado del municipio de Pandi, conectando a 810 usuarios, beneficiando a 1450 nuevas personas
Construcción de las Obras Del Plan Maestro Del Acueducto Y Alcantarillado Municipio De Arbeláez, el proyecto no conecta usuarios nuevos al servicio.
Alcantarillado Vergara conectando a 91 persona nuevas al servicio.
Diseños Terminados: Aprobación de Diseños de Detalle de plan maestro acueducto de Cajicá
Aprobación de Diagnóstico y Alternativas del plan maestro de alcantarillado de Chipaque
EPC-CI-141-2017 Plan maestro de acueducto y alcantarillado de Supatá; incluye PTAP
Proyectos contratados: Contratar la construcción del colector sanitario Funza-Siberia en el municipio de Funza-fase I.
EPC-PDA-C-433-2019 san Cayetano
EPC-CI-027-2021 Construcción Del Sistema De Alcantarillado Sanitario Para El Sector De Villas De Granada, Municipio De Zipaquirá 
EPC-CI-028-2021 Optimización Redes De Alcantarillado Aguas Residuales Y Combinadas Urbanos - Etapa 2 Arc-Distrito Sanitario Suroccidental, Municipio De Madrid  
EPC-CI-029-2021 Optimización Redes De Alcantarillado Aguas Residuales Y Combinadas Urbanos - Etapa 2 Arc-Distrito Sanitario Suroriental, Municipio De Madrid 
EPC-CI-030-2021 Optimización Redes De Alcantarillado Aguas Residuales Y Combinadas Urbanos - Etapa 2 Arc-Distrito Sanitario Sur, Municipio De Madrid 
EPC-CI-031-2021 Optimización Redes De Alcantarillado Aguas Residuales Y Combinadas Urbanos - Etapa 1 Arc-Macrodistrito Sanitario 2, Municipio De Madrid 
EPC-CI-043-2021 Construcción y/o Optimización De Sistema De Alcantarillado Y Emisario Final Del Sector El Hato, Municipio De La Mesa
EPC-PDA-O-406-2021 Plan Maestro De Alcantarillado Sanitario Y Pluvial Fase Iii Etapa I Del Municipio De Ricaurte 
EPC-PDA-O-407-2021 Ampliación De La Red De Alcantarillado De La Gran Vía Municipio De Tena
Diseños en proceso de aprobación
EPC-CI-013-2018 Gama
EPC-CI-141-2017 Plan maestro de acueducto y alcantarillado de Supatá; incluye PTAP
Diseños Aprobados:
EPC-PDA-C-264-2018 Agua de Dios, Alcantarillado pluvial urbano.
Proyectos Viabilizado: El Colegio - Colector Zona de Expansión No. 2
PTAR Urbana de Vianí EPC-PDA-C-339-2019
Aprobación PSMV:
Cuentan con resolución de aprobación los municipios de Anolaima, Chocontá, Cachipay, Facatativá, La Mesa, Pacho, Subachoque, Anapoima, Pandi
Gestión predial en ejecución:
Sibaté - Alcantarillado casco urbano
Ubalá - Plan Maestro de Acueducto y Alcantarillado
Lenguazaque - PTAR
El Colegio - Colector Zona de Expansión No. 2
Seguimiento
Agua de Dios - PMAlc pluvial
Gutierrez - Optimización Alc fase I
Fómeque - PMAlc y centro poblado la Unión
Topaipi - Plan Maestro de Acueducto y Alcantarillado
Facatativa - Plan maestro de acueducto y alcantarillado
La Mesa - Alc Casco Urbano
Gachancipá - PMAlc
Vianí - PTAR
Chocontá - PMAlc
La Mesa - Alc Urbano
Alcantarillado Casco Urbano - Gutiérrez
Alcantarillado sector Villas de Granada - Zipaquirá
Alcantarillado y emisario final El Hato - La mesa
Canal de aguas lluvia Sicamocha - Ubaté
PMAlc - Tabio</t>
  </si>
  <si>
    <t xml:space="preserve">Demora en la entrega de resultados por parte de los laboratorios.
Retrasos en las consultorías de diseños, para poder trámitar los respectivos permisos
Tiempos de evaluación técnica por parte de la Corporación
Se han presentado dificultades en atender observaciones en los ajustes de los diseños para la radicacion de la solicitud  de contratacion del proyecto.
Obtencion de certificacion por parte de los municipios.
 Los predios a adquirir se encuentran en trámites y requisitos previos para su adquisición.  </t>
  </si>
  <si>
    <t>SGP Municipios, Saldos en ejecución (SGP Municipio - otros recursos del municipio)</t>
  </si>
  <si>
    <t>Nuevas personas con acceso al servicio de aseo</t>
  </si>
  <si>
    <t>Nuevas conexiones: Al hacer seguimiento a los nuevos usuarios que se les presta el servicio de aseo a través de los prestadores; se realiza una encuesta a los prestadores del Departamento, la cual arroja el siguiente resultado: 87.667 nuevas personas con acceso al servicio de aseo.
Se apoyo en la formulación y estructuración de 11 proyectos para adquisición de vehículos compactadores. Se está apoyando en la formulación de proyectos a los municipios de El Colegio, Ubaté, Anapoima, Subachoque, Zipaquirá, Silvania y Villapinzón, se radicaron a ventanilla la respectiva documentación.
Se radicaron los siguientes proyectos en la ventanilla:
Guaduas, La Palma, Tibirita, Topaipí, Paratebueno y Guachetá - 01/03/2021
Sibaté - 16/03/2021.  Fue posible dar inicio a la ejecución del proyecto de Vergara el 23/03/2021
Se recibió por parte de la Ventanilla Departamental los conceptos favorables de los 11 proyectos para la adquisición de los vehículos compactadores y Se estructura el proceso de solicitud de contratación de acuerdo a la Ley 80 de 1993, el cual se encuentra en aprobación.
Se adjudico a UT COMPACTOR el proceso de licitación pública N° LP-PDA-008-2021 mediante Resolución 306 del 26 de noviembre de 2021 por un valor de $5.706.764.000.
PGIRS en ejecución
Tocaima, Cabrera
PGIRS terminado
Guaduas: El convenio termino el 17 de junio de 2021, cumpliendo lo establecido en el cronograma, se encuentra en proceso de liquidación
Vergara: El 22 de julio de 2021 se terminó la ejecución del contrato derivado y del convenio; se encuentra en proceso de liquidación
Se inicio la ejecución del contrato de obra PARSO San Juan de Rioseco el 06 de abril 2021, Se reportó un 20% del contrato de obra de la PARSO San Juan Rio Seco para el mes de septiembre de 2021.
Se realizó visita a los posibles predios en el municipio de San Antonio del Tequendama para ubicar una PARSO los cuales presentan dificultades técnicas.
El 10 de septiembre de 2021 se realizó visita técnica al parque de aprovechamiento de residuos sólidos del municipio de Fusagasugá evidenciando que requieren maquinaria para implementación de acciones de aprovechamiento de residuos orgánicos</t>
  </si>
  <si>
    <t>Falta de experticia en la formulación técnica de los proyectos.
Los municipios no atienden las encuestas solicitadas por la dirección de aseguramiento.
La ventanilla Departamental tuvo retraso en el inicio de sus actividas y para la evaluación de proyectos
Atención a las observaciones realizadas por la interventoria y supervision para iniciar la ejecución de los proyectos</t>
  </si>
  <si>
    <t>El plan de aseguramiento 2021, se encuentra en proceso de viabilización con el Ministerio de Vivienda, Ciudad y Territorio,
 13 PTAP Agua, Vida y Saber se encuentran en ajustes del componente técnico e institucional
PTAP rurales: Se realizó traspaso del predio por parte de la Asociación del Acueducto Guanguita y Reatova al municipio de Villapinzón. De igual manera se encuentra en evaluación de propuesta de los oferentes por parte del municipio para la adjudicación de los contratos derivados 
Fueron aprobados por la interventoría 14 plantas de tratamiento de agua potable, vinculas al programa "+agua potable" 
Fueron viabilizadas por el Mecanismo Departamental de Viabilización de Proyectos durante el 2021, 15 plantas de tratamiento de agua potable 
Durante el 2021 se firmaron 13 convenios con los municipios y 2 proyectos se encuentran radicados para iniciar el proceso de contratación. 
En el período, se realizaron 20 capacitaciones a los operadores PTAP en el monitoreo y control de la calidad del agua, así como el mejoramiento en cada una de las Buenas Prácticas Sanitarias.
En el mes de agosto, se realizó diagnósticos técnico operativo a 12 PTAP del departamento de Cundinamarca, que se encuentran priorizadas en el Plan de Aseguramiento 2021.</t>
  </si>
  <si>
    <t>Plantas de tratamiento de agua residual</t>
  </si>
  <si>
    <t>PTAR en operación
5 PTAR en operación:  Manta, Tenjo, Mosquera, Junín, Tena PTAR y Emisario final urbanización sueños del Castillo 
Proyecto de Colectores Terminados
Construcción de colectores y emisarios final fase 2 (alcantarillado residual) para el centro poblado La Peña Negra municipio de Cachipay
Proyectos en ejecución
Se continua con la ejecución del proyecto de Vergara, dando cumplimiento con la programación aprobada por la interventoría.
De otro lado se adelanta la reformulación interna del proyecto de la PTAR de gama san Roque, con el fin de obtener los recursos para el componente eléctrico que requiere el mismo para ser funcional. Se logro la aprobación de recursos para la reformulación interna del proyecto en el comité Directivo N 110, se está adelantando el modificatorio, se estima dar reinicio a su ejecución el 20/10/2021.
proyecto de Paratebueno ya se cuentan con los permisos los cuales permiten dar pronto reinicio a la ejecución del proyecto, referente al permiso por parte de Corporinoquia, se informa que tan pronto se tenga la construcción de la PTAR será otorgado, así mismo con el proyecto de Gachetá, incluye la construcción de la PTAR que tiene un valor aproximado de $2 mil millones de pesos y el proyecto cuenta con un avance del 33%.
Diseños terminados:
PTAR de Tausa, Cucunuba y Yacopí, Ubaque, Guaduas, Anolaima, Pasca
Aprobación del permiso de vertimientos:
PTAR Granada.
Diseño de Colectores e Interceptores y PTAR aprobados:
- EPC-CI-073-2019 Chipaque
- EPC-CI-077-2017 Anapoima
- EPC-PDA-C-353-2019 Ubaque
- EPC-PDA-363-2019 Guaduas
EPC-PDA-C-339-2019 PTAR Urbana Vianí
Viabilización de proyectos
PTAR Sopó - En evaluación
PTAR Útica – Evaluación
Construcción y/o optimización de sistema de alcantarillado y emisario final del sector El Hato, municipio de La Mesa viabilizado el 8/11/2021
Proyectos en contratación 
colector de Funza
Radicados en la CAR y ventanilla: 
Cucunubá – PTAR
PTAR Tausa
Diagnóstico, actualización y ajuste al diseño de la Planta de Tratamiento de Aguas Residuales del centro poblado Maya del municipio de Paratebueno radicado a MVD el 23/11/2021
Se encuentran en etapa de alistamiento y ajustes de observaciones
PTAR Gachancipá - En alistamiento
PTAR Facatativá - En ajustes
PTAR Funza - En ajustes
PTAR La Calera - En ajustes
En el período, se realizaron 12 capacitaciones a los operadores de las PTAR de los municipios para implementación de las “Buenas Prácticas Operativas en el Tratamiento de Aguas Residuales”, fortaleciendo el manejo de las diferentes operaciones unitarias que intervienen en el proceso de tratamiento tales como filtración, sedimentación, adsorción, clarificación, cribado, y el tratamiento secundario según correspondió y además el uso de la instrumentación básica requerida para el manejo de estas.
 En el mes de agosto, se realizó diagnósticos técnico operativo a 12 PTAR del departamento de Cundinamarca, que se encuentran priorizadas en el Plan de Aseguramiento 2021.</t>
  </si>
  <si>
    <t>Atención de observaciones por parte de la consultoría.Mayores tiempos de revisión debido a que no se contaba con el profesional especializado para la evaluación de los proyectos</t>
  </si>
  <si>
    <t>SGP Municipios, saldos en ejecución (Recursos CAR)</t>
  </si>
  <si>
    <t>sistemas de acueducto con uso de fuentes o caudales de abastecimiento complementarias.</t>
  </si>
  <si>
    <t xml:space="preserve">Embalse Pantano de arce: Actualización de los Estudios y diseños de Pantano de Arce aprobados por la Interventoría. El proyecto Pantano de Arce ya cuenta con Licencia Ambiental, Otorgada por la Corporación Autónoma Regional de Cundinamarca en el año 2006. El proyecto se debe radicar a la Corporación autónoma Regional de Cundinamarca, para ser evaluado en el cumplimiento de los requisitos técnicos y una vez aprobados se podrá obtener el documento de financiación de la Construcción Embalse Pantano de Arce
Pozos Diseño: 
Gachancipá: 50% de avance, contrato finalizado anticipadamente por falta de información predial y de población, Pulí: 100% avance, terminado,’ Zipacón: 100% terminado,  Ubaté: 85% avance, Ejecución, Fúquene: 60% avance, Ejecución, Chaguaní: 75% avance, Ejecución, Tabio: 70% avance, Ejecución, Guachetá: 80% avance, en ejecución 
Pozos en Ejecución:
El Rosal: 90.5% de ejecución, Suspendido por certificación Codensa, se aprobó reformulación
Deudoro Aponte Facatativá: 100% proyecto terminado
Guanguita 2%: Contrato en proceso de liquidación anticipada, se espera contar con ajustes a los diseños, con lo que se procederá a reformulación del proyecto y posterior proceso de contratación de obra.
Acueductos regionales:
Diseño en ejecución: Acueducto Regional Fruticas Ramal 100% avance, diseños aprobados por interventoría, y radicados a la Dirección de Estructuración de proyectos para su alistamiento y posterior radicación ante el mecanismo de viabilización - Fruticas  Regional: 70% avance físico, se encuentra en ejecución. - Acueducto regional Guataquí - Nariño - Jerusalén 20% avance Suspendido ajustes al diseño - Quipile La Mesa Anapoima: 30% de avance en proceso de reformulación – Suspendido (La Comunidad opuesta al proyecto) - Sibaté - Soacha y Granada; 8% avance - Tena La Mesa: 10% de avance Suspendido (revisión diagnóstico y alternativas) - Arbeláez San Bernardo: 30% avance Suspendido (Geotecnia para pasos elevados), 
Viabilidad- Facatativá - San Francisco en proceso de Viabilidad - Acueducto Regional Sabaneta: Solicitud de recursos para contratar ajustes de diseño, Proyecto Acueducto Regional Nocaima, Nimaima,  Quebradanegra, Útica y Villeta en proceso de viabilización 
Obra: Dorado Fase II: Avance 67.17% en proceso de reformulación, Suspendido (pasos elevados) - Fruticas - Chipaque: Avance 99,8%  -  En proceso de viabilización de la Reformulación 
Gestión predial: Para el Embalse Pantano de Arce se deberán adquirir tres predios, se está adelantando el trámite de levantamiento topográfico. Se envía solicitud al municipio de adelantar los tramites de adquisición predial </t>
  </si>
  <si>
    <t>Pantano de Arce: El consultor se encuentra realizando  las actividades del estudio de Sitio como de sustracción forestal, se espera hacer entrega de estos documentos finalizando el mes de septiembre y asi complementar el producto 5.Gachancipá: problemasTécnicos, prediales Ambientales e Institucionales eh temas de predios y operación que no permiten continuar con el proyecto. el municipio liquidó el contrato derivado, por lo que se está a la espera de ajustes requeridos al proyecto con el fin de adelantar reformulación y nuevo proceso de contratación.  se espera contar con ajustes a los diseños en el mes de septiembre de 2021, con lo que se procederá a reformulación del proyecto y posterior proceso de contratación de obra.
Fúquene: Hace falta claridad por parte del municipio frente al predio para realizar la solicitud del permiso de exploración de agua subterránea, ya que el solicitado fue caducado por lo mismo
El Rosal; pendiente componente electrico aprobación Enel Codensa
Guanguita: permiso de exploracion
Facatativa - San Francisco: Demora en la entrega de observaciones por parte del municipio.
Dorado Fase II: Realizar consultoría para los ajustes de diseños puesto que no se contaba con el diseño de detalle de diferentes pasos elevados necesarios para la interconexión de las redes puesto que el proyecto cuenta con el diseño tipo de un paso elevado para una luz de hasta 30m. En proceso de contratacion los ajustes de Diseño con el proyecto EVALUACION Y DIAGNOSTICO DE LAS OBRAS EXISTENTES DEL ACUEDUCTO REGIONAL FASE 1, ESTUDIOS Y DISEÑOS DE LOS PASOS ELEVADOS DE LA FASE 1 Y FASE 2 DEL ACUEDUCTO REGIONAL EL DORADO</t>
  </si>
  <si>
    <t>Se realizaron reuniones entre la CAR y EPC, para la revisión del acuerdo de voluntades, esta actualización se realizara una vez se obtenga la Licencia Ambiental.
Se adelantaron actividades de revisión previa entre EPC y ANLA, para la revisión del Estudio de Impacto Ambiental EIA.
Se presenta presupuesto a la CAR con los costos de la actualización.
De igual manera se presentan las actividades a realizar por parte de EPC y la CAR , queda en evaluación por la CAR de la reunión con la ANLA para adelantar trámites pertinentes.
Se solicita modificatorio en el acuerdo de voluntades firmado con la CAR, con el propósito de modificar los compromisos de las partes de manera que la corporación lidere de ahora en adelante el proceso del trámite de licencia ambiental y que la Corporación asuma la administración del embalse una vez construido este, además de realizar la respectiva actualización de los términos de referencia solicitado por la  ANLA y el respectivo pago por concepto de evaluación del Estudio de Impacto Ambiental EIA, así como la obtención de la Licencia Ambiental para la Construcción del Embalse Calandaima"
La CAR da respuesta a la solicitud de modificación del acuerdo de Voluntades, donde informan, que desde la Dirección Jurídica se está adelantando el trámite del modificatorio, que una vez se tenga resultado, será notificado para la revisión y firma.
EPC hace entrega a la CAR de todos los archivos de los Diseños realizados respecto al Estudio de Impacto Ambiental EIA, con el fin de que se inicie la revisión y así iniciar la actualización del mismo.
La CAR, EPC y los municipios de Anapoima, El colegio, Viotá, Tocaima firmando el modificatorio al acuerdo de voluntades donde la obligación de la actualización de EIA y la posterior radicación y solicitud de licencia ambiental quedan a cargo de la CAR.
De igual manera, la CAR ya inicio con la actualización del EIA con los ensayos de laboratorio en la cuenca del rio Calandaima.
La Corporación Autónoma Regional de Cundinamarca CAR, se encuentra actualizando el Estudio de Impacto Ambiental EIA, en el cual se debe realizar * Estudio Ambiental de Riesgo en el área de influencia del proyecto.
En Mesa de trabajo se evalúa la posibilidad de que la CAR sea la entidad que otorgué la licencia ambiental para la construcción del Embalse Calandaima, se deberá evaluar entre EPC y CAR, el acuerdo de voluntades para el retiro de la CAR si son ellos quienes otorguen la licencia.
Para dicha evaluación se programaron mesas de trabajo entre las partes jurídicas para la revisión.
Como el proyecto de Calandaima ha sufrido retrasos en su ejecución, ahora se realizará  el seguimiento del avance al proyecto de pantano de arce: Actualización de los Estudios y diseños de Pantano de Arce  aprobados por la Interventoría, El proyecto Pantano de Arce ya cuenta con Licencia Ambiental, Otorgada por la Corporación autónoma Regional de Cundinamarca en el año 2006, El proyecto se debe radicar a la Corporación autónoma Regional de Cundinamarca, para ser evaluado en el cumplimiento de los requisitos técnicos y una vez aprobados se podrá obtener el documento de financiación de la Construcción Embalse Pantano de Arce</t>
  </si>
  <si>
    <t xml:space="preserve"> Con el cambio de normatividad en los terminos de referencia del año 2018, se deberá actualizar todo el EIA presenatdo inicialmente
De acuerdo a la solicItud de EPC, se esta a la espera de la respuesta de la CAR, de igual manera de esta respuesta depende quien realizará la actualziación al Estudio de Impacto Ambiental EIA.  </t>
  </si>
  <si>
    <t>Avance de la implementación del sistema información integrado</t>
  </si>
  <si>
    <t>Se contrató al ingeniero de sistemas experto en sistemas de información, el cual ha realizado una serie de reuniones para obtener un diagnóstico inicial de las necesidades del sistema.
Se realizo sesión con los asesores del director General para revisar y validar las actividades detectadas en el flujo de trabajo del ciclo de vida de los proyectos, para lo cual se realizaron ajustes a las a actividades de planeación y estructuración. Se valida las actividades y tareas con las personas funcionales de las direcciones de DOPE, Interventoría y Contratación. Se ajustan las especificaciones técnicas mínimas requeridas del sistema de información.
Se coordina con el asesor del director General y subgerencia técnica, la revisión y validación de las actividades detectadas al flujo de trabajo del ciclo de vida de los proyectos, para ajustar las especificaciones técnicas mínimas requeridas del sistema de información para la semana comprendida del 2 al 6 de agosto del 2021.
Elaboración de documento en su primera versión con las especificaciones técnicas mínimas requeridas del sistema de información, diagnostico Sistema de Gestión de Calidad procesos Misionales y herramienta de gestión y administración del SGC
Se realizaron reuniones con los líderes de los siguientes procesos: Aseguramiento, Estructuración, contabilidad, presupuesto, tesorería, Servicio al Cliente, Calidad, Gestión Documental, Ventanilla Única, Control Interno, Nomina, Activos Fijo e Inventario, Interventoría, Ambiental, Subgerencia General, Jurídica, Operaciones y Proyectos Especiales, para conocer el flujo del proceso y las actividades de entrada y salida que interactúan con el proceso de Gestión de Proyectos.
 Reuniones realizadas con los líderes de los siguientes procesos: Operación de Servicio Públicos Domiciliarios y Contratación, para conocer el flujo del proceso y las actividades de entrada y salida que interactúan con el proceso de Gestión de Proyectos.
Entrega y socialización al Director de Planeación, del documento con el diagnóstico y la propuesta con el alcance del sistema de información de Gestión de Proyectos para EPC, el día el 19/05/2020
Presentación de KickOff del Sistema de Información de Gestión de Proyectos -SIGPRO, al subgerente General, al director de planeación y a la directora de Gestión Humana.
Programación reunión asesores del director General de EPC, para presentación KickOff Sistema de Información de Gestión de Proyectos -SIGPRO.
Validación las actividades y tareas a desarrollar en el módulo de Recursos Ambientales, con la persona funcional del proceso. Validación con la persona técnica de la empresa que provee el servicio de plataforma de Gestión financiera y contable SOLIN, los mecanismos de conexión para compartir información con el sistema de información de gestión de proyectos. Se ajustan las especificaciones técnicas mínimas requeridas del sistema de información según las observaciones realizadas.
Se realiza presentación de las funcionalidades y se envían las especificaciones técnicas con los componentes de diagnóstico procesos y procedimiento, Sistema de información Sistema de Gestión de Calidad y Sistema de Información de Gestión de Proyectos, para observaciones y ajustes, se encuentra en proceso de aprobación.
Se comparte con las áreas de planeación financiera, asuntos corporativos y presupuesto el APP “Planeación para el desarrollo”, para validar las funcionalidades, aplicabilidad en EPC y cumplimiento de i) Resolución # 3832 de 18/10/2019 Minhacienda” Catálogo de Clasificación Presupuestal para Entidades Territoriales y sus Descentralizadas (CCPET)” ii), DANE: Resolución # 0550 de 08/05/2020 del DANE “Clasificación Central de Productos adaptada para Colombia (CPC)” y iii) Catalogo Central de productos MGA – DNP.
Diligenciamiento del formato el anexo 3 Certificación Proyectos de Preinversión.
Elaboración solicitud a la Gerencia para la asignación de recursos para la contratación del Sistema de Información de Gestión de Proyectos en la vigencia 2022, por valor de $800 millones</t>
  </si>
  <si>
    <t>Por disponibilidad de agenda del asesor, designado no se ha continuado con la validación general que permita realizar los ajustes a las funcionalidades descritas para cada uno de los módulos del sistema de información de Gestión de Proyectos.</t>
  </si>
  <si>
    <t>Se encuentran aprobados los productos, avance meta 75%:
producto 1. Recopilación de información secundaria
producto 2. Análisis y procesamiento de   la información secundaria cuencas hidrográficas
producto 3. Análisis y procesamiento de   la información secundaria de aguas subterráneas                                                
producto 4. Necesidad de estudios en campo                                                                                                              
producto 5. Diagnostico   general fuentes actuales       
producto 7. Alternativas de abastecimiento – agua subterránea                                   
producto 8. Alternativas       de abastecimiento - venta de     agua    en     bloque     desde     el   acueducto de Bogotá                                           
producto 9. Alternativas de abastecimiento - alternativas no convencionales             
producto 10. Alternativas de abastecimiento -   aguas superficiales alternas                                                                                     
Producto 11. Análisis Predial: En revisión por la Interventoría.
Producto 12 Diagnóstico Integral:  En revisión por la Interventoría.
Producto 6. Alternativas de abastecimiento - Embalses: En Ajustes por la consultoría.
Producto 7. Alternativas de abastecimiento - Agua Subterránea: En Ajustes por la consultoría.
Producto 8. Alternativas de abastecimiento - Venta Agua en Bloque: En Ajustes por la consultoría.
Producto 9. Alternativas de abastecimiento - No convencionales:  En Ajustes por la consultoría.
Producto 10. Alternativas de abastecimiento - Aguas superficiales alternas:  En Ajustes por la consultoría.
Producto 11. Análisis Predial: En revisión por la Interventoría.
Producto 12 Diagnóstico Integral:  En revisión por la Interventoría.</t>
  </si>
  <si>
    <t>Pendiente respuesta por la EAAB para la socialización de este plan de abastecimiento.</t>
  </si>
  <si>
    <t>saldos en ejecución</t>
  </si>
  <si>
    <t>Pendiente la respuesta por parte de la CAR, ante la entrega de los ajustes y el estado de evaluación de las alternativas de Diagnóstico Ambiental DAA, por lo tanto se desarrolló reunión entre la Interventoría, el consultor y la Subgerencia General para establecer las medidas.
Se realizo reunión entre la CAR, DOPE y la Subgerencia General, donde se revisó el estado actual de las solicitudes de DAA, por lo cual EPC, deberá revisar la trazabilidad realizada ya que la CAR solicitó un desistimiento de los trámites. Esta evaluación está a cargo de DOPE y se está a la espera de la respuesta de la CAR.
Por solicitud de la CAR, el día 23 de julio de 2021 se hace entrega nuevamente del contenido de las alternativas de los Embalses Sumapaz, Gualivá y Ubaté.
La CAR solicita mesa de trabajo para la socialización de los requerimientos que debe realizar el consultor. Y se acuerda entre las partes que la CAR seguirá revisando el documento del Plan de Abastecimiento para dar aprobación del mismo.
Se termina el contrato EPC-PDA-C-256-2018 ACTUALIZACIÓN DE LOS ESTUDIOS Y DISEÑOS A DETALLE EMBALSE PANTANO DE ARCE II, avance 100% de ejecución, los diseños fueron aprobados por interventoría
Se han adelantado 3 mesas de trabajo con la CAR, para dar revisión a las observaciones generadas donde la última se realizó el día 30 de noviembre de 2021 por lo que la consultoría generara un plan de trabajo a presentar el próximo 13 de diciembre de 2021.</t>
  </si>
  <si>
    <t xml:space="preserve"> No se ha recibido respuesta por parte de la CAR, respecto a los ajustes presentados por epc.
Se requiere de considerables periodos de tiempo para que la CAR pueda realizar la revisión de los entregables así como la programación de las mesas de trabajo dado el alto volumen de trabajo que maneja dicha entidad. 
Se realizo reunón entre la CAR, Dirección Operativa y la Subgerencia Gneral, donde se revisó el estado actual de las solicitudes de DAA, por lo cual EPC, deberá revisar la trazabilidad realizada ya que la CAR solicitó un desistimiento de los tramites.</t>
  </si>
  <si>
    <t>Se revisó con Secretaria de Ambiente los posibles municipios a intervenir con proyectos de PARSO.
Reuniones internas en la dirección de asuntos ambientales para la estructuración del proceso.
Diagnóstico para la estructuración del proyecto a partir de información secundaria (CAR).
Se encuentra radicada la solicitud de contratación para la actualización del modelo de gestión regional de residuos sólidos ante la Dirección de Contratación
Se priorizaron municipios objeto de estudio para Construir, optimizar y/o poner en funcionamiento  estaciones de transferencia y/o sistemas de aprovechamiento de residuos sólidos
Se realizo visita a los municipios de El Colegio y Zipacón el 11 de junio de 2021, y el 24 de junio a Pacho.
Se inicio la ejecución del contrato de obra PARSO San Juan de Rioseco el 06 de abril de 2021
Se encuentra en ejecución el contrato de obra pública de la PARSO San Juan Rio Seco Avance de obra 20% y se encuentra en trámite la  cuenta de cobro del anticipo por parte del municipio.
El 11 de agosto de 2021 se realizó visita al municipio de San Antonio del Tequendama a los dos posibles predios para la ubicación de la PARSO los cuales presentan dificultad técnicas referente a la distancia mínima requerida y a vías de acceso.</t>
  </si>
  <si>
    <t>Falta de equipo técnico para revisisón de la documentación técnica.
Recopilar la información.</t>
  </si>
  <si>
    <t>Nación</t>
  </si>
  <si>
    <t xml:space="preserve">Planes de emergencia y contingencia Formulados: Por parte de los municipios se tienen formulados 10 documentos, en los siguientes prestadores:
La Mesa: Junta De Acción Comunal De Inspección San Joaquín, Asociación De Usuarios Del Acueducto Rural Colectivo De Las Veredas Doima La Esperanza
San Antonio Del Tequendama:  Asociación De Usuarios Del Acueducto Rural Los Naranjos Vereda Las Angustias
Subachoque: Asociación De Usuarios Del Acueducto Regional De La Vereda Rincón Santo
Villeta: Asociación De Usuarios Del Acueducto Fernando Salazar De La Vereda De Rio Dulce
Zipacón: Asociación De Usuarios Del Servicio De Acueducto De La Parte Alta Y Baja De La Vereda Paloquemao Del Municipio De Zipacón, Asociación De Usuarios De Acueducto Y Saneamiento Básico Vereda Pueblo Viejo Sector La Joya Sabanalarga, Asociación De Usuarios Del Servicio De Acueducto De La Vereda El Chuscal
Anolaima: Asociación De Usuarios Del Acueducto De Las Veredas La Esmeralda, Montelargo, San Jerónimo, Milán Y Limonal Del Municipio De Anolaima - Acuamili. 
La Mesa - Tena: ASUARTELAM
Ricaurte: Aguas Marakata S.A. Empresa De Servicios Públicos
Agua De Dios, Tocaima: Central Colombiana De Aseo S.A ESP
Anapoima, El Colegio: Asociación De Usuarios Del Acueducto Regional El Triunfo La Paz
Anolaima: Asociación De Usuarios Del Acueducto De Mesitas De Caballero
Arbeláez: Asociación De Acueducto Regional Veredas San Miguel, Santa Rosa, San José
Cota, Facatativá: Iglesia Cristiana De Los Testigos De Jehová
Cota, Funza, Girardot, Madrid, Mosquera, Soacha, Tocancipá: Ekoplanet S.A.S. E.S.P.
El Colegio: Asociación Acueducto Los Ocobos
Fusagasugá: Asociación De Usuarios Del Acueducto Leonardo Hoyos De Fusagasugá
Gachancipá: Asociación De Usuarios Del Acueducto De La Vereda San Martin De Gachancipá
Granada: Asociación De Afiliados Del Acueducto Regional De Granada Cundinamarca
Contrato EPC-PS-330-2021 firmado y con acta de inicio. En ejecución
Durante el mes de noviembre se avanzó en los procesos de capacitación a los prestadores de los municipios de El Colegio, Guasca, Tabio, Cota, Nemocón, Subachoque, Pacho, Zipacón y La Calera, logrando un alcance de 20 prestadores de los 37 invitados. En ejecución el contrato EPC-PS-330-2021. El avance total del año es de 39.
</t>
  </si>
  <si>
    <t>Planes de emergencia y contingencia Formulados: Por parte de los municipios se tienen formulados 9 documentos en los municipios de La Mesa, San Antonio del Tequendama, Subachoque, Villeta, Zipacón.
ASUARTELAM - Tena / La Mesa, AGUAS MARAKATA S.A. Empresa de servicios públicos - Ricaurte.
El proceso de contratación del programa de capacitación y formulación de los planes se encuentra en el área de gestión contractual. Se realizó inventario de prestadores, para establecer la población objeto del presente año. Se está recolectando información de los Planes de emergencia y contingencia adelantados en el año 2020.
Contrato EPC-PS-330-2021 firmado y con acta de inicio. En ejecución</t>
  </si>
  <si>
    <t>Se realizó 214 atenciones con carrotanque por desabastecimiento de agua potable, para un total de 648 días de operación; 182 atenciones con equipos succión presión por taponamientos y colmataciones en las redes de alcantarillado, para un total de 502 días de operación. Se entregaron 37 obras de rehabilitación de infraestructura en 23 municipios: Granada, Sasaima, Manta, Cachipay, Ubaque, Alban, Villeta, y Viotá, Sibaté, San Antonio del Tequendama, Yacopí, Vergara, Caparrapí y Chocontá, Tibirita, Guataquí, Beltrán El Peñón y Chipaque, Ubalá, Subachoque, Suesca, Nariño. y 2 inspecciones de redes en los municipios de Nocaima y Villapinzón</t>
  </si>
  <si>
    <t>Avance acumulado a octubre de 2021 del 43,91% que corresponde al porcentaje de ejecución del componente de construcción, teniendo un acumulado, en el mes anterior de 31,72% y un ejecutado en el mes de septiembre de 2021 de 2,19%.
Adecuación sitio del proyecto 100%, adecuación vías de acceso y paisajismo 57,7%, pozo de bombeo 46,8%, pozo de cribado 64,2% obras conexas 22,6%.</t>
  </si>
  <si>
    <t xml:space="preserve"> se tiene un retraso en la ejecución de la obra por permisos ambientales y prediales </t>
  </si>
  <si>
    <t>Acueducto de Bogotá</t>
  </si>
  <si>
    <t xml:space="preserve">Avance en la estrategia </t>
  </si>
  <si>
    <t>Se agendo reunión con consultoría del convenio entre competitividad y la inmobiliaria, para socializar resultados del proyecto referente a residuos orgánicos.  
Socialización del avance de la consultoría firmada entre inmobiliaria y competitividad.
Reuniones internas en la dirección de asuntos ambientales para la estructuración del proceso.
Diagnostico para la estructuración del proyecto a partir de información secundaria (CAR).
Se realizo mesa de socialización  el 27de abril de 2021  de la ampliación del relleno sanitario Doña Juana  con la consultoría OPCIN S.A.
Se realizo una reunión el día 13/05/2021  entre la Secretaria de Integración Regional, secretaria de Planeación y EPC con el fin de coordinar mesas interinstitucionales que permitan dar avance en el cumplimiento de las metas, en especial, las que se encuentran dentro del línea estratégica + Integración debido a que la SIR está llevando a cabo los acercamientos con los diferentes actores del proyecto Región Metropolitana Bogotá-Cundinamarca.
Se efectuó reunión con la secretaria de hábitat del distrito el 10 de junio de 2021 con el fin de socializar el proyecto TECNOPARQUE para la prestación eficiente y sostenible de los servicios públicos en el cual se propone construir una planta hibrida para la generación de energía a través de un tratamiento de residuos sólidos.
El día 28 de julio de 2021 se realizó presentación a la secretaria de integración regional de Cundinamarca de los avances que realiza la Dirección de Asuntos Ambientales en referencia al cumplimiento de las metas del PDD
El 15 de julio de 2021 se adelantó reunión para constituir un espacio de trabajo para formular e implementar un modelo regional de gestión de los residuos sólidos para mejorar procesos de separación, reducción aprovechamiento y disposición final de los mismos y así mitigar los impactos ambientales. Asistentes: Cámara de comercio Bogotá, Secretaria Distrital de Planeación, Secretaria de Integración Regional de Cundinamarca, MVCT, Empresas Públicas de Cundinamarca, Secretaria de Ambiente del Departamento y municipios que integran la propuesta de área metropolitana.
Se realizó reunión el 15 de septiembre de 2021 para acercamiento y articulación entre entidades del distrito (Secretaria Distrital de Ambiente de Bogotá, EAAB, Secretaria de Ambiente de Cundinamarca, Secretaria Distrital de Planeación, Secretaria de Integración Regional) para tratar temas relacionados con el medio ambiente.</t>
  </si>
  <si>
    <t>Articulación entre las entidades
Recoger Información</t>
  </si>
  <si>
    <t>Se presenta ante la Ventanilla Única del MVCT la atención a observaciones al proyecto Fase I del Acueducto Regional de Occidente. A la fecha continúa en revisión por parte del MVCT.
Se realizaron mesas de trabajo con la EAAB para identificar necesidades de optimización a los sistemas de acueducto de los municipios beneficiados de los contratos de suministro. A la fecha se tienen identificadas la necesidad de inversiones cercanas a los 111.000 millones de pesos.
Se adelantaron mesas de trabajo con Funza para definición de localización de tanque Centro Oriente, lo cual puede alterar los diseños de la Fase II. Aún el municipio no ha definido ubicación del tanque.
Se adelantó mesa de trabajo con IDU para definición de armonización de Fase IV del proyecto con patio taller de Transmilenio. A la fecha está pendiente respuesta de Transmilenio para armonización de proyectos y continuar con trámite respectivo.
Se continúan desarrollando mesas de trabajo con el MVCT para el proceso de viabilización de la Fase I del proyecto de Ampliación del Subsistema de Sabana de Occidente y Bajo Tequendama que transporta el agua suministrada por la EAAB, de revisión al proyecto.</t>
  </si>
  <si>
    <t>Debido al periodo de vacaciones de varios funcionarios de la Ventanilla Úniva del MVCT, no se ha logrado una respuesta a la atención de observaciones hechas por EPC. Respuesta por parte de terceros para continuar con trámites respectivos de viabilidad
Respuesta por parte de terceros para continuar con trámites respectivos de viabilidad
Nueva revisión por parte de especialistas en el MVCT lo que ha incurrido en reprocesos en la revisión y evaluación por parte del MVCT 
Nueva revisión por parte de especialistas en el MVCT lo que ha incurrido en reprocesos en la revisión y evaluación por parte del MVCT</t>
  </si>
  <si>
    <t>Nuevas conexiones: Al hacer seguimiento a los nuevos usuarios del servicio de acueducto urbano conectados a través de los prestadores, se realiza una encuesta al prestador del municipio de Soacha, la cual arroja el siguiente resultado: 9.619 nuevas personas beneficiadas con el servicio de acueducto.
Se culminó el proyecto Olivos IV, con el 100% de avance el 21/04/2021, donde se conectan 392 usuarios y se benefician a 1.079 nuevas personas con el servicio de acueducto "
Actualmente se han adelantado mesas de trabajo con el Municipio con el fin de realizar el seguimiento a los proyectos priorizados que se tienen para gestionar los recursos necesarios y lograr dar alcance a los mismos."</t>
  </si>
  <si>
    <t xml:space="preserve">No se tiene total conocimiento  del alcance y estado de los proyectos lo cual implica retrocesos en el proceso de viabilización por la entrega de información. </t>
  </si>
  <si>
    <t>"Nuevas conexiones: Al hacer seguimiento a los nuevos usuarios del ser+vicio de alcantarillado urbano conectados a través de los prestadores; se realiza una encuesta al prestador del municipio de Soacha, la cual arroja el siguiente resultado: 9.536 nuevas personas beneficiadas con el servicio de alcantarillado.
Se culminó el proyecto Olivos IV, con el 100% de avance el 21/04/2021 donde se conectan 378 usuarios y se benefician a 1.041 nuevas personas con el servicio de alcantarillado
Prolongación de Interceptor Ciudad de Cali: Se continua con el trámite de la adquisición de los predios por parte del Acueducto de Bogotá, para poder continuar con el proceso de contratación
Actualmente se han adelantado mesas de trabajo con el Municipio con el fin de realizar el seguimiento a los proyectos priorizados que se tienen para gestionar los recursos necesarios y lograr dar alcance a los mismos."</t>
  </si>
  <si>
    <t>saldos en ejecución (SGP Municipio)</t>
  </si>
  <si>
    <t>CONVENIO CON MUNICIPIO DE COTA :Proceso precontractual y firma del convenio 20%, quedando pendiente realizar la seleecion del oferente y posterior entrega de equipos para funcionamiento de la planta horticola  por parte del contratista y la ejecucion del convenio, asi se lograra el avance fisico de la ejecucion del 80%</t>
  </si>
  <si>
    <t xml:space="preserve">COMPRA 9 CAMIONES -COLOMBIA COMPRA EFICIENTE: proceso precontractual y contractual, orden de compra, entrega de camiones, operacion y beneficio a organizaciones agropecuarias para Avance fisico del 23%, (entrega de vehiculos a la Agencia 15 de diciembre de 2021). TARJETAS AGROPECUARIAS: procesos precontractual  y contractual realizado con FONDECUN, pendiente de ejecutar: entrega de tarjetas agropecuarias a asociaciones agropecuarias,  para lograr un avance del 73%, de potencializar  proyectos porductivos mas de organizaciones agropecuarias o munipios del departamento.  </t>
  </si>
  <si>
    <t>meta ejecutada y cumplida por la sec retaria de competitividad</t>
  </si>
  <si>
    <t>FUNDASES</t>
  </si>
  <si>
    <t>se celebro proceso contractual y precontractual con FONDECUN, para lograr un 20% y pendiente de ejecucion: celebracion de contrato derivado de ejecucion de obras con 39 municipios , para 80% de logro  de la meta</t>
  </si>
  <si>
    <t>Construcción  plaza de mercado municipio de Choachí con ejecución del 44%, adecuación centro comercial plaza de mercado en el municipio de Ubaté se encuentra en el 1%, mejoramiento y construcción fase 2 plaza de mercado municipio de Tocaima 1%.</t>
  </si>
  <si>
    <t xml:space="preserve">se firmaron convenios con 16 municipios para dotacion de maquinaria , equipo, insumos herramientas e innovacion con aporte del dpto del 67 % con  1.845.744.800 y 29% municipios. EL PROCESO SE ENCUENTRA EN DESEMBOLSO DE LOS RECURSOS A MUNICIPIOS   </t>
  </si>
  <si>
    <t xml:space="preserve">A la fecha se encuentra con el mismo avance Fisico reportado a 30 de octubre, quedando pendiente: cumplir con los objetivos de lograr promover 16 proveedores mas que abastezcan mercados campesinos y otros encadenamientos comerciales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</si>
</sst>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quot;$&quot;\ #,##0;[Red]\-&quot;$&quot;\ #,##0"/>
    <numFmt numFmtId="165" formatCode="&quot;$&quot;\ #,##0.00;[Red]\-&quot;$&quot;\ #,##0.00"/>
    <numFmt numFmtId="166" formatCode="_-* #,##0_-;\-* #,##0_-;_-* &quot;-&quot;_-;_-@_-"/>
    <numFmt numFmtId="167" formatCode="_-&quot;$&quot;\ * #,##0.00_-;\-&quot;$&quot;\ * #,##0.00_-;_-&quot;$&quot;\ * &quot;-&quot;??_-;_-@_-"/>
    <numFmt numFmtId="168" formatCode="_-* #,##0.00_-;\-* #,##0.00_-;_-* &quot;-&quot;??_-;_-@_-"/>
    <numFmt numFmtId="169" formatCode="&quot;$&quot;#,##0"/>
    <numFmt numFmtId="170" formatCode="#,##0.0000"/>
    <numFmt numFmtId="171" formatCode="#,##0.000"/>
    <numFmt numFmtId="172" formatCode="_-* #,##0.0_-;\-* #,##0.0_-;_-* &quot;-&quot;??_-;_-@_-"/>
    <numFmt numFmtId="173" formatCode="#,##0.00000"/>
    <numFmt numFmtId="174" formatCode="0.0000"/>
    <numFmt numFmtId="175" formatCode="0.000"/>
    <numFmt numFmtId="176" formatCode="0.0%"/>
    <numFmt numFmtId="177" formatCode="#,##0.0000000"/>
    <numFmt numFmtId="178" formatCode="_-&quot;$&quot;\ * #,##0_-;\-&quot;$&quot;\ * #,##0_-;_-&quot;$&quot;\ * &quot;-&quot;??_-;_-@_-"/>
  </numFmts>
  <fonts count="60">
    <font>
      <sz val="11"/>
      <color theme="1"/>
      <name val="Calibri"/>
      <family val="2"/>
      <scheme val="minor"/>
    </font>
    <font>
      <b/>
      <sz val="11"/>
      <color theme="1"/>
      <name val="Calibri"/>
      <family val="2"/>
      <scheme val="minor"/>
    </font>
    <font>
      <b/>
      <sz val="11"/>
      <color rgb="FF000000"/>
      <name val="Calibri"/>
      <family val="2"/>
      <scheme val="minor"/>
    </font>
    <font>
      <b/>
      <sz val="20"/>
      <color rgb="FF000000"/>
      <name val="Calibri"/>
      <family val="2"/>
      <scheme val="minor"/>
    </font>
    <font>
      <b/>
      <sz val="11"/>
      <color rgb="FFFFFFFF"/>
      <name val="Calibri"/>
      <family val="2"/>
      <scheme val="minor"/>
    </font>
    <font>
      <b/>
      <sz val="20"/>
      <color rgb="FFFFFFFF"/>
      <name val="Calibri"/>
      <family val="2"/>
      <scheme val="minor"/>
    </font>
    <font>
      <b/>
      <sz val="15"/>
      <color rgb="FFFFFFFF"/>
      <name val="Calibri"/>
      <family val="2"/>
      <scheme val="minor"/>
    </font>
    <font>
      <b/>
      <sz val="15"/>
      <color rgb="FF000000"/>
      <name val="Calibri"/>
      <family val="2"/>
      <scheme val="minor"/>
    </font>
    <font>
      <b/>
      <sz val="11"/>
      <color rgb="FF0033CC"/>
      <name val="Calibri"/>
      <family val="2"/>
      <scheme val="minor"/>
    </font>
    <font>
      <sz val="11"/>
      <color rgb="FF4C0000"/>
      <name val="Calibri"/>
      <family val="2"/>
      <scheme val="minor"/>
    </font>
    <font>
      <sz val="11"/>
      <color theme="1"/>
      <name val="Calibri"/>
      <family val="2"/>
      <scheme val="minor"/>
    </font>
    <font>
      <u/>
      <sz val="11"/>
      <color theme="10"/>
      <name val="Calibri"/>
      <family val="2"/>
      <scheme val="minor"/>
    </font>
    <font>
      <b/>
      <sz val="11"/>
      <name val="Calibri"/>
      <family val="2"/>
      <scheme val="minor"/>
    </font>
    <font>
      <b/>
      <sz val="11"/>
      <color rgb="FF0070C0"/>
      <name val="Calibri"/>
      <family val="2"/>
      <scheme val="minor"/>
    </font>
    <font>
      <b/>
      <sz val="11"/>
      <color rgb="FF0000FF"/>
      <name val="Calibri"/>
      <family val="2"/>
      <scheme val="minor"/>
    </font>
    <font>
      <b/>
      <sz val="11"/>
      <color theme="5" tint="-0.249977111117893"/>
      <name val="Calibri"/>
      <family val="2"/>
      <scheme val="minor"/>
    </font>
    <font>
      <b/>
      <sz val="11"/>
      <color rgb="FF996633"/>
      <name val="Calibri"/>
      <family val="2"/>
      <scheme val="minor"/>
    </font>
    <font>
      <sz val="8"/>
      <name val="Calibri"/>
      <family val="2"/>
      <scheme val="minor"/>
    </font>
    <font>
      <b/>
      <sz val="11"/>
      <color theme="5" tint="-0.499984740745262"/>
      <name val="Calibri"/>
      <family val="2"/>
      <scheme val="minor"/>
    </font>
    <font>
      <b/>
      <sz val="11"/>
      <color rgb="FF7030A0"/>
      <name val="Calibri"/>
      <family val="2"/>
      <scheme val="minor"/>
    </font>
    <font>
      <sz val="11"/>
      <color rgb="FFC00000"/>
      <name val="Calibri"/>
      <family val="2"/>
      <scheme val="minor"/>
    </font>
    <font>
      <b/>
      <sz val="20"/>
      <color rgb="FFC00000"/>
      <name val="Calibri"/>
      <family val="2"/>
      <scheme val="minor"/>
    </font>
    <font>
      <b/>
      <sz val="15"/>
      <color rgb="FFC00000"/>
      <name val="Calibri"/>
      <family val="2"/>
      <scheme val="minor"/>
    </font>
    <font>
      <b/>
      <sz val="15"/>
      <name val="Calibri"/>
      <family val="2"/>
      <scheme val="minor"/>
    </font>
    <font>
      <sz val="11"/>
      <name val="Calibri"/>
      <family val="2"/>
      <scheme val="minor"/>
    </font>
    <font>
      <b/>
      <sz val="20"/>
      <name val="Calibri"/>
      <family val="2"/>
      <scheme val="minor"/>
    </font>
    <font>
      <sz val="11"/>
      <color theme="1"/>
      <name val="Calibri"/>
      <family val="2"/>
      <charset val="1"/>
    </font>
    <font>
      <sz val="11"/>
      <color rgb="FF000000"/>
      <name val="Calibri"/>
      <family val="2"/>
    </font>
    <font>
      <sz val="11"/>
      <color theme="1"/>
      <name val="Calibri"/>
      <family val="2"/>
    </font>
    <font>
      <sz val="10"/>
      <color rgb="FF222222"/>
      <name val="Helvetica"/>
      <charset val="1"/>
    </font>
    <font>
      <sz val="12"/>
      <color rgb="FF000000"/>
      <name val="Arial Narrow"/>
      <family val="2"/>
    </font>
    <font>
      <sz val="10"/>
      <color rgb="FF000000"/>
      <name val="Arial Narrow"/>
      <family val="2"/>
    </font>
    <font>
      <b/>
      <sz val="12"/>
      <color rgb="FF000000"/>
      <name val="Arial Narrow"/>
      <family val="2"/>
    </font>
    <font>
      <sz val="11"/>
      <color rgb="FF444444"/>
      <name val="Calibri"/>
      <family val="2"/>
    </font>
    <font>
      <sz val="11"/>
      <color rgb="FF000000"/>
      <name val="Calibri"/>
      <family val="2"/>
      <charset val="1"/>
    </font>
    <font>
      <sz val="11"/>
      <color theme="1"/>
      <name val="Arial"/>
      <family val="2"/>
      <charset val="1"/>
    </font>
    <font>
      <sz val="11"/>
      <color rgb="FF000000"/>
      <name val="Arial Narrow"/>
      <family val="2"/>
    </font>
    <font>
      <b/>
      <sz val="11"/>
      <color rgb="FF000000"/>
      <name val="Arial Narrow"/>
      <family val="2"/>
    </font>
    <font>
      <sz val="11"/>
      <color rgb="FF4C0000"/>
      <name val="Calibri"/>
      <family val="2"/>
    </font>
    <font>
      <sz val="10"/>
      <name val="Arial"/>
      <family val="2"/>
    </font>
    <font>
      <sz val="11"/>
      <color rgb="FF444444"/>
      <name val="Calibri"/>
      <family val="2"/>
      <charset val="1"/>
    </font>
    <font>
      <sz val="12"/>
      <color theme="1"/>
      <name val="Calibri"/>
      <family val="2"/>
    </font>
    <font>
      <sz val="11"/>
      <name val="Segoe UI"/>
      <family val="2"/>
    </font>
    <font>
      <sz val="11"/>
      <color rgb="FF212121"/>
      <name val="Calibri"/>
      <family val="2"/>
    </font>
    <font>
      <sz val="8"/>
      <color rgb="FF000000"/>
      <name val="Barlow"/>
    </font>
    <font>
      <sz val="10"/>
      <color rgb="FF000000"/>
      <name val="Calibri"/>
      <family val="2"/>
    </font>
    <font>
      <sz val="11"/>
      <color rgb="FF000000"/>
      <name val="Calibri"/>
      <family val="2"/>
      <scheme val="minor"/>
    </font>
    <font>
      <sz val="11"/>
      <color rgb="FF000000"/>
      <name val="Arial"/>
      <family val="2"/>
    </font>
    <font>
      <sz val="11"/>
      <name val="Calibri"/>
      <family val="2"/>
    </font>
    <font>
      <sz val="8"/>
      <color rgb="FF000000"/>
      <name val="Century Gothic"/>
      <family val="2"/>
    </font>
    <font>
      <sz val="11"/>
      <color theme="1"/>
      <name val="Century Gothic"/>
      <family val="2"/>
    </font>
    <font>
      <sz val="11"/>
      <color rgb="FF00B0F0"/>
      <name val="Calibri"/>
      <family val="2"/>
      <scheme val="minor"/>
    </font>
    <font>
      <sz val="11"/>
      <color rgb="FFFF3399"/>
      <name val="Calibri"/>
      <family val="2"/>
      <scheme val="minor"/>
    </font>
    <font>
      <sz val="11"/>
      <color rgb="FFFF0000"/>
      <name val="Calibri"/>
      <family val="2"/>
      <scheme val="minor"/>
    </font>
    <font>
      <sz val="10"/>
      <color theme="1"/>
      <name val="Calibri"/>
      <family val="2"/>
      <scheme val="minor"/>
    </font>
    <font>
      <sz val="10"/>
      <color rgb="FF000000"/>
      <name val="Arial"/>
      <family val="2"/>
    </font>
    <font>
      <sz val="12"/>
      <color theme="1"/>
      <name val="Arial"/>
      <family val="2"/>
    </font>
    <font>
      <sz val="12"/>
      <color rgb="FFFF0000"/>
      <name val="Arial"/>
      <family val="2"/>
    </font>
    <font>
      <b/>
      <sz val="11"/>
      <color theme="1"/>
      <name val="Calibri"/>
      <family val="2"/>
    </font>
    <font>
      <sz val="11"/>
      <color rgb="FF3B3838"/>
      <name val="Calibri"/>
      <family val="2"/>
    </font>
  </fonts>
  <fills count="46">
    <fill>
      <patternFill patternType="none"/>
    </fill>
    <fill>
      <patternFill patternType="gray125"/>
    </fill>
    <fill>
      <patternFill patternType="solid">
        <fgColor rgb="FFFFF2CC"/>
        <bgColor indexed="64"/>
      </patternFill>
    </fill>
    <fill>
      <patternFill patternType="solid">
        <fgColor rgb="FF305496"/>
        <bgColor indexed="64"/>
      </patternFill>
    </fill>
    <fill>
      <patternFill patternType="solid">
        <fgColor rgb="FF0066FF"/>
        <bgColor indexed="64"/>
      </patternFill>
    </fill>
    <fill>
      <patternFill patternType="solid">
        <fgColor rgb="FF8EA9DB"/>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7"/>
        <bgColor indexed="64"/>
      </patternFill>
    </fill>
    <fill>
      <patternFill patternType="solid">
        <fgColor rgb="FF92D050"/>
        <bgColor indexed="64"/>
      </patternFill>
    </fill>
    <fill>
      <patternFill patternType="solid">
        <fgColor rgb="FFF8CBAD"/>
        <bgColor indexed="64"/>
      </patternFill>
    </fill>
    <fill>
      <patternFill patternType="solid">
        <fgColor rgb="FFFFD966"/>
        <bgColor indexed="64"/>
      </patternFill>
    </fill>
    <fill>
      <patternFill patternType="solid">
        <fgColor rgb="FFCCD000"/>
        <bgColor indexed="64"/>
      </patternFill>
    </fill>
    <fill>
      <patternFill patternType="solid">
        <fgColor rgb="FFFFFFCC"/>
        <bgColor indexed="64"/>
      </patternFill>
    </fill>
    <fill>
      <patternFill patternType="solid">
        <fgColor rgb="FFB4B80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6666FF"/>
        <bgColor indexed="64"/>
      </patternFill>
    </fill>
    <fill>
      <patternFill patternType="solid">
        <fgColor rgb="FF8D88F0"/>
        <bgColor indexed="64"/>
      </patternFill>
    </fill>
    <fill>
      <patternFill patternType="solid">
        <fgColor rgb="FFB3B3FF"/>
        <bgColor indexed="64"/>
      </patternFill>
    </fill>
    <fill>
      <patternFill patternType="solid">
        <fgColor theme="4" tint="0.79998168889431442"/>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FFFF00"/>
        <bgColor indexed="64"/>
      </patternFill>
    </fill>
    <fill>
      <patternFill patternType="solid">
        <fgColor rgb="FFCCFF99"/>
        <bgColor indexed="64"/>
      </patternFill>
    </fill>
    <fill>
      <patternFill patternType="solid">
        <fgColor rgb="FFFFFFFF"/>
        <bgColor indexed="64"/>
      </patternFill>
    </fill>
    <fill>
      <patternFill patternType="solid">
        <fgColor rgb="FFFFF2CC"/>
        <bgColor rgb="FF000000"/>
      </patternFill>
    </fill>
    <fill>
      <patternFill patternType="solid">
        <fgColor rgb="FFFFFF00"/>
        <bgColor rgb="FF000000"/>
      </patternFill>
    </fill>
    <fill>
      <patternFill patternType="solid">
        <fgColor rgb="FFE2EFDA"/>
        <bgColor rgb="FF000000"/>
      </patternFill>
    </fill>
    <fill>
      <patternFill patternType="solid">
        <fgColor rgb="FFFF0000"/>
        <bgColor indexed="64"/>
      </patternFill>
    </fill>
    <fill>
      <patternFill patternType="solid">
        <fgColor rgb="FFFFCC99"/>
        <bgColor indexed="64"/>
      </patternFill>
    </fill>
    <fill>
      <patternFill patternType="solid">
        <fgColor theme="8" tint="0.79998168889431442"/>
        <bgColor indexed="64"/>
      </patternFill>
    </fill>
    <fill>
      <patternFill patternType="solid">
        <fgColor rgb="FF33CCCC"/>
        <bgColor indexed="64"/>
      </patternFill>
    </fill>
    <fill>
      <patternFill patternType="solid">
        <fgColor theme="7" tint="0.59999389629810485"/>
        <bgColor indexed="64"/>
      </patternFill>
    </fill>
    <fill>
      <patternFill patternType="solid">
        <fgColor rgb="FF00FF99"/>
        <bgColor indexed="64"/>
      </patternFill>
    </fill>
    <fill>
      <patternFill patternType="solid">
        <fgColor rgb="FF9966FF"/>
        <bgColor indexed="64"/>
      </patternFill>
    </fill>
    <fill>
      <patternFill patternType="solid">
        <fgColor theme="2" tint="-9.9978637043366805E-2"/>
        <bgColor indexed="64"/>
      </patternFill>
    </fill>
    <fill>
      <patternFill patternType="solid">
        <fgColor rgb="FFFF99FF"/>
        <bgColor indexed="64"/>
      </patternFill>
    </fill>
    <fill>
      <patternFill patternType="solid">
        <fgColor theme="5"/>
        <bgColor indexed="64"/>
      </patternFill>
    </fill>
    <fill>
      <patternFill patternType="solid">
        <fgColor rgb="FF00B0F0"/>
        <bgColor indexed="64"/>
      </patternFill>
    </fill>
    <fill>
      <patternFill patternType="solid">
        <fgColor rgb="FFFFFFFF"/>
        <bgColor rgb="FFFFFFFF"/>
      </patternFill>
    </fill>
    <fill>
      <patternFill patternType="solid">
        <fgColor rgb="FF00B050"/>
        <bgColor indexed="64"/>
      </patternFill>
    </fill>
    <fill>
      <patternFill patternType="solid">
        <fgColor rgb="FFFFFF66"/>
        <bgColor indexed="64"/>
      </patternFill>
    </fill>
    <fill>
      <patternFill patternType="solid">
        <fgColor theme="5" tint="0.59999389629810485"/>
        <bgColor indexed="64"/>
      </patternFill>
    </fill>
    <fill>
      <patternFill patternType="solid">
        <fgColor rgb="FFE2EFDA"/>
        <bgColor indexed="64"/>
      </patternFill>
    </fill>
  </fills>
  <borders count="3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thin">
        <color rgb="FFA6A6A6"/>
      </left>
      <right style="thin">
        <color rgb="FFA6A6A6"/>
      </right>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808080"/>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bottom style="thin">
        <color rgb="FF000000"/>
      </bottom>
      <diagonal/>
    </border>
  </borders>
  <cellStyleXfs count="7">
    <xf numFmtId="0" fontId="0" fillId="0" borderId="0"/>
    <xf numFmtId="168"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0" fontId="11" fillId="0" borderId="0" applyNumberForma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cellStyleXfs>
  <cellXfs count="504">
    <xf numFmtId="0" fontId="0" fillId="0" borderId="0" xfId="0"/>
    <xf numFmtId="14" fontId="1" fillId="2" borderId="14" xfId="0" applyNumberFormat="1" applyFont="1" applyFill="1" applyBorder="1"/>
    <xf numFmtId="4" fontId="2" fillId="5" borderId="14" xfId="0" applyNumberFormat="1" applyFont="1" applyFill="1" applyBorder="1" applyAlignment="1">
      <alignment horizontal="center" vertical="top" wrapText="1"/>
    </xf>
    <xf numFmtId="0" fontId="0" fillId="6" borderId="0" xfId="0" applyFill="1"/>
    <xf numFmtId="0" fontId="0" fillId="0" borderId="0" xfId="0" applyAlignment="1">
      <alignment wrapText="1"/>
    </xf>
    <xf numFmtId="0" fontId="0" fillId="6" borderId="0" xfId="0" applyFill="1" applyAlignment="1">
      <alignment wrapText="1"/>
    </xf>
    <xf numFmtId="49" fontId="0" fillId="0" borderId="21" xfId="0" applyNumberFormat="1" applyBorder="1"/>
    <xf numFmtId="49" fontId="0" fillId="0" borderId="21" xfId="0" applyNumberFormat="1" applyBorder="1" applyAlignment="1">
      <alignment wrapText="1"/>
    </xf>
    <xf numFmtId="3" fontId="0" fillId="0" borderId="21" xfId="0" applyNumberFormat="1" applyBorder="1"/>
    <xf numFmtId="4" fontId="0" fillId="0" borderId="21" xfId="0" applyNumberFormat="1" applyBorder="1"/>
    <xf numFmtId="3" fontId="0" fillId="0" borderId="6" xfId="0" applyNumberFormat="1" applyBorder="1"/>
    <xf numFmtId="4" fontId="0" fillId="0" borderId="6" xfId="0" applyNumberFormat="1" applyBorder="1"/>
    <xf numFmtId="49" fontId="0" fillId="0" borderId="6" xfId="0" applyNumberFormat="1" applyBorder="1" applyAlignment="1">
      <alignment wrapText="1"/>
    </xf>
    <xf numFmtId="49" fontId="9" fillId="0" borderId="6" xfId="0" applyNumberFormat="1" applyFont="1" applyBorder="1"/>
    <xf numFmtId="3" fontId="9" fillId="0" borderId="6" xfId="0" applyNumberFormat="1" applyFont="1" applyBorder="1"/>
    <xf numFmtId="4" fontId="9" fillId="0" borderId="6" xfId="0" applyNumberFormat="1" applyFont="1" applyBorder="1"/>
    <xf numFmtId="0" fontId="9" fillId="0" borderId="0" xfId="0" applyFont="1"/>
    <xf numFmtId="0" fontId="11" fillId="0" borderId="0" xfId="4"/>
    <xf numFmtId="4" fontId="12" fillId="5" borderId="14" xfId="0" applyNumberFormat="1" applyFont="1" applyFill="1" applyBorder="1" applyAlignment="1">
      <alignment horizontal="center" vertical="top" wrapText="1"/>
    </xf>
    <xf numFmtId="4" fontId="8" fillId="8" borderId="14" xfId="0" applyNumberFormat="1" applyFont="1" applyFill="1" applyBorder="1" applyAlignment="1">
      <alignment horizontal="center" vertical="top" wrapText="1"/>
    </xf>
    <xf numFmtId="4" fontId="14" fillId="5" borderId="14" xfId="0" applyNumberFormat="1" applyFont="1" applyFill="1" applyBorder="1" applyAlignment="1">
      <alignment horizontal="center" vertical="top" wrapText="1"/>
    </xf>
    <xf numFmtId="49" fontId="2" fillId="9" borderId="14" xfId="0" applyNumberFormat="1" applyFont="1" applyFill="1" applyBorder="1" applyAlignment="1">
      <alignment horizontal="center" vertical="top" wrapText="1"/>
    </xf>
    <xf numFmtId="3" fontId="2" fillId="9" borderId="14" xfId="0" applyNumberFormat="1" applyFont="1" applyFill="1" applyBorder="1" applyAlignment="1">
      <alignment horizontal="center" vertical="top" wrapText="1"/>
    </xf>
    <xf numFmtId="4" fontId="15" fillId="7" borderId="14" xfId="0" applyNumberFormat="1" applyFont="1" applyFill="1" applyBorder="1" applyAlignment="1">
      <alignment horizontal="center" vertical="top" wrapText="1"/>
    </xf>
    <xf numFmtId="169" fontId="2" fillId="13" borderId="24" xfId="0" applyNumberFormat="1" applyFont="1" applyFill="1" applyBorder="1" applyAlignment="1">
      <alignment horizontal="center" vertical="center" wrapText="1"/>
    </xf>
    <xf numFmtId="169" fontId="2" fillId="13" borderId="14" xfId="0" applyNumberFormat="1" applyFont="1" applyFill="1" applyBorder="1" applyAlignment="1">
      <alignment horizontal="center" vertical="center" wrapText="1"/>
    </xf>
    <xf numFmtId="169" fontId="2" fillId="15" borderId="14" xfId="0" applyNumberFormat="1" applyFont="1" applyFill="1" applyBorder="1" applyAlignment="1">
      <alignment horizontal="center" vertical="center" wrapText="1"/>
    </xf>
    <xf numFmtId="10" fontId="2" fillId="11" borderId="14" xfId="0" applyNumberFormat="1" applyFont="1" applyFill="1" applyBorder="1" applyAlignment="1">
      <alignment horizontal="center" vertical="top" wrapText="1"/>
    </xf>
    <xf numFmtId="170" fontId="16" fillId="12" borderId="14" xfId="0" applyNumberFormat="1" applyFont="1" applyFill="1" applyBorder="1" applyAlignment="1">
      <alignment horizontal="center" vertical="top" wrapText="1"/>
    </xf>
    <xf numFmtId="170" fontId="16" fillId="14" borderId="14" xfId="0" applyNumberFormat="1" applyFont="1" applyFill="1" applyBorder="1" applyAlignment="1">
      <alignment horizontal="center" vertical="top" wrapText="1"/>
    </xf>
    <xf numFmtId="0" fontId="18" fillId="7" borderId="0" xfId="0" applyFont="1" applyFill="1"/>
    <xf numFmtId="0" fontId="1" fillId="7" borderId="0" xfId="0" applyFont="1" applyFill="1" applyAlignment="1">
      <alignment horizontal="center"/>
    </xf>
    <xf numFmtId="9" fontId="0" fillId="0" borderId="0" xfId="3" applyFont="1"/>
    <xf numFmtId="9" fontId="0" fillId="16" borderId="0" xfId="3" applyFont="1" applyFill="1"/>
    <xf numFmtId="168" fontId="0" fillId="0" borderId="0" xfId="1" applyFont="1"/>
    <xf numFmtId="168" fontId="0" fillId="16" borderId="0" xfId="1" applyFont="1" applyFill="1"/>
    <xf numFmtId="0" fontId="6" fillId="19" borderId="14" xfId="0" applyFont="1" applyFill="1" applyBorder="1" applyAlignment="1">
      <alignment horizontal="center" vertical="center"/>
    </xf>
    <xf numFmtId="10" fontId="4" fillId="19" borderId="14" xfId="0" applyNumberFormat="1" applyFont="1" applyFill="1" applyBorder="1" applyAlignment="1">
      <alignment horizontal="center" vertical="top" wrapText="1"/>
    </xf>
    <xf numFmtId="10" fontId="2" fillId="20" borderId="14" xfId="0" applyNumberFormat="1" applyFont="1" applyFill="1" applyBorder="1" applyAlignment="1">
      <alignment horizontal="center" vertical="top" wrapText="1"/>
    </xf>
    <xf numFmtId="10" fontId="19" fillId="20" borderId="14" xfId="0" applyNumberFormat="1" applyFont="1" applyFill="1" applyBorder="1" applyAlignment="1">
      <alignment horizontal="center" vertical="top" wrapText="1"/>
    </xf>
    <xf numFmtId="170" fontId="2" fillId="12" borderId="14" xfId="0" applyNumberFormat="1" applyFont="1" applyFill="1" applyBorder="1" applyAlignment="1">
      <alignment horizontal="center" vertical="top" wrapText="1"/>
    </xf>
    <xf numFmtId="170" fontId="2" fillId="14" borderId="14" xfId="0" applyNumberFormat="1" applyFont="1" applyFill="1" applyBorder="1" applyAlignment="1">
      <alignment horizontal="center" vertical="top" wrapText="1"/>
    </xf>
    <xf numFmtId="10" fontId="0" fillId="0" borderId="21" xfId="0" applyNumberFormat="1" applyBorder="1"/>
    <xf numFmtId="170" fontId="0" fillId="0" borderId="21" xfId="0" applyNumberFormat="1" applyBorder="1"/>
    <xf numFmtId="10" fontId="0" fillId="0" borderId="6" xfId="0" applyNumberFormat="1" applyBorder="1"/>
    <xf numFmtId="170" fontId="0" fillId="0" borderId="6" xfId="0" applyNumberFormat="1" applyBorder="1"/>
    <xf numFmtId="0" fontId="20" fillId="0" borderId="0" xfId="0" applyFont="1"/>
    <xf numFmtId="0" fontId="20" fillId="6" borderId="0" xfId="0" applyFont="1" applyFill="1"/>
    <xf numFmtId="0" fontId="24" fillId="0" borderId="0" xfId="0" applyFont="1"/>
    <xf numFmtId="170" fontId="12" fillId="14" borderId="14" xfId="0" applyNumberFormat="1" applyFont="1" applyFill="1" applyBorder="1" applyAlignment="1">
      <alignment horizontal="center" vertical="top" wrapText="1"/>
    </xf>
    <xf numFmtId="0" fontId="24" fillId="6" borderId="0" xfId="0" applyFont="1" applyFill="1"/>
    <xf numFmtId="166" fontId="0" fillId="0" borderId="6" xfId="2" applyFont="1" applyBorder="1" applyAlignment="1">
      <alignment vertical="top"/>
    </xf>
    <xf numFmtId="0" fontId="0" fillId="0" borderId="6" xfId="0" applyBorder="1" applyAlignment="1">
      <alignment vertical="top"/>
    </xf>
    <xf numFmtId="169" fontId="2" fillId="15" borderId="24" xfId="0" applyNumberFormat="1" applyFont="1" applyFill="1" applyBorder="1" applyAlignment="1">
      <alignment horizontal="center" vertical="center" wrapText="1"/>
    </xf>
    <xf numFmtId="169" fontId="0" fillId="0" borderId="6" xfId="0" applyNumberFormat="1" applyBorder="1"/>
    <xf numFmtId="0" fontId="0" fillId="6" borderId="0" xfId="0" applyFill="1" applyProtection="1">
      <protection locked="0"/>
    </xf>
    <xf numFmtId="0" fontId="0" fillId="0" borderId="0" xfId="0" applyProtection="1">
      <protection locked="0"/>
    </xf>
    <xf numFmtId="0" fontId="1" fillId="7" borderId="0" xfId="0" applyFont="1" applyFill="1" applyAlignment="1" applyProtection="1">
      <alignment horizontal="center"/>
      <protection locked="0"/>
    </xf>
    <xf numFmtId="0" fontId="18" fillId="7" borderId="0" xfId="0" applyFont="1" applyFill="1" applyProtection="1">
      <protection locked="0"/>
    </xf>
    <xf numFmtId="168" fontId="0" fillId="0" borderId="0" xfId="1" applyFont="1" applyProtection="1">
      <protection locked="0"/>
    </xf>
    <xf numFmtId="4" fontId="9" fillId="0" borderId="6" xfId="0" applyNumberFormat="1" applyFont="1" applyBorder="1" applyProtection="1">
      <protection locked="0"/>
    </xf>
    <xf numFmtId="4" fontId="0" fillId="0" borderId="21" xfId="0" applyNumberFormat="1" applyBorder="1" applyProtection="1">
      <protection locked="0"/>
    </xf>
    <xf numFmtId="0" fontId="1" fillId="21" borderId="0" xfId="0" applyFont="1" applyFill="1"/>
    <xf numFmtId="4" fontId="0" fillId="0" borderId="0" xfId="0" applyNumberFormat="1"/>
    <xf numFmtId="4" fontId="9" fillId="0" borderId="6" xfId="0" applyNumberFormat="1" applyFont="1" applyBorder="1" applyAlignment="1" applyProtection="1">
      <alignment wrapText="1"/>
      <protection locked="0"/>
    </xf>
    <xf numFmtId="4" fontId="0" fillId="0" borderId="6" xfId="0" applyNumberFormat="1" applyBorder="1" applyAlignment="1" applyProtection="1">
      <alignment wrapText="1"/>
      <protection locked="0"/>
    </xf>
    <xf numFmtId="4" fontId="0" fillId="0" borderId="6" xfId="0" applyNumberFormat="1" applyBorder="1" applyAlignment="1" applyProtection="1">
      <alignment vertical="top" wrapText="1"/>
      <protection locked="0"/>
    </xf>
    <xf numFmtId="0" fontId="26" fillId="0" borderId="0" xfId="0" applyFont="1" applyAlignment="1" applyProtection="1">
      <alignment vertical="top" wrapText="1"/>
      <protection locked="0"/>
    </xf>
    <xf numFmtId="49" fontId="0" fillId="0" borderId="6" xfId="0" applyNumberFormat="1" applyBorder="1" applyAlignment="1">
      <alignment vertical="top" wrapText="1"/>
    </xf>
    <xf numFmtId="4" fontId="9" fillId="0" borderId="6" xfId="0" applyNumberFormat="1" applyFont="1" applyBorder="1" applyAlignment="1" applyProtection="1">
      <alignment vertical="top" wrapText="1"/>
      <protection locked="0"/>
    </xf>
    <xf numFmtId="0" fontId="27" fillId="0" borderId="6" xfId="0" applyFont="1" applyBorder="1" applyAlignment="1" applyProtection="1">
      <alignment wrapText="1"/>
      <protection locked="0"/>
    </xf>
    <xf numFmtId="0" fontId="27" fillId="22" borderId="6" xfId="0" applyFont="1" applyFill="1" applyBorder="1" applyAlignment="1" applyProtection="1">
      <alignment wrapText="1"/>
      <protection locked="0"/>
    </xf>
    <xf numFmtId="4" fontId="0" fillId="0" borderId="6" xfId="0" applyNumberFormat="1" applyBorder="1" applyAlignment="1" applyProtection="1">
      <alignment vertical="top"/>
      <protection locked="0"/>
    </xf>
    <xf numFmtId="0" fontId="28" fillId="0" borderId="0" xfId="0" applyFont="1" applyAlignment="1" applyProtection="1">
      <alignment wrapText="1"/>
      <protection locked="0"/>
    </xf>
    <xf numFmtId="0" fontId="29" fillId="0" borderId="0" xfId="0" applyFont="1" applyAlignment="1" applyProtection="1">
      <alignment wrapText="1"/>
      <protection locked="0"/>
    </xf>
    <xf numFmtId="0" fontId="27" fillId="0" borderId="10" xfId="0" applyFont="1" applyBorder="1" applyAlignment="1" applyProtection="1">
      <alignment wrapText="1"/>
      <protection locked="0"/>
    </xf>
    <xf numFmtId="0" fontId="27" fillId="0" borderId="21" xfId="0" applyFont="1" applyBorder="1" applyAlignment="1" applyProtection="1">
      <alignment wrapText="1"/>
      <protection locked="0"/>
    </xf>
    <xf numFmtId="0" fontId="27" fillId="0" borderId="8" xfId="0" applyFont="1" applyBorder="1" applyAlignment="1" applyProtection="1">
      <alignment wrapText="1"/>
      <protection locked="0"/>
    </xf>
    <xf numFmtId="0" fontId="27" fillId="0" borderId="0" xfId="0" applyFont="1" applyAlignment="1" applyProtection="1">
      <alignment wrapText="1"/>
      <protection locked="0"/>
    </xf>
    <xf numFmtId="0" fontId="27" fillId="0" borderId="21" xfId="0" applyFont="1" applyBorder="1" applyAlignment="1">
      <alignment wrapText="1"/>
    </xf>
    <xf numFmtId="0" fontId="27" fillId="0" borderId="8" xfId="0" applyFont="1" applyBorder="1" applyAlignment="1">
      <alignment wrapText="1"/>
    </xf>
    <xf numFmtId="0" fontId="0" fillId="0" borderId="0" xfId="0" applyAlignment="1">
      <alignment horizontal="right"/>
    </xf>
    <xf numFmtId="4" fontId="8" fillId="8" borderId="14" xfId="0" applyNumberFormat="1" applyFont="1" applyFill="1" applyBorder="1" applyAlignment="1">
      <alignment horizontal="right" vertical="top" wrapText="1"/>
    </xf>
    <xf numFmtId="0" fontId="0" fillId="6" borderId="0" xfId="0" applyFill="1" applyAlignment="1">
      <alignment horizontal="right"/>
    </xf>
    <xf numFmtId="0" fontId="27" fillId="0" borderId="6" xfId="0" applyFont="1" applyBorder="1" applyAlignment="1">
      <alignment wrapText="1"/>
    </xf>
    <xf numFmtId="0" fontId="27" fillId="0" borderId="10" xfId="0" applyFont="1" applyBorder="1" applyAlignment="1">
      <alignment wrapText="1"/>
    </xf>
    <xf numFmtId="0" fontId="27" fillId="0" borderId="0" xfId="0" applyFont="1" applyAlignment="1">
      <alignment wrapText="1"/>
    </xf>
    <xf numFmtId="0" fontId="27" fillId="0" borderId="25" xfId="0" applyFont="1" applyBorder="1" applyAlignment="1" applyProtection="1">
      <alignment wrapText="1"/>
      <protection locked="0"/>
    </xf>
    <xf numFmtId="4" fontId="0" fillId="0" borderId="6" xfId="0" applyNumberFormat="1" applyBorder="1" applyAlignment="1" applyProtection="1">
      <alignment horizontal="left" vertical="top" wrapText="1"/>
      <protection locked="0"/>
    </xf>
    <xf numFmtId="168" fontId="0" fillId="0" borderId="0" xfId="1" applyFont="1" applyFill="1"/>
    <xf numFmtId="168" fontId="9" fillId="0" borderId="0" xfId="1" applyFont="1" applyFill="1"/>
    <xf numFmtId="168" fontId="2" fillId="13" borderId="24" xfId="1" applyFont="1" applyFill="1" applyBorder="1" applyAlignment="1">
      <alignment horizontal="center" vertical="center" wrapText="1"/>
    </xf>
    <xf numFmtId="168" fontId="0" fillId="6" borderId="0" xfId="1" applyFont="1" applyFill="1"/>
    <xf numFmtId="168" fontId="2" fillId="13" borderId="14" xfId="1" applyFont="1" applyFill="1" applyBorder="1" applyAlignment="1">
      <alignment horizontal="center" vertical="center" wrapText="1"/>
    </xf>
    <xf numFmtId="9" fontId="0" fillId="0" borderId="21" xfId="0" applyNumberFormat="1" applyBorder="1" applyAlignment="1">
      <alignment horizontal="left"/>
    </xf>
    <xf numFmtId="168" fontId="0" fillId="23" borderId="0" xfId="1" applyFont="1" applyFill="1"/>
    <xf numFmtId="49" fontId="0" fillId="24" borderId="6" xfId="0" applyNumberFormat="1" applyFill="1" applyBorder="1"/>
    <xf numFmtId="172" fontId="0" fillId="24" borderId="6" xfId="1" applyNumberFormat="1" applyFont="1" applyFill="1" applyBorder="1"/>
    <xf numFmtId="172" fontId="0" fillId="24" borderId="21" xfId="1" applyNumberFormat="1" applyFont="1" applyFill="1" applyBorder="1"/>
    <xf numFmtId="4" fontId="0" fillId="24" borderId="6" xfId="0" applyNumberFormat="1" applyFill="1" applyBorder="1"/>
    <xf numFmtId="4" fontId="0" fillId="24" borderId="21" xfId="0" applyNumberFormat="1" applyFill="1" applyBorder="1"/>
    <xf numFmtId="10" fontId="0" fillId="24" borderId="21" xfId="0" applyNumberFormat="1" applyFill="1" applyBorder="1"/>
    <xf numFmtId="10" fontId="0" fillId="24" borderId="6" xfId="0" applyNumberFormat="1" applyFill="1" applyBorder="1"/>
    <xf numFmtId="170" fontId="0" fillId="24" borderId="6" xfId="0" applyNumberFormat="1" applyFill="1" applyBorder="1"/>
    <xf numFmtId="170" fontId="0" fillId="24" borderId="21" xfId="0" applyNumberFormat="1" applyFill="1" applyBorder="1"/>
    <xf numFmtId="0" fontId="0" fillId="24" borderId="0" xfId="0" applyFill="1"/>
    <xf numFmtId="173" fontId="0" fillId="24" borderId="21" xfId="0" applyNumberFormat="1" applyFill="1" applyBorder="1"/>
    <xf numFmtId="4" fontId="0" fillId="24" borderId="6" xfId="0" applyNumberFormat="1" applyFill="1" applyBorder="1" applyProtection="1">
      <protection locked="0"/>
    </xf>
    <xf numFmtId="0" fontId="27" fillId="24" borderId="8" xfId="0" applyFont="1" applyFill="1" applyBorder="1" applyAlignment="1" applyProtection="1">
      <alignment wrapText="1"/>
      <protection locked="0"/>
    </xf>
    <xf numFmtId="168" fontId="0" fillId="24" borderId="6" xfId="1" applyFont="1" applyFill="1" applyBorder="1"/>
    <xf numFmtId="4" fontId="27" fillId="0" borderId="21" xfId="0" applyNumberFormat="1" applyFont="1" applyBorder="1" applyAlignment="1" applyProtection="1">
      <alignment wrapText="1"/>
      <protection locked="0"/>
    </xf>
    <xf numFmtId="0" fontId="29" fillId="0" borderId="0" xfId="0" applyFont="1" applyAlignment="1" applyProtection="1">
      <alignment vertical="top" wrapText="1"/>
      <protection locked="0"/>
    </xf>
    <xf numFmtId="0" fontId="28" fillId="0" borderId="0" xfId="0" applyFont="1" applyAlignment="1" applyProtection="1">
      <alignment vertical="top" wrapText="1"/>
      <protection locked="0"/>
    </xf>
    <xf numFmtId="170" fontId="0" fillId="6" borderId="0" xfId="0" applyNumberFormat="1" applyFill="1"/>
    <xf numFmtId="10" fontId="0" fillId="0" borderId="0" xfId="3" applyNumberFormat="1" applyFont="1" applyFill="1" applyBorder="1"/>
    <xf numFmtId="0" fontId="33" fillId="0" borderId="0" xfId="0" applyFont="1" applyAlignment="1" applyProtection="1">
      <alignment wrapText="1"/>
      <protection locked="0"/>
    </xf>
    <xf numFmtId="170" fontId="0" fillId="0" borderId="0" xfId="0" applyNumberFormat="1"/>
    <xf numFmtId="4" fontId="15" fillId="25" borderId="14" xfId="0" applyNumberFormat="1" applyFont="1" applyFill="1" applyBorder="1" applyAlignment="1">
      <alignment horizontal="center" vertical="top" wrapText="1"/>
    </xf>
    <xf numFmtId="167" fontId="0" fillId="0" borderId="6" xfId="5" applyFont="1" applyBorder="1" applyProtection="1">
      <protection locked="0"/>
    </xf>
    <xf numFmtId="167" fontId="0" fillId="0" borderId="0" xfId="5" applyFont="1"/>
    <xf numFmtId="167" fontId="7" fillId="5" borderId="22" xfId="5" applyFont="1" applyFill="1" applyBorder="1" applyAlignment="1">
      <alignment horizontal="center" vertical="center"/>
    </xf>
    <xf numFmtId="167" fontId="0" fillId="6" borderId="0" xfId="5" applyFont="1" applyFill="1" applyProtection="1">
      <protection locked="0"/>
    </xf>
    <xf numFmtId="167" fontId="27" fillId="0" borderId="10" xfId="5" applyFont="1" applyBorder="1" applyAlignment="1" applyProtection="1">
      <alignment wrapText="1"/>
      <protection locked="0"/>
    </xf>
    <xf numFmtId="167" fontId="27" fillId="0" borderId="8" xfId="5" applyFont="1" applyBorder="1" applyAlignment="1" applyProtection="1">
      <alignment wrapText="1"/>
      <protection locked="0"/>
    </xf>
    <xf numFmtId="167" fontId="0" fillId="6" borderId="0" xfId="5" applyFont="1" applyFill="1"/>
    <xf numFmtId="167" fontId="0" fillId="0" borderId="21" xfId="5" applyFont="1" applyBorder="1" applyProtection="1">
      <protection locked="0"/>
    </xf>
    <xf numFmtId="167" fontId="0" fillId="0" borderId="0" xfId="5" applyFont="1" applyProtection="1">
      <protection locked="0"/>
    </xf>
    <xf numFmtId="167" fontId="27" fillId="0" borderId="0" xfId="5" applyFont="1" applyBorder="1" applyAlignment="1" applyProtection="1">
      <alignment wrapText="1"/>
      <protection locked="0"/>
    </xf>
    <xf numFmtId="167" fontId="0" fillId="0" borderId="6" xfId="5" applyFont="1" applyBorder="1" applyAlignment="1" applyProtection="1">
      <alignment vertical="top" wrapText="1"/>
      <protection locked="0"/>
    </xf>
    <xf numFmtId="167" fontId="9" fillId="0" borderId="6" xfId="5" applyFont="1" applyBorder="1" applyProtection="1">
      <protection locked="0"/>
    </xf>
    <xf numFmtId="167" fontId="0" fillId="0" borderId="6" xfId="5" applyFont="1" applyBorder="1" applyAlignment="1" applyProtection="1">
      <alignment wrapText="1"/>
      <protection locked="0"/>
    </xf>
    <xf numFmtId="167" fontId="0" fillId="0" borderId="6" xfId="5" applyFont="1" applyBorder="1" applyAlignment="1" applyProtection="1">
      <alignment vertical="top"/>
      <protection locked="0"/>
    </xf>
    <xf numFmtId="167" fontId="28" fillId="0" borderId="0" xfId="5" applyFont="1" applyAlignment="1" applyProtection="1">
      <alignment vertical="top" wrapText="1"/>
      <protection locked="0"/>
    </xf>
    <xf numFmtId="167" fontId="29" fillId="0" borderId="0" xfId="5" applyFont="1" applyAlignment="1" applyProtection="1">
      <alignment vertical="top" wrapText="1"/>
      <protection locked="0"/>
    </xf>
    <xf numFmtId="167" fontId="0" fillId="24" borderId="6" xfId="5" applyFont="1" applyFill="1" applyBorder="1" applyProtection="1">
      <protection locked="0"/>
    </xf>
    <xf numFmtId="0" fontId="0" fillId="0" borderId="0" xfId="0" applyAlignment="1" applyProtection="1">
      <alignment wrapText="1"/>
      <protection locked="0"/>
    </xf>
    <xf numFmtId="0" fontId="34" fillId="26" borderId="0" xfId="0" applyFont="1" applyFill="1" applyAlignment="1" applyProtection="1">
      <alignment wrapText="1"/>
      <protection locked="0"/>
    </xf>
    <xf numFmtId="0" fontId="35" fillId="0" borderId="0" xfId="0" applyFont="1" applyAlignment="1" applyProtection="1">
      <alignment wrapText="1"/>
      <protection locked="0"/>
    </xf>
    <xf numFmtId="0" fontId="31" fillId="22" borderId="8" xfId="0" applyFont="1" applyFill="1" applyBorder="1" applyAlignment="1" applyProtection="1">
      <alignment wrapText="1"/>
      <protection locked="0"/>
    </xf>
    <xf numFmtId="3" fontId="0" fillId="0" borderId="21" xfId="0" applyNumberFormat="1" applyBorder="1" applyProtection="1">
      <protection locked="0"/>
    </xf>
    <xf numFmtId="0" fontId="30" fillId="0" borderId="26" xfId="0" applyFont="1" applyBorder="1" applyAlignment="1" applyProtection="1">
      <alignment wrapText="1"/>
      <protection locked="0"/>
    </xf>
    <xf numFmtId="0" fontId="32" fillId="0" borderId="7" xfId="0" applyFont="1" applyBorder="1" applyAlignment="1" applyProtection="1">
      <alignment wrapText="1"/>
      <protection locked="0"/>
    </xf>
    <xf numFmtId="0" fontId="30" fillId="0" borderId="10" xfId="0" applyFont="1" applyBorder="1" applyAlignment="1" applyProtection="1">
      <alignment wrapText="1"/>
      <protection locked="0"/>
    </xf>
    <xf numFmtId="0" fontId="30" fillId="0" borderId="8" xfId="0" applyFont="1" applyBorder="1" applyAlignment="1" applyProtection="1">
      <alignment wrapText="1"/>
      <protection locked="0"/>
    </xf>
    <xf numFmtId="171" fontId="0" fillId="0" borderId="21" xfId="0" applyNumberFormat="1" applyBorder="1" applyProtection="1">
      <protection locked="0"/>
    </xf>
    <xf numFmtId="0" fontId="36" fillId="0" borderId="10" xfId="0" applyFont="1" applyBorder="1" applyAlignment="1" applyProtection="1">
      <alignment wrapText="1"/>
      <protection locked="0"/>
    </xf>
    <xf numFmtId="0" fontId="36" fillId="0" borderId="8" xfId="0" applyFont="1" applyBorder="1" applyAlignment="1" applyProtection="1">
      <alignment wrapText="1"/>
      <protection locked="0"/>
    </xf>
    <xf numFmtId="0" fontId="36" fillId="22" borderId="8" xfId="0" applyFont="1" applyFill="1" applyBorder="1" applyAlignment="1" applyProtection="1">
      <alignment wrapText="1"/>
      <protection locked="0"/>
    </xf>
    <xf numFmtId="4" fontId="27" fillId="0" borderId="6" xfId="0" applyNumberFormat="1" applyFont="1" applyBorder="1" applyAlignment="1" applyProtection="1">
      <alignment wrapText="1"/>
      <protection locked="0"/>
    </xf>
    <xf numFmtId="4" fontId="27" fillId="0" borderId="6" xfId="0" applyNumberFormat="1" applyFont="1" applyBorder="1" applyProtection="1">
      <protection locked="0"/>
    </xf>
    <xf numFmtId="4" fontId="27" fillId="0" borderId="6" xfId="0" applyNumberFormat="1" applyFont="1" applyBorder="1" applyAlignment="1" applyProtection="1">
      <alignment vertical="top"/>
      <protection locked="0"/>
    </xf>
    <xf numFmtId="4" fontId="27" fillId="0" borderId="6" xfId="0" applyNumberFormat="1" applyFont="1" applyBorder="1" applyAlignment="1" applyProtection="1">
      <alignment vertical="top" wrapText="1"/>
      <protection locked="0"/>
    </xf>
    <xf numFmtId="167" fontId="27" fillId="0" borderId="6" xfId="5" applyFont="1" applyBorder="1" applyProtection="1">
      <protection locked="0"/>
    </xf>
    <xf numFmtId="168" fontId="0" fillId="0" borderId="0" xfId="0" applyNumberFormat="1"/>
    <xf numFmtId="0" fontId="40" fillId="0" borderId="0" xfId="0" applyFont="1" applyAlignment="1" applyProtection="1">
      <alignment wrapText="1"/>
      <protection locked="0"/>
    </xf>
    <xf numFmtId="4" fontId="0" fillId="24" borderId="6" xfId="0" applyNumberFormat="1" applyFill="1" applyBorder="1" applyAlignment="1" applyProtection="1">
      <alignment wrapText="1"/>
      <protection locked="0"/>
    </xf>
    <xf numFmtId="0" fontId="41" fillId="0" borderId="0" xfId="0" applyFont="1" applyProtection="1">
      <protection locked="0"/>
    </xf>
    <xf numFmtId="0" fontId="27" fillId="0" borderId="6" xfId="0" applyFont="1" applyBorder="1" applyProtection="1">
      <protection locked="0"/>
    </xf>
    <xf numFmtId="0" fontId="27" fillId="0" borderId="21" xfId="0" applyFont="1" applyBorder="1" applyProtection="1">
      <protection locked="0"/>
    </xf>
    <xf numFmtId="0" fontId="27" fillId="0" borderId="0" xfId="0" applyFont="1" applyProtection="1">
      <protection locked="0"/>
    </xf>
    <xf numFmtId="0" fontId="34" fillId="0" borderId="0" xfId="0" applyFont="1" applyProtection="1">
      <protection locked="0"/>
    </xf>
    <xf numFmtId="164" fontId="0" fillId="0" borderId="6" xfId="5" applyNumberFormat="1" applyFont="1" applyBorder="1" applyAlignment="1" applyProtection="1">
      <alignment vertical="top" wrapText="1"/>
      <protection locked="0"/>
    </xf>
    <xf numFmtId="0" fontId="27" fillId="29" borderId="30" xfId="0" applyFont="1" applyFill="1" applyBorder="1" applyAlignment="1" applyProtection="1">
      <alignment wrapText="1"/>
      <protection locked="0"/>
    </xf>
    <xf numFmtId="0" fontId="27" fillId="29" borderId="6" xfId="0" applyFont="1" applyFill="1" applyBorder="1" applyAlignment="1" applyProtection="1">
      <alignment wrapText="1"/>
      <protection locked="0"/>
    </xf>
    <xf numFmtId="0" fontId="27" fillId="29" borderId="10" xfId="0" applyFont="1" applyFill="1" applyBorder="1" applyAlignment="1" applyProtection="1">
      <alignment wrapText="1"/>
      <protection locked="0"/>
    </xf>
    <xf numFmtId="0" fontId="27" fillId="0" borderId="10" xfId="0" applyFont="1" applyBorder="1" applyProtection="1">
      <protection locked="0"/>
    </xf>
    <xf numFmtId="0" fontId="27" fillId="0" borderId="8" xfId="0" applyFont="1" applyBorder="1" applyProtection="1">
      <protection locked="0"/>
    </xf>
    <xf numFmtId="0" fontId="27" fillId="27" borderId="8" xfId="0" applyFont="1" applyFill="1" applyBorder="1" applyAlignment="1" applyProtection="1">
      <alignment wrapText="1"/>
      <protection locked="0"/>
    </xf>
    <xf numFmtId="0" fontId="37" fillId="0" borderId="8" xfId="0" applyFont="1" applyBorder="1" applyAlignment="1" applyProtection="1">
      <alignment wrapText="1"/>
      <protection locked="0"/>
    </xf>
    <xf numFmtId="4" fontId="9" fillId="0" borderId="6" xfId="0" applyNumberFormat="1" applyFont="1" applyBorder="1" applyAlignment="1" applyProtection="1">
      <alignment vertical="top"/>
      <protection locked="0"/>
    </xf>
    <xf numFmtId="4" fontId="38" fillId="0" borderId="6" xfId="0" applyNumberFormat="1" applyFont="1" applyBorder="1" applyAlignment="1" applyProtection="1">
      <alignment vertical="top" wrapText="1"/>
      <protection locked="0"/>
    </xf>
    <xf numFmtId="169" fontId="0" fillId="0" borderId="6" xfId="0" applyNumberFormat="1" applyBorder="1" applyProtection="1">
      <protection locked="0"/>
    </xf>
    <xf numFmtId="4" fontId="0" fillId="0" borderId="31" xfId="0" applyNumberFormat="1" applyBorder="1"/>
    <xf numFmtId="4" fontId="0" fillId="0" borderId="32" xfId="0" applyNumberFormat="1" applyBorder="1"/>
    <xf numFmtId="4" fontId="0" fillId="0" borderId="31" xfId="0" applyNumberFormat="1" applyBorder="1" applyProtection="1">
      <protection locked="0"/>
    </xf>
    <xf numFmtId="167" fontId="0" fillId="0" borderId="31" xfId="5" applyFont="1" applyBorder="1" applyProtection="1">
      <protection locked="0"/>
    </xf>
    <xf numFmtId="0" fontId="0" fillId="0" borderId="6" xfId="0" applyBorder="1" applyProtection="1">
      <protection locked="0"/>
    </xf>
    <xf numFmtId="0" fontId="39" fillId="0" borderId="27" xfId="0" applyFont="1" applyBorder="1" applyAlignment="1" applyProtection="1">
      <alignment vertical="top" wrapText="1"/>
      <protection locked="0"/>
    </xf>
    <xf numFmtId="0" fontId="39" fillId="0" borderId="28" xfId="0" applyFont="1" applyBorder="1" applyAlignment="1" applyProtection="1">
      <alignment vertical="top" wrapText="1"/>
      <protection locked="0"/>
    </xf>
    <xf numFmtId="0" fontId="39" fillId="0" borderId="29" xfId="0" applyFont="1" applyBorder="1" applyAlignment="1" applyProtection="1">
      <alignment vertical="top" wrapText="1"/>
      <protection locked="0"/>
    </xf>
    <xf numFmtId="49" fontId="2" fillId="9" borderId="14" xfId="0" applyNumberFormat="1" applyFont="1" applyFill="1" applyBorder="1" applyAlignment="1">
      <alignment horizontal="left" vertical="top" wrapText="1"/>
    </xf>
    <xf numFmtId="172" fontId="0" fillId="0" borderId="6" xfId="1" applyNumberFormat="1" applyFont="1" applyFill="1" applyBorder="1"/>
    <xf numFmtId="166" fontId="0" fillId="0" borderId="6" xfId="2" applyFont="1" applyFill="1" applyBorder="1" applyAlignment="1">
      <alignment vertical="top"/>
    </xf>
    <xf numFmtId="0" fontId="39" fillId="0" borderId="6" xfId="0" applyFont="1" applyBorder="1" applyAlignment="1" applyProtection="1">
      <alignment wrapText="1"/>
      <protection locked="0"/>
    </xf>
    <xf numFmtId="0" fontId="39" fillId="0" borderId="21" xfId="0" applyFont="1" applyBorder="1" applyAlignment="1" applyProtection="1">
      <alignment wrapText="1"/>
      <protection locked="0"/>
    </xf>
    <xf numFmtId="0" fontId="43" fillId="0" borderId="21" xfId="0" applyFont="1" applyBorder="1" applyAlignment="1" applyProtection="1">
      <alignment wrapText="1"/>
      <protection locked="0"/>
    </xf>
    <xf numFmtId="0" fontId="42" fillId="0" borderId="21" xfId="0" applyFont="1" applyBorder="1" applyAlignment="1" applyProtection="1">
      <alignment wrapText="1"/>
      <protection locked="0"/>
    </xf>
    <xf numFmtId="0" fontId="39" fillId="0" borderId="32" xfId="0" applyFont="1" applyBorder="1" applyAlignment="1" applyProtection="1">
      <alignment wrapText="1"/>
      <protection locked="0"/>
    </xf>
    <xf numFmtId="0" fontId="0" fillId="31" borderId="0" xfId="0" applyFill="1"/>
    <xf numFmtId="4" fontId="27" fillId="0" borderId="8" xfId="0" applyNumberFormat="1" applyFont="1" applyBorder="1" applyProtection="1">
      <protection locked="0"/>
    </xf>
    <xf numFmtId="3" fontId="27" fillId="0" borderId="6" xfId="0" applyNumberFormat="1" applyFont="1" applyBorder="1" applyProtection="1">
      <protection locked="0"/>
    </xf>
    <xf numFmtId="0" fontId="33" fillId="0" borderId="0" xfId="0" applyFont="1" applyProtection="1">
      <protection locked="0"/>
    </xf>
    <xf numFmtId="0" fontId="45" fillId="0" borderId="6" xfId="0" applyFont="1" applyBorder="1" applyAlignment="1" applyProtection="1">
      <alignment wrapText="1"/>
      <protection locked="0"/>
    </xf>
    <xf numFmtId="0" fontId="24" fillId="21" borderId="6" xfId="0" applyFont="1" applyFill="1" applyBorder="1" applyAlignment="1">
      <alignment horizontal="right" vertical="center" wrapText="1"/>
    </xf>
    <xf numFmtId="49" fontId="0" fillId="0" borderId="6" xfId="1" applyNumberFormat="1" applyFont="1" applyFill="1" applyBorder="1"/>
    <xf numFmtId="4" fontId="0" fillId="0" borderId="6" xfId="0" applyNumberFormat="1" applyBorder="1" applyAlignment="1">
      <alignment vertical="top"/>
    </xf>
    <xf numFmtId="167" fontId="0" fillId="0" borderId="6" xfId="5" applyFont="1" applyBorder="1" applyAlignment="1">
      <alignment vertical="top"/>
    </xf>
    <xf numFmtId="4" fontId="0" fillId="0" borderId="6" xfId="0" applyNumberFormat="1" applyBorder="1" applyAlignment="1" applyProtection="1">
      <alignment horizontal="right" vertical="top" wrapText="1"/>
      <protection locked="0"/>
    </xf>
    <xf numFmtId="49" fontId="24" fillId="0" borderId="6" xfId="0" applyNumberFormat="1" applyFont="1" applyBorder="1"/>
    <xf numFmtId="3" fontId="24" fillId="0" borderId="6" xfId="0" applyNumberFormat="1" applyFont="1" applyBorder="1"/>
    <xf numFmtId="4" fontId="24" fillId="0" borderId="6" xfId="0" applyNumberFormat="1" applyFont="1" applyBorder="1"/>
    <xf numFmtId="166" fontId="24" fillId="0" borderId="6" xfId="2" applyFont="1" applyBorder="1" applyAlignment="1">
      <alignment vertical="top"/>
    </xf>
    <xf numFmtId="169" fontId="24" fillId="0" borderId="6" xfId="0" applyNumberFormat="1" applyFont="1" applyBorder="1"/>
    <xf numFmtId="10" fontId="24" fillId="0" borderId="6" xfId="0" applyNumberFormat="1" applyFont="1" applyBorder="1"/>
    <xf numFmtId="170" fontId="24" fillId="0" borderId="6" xfId="0" applyNumberFormat="1" applyFont="1" applyBorder="1"/>
    <xf numFmtId="0" fontId="24" fillId="0" borderId="6" xfId="0" applyFont="1" applyBorder="1" applyAlignment="1">
      <alignment vertical="top"/>
    </xf>
    <xf numFmtId="4" fontId="0" fillId="30" borderId="6" xfId="0" applyNumberFormat="1" applyFill="1" applyBorder="1"/>
    <xf numFmtId="0" fontId="24" fillId="32" borderId="6" xfId="0" applyFont="1" applyFill="1" applyBorder="1" applyAlignment="1">
      <alignment horizontal="right" vertical="center" wrapText="1"/>
    </xf>
    <xf numFmtId="4" fontId="0" fillId="32" borderId="6" xfId="0" applyNumberFormat="1" applyFill="1" applyBorder="1"/>
    <xf numFmtId="0" fontId="0" fillId="0" borderId="0" xfId="0" applyAlignment="1">
      <alignment horizontal="left" vertical="top" wrapText="1"/>
    </xf>
    <xf numFmtId="0" fontId="0" fillId="6" borderId="0" xfId="0" applyFill="1" applyAlignment="1">
      <alignment horizontal="left" vertical="top" wrapText="1"/>
    </xf>
    <xf numFmtId="49" fontId="0" fillId="0" borderId="6" xfId="0" applyNumberFormat="1" applyBorder="1" applyAlignment="1">
      <alignment vertical="top"/>
    </xf>
    <xf numFmtId="170" fontId="0" fillId="32" borderId="6" xfId="0" applyNumberFormat="1" applyFill="1" applyBorder="1"/>
    <xf numFmtId="170" fontId="0" fillId="24" borderId="6" xfId="0" applyNumberFormat="1" applyFill="1" applyBorder="1" applyAlignment="1">
      <alignment horizontal="right"/>
    </xf>
    <xf numFmtId="49" fontId="0" fillId="0" borderId="6" xfId="0" applyNumberFormat="1" applyBorder="1" applyAlignment="1" applyProtection="1">
      <alignment horizontal="left" vertical="top" wrapText="1"/>
      <protection locked="0"/>
    </xf>
    <xf numFmtId="4" fontId="0" fillId="0" borderId="6" xfId="0" applyNumberFormat="1" applyBorder="1" applyAlignment="1" applyProtection="1">
      <alignment horizontal="left" vertical="top"/>
      <protection locked="0"/>
    </xf>
    <xf numFmtId="167" fontId="0" fillId="0" borderId="6" xfId="5" applyFont="1" applyBorder="1" applyAlignment="1" applyProtection="1">
      <alignment horizontal="left" vertical="top"/>
      <protection locked="0"/>
    </xf>
    <xf numFmtId="4" fontId="0" fillId="0" borderId="21" xfId="0" applyNumberFormat="1" applyBorder="1" applyAlignment="1" applyProtection="1">
      <alignment horizontal="left" vertical="top"/>
      <protection locked="0"/>
    </xf>
    <xf numFmtId="167" fontId="0" fillId="0" borderId="21" xfId="5" applyFont="1" applyBorder="1" applyAlignment="1" applyProtection="1">
      <alignment horizontal="left" vertical="top"/>
      <protection locked="0"/>
    </xf>
    <xf numFmtId="49" fontId="0" fillId="0" borderId="0" xfId="0" applyNumberFormat="1"/>
    <xf numFmtId="170" fontId="0" fillId="0" borderId="6" xfId="0" applyNumberFormat="1" applyBorder="1" applyAlignment="1">
      <alignment horizontal="right"/>
    </xf>
    <xf numFmtId="170" fontId="0" fillId="33" borderId="6" xfId="0" applyNumberFormat="1" applyFill="1" applyBorder="1" applyAlignment="1">
      <alignment horizontal="right"/>
    </xf>
    <xf numFmtId="170" fontId="0" fillId="34" borderId="6" xfId="0" applyNumberFormat="1" applyFill="1" applyBorder="1" applyAlignment="1">
      <alignment horizontal="right"/>
    </xf>
    <xf numFmtId="170" fontId="0" fillId="35" borderId="6" xfId="0" applyNumberFormat="1" applyFill="1" applyBorder="1" applyAlignment="1">
      <alignment horizontal="right"/>
    </xf>
    <xf numFmtId="170" fontId="0" fillId="36" borderId="6" xfId="0" applyNumberFormat="1" applyFill="1" applyBorder="1" applyAlignment="1">
      <alignment horizontal="right"/>
    </xf>
    <xf numFmtId="170" fontId="0" fillId="37" borderId="6" xfId="0" applyNumberFormat="1" applyFill="1" applyBorder="1" applyAlignment="1">
      <alignment horizontal="right"/>
    </xf>
    <xf numFmtId="170" fontId="0" fillId="38" borderId="6" xfId="0" applyNumberFormat="1" applyFill="1" applyBorder="1" applyAlignment="1">
      <alignment horizontal="right"/>
    </xf>
    <xf numFmtId="49" fontId="2" fillId="9" borderId="24" xfId="0" applyNumberFormat="1" applyFont="1" applyFill="1" applyBorder="1" applyAlignment="1">
      <alignment horizontal="center" vertical="top" wrapText="1"/>
    </xf>
    <xf numFmtId="3" fontId="2" fillId="9" borderId="24" xfId="0" applyNumberFormat="1" applyFont="1" applyFill="1" applyBorder="1" applyAlignment="1">
      <alignment horizontal="center" vertical="top" wrapText="1"/>
    </xf>
    <xf numFmtId="4" fontId="14" fillId="5" borderId="24" xfId="0" applyNumberFormat="1" applyFont="1" applyFill="1" applyBorder="1" applyAlignment="1">
      <alignment horizontal="center" vertical="top" wrapText="1"/>
    </xf>
    <xf numFmtId="4" fontId="15" fillId="7" borderId="24" xfId="0" applyNumberFormat="1" applyFont="1" applyFill="1" applyBorder="1" applyAlignment="1">
      <alignment horizontal="center" vertical="top" wrapText="1"/>
    </xf>
    <xf numFmtId="4" fontId="2" fillId="5" borderId="24" xfId="0" applyNumberFormat="1" applyFont="1" applyFill="1" applyBorder="1" applyAlignment="1">
      <alignment horizontal="center" vertical="top" wrapText="1"/>
    </xf>
    <xf numFmtId="4" fontId="12" fillId="5" borderId="24" xfId="0" applyNumberFormat="1" applyFont="1" applyFill="1" applyBorder="1" applyAlignment="1">
      <alignment horizontal="center" vertical="top" wrapText="1"/>
    </xf>
    <xf numFmtId="4" fontId="8" fillId="8" borderId="24" xfId="0" applyNumberFormat="1" applyFont="1" applyFill="1" applyBorder="1" applyAlignment="1">
      <alignment horizontal="center" vertical="top" wrapText="1"/>
    </xf>
    <xf numFmtId="10" fontId="4" fillId="19" borderId="24" xfId="0" applyNumberFormat="1" applyFont="1" applyFill="1" applyBorder="1" applyAlignment="1">
      <alignment horizontal="center" vertical="top" wrapText="1"/>
    </xf>
    <xf numFmtId="10" fontId="2" fillId="20" borderId="24" xfId="0" applyNumberFormat="1" applyFont="1" applyFill="1" applyBorder="1" applyAlignment="1">
      <alignment horizontal="center" vertical="top" wrapText="1"/>
    </xf>
    <xf numFmtId="10" fontId="19" fillId="20" borderId="24" xfId="0" applyNumberFormat="1" applyFont="1" applyFill="1" applyBorder="1" applyAlignment="1">
      <alignment horizontal="center" vertical="top" wrapText="1"/>
    </xf>
    <xf numFmtId="10" fontId="2" fillId="11" borderId="24" xfId="0" applyNumberFormat="1" applyFont="1" applyFill="1" applyBorder="1" applyAlignment="1">
      <alignment horizontal="center" vertical="top" wrapText="1"/>
    </xf>
    <xf numFmtId="170" fontId="2" fillId="12" borderId="24" xfId="0" applyNumberFormat="1" applyFont="1" applyFill="1" applyBorder="1" applyAlignment="1">
      <alignment horizontal="center" vertical="top" wrapText="1"/>
    </xf>
    <xf numFmtId="170" fontId="16" fillId="12" borderId="24" xfId="0" applyNumberFormat="1" applyFont="1" applyFill="1" applyBorder="1" applyAlignment="1">
      <alignment horizontal="center" vertical="top" wrapText="1"/>
    </xf>
    <xf numFmtId="170" fontId="12" fillId="14" borderId="24" xfId="0" applyNumberFormat="1" applyFont="1" applyFill="1" applyBorder="1" applyAlignment="1">
      <alignment horizontal="center" vertical="top" wrapText="1"/>
    </xf>
    <xf numFmtId="170" fontId="16" fillId="14" borderId="24" xfId="0" applyNumberFormat="1" applyFont="1" applyFill="1" applyBorder="1" applyAlignment="1">
      <alignment horizontal="center" vertical="top" wrapText="1"/>
    </xf>
    <xf numFmtId="170" fontId="2" fillId="14" borderId="24" xfId="0" applyNumberFormat="1" applyFont="1" applyFill="1" applyBorder="1" applyAlignment="1">
      <alignment horizontal="center" vertical="top" wrapText="1"/>
    </xf>
    <xf numFmtId="168" fontId="0" fillId="0" borderId="6" xfId="1" applyFont="1" applyFill="1" applyBorder="1"/>
    <xf numFmtId="0" fontId="0" fillId="0" borderId="6" xfId="0" applyBorder="1"/>
    <xf numFmtId="168" fontId="24" fillId="0" borderId="6" xfId="1" applyFont="1" applyFill="1" applyBorder="1"/>
    <xf numFmtId="0" fontId="24" fillId="0" borderId="6" xfId="0" applyFont="1" applyBorder="1"/>
    <xf numFmtId="4" fontId="0" fillId="0" borderId="6" xfId="0" applyNumberFormat="1" applyBorder="1" applyAlignment="1">
      <alignment wrapText="1"/>
    </xf>
    <xf numFmtId="0" fontId="27" fillId="22" borderId="10" xfId="0" applyFont="1" applyFill="1" applyBorder="1" applyAlignment="1" applyProtection="1">
      <alignment wrapText="1"/>
      <protection locked="0"/>
    </xf>
    <xf numFmtId="3" fontId="0" fillId="24" borderId="6" xfId="0" applyNumberFormat="1" applyFill="1" applyBorder="1"/>
    <xf numFmtId="166" fontId="0" fillId="24" borderId="6" xfId="2" applyFont="1" applyFill="1" applyBorder="1" applyAlignment="1">
      <alignment vertical="top"/>
    </xf>
    <xf numFmtId="169" fontId="0" fillId="24" borderId="6" xfId="0" applyNumberFormat="1" applyFill="1" applyBorder="1"/>
    <xf numFmtId="0" fontId="0" fillId="24" borderId="6" xfId="0" applyFill="1" applyBorder="1"/>
    <xf numFmtId="2" fontId="0" fillId="0" borderId="6" xfId="0" applyNumberFormat="1" applyBorder="1" applyAlignment="1">
      <alignment horizontal="right"/>
    </xf>
    <xf numFmtId="170" fontId="0" fillId="30" borderId="6" xfId="0" applyNumberFormat="1" applyFill="1" applyBorder="1"/>
    <xf numFmtId="10" fontId="0" fillId="30" borderId="6" xfId="0" applyNumberFormat="1" applyFill="1" applyBorder="1"/>
    <xf numFmtId="170" fontId="0" fillId="39" borderId="6" xfId="0" applyNumberFormat="1" applyFill="1" applyBorder="1"/>
    <xf numFmtId="49" fontId="0" fillId="40" borderId="6" xfId="0" applyNumberFormat="1" applyFill="1" applyBorder="1"/>
    <xf numFmtId="10" fontId="0" fillId="39" borderId="6" xfId="0" applyNumberFormat="1" applyFill="1" applyBorder="1"/>
    <xf numFmtId="10" fontId="0" fillId="0" borderId="0" xfId="3" applyNumberFormat="1" applyFont="1"/>
    <xf numFmtId="49" fontId="0" fillId="0" borderId="6" xfId="0" applyNumberFormat="1" applyBorder="1"/>
    <xf numFmtId="4" fontId="0" fillId="0" borderId="6" xfId="0" applyNumberFormat="1" applyBorder="1" applyProtection="1">
      <protection locked="0"/>
    </xf>
    <xf numFmtId="170" fontId="0" fillId="40" borderId="6" xfId="0" applyNumberFormat="1" applyFill="1" applyBorder="1"/>
    <xf numFmtId="43" fontId="0" fillId="0" borderId="6" xfId="0" applyNumberFormat="1" applyBorder="1"/>
    <xf numFmtId="4" fontId="0" fillId="39" borderId="6" xfId="0" applyNumberFormat="1" applyFill="1" applyBorder="1"/>
    <xf numFmtId="4" fontId="14" fillId="40" borderId="24" xfId="0" applyNumberFormat="1" applyFont="1" applyFill="1" applyBorder="1" applyAlignment="1">
      <alignment horizontal="center" vertical="top" wrapText="1"/>
    </xf>
    <xf numFmtId="170" fontId="0" fillId="21" borderId="6" xfId="0" applyNumberFormat="1" applyFill="1" applyBorder="1"/>
    <xf numFmtId="170" fontId="20" fillId="0" borderId="0" xfId="0" applyNumberFormat="1" applyFont="1"/>
    <xf numFmtId="2" fontId="0" fillId="0" borderId="0" xfId="0" applyNumberFormat="1"/>
    <xf numFmtId="0" fontId="7" fillId="5" borderId="22" xfId="0" applyFont="1" applyFill="1" applyBorder="1" applyAlignment="1">
      <alignment horizontal="center" vertical="center"/>
    </xf>
    <xf numFmtId="0" fontId="27" fillId="28" borderId="6" xfId="0" applyFont="1" applyFill="1" applyBorder="1" applyAlignment="1">
      <alignment wrapText="1"/>
    </xf>
    <xf numFmtId="0" fontId="27" fillId="0" borderId="26" xfId="0" applyFont="1" applyBorder="1" applyAlignment="1">
      <alignment wrapText="1"/>
    </xf>
    <xf numFmtId="0" fontId="27" fillId="0" borderId="21" xfId="0" applyFont="1" applyBorder="1"/>
    <xf numFmtId="0" fontId="47" fillId="41" borderId="0" xfId="0" applyFont="1" applyFill="1" applyAlignment="1">
      <alignment wrapText="1"/>
    </xf>
    <xf numFmtId="0" fontId="47" fillId="0" borderId="33" xfId="0" applyFont="1" applyBorder="1" applyAlignment="1">
      <alignment wrapText="1"/>
    </xf>
    <xf numFmtId="0" fontId="27" fillId="0" borderId="6" xfId="0" applyFont="1" applyBorder="1"/>
    <xf numFmtId="0" fontId="48" fillId="22" borderId="21" xfId="0" applyFont="1" applyFill="1" applyBorder="1" applyAlignment="1">
      <alignment wrapText="1"/>
    </xf>
    <xf numFmtId="0" fontId="49" fillId="0" borderId="21" xfId="0" applyFont="1" applyBorder="1" applyAlignment="1">
      <alignment wrapText="1"/>
    </xf>
    <xf numFmtId="10" fontId="0" fillId="0" borderId="6" xfId="0" applyNumberFormat="1" applyBorder="1" applyAlignment="1" applyProtection="1">
      <alignment horizontal="right"/>
      <protection locked="0"/>
    </xf>
    <xf numFmtId="0" fontId="50" fillId="0" borderId="0" xfId="0" applyFont="1"/>
    <xf numFmtId="0" fontId="36" fillId="0" borderId="8" xfId="0" quotePrefix="1" applyFont="1" applyBorder="1" applyAlignment="1" applyProtection="1">
      <alignment wrapText="1"/>
      <protection locked="0"/>
    </xf>
    <xf numFmtId="49" fontId="0" fillId="26" borderId="6" xfId="0" applyNumberFormat="1" applyFill="1" applyBorder="1"/>
    <xf numFmtId="3" fontId="0" fillId="26" borderId="6" xfId="0" applyNumberFormat="1" applyFill="1" applyBorder="1"/>
    <xf numFmtId="4" fontId="0" fillId="26" borderId="6" xfId="0" applyNumberFormat="1" applyFill="1" applyBorder="1"/>
    <xf numFmtId="4" fontId="0" fillId="26" borderId="6" xfId="0" applyNumberFormat="1" applyFill="1" applyBorder="1" applyProtection="1">
      <protection locked="0"/>
    </xf>
    <xf numFmtId="4" fontId="0" fillId="26" borderId="6" xfId="0" applyNumberFormat="1" applyFill="1" applyBorder="1" applyAlignment="1" applyProtection="1">
      <alignment vertical="top"/>
      <protection locked="0"/>
    </xf>
    <xf numFmtId="4" fontId="0" fillId="26" borderId="21" xfId="0" applyNumberFormat="1" applyFill="1" applyBorder="1"/>
    <xf numFmtId="49" fontId="0" fillId="26" borderId="6" xfId="0" applyNumberFormat="1" applyFill="1" applyBorder="1" applyAlignment="1">
      <alignment wrapText="1"/>
    </xf>
    <xf numFmtId="4" fontId="0" fillId="26" borderId="6" xfId="0" applyNumberFormat="1" applyFill="1" applyBorder="1" applyAlignment="1" applyProtection="1">
      <alignment vertical="top" wrapText="1"/>
      <protection locked="0"/>
    </xf>
    <xf numFmtId="4" fontId="0" fillId="26" borderId="6" xfId="0" applyNumberFormat="1" applyFill="1" applyBorder="1" applyAlignment="1" applyProtection="1">
      <alignment wrapText="1"/>
      <protection locked="0"/>
    </xf>
    <xf numFmtId="49" fontId="46" fillId="26" borderId="6" xfId="0" applyNumberFormat="1" applyFont="1" applyFill="1" applyBorder="1"/>
    <xf numFmtId="49" fontId="46" fillId="26" borderId="6" xfId="0" applyNumberFormat="1" applyFont="1" applyFill="1" applyBorder="1" applyAlignment="1">
      <alignment wrapText="1"/>
    </xf>
    <xf numFmtId="3" fontId="46" fillId="26" borderId="6" xfId="0" applyNumberFormat="1" applyFont="1" applyFill="1" applyBorder="1"/>
    <xf numFmtId="4" fontId="46" fillId="26" borderId="6" xfId="0" applyNumberFormat="1" applyFont="1" applyFill="1" applyBorder="1"/>
    <xf numFmtId="4" fontId="46" fillId="26" borderId="21" xfId="0" applyNumberFormat="1" applyFont="1" applyFill="1" applyBorder="1"/>
    <xf numFmtId="4" fontId="27" fillId="26" borderId="6" xfId="0" applyNumberFormat="1" applyFont="1" applyFill="1" applyBorder="1" applyAlignment="1" applyProtection="1">
      <alignment vertical="top" wrapText="1"/>
      <protection locked="0"/>
    </xf>
    <xf numFmtId="4" fontId="46" fillId="26" borderId="6" xfId="0" applyNumberFormat="1" applyFont="1" applyFill="1" applyBorder="1" applyProtection="1">
      <protection locked="0"/>
    </xf>
    <xf numFmtId="4" fontId="27" fillId="26" borderId="6" xfId="0" applyNumberFormat="1" applyFont="1" applyFill="1" applyBorder="1" applyAlignment="1" applyProtection="1">
      <alignment vertical="top"/>
      <protection locked="0"/>
    </xf>
    <xf numFmtId="4" fontId="0" fillId="26" borderId="21" xfId="0" applyNumberFormat="1" applyFill="1" applyBorder="1" applyAlignment="1" applyProtection="1">
      <alignment vertical="top"/>
      <protection locked="0"/>
    </xf>
    <xf numFmtId="167" fontId="0" fillId="26" borderId="21" xfId="5" applyFont="1" applyFill="1" applyBorder="1" applyAlignment="1" applyProtection="1">
      <alignment vertical="top"/>
      <protection locked="0"/>
    </xf>
    <xf numFmtId="0" fontId="0" fillId="26" borderId="0" xfId="0" applyFill="1"/>
    <xf numFmtId="4" fontId="46" fillId="26" borderId="6" xfId="0" applyNumberFormat="1" applyFont="1" applyFill="1" applyBorder="1" applyAlignment="1" applyProtection="1">
      <alignment vertical="top" wrapText="1"/>
      <protection locked="0"/>
    </xf>
    <xf numFmtId="4" fontId="46" fillId="26" borderId="21" xfId="0" applyNumberFormat="1" applyFont="1" applyFill="1" applyBorder="1" applyAlignment="1" applyProtection="1">
      <alignment vertical="top"/>
      <protection locked="0"/>
    </xf>
    <xf numFmtId="167" fontId="46" fillId="26" borderId="21" xfId="5" applyFont="1" applyFill="1" applyBorder="1" applyAlignment="1" applyProtection="1">
      <alignment vertical="top"/>
      <protection locked="0"/>
    </xf>
    <xf numFmtId="0" fontId="46" fillId="26" borderId="0" xfId="0" applyFont="1" applyFill="1"/>
    <xf numFmtId="167" fontId="0" fillId="26" borderId="6" xfId="5" applyFont="1" applyFill="1" applyBorder="1" applyAlignment="1" applyProtection="1">
      <alignment vertical="top"/>
      <protection locked="0"/>
    </xf>
    <xf numFmtId="2" fontId="0" fillId="0" borderId="6" xfId="0" applyNumberFormat="1" applyBorder="1"/>
    <xf numFmtId="0" fontId="27" fillId="0" borderId="6" xfId="0" applyFont="1" applyBorder="1" applyAlignment="1">
      <alignment vertical="top" wrapText="1"/>
    </xf>
    <xf numFmtId="0" fontId="27" fillId="0" borderId="21" xfId="0" applyFont="1" applyBorder="1" applyAlignment="1">
      <alignment vertical="top" wrapText="1"/>
    </xf>
    <xf numFmtId="0" fontId="27" fillId="28" borderId="21" xfId="0" applyFont="1" applyFill="1" applyBorder="1" applyAlignment="1">
      <alignment wrapText="1"/>
    </xf>
    <xf numFmtId="0" fontId="27" fillId="0" borderId="10" xfId="0" applyFont="1" applyBorder="1"/>
    <xf numFmtId="0" fontId="27" fillId="22" borderId="0" xfId="0" applyFont="1" applyFill="1" applyAlignment="1">
      <alignment wrapText="1"/>
    </xf>
    <xf numFmtId="0" fontId="27" fillId="0" borderId="32" xfId="0" applyFont="1" applyBorder="1" applyAlignment="1">
      <alignment wrapText="1"/>
    </xf>
    <xf numFmtId="168" fontId="0" fillId="0" borderId="6" xfId="1" applyFont="1" applyBorder="1" applyAlignment="1" applyProtection="1">
      <alignment horizontal="right"/>
      <protection locked="0"/>
    </xf>
    <xf numFmtId="168" fontId="0" fillId="0" borderId="6" xfId="1" applyFont="1" applyBorder="1" applyAlignment="1">
      <alignment horizontal="right"/>
    </xf>
    <xf numFmtId="0" fontId="46" fillId="0" borderId="6" xfId="0" applyFont="1" applyBorder="1" applyAlignment="1">
      <alignment vertical="center" wrapText="1"/>
    </xf>
    <xf numFmtId="49" fontId="51" fillId="0" borderId="6" xfId="0" applyNumberFormat="1" applyFont="1" applyBorder="1"/>
    <xf numFmtId="3" fontId="51" fillId="0" borderId="6" xfId="0" applyNumberFormat="1" applyFont="1" applyBorder="1"/>
    <xf numFmtId="4" fontId="51" fillId="0" borderId="6" xfId="0" applyNumberFormat="1" applyFont="1" applyBorder="1"/>
    <xf numFmtId="166" fontId="51" fillId="0" borderId="6" xfId="2" applyFont="1" applyBorder="1" applyAlignment="1">
      <alignment vertical="top"/>
    </xf>
    <xf numFmtId="169" fontId="51" fillId="0" borderId="6" xfId="0" applyNumberFormat="1" applyFont="1" applyBorder="1"/>
    <xf numFmtId="0" fontId="51" fillId="0" borderId="6" xfId="0" applyFont="1" applyBorder="1"/>
    <xf numFmtId="10" fontId="51" fillId="0" borderId="6" xfId="0" applyNumberFormat="1" applyFont="1" applyBorder="1"/>
    <xf numFmtId="170" fontId="51" fillId="0" borderId="6" xfId="0" applyNumberFormat="1" applyFont="1" applyBorder="1"/>
    <xf numFmtId="0" fontId="51" fillId="0" borderId="0" xfId="0" applyFont="1"/>
    <xf numFmtId="49" fontId="52" fillId="0" borderId="6" xfId="0" applyNumberFormat="1" applyFont="1" applyBorder="1"/>
    <xf numFmtId="3" fontId="52" fillId="0" borderId="6" xfId="0" applyNumberFormat="1" applyFont="1" applyBorder="1"/>
    <xf numFmtId="4" fontId="52" fillId="0" borderId="6" xfId="0" applyNumberFormat="1" applyFont="1" applyBorder="1"/>
    <xf numFmtId="0" fontId="52" fillId="0" borderId="6" xfId="0" applyFont="1" applyBorder="1" applyAlignment="1">
      <alignment vertical="top"/>
    </xf>
    <xf numFmtId="169" fontId="52" fillId="0" borderId="6" xfId="0" applyNumberFormat="1" applyFont="1" applyBorder="1"/>
    <xf numFmtId="0" fontId="52" fillId="0" borderId="6" xfId="0" applyFont="1" applyBorder="1"/>
    <xf numFmtId="10" fontId="52" fillId="0" borderId="6" xfId="0" applyNumberFormat="1" applyFont="1" applyBorder="1"/>
    <xf numFmtId="9" fontId="52" fillId="0" borderId="6" xfId="0" applyNumberFormat="1" applyFont="1" applyBorder="1" applyAlignment="1">
      <alignment horizontal="left"/>
    </xf>
    <xf numFmtId="170" fontId="52" fillId="0" borderId="6" xfId="0" applyNumberFormat="1" applyFont="1" applyBorder="1"/>
    <xf numFmtId="0" fontId="52" fillId="0" borderId="0" xfId="0" applyFont="1"/>
    <xf numFmtId="4" fontId="52" fillId="0" borderId="0" xfId="0" applyNumberFormat="1" applyFont="1"/>
    <xf numFmtId="4" fontId="0" fillId="24" borderId="0" xfId="0" applyNumberFormat="1" applyFill="1"/>
    <xf numFmtId="4" fontId="0" fillId="40" borderId="6" xfId="0" applyNumberFormat="1" applyFill="1" applyBorder="1"/>
    <xf numFmtId="0" fontId="0" fillId="40" borderId="0" xfId="0" applyFill="1"/>
    <xf numFmtId="174" fontId="24" fillId="0" borderId="0" xfId="0" applyNumberFormat="1" applyFont="1"/>
    <xf numFmtId="175" fontId="0" fillId="0" borderId="0" xfId="0" applyNumberFormat="1"/>
    <xf numFmtId="10" fontId="0" fillId="40" borderId="6" xfId="0" applyNumberFormat="1" applyFill="1" applyBorder="1"/>
    <xf numFmtId="176" fontId="0" fillId="0" borderId="0" xfId="3" applyNumberFormat="1" applyFont="1"/>
    <xf numFmtId="4" fontId="0" fillId="10" borderId="6" xfId="0" applyNumberFormat="1" applyFill="1" applyBorder="1" applyProtection="1">
      <protection locked="0"/>
    </xf>
    <xf numFmtId="0" fontId="27" fillId="10" borderId="10" xfId="0" applyFont="1" applyFill="1" applyBorder="1" applyAlignment="1" applyProtection="1">
      <alignment wrapText="1"/>
      <protection locked="0"/>
    </xf>
    <xf numFmtId="4" fontId="0" fillId="42" borderId="21" xfId="0" applyNumberFormat="1" applyFill="1" applyBorder="1"/>
    <xf numFmtId="4" fontId="53" fillId="0" borderId="6" xfId="0" applyNumberFormat="1" applyFont="1" applyBorder="1"/>
    <xf numFmtId="49" fontId="0" fillId="0" borderId="6" xfId="0" applyNumberFormat="1" applyBorder="1" applyAlignment="1">
      <alignment vertical="center"/>
    </xf>
    <xf numFmtId="3" fontId="0" fillId="0" borderId="6" xfId="0" applyNumberFormat="1" applyBorder="1" applyAlignment="1">
      <alignment vertical="center"/>
    </xf>
    <xf numFmtId="4" fontId="0" fillId="0" borderId="6" xfId="0" applyNumberFormat="1" applyBorder="1" applyAlignment="1">
      <alignment vertical="center"/>
    </xf>
    <xf numFmtId="4" fontId="0" fillId="0" borderId="6" xfId="0" applyNumberFormat="1" applyBorder="1" applyAlignment="1" applyProtection="1">
      <alignment vertical="center" wrapText="1"/>
      <protection locked="0"/>
    </xf>
    <xf numFmtId="4" fontId="0" fillId="0" borderId="6" xfId="0" applyNumberFormat="1" applyBorder="1" applyAlignment="1" applyProtection="1">
      <alignment vertical="center"/>
      <protection locked="0"/>
    </xf>
    <xf numFmtId="4" fontId="0" fillId="42" borderId="21" xfId="0" applyNumberFormat="1" applyFill="1" applyBorder="1" applyAlignment="1">
      <alignment vertical="center"/>
    </xf>
    <xf numFmtId="167" fontId="0" fillId="0" borderId="6" xfId="5" applyFont="1" applyBorder="1" applyAlignment="1" applyProtection="1">
      <alignment vertical="center"/>
      <protection locked="0"/>
    </xf>
    <xf numFmtId="0" fontId="0" fillId="0" borderId="0" xfId="0" applyAlignment="1">
      <alignment vertical="center"/>
    </xf>
    <xf numFmtId="4" fontId="0" fillId="0" borderId="6" xfId="0" applyNumberFormat="1" applyBorder="1" applyAlignment="1" applyProtection="1">
      <alignment horizontal="center" vertical="center" wrapText="1"/>
      <protection locked="0"/>
    </xf>
    <xf numFmtId="4" fontId="15" fillId="7" borderId="14" xfId="0" applyNumberFormat="1" applyFont="1" applyFill="1" applyBorder="1" applyAlignment="1">
      <alignment horizontal="center" vertical="center" wrapText="1"/>
    </xf>
    <xf numFmtId="0" fontId="0" fillId="0" borderId="0" xfId="0" applyAlignment="1">
      <alignment horizontal="center" vertical="center" wrapText="1"/>
    </xf>
    <xf numFmtId="4" fontId="0" fillId="0" borderId="6" xfId="0" applyNumberFormat="1" applyBorder="1" applyAlignment="1">
      <alignment horizontal="center" vertical="center" wrapText="1"/>
    </xf>
    <xf numFmtId="0" fontId="0" fillId="6" borderId="0" xfId="0" applyFill="1" applyAlignment="1">
      <alignment horizontal="center" vertical="center" wrapText="1"/>
    </xf>
    <xf numFmtId="4" fontId="0" fillId="0" borderId="6" xfId="0" applyNumberFormat="1" applyBorder="1" applyAlignment="1" applyProtection="1">
      <alignment horizontal="center" vertical="top" wrapText="1"/>
      <protection locked="0"/>
    </xf>
    <xf numFmtId="0" fontId="27" fillId="10" borderId="6" xfId="0" applyFont="1" applyFill="1" applyBorder="1" applyAlignment="1" applyProtection="1">
      <alignment wrapText="1"/>
      <protection locked="0"/>
    </xf>
    <xf numFmtId="4" fontId="53" fillId="0" borderId="6" xfId="0" applyNumberFormat="1" applyFont="1" applyBorder="1" applyAlignment="1">
      <alignment vertical="center"/>
    </xf>
    <xf numFmtId="0" fontId="46" fillId="0" borderId="0" xfId="0" applyFont="1" applyAlignment="1" applyProtection="1">
      <alignment vertical="center" wrapText="1" readingOrder="1"/>
      <protection locked="0"/>
    </xf>
    <xf numFmtId="4" fontId="0" fillId="42" borderId="6" xfId="0" applyNumberFormat="1" applyFill="1" applyBorder="1" applyAlignment="1">
      <alignment vertical="center"/>
    </xf>
    <xf numFmtId="4" fontId="0" fillId="0" borderId="21" xfId="0" applyNumberFormat="1" applyBorder="1" applyAlignment="1">
      <alignment vertical="center"/>
    </xf>
    <xf numFmtId="4" fontId="0" fillId="10" borderId="6" xfId="0" applyNumberFormat="1" applyFill="1" applyBorder="1" applyAlignment="1" applyProtection="1">
      <alignment wrapText="1"/>
      <protection locked="0"/>
    </xf>
    <xf numFmtId="4" fontId="54" fillId="0" borderId="6" xfId="0" applyNumberFormat="1" applyFont="1" applyBorder="1" applyAlignment="1" applyProtection="1">
      <alignment horizontal="center" vertical="center" wrapText="1"/>
      <protection locked="0"/>
    </xf>
    <xf numFmtId="4" fontId="0" fillId="10" borderId="21" xfId="0" applyNumberFormat="1" applyFill="1" applyBorder="1"/>
    <xf numFmtId="0" fontId="55" fillId="10" borderId="6" xfId="0" applyFont="1" applyFill="1" applyBorder="1" applyAlignment="1" applyProtection="1">
      <alignment wrapText="1"/>
      <protection locked="0"/>
    </xf>
    <xf numFmtId="0" fontId="44" fillId="10" borderId="6" xfId="0" applyFont="1" applyFill="1" applyBorder="1" applyAlignment="1" applyProtection="1">
      <alignment wrapText="1"/>
      <protection locked="0"/>
    </xf>
    <xf numFmtId="3" fontId="0" fillId="10" borderId="21" xfId="0" applyNumberFormat="1" applyFill="1" applyBorder="1"/>
    <xf numFmtId="3" fontId="0" fillId="10" borderId="6" xfId="0" applyNumberFormat="1" applyFill="1" applyBorder="1" applyProtection="1">
      <protection locked="0"/>
    </xf>
    <xf numFmtId="3" fontId="0" fillId="10" borderId="6" xfId="0" applyNumberFormat="1" applyFill="1" applyBorder="1"/>
    <xf numFmtId="3" fontId="0" fillId="0" borderId="6" xfId="0" applyNumberFormat="1" applyBorder="1" applyProtection="1">
      <protection locked="0"/>
    </xf>
    <xf numFmtId="10" fontId="0" fillId="0" borderId="6" xfId="0" applyNumberFormat="1" applyBorder="1" applyProtection="1">
      <protection locked="0"/>
    </xf>
    <xf numFmtId="169" fontId="0" fillId="0" borderId="6" xfId="0" applyNumberFormat="1" applyBorder="1" applyAlignment="1" applyProtection="1">
      <alignment wrapText="1"/>
      <protection locked="0"/>
    </xf>
    <xf numFmtId="0" fontId="56" fillId="0" borderId="0" xfId="0" applyFont="1" applyProtection="1">
      <protection locked="0"/>
    </xf>
    <xf numFmtId="0" fontId="56" fillId="0" borderId="0" xfId="0" applyFont="1" applyAlignment="1" applyProtection="1">
      <alignment wrapText="1"/>
      <protection locked="0"/>
    </xf>
    <xf numFmtId="0" fontId="57" fillId="0" borderId="0" xfId="0" applyFont="1" applyAlignment="1" applyProtection="1">
      <alignment wrapText="1"/>
      <protection locked="0"/>
    </xf>
    <xf numFmtId="0" fontId="58" fillId="0" borderId="0" xfId="0" applyFont="1"/>
    <xf numFmtId="0" fontId="59" fillId="0" borderId="0" xfId="0" applyFont="1"/>
    <xf numFmtId="4" fontId="46" fillId="0" borderId="6" xfId="0" applyNumberFormat="1" applyFont="1" applyBorder="1" applyProtection="1">
      <protection locked="0"/>
    </xf>
    <xf numFmtId="0" fontId="46" fillId="0" borderId="6" xfId="0" applyFont="1" applyBorder="1" applyProtection="1">
      <protection locked="0"/>
    </xf>
    <xf numFmtId="0" fontId="9" fillId="0" borderId="6" xfId="0" applyFont="1" applyBorder="1" applyProtection="1">
      <protection locked="0"/>
    </xf>
    <xf numFmtId="0" fontId="9" fillId="0" borderId="6" xfId="0" applyFont="1" applyBorder="1" applyAlignment="1" applyProtection="1">
      <alignment wrapText="1"/>
      <protection locked="0"/>
    </xf>
    <xf numFmtId="49" fontId="0" fillId="43" borderId="6" xfId="0" applyNumberFormat="1" applyFill="1" applyBorder="1"/>
    <xf numFmtId="3" fontId="0" fillId="43" borderId="6" xfId="0" applyNumberFormat="1" applyFill="1" applyBorder="1"/>
    <xf numFmtId="4" fontId="0" fillId="43" borderId="6" xfId="0" applyNumberFormat="1" applyFill="1" applyBorder="1"/>
    <xf numFmtId="166" fontId="0" fillId="43" borderId="6" xfId="2" applyFont="1" applyFill="1" applyBorder="1" applyAlignment="1">
      <alignment vertical="top"/>
    </xf>
    <xf numFmtId="169" fontId="0" fillId="43" borderId="6" xfId="0" applyNumberFormat="1" applyFill="1" applyBorder="1"/>
    <xf numFmtId="0" fontId="0" fillId="43" borderId="6" xfId="0" applyFill="1" applyBorder="1"/>
    <xf numFmtId="10" fontId="0" fillId="43" borderId="6" xfId="0" applyNumberFormat="1" applyFill="1" applyBorder="1"/>
    <xf numFmtId="170" fontId="0" fillId="43" borderId="6" xfId="0" applyNumberFormat="1" applyFill="1" applyBorder="1"/>
    <xf numFmtId="0" fontId="0" fillId="43" borderId="0" xfId="0" applyFill="1"/>
    <xf numFmtId="4" fontId="0" fillId="43" borderId="0" xfId="0" applyNumberFormat="1" applyFill="1"/>
    <xf numFmtId="0" fontId="0" fillId="43" borderId="6" xfId="0" applyFill="1" applyBorder="1" applyAlignment="1">
      <alignment vertical="top"/>
    </xf>
    <xf numFmtId="170" fontId="0" fillId="43" borderId="6" xfId="0" applyNumberFormat="1" applyFill="1" applyBorder="1" applyAlignment="1">
      <alignment horizontal="right"/>
    </xf>
    <xf numFmtId="168" fontId="2" fillId="0" borderId="24" xfId="1" applyFont="1" applyFill="1" applyBorder="1" applyAlignment="1">
      <alignment horizontal="center" vertical="center" wrapText="1"/>
    </xf>
    <xf numFmtId="169" fontId="2" fillId="0" borderId="24" xfId="0" applyNumberFormat="1" applyFont="1" applyBorder="1" applyAlignment="1">
      <alignment horizontal="center" vertical="center" wrapText="1"/>
    </xf>
    <xf numFmtId="168" fontId="51" fillId="0" borderId="6" xfId="1" applyFont="1" applyFill="1" applyBorder="1"/>
    <xf numFmtId="168" fontId="52" fillId="0" borderId="6" xfId="1" applyFont="1" applyFill="1" applyBorder="1"/>
    <xf numFmtId="4" fontId="0" fillId="44" borderId="21" xfId="0" applyNumberFormat="1" applyFill="1" applyBorder="1"/>
    <xf numFmtId="4" fontId="0" fillId="44" borderId="6" xfId="0" applyNumberFormat="1" applyFill="1" applyBorder="1"/>
    <xf numFmtId="170" fontId="24" fillId="0" borderId="0" xfId="0" applyNumberFormat="1" applyFont="1"/>
    <xf numFmtId="177" fontId="0" fillId="0" borderId="6" xfId="0" applyNumberFormat="1" applyBorder="1"/>
    <xf numFmtId="49" fontId="0" fillId="30" borderId="6" xfId="0" applyNumberFormat="1" applyFill="1" applyBorder="1"/>
    <xf numFmtId="0" fontId="48" fillId="22" borderId="21" xfId="0" applyFont="1" applyFill="1" applyBorder="1" applyAlignment="1">
      <alignment vertical="top" wrapText="1"/>
    </xf>
    <xf numFmtId="0" fontId="27" fillId="0" borderId="0" xfId="0" applyFont="1"/>
    <xf numFmtId="165" fontId="27" fillId="0" borderId="0" xfId="0" applyNumberFormat="1" applyFont="1" applyProtection="1">
      <protection locked="0"/>
    </xf>
    <xf numFmtId="0" fontId="27" fillId="0" borderId="21" xfId="0" applyFont="1" applyBorder="1" applyAlignment="1" applyProtection="1">
      <alignment horizontal="left" wrapText="1"/>
      <protection locked="0"/>
    </xf>
    <xf numFmtId="0" fontId="0" fillId="45" borderId="6" xfId="0" applyFill="1" applyBorder="1" applyProtection="1">
      <protection locked="0"/>
    </xf>
    <xf numFmtId="178" fontId="0" fillId="0" borderId="21" xfId="5" applyNumberFormat="1" applyFont="1" applyBorder="1" applyProtection="1">
      <protection locked="0"/>
    </xf>
    <xf numFmtId="4" fontId="0" fillId="11" borderId="6" xfId="0" applyNumberFormat="1" applyFill="1" applyBorder="1" applyProtection="1">
      <protection locked="0"/>
    </xf>
    <xf numFmtId="4" fontId="8" fillId="0" borderId="14" xfId="0" applyNumberFormat="1" applyFont="1" applyBorder="1" applyAlignment="1">
      <alignment horizontal="center" vertical="top" wrapText="1"/>
    </xf>
    <xf numFmtId="4" fontId="46" fillId="0" borderId="21" xfId="0" applyNumberFormat="1" applyFont="1" applyBorder="1"/>
    <xf numFmtId="0" fontId="23" fillId="14" borderId="13" xfId="0" applyFont="1" applyFill="1" applyBorder="1" applyAlignment="1">
      <alignment horizontal="center" vertical="center"/>
    </xf>
    <xf numFmtId="0" fontId="23" fillId="14" borderId="22" xfId="0" applyFont="1" applyFill="1" applyBorder="1" applyAlignment="1">
      <alignment horizontal="center" vertical="center"/>
    </xf>
    <xf numFmtId="0" fontId="22" fillId="14" borderId="23" xfId="0" applyFont="1" applyFill="1" applyBorder="1" applyAlignment="1">
      <alignment horizontal="center" vertical="center"/>
    </xf>
    <xf numFmtId="0" fontId="7" fillId="14" borderId="13" xfId="0" applyFont="1" applyFill="1" applyBorder="1" applyAlignment="1">
      <alignment horizontal="center" vertical="center"/>
    </xf>
    <xf numFmtId="0" fontId="7" fillId="14" borderId="22" xfId="0" applyFont="1" applyFill="1" applyBorder="1" applyAlignment="1">
      <alignment horizontal="center" vertical="center"/>
    </xf>
    <xf numFmtId="0" fontId="7" fillId="14" borderId="23" xfId="0" applyFont="1" applyFill="1" applyBorder="1" applyAlignment="1">
      <alignment horizontal="center" vertical="center"/>
    </xf>
    <xf numFmtId="0" fontId="7" fillId="12" borderId="13" xfId="0" applyFont="1" applyFill="1" applyBorder="1" applyAlignment="1">
      <alignment horizontal="center" vertical="center"/>
    </xf>
    <xf numFmtId="0" fontId="7" fillId="12" borderId="23" xfId="0" applyFont="1" applyFill="1" applyBorder="1" applyAlignment="1">
      <alignment horizontal="center" vertical="center"/>
    </xf>
    <xf numFmtId="0" fontId="3" fillId="12" borderId="12" xfId="0" applyFont="1" applyFill="1" applyBorder="1" applyAlignment="1">
      <alignment horizontal="center" vertical="center"/>
    </xf>
    <xf numFmtId="0" fontId="3" fillId="12" borderId="15" xfId="0" applyFont="1" applyFill="1" applyBorder="1" applyAlignment="1">
      <alignment horizontal="center" vertical="center"/>
    </xf>
    <xf numFmtId="0" fontId="25" fillId="12" borderId="15" xfId="0" applyFont="1" applyFill="1" applyBorder="1" applyAlignment="1">
      <alignment horizontal="center" vertical="center"/>
    </xf>
    <xf numFmtId="0" fontId="21" fillId="12" borderId="15" xfId="0" applyFont="1" applyFill="1" applyBorder="1" applyAlignment="1">
      <alignment horizontal="center" vertical="center"/>
    </xf>
    <xf numFmtId="0" fontId="3" fillId="12" borderId="18" xfId="0" applyFont="1" applyFill="1" applyBorder="1" applyAlignment="1">
      <alignment horizontal="center" vertical="center"/>
    </xf>
    <xf numFmtId="0" fontId="3" fillId="12" borderId="16" xfId="0" applyFont="1" applyFill="1" applyBorder="1" applyAlignment="1">
      <alignment horizontal="center" vertical="center"/>
    </xf>
    <xf numFmtId="0" fontId="3" fillId="12" borderId="17" xfId="0" applyFont="1" applyFill="1" applyBorder="1" applyAlignment="1">
      <alignment horizontal="center" vertical="center"/>
    </xf>
    <xf numFmtId="0" fontId="25" fillId="12" borderId="17" xfId="0" applyFont="1" applyFill="1" applyBorder="1" applyAlignment="1">
      <alignment horizontal="center" vertical="center"/>
    </xf>
    <xf numFmtId="0" fontId="21" fillId="12" borderId="17" xfId="0" applyFont="1" applyFill="1" applyBorder="1" applyAlignment="1">
      <alignment horizontal="center" vertical="center"/>
    </xf>
    <xf numFmtId="0" fontId="3" fillId="12" borderId="20"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5" xfId="0" applyFont="1" applyFill="1" applyBorder="1" applyAlignment="1">
      <alignment horizontal="center" vertical="center"/>
    </xf>
    <xf numFmtId="0" fontId="6" fillId="4" borderId="18"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20" xfId="0" applyFont="1" applyFill="1" applyBorder="1" applyAlignment="1">
      <alignment horizontal="center" vertical="center"/>
    </xf>
    <xf numFmtId="0" fontId="7" fillId="5" borderId="13" xfId="0" applyFont="1" applyFill="1" applyBorder="1" applyAlignment="1">
      <alignment horizontal="center" vertical="center"/>
    </xf>
    <xf numFmtId="0" fontId="7" fillId="5" borderId="22" xfId="0" applyFont="1" applyFill="1" applyBorder="1" applyAlignment="1">
      <alignment horizontal="center" vertical="center"/>
    </xf>
    <xf numFmtId="0" fontId="7" fillId="5" borderId="23" xfId="0" applyFont="1" applyFill="1" applyBorder="1" applyAlignment="1">
      <alignment horizontal="center" vertical="center"/>
    </xf>
    <xf numFmtId="0" fontId="3" fillId="11" borderId="12" xfId="0" applyFont="1" applyFill="1" applyBorder="1" applyAlignment="1">
      <alignment horizontal="center" vertical="center"/>
    </xf>
    <xf numFmtId="0" fontId="3" fillId="11" borderId="15" xfId="0" applyFont="1" applyFill="1" applyBorder="1" applyAlignment="1">
      <alignment horizontal="center" vertical="center"/>
    </xf>
    <xf numFmtId="0" fontId="3" fillId="11" borderId="18" xfId="0" applyFont="1" applyFill="1" applyBorder="1" applyAlignment="1">
      <alignment horizontal="center" vertical="center"/>
    </xf>
    <xf numFmtId="0" fontId="3" fillId="11" borderId="11" xfId="0" applyFont="1" applyFill="1" applyBorder="1" applyAlignment="1">
      <alignment horizontal="center" vertical="center"/>
    </xf>
    <xf numFmtId="0" fontId="3" fillId="11" borderId="0" xfId="0" applyFont="1" applyFill="1" applyAlignment="1">
      <alignment horizontal="center" vertical="center"/>
    </xf>
    <xf numFmtId="0" fontId="3" fillId="11" borderId="19" xfId="0" applyFont="1" applyFill="1" applyBorder="1" applyAlignment="1">
      <alignment horizontal="center" vertical="center"/>
    </xf>
    <xf numFmtId="0" fontId="3" fillId="11" borderId="16" xfId="0" applyFont="1" applyFill="1" applyBorder="1" applyAlignment="1">
      <alignment horizontal="center" vertical="center"/>
    </xf>
    <xf numFmtId="0" fontId="3" fillId="11" borderId="17" xfId="0" applyFont="1" applyFill="1" applyBorder="1" applyAlignment="1">
      <alignment horizontal="center" vertical="center"/>
    </xf>
    <xf numFmtId="0" fontId="3" fillId="11" borderId="20" xfId="0" applyFont="1" applyFill="1" applyBorder="1" applyAlignment="1">
      <alignment horizontal="center" vertical="center"/>
    </xf>
    <xf numFmtId="0" fontId="7" fillId="20" borderId="13" xfId="0" applyFont="1" applyFill="1" applyBorder="1" applyAlignment="1">
      <alignment horizontal="center" vertical="center"/>
    </xf>
    <xf numFmtId="0" fontId="7" fillId="20" borderId="23" xfId="0" applyFont="1" applyFill="1" applyBorder="1" applyAlignment="1">
      <alignment horizontal="center" vertical="center"/>
    </xf>
    <xf numFmtId="0" fontId="3" fillId="9" borderId="12" xfId="0" applyFont="1" applyFill="1" applyBorder="1" applyAlignment="1">
      <alignment horizontal="center" vertical="center"/>
    </xf>
    <xf numFmtId="0" fontId="3" fillId="9" borderId="15" xfId="0" applyFont="1" applyFill="1" applyBorder="1" applyAlignment="1">
      <alignment horizontal="center" vertical="center"/>
    </xf>
    <xf numFmtId="0" fontId="3" fillId="9" borderId="15" xfId="0" applyFont="1" applyFill="1" applyBorder="1" applyAlignment="1">
      <alignment horizontal="center" vertical="center" wrapText="1"/>
    </xf>
    <xf numFmtId="0" fontId="3" fillId="9" borderId="18" xfId="0" applyFont="1" applyFill="1" applyBorder="1" applyAlignment="1">
      <alignment horizontal="center" vertical="center"/>
    </xf>
    <xf numFmtId="0" fontId="3" fillId="9" borderId="11" xfId="0" applyFont="1" applyFill="1" applyBorder="1" applyAlignment="1">
      <alignment horizontal="center" vertical="center"/>
    </xf>
    <xf numFmtId="0" fontId="3" fillId="9" borderId="0" xfId="0" applyFont="1" applyFill="1" applyAlignment="1">
      <alignment horizontal="center" vertical="center"/>
    </xf>
    <xf numFmtId="0" fontId="3" fillId="9" borderId="0" xfId="0" applyFont="1" applyFill="1" applyAlignment="1">
      <alignment horizontal="center" vertical="center" wrapText="1"/>
    </xf>
    <xf numFmtId="0" fontId="3" fillId="9" borderId="19" xfId="0" applyFont="1" applyFill="1" applyBorder="1" applyAlignment="1">
      <alignment horizontal="center" vertical="center"/>
    </xf>
    <xf numFmtId="0" fontId="3" fillId="9" borderId="16" xfId="0" applyFont="1" applyFill="1" applyBorder="1" applyAlignment="1">
      <alignment horizontal="center" vertical="center"/>
    </xf>
    <xf numFmtId="0" fontId="3" fillId="9" borderId="17" xfId="0" applyFont="1" applyFill="1" applyBorder="1" applyAlignment="1">
      <alignment horizontal="center" vertical="center"/>
    </xf>
    <xf numFmtId="0" fontId="3" fillId="9" borderId="17" xfId="0" applyFont="1" applyFill="1" applyBorder="1" applyAlignment="1">
      <alignment horizontal="center" vertical="center" wrapText="1"/>
    </xf>
    <xf numFmtId="0" fontId="3" fillId="9" borderId="20"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22" xfId="0" applyFont="1" applyFill="1" applyBorder="1" applyAlignment="1">
      <alignment horizontal="center" vertical="center"/>
    </xf>
    <xf numFmtId="0" fontId="3" fillId="10" borderId="12"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10" borderId="18" xfId="0" applyFont="1" applyFill="1" applyBorder="1" applyAlignment="1">
      <alignment horizontal="center" vertical="center" wrapText="1"/>
    </xf>
    <xf numFmtId="0" fontId="3" fillId="10" borderId="16" xfId="0" applyFont="1" applyFill="1" applyBorder="1" applyAlignment="1">
      <alignment horizontal="center" vertical="center" wrapText="1"/>
    </xf>
    <xf numFmtId="0" fontId="3" fillId="10" borderId="17" xfId="0" applyFont="1" applyFill="1" applyBorder="1" applyAlignment="1">
      <alignment horizontal="center" vertical="center" wrapText="1"/>
    </xf>
    <xf numFmtId="0" fontId="3" fillId="10" borderId="20" xfId="0" applyFont="1" applyFill="1" applyBorder="1" applyAlignment="1">
      <alignment horizontal="center" vertical="center" wrapText="1"/>
    </xf>
    <xf numFmtId="0" fontId="5" fillId="18" borderId="12" xfId="0" applyFont="1" applyFill="1" applyBorder="1" applyAlignment="1">
      <alignment horizontal="center" vertical="center"/>
    </xf>
    <xf numFmtId="0" fontId="5" fillId="18" borderId="15" xfId="0" applyFont="1" applyFill="1" applyBorder="1" applyAlignment="1">
      <alignment horizontal="center" vertical="center"/>
    </xf>
    <xf numFmtId="0" fontId="5" fillId="18" borderId="18" xfId="0" applyFont="1" applyFill="1" applyBorder="1" applyAlignment="1">
      <alignment horizontal="center" vertical="center"/>
    </xf>
    <xf numFmtId="0" fontId="5" fillId="18" borderId="16" xfId="0" applyFont="1" applyFill="1" applyBorder="1" applyAlignment="1">
      <alignment horizontal="center" vertical="center"/>
    </xf>
    <xf numFmtId="0" fontId="5" fillId="18" borderId="17" xfId="0" applyFont="1" applyFill="1" applyBorder="1" applyAlignment="1">
      <alignment horizontal="center" vertical="center"/>
    </xf>
    <xf numFmtId="0" fontId="5" fillId="18" borderId="20" xfId="0" applyFont="1" applyFill="1" applyBorder="1" applyAlignment="1">
      <alignment horizontal="center" vertical="center"/>
    </xf>
    <xf numFmtId="0" fontId="7" fillId="13" borderId="13" xfId="0" applyFont="1" applyFill="1" applyBorder="1" applyAlignment="1">
      <alignment horizontal="center" vertical="center"/>
    </xf>
    <xf numFmtId="0" fontId="7" fillId="13" borderId="22" xfId="0" applyFont="1" applyFill="1" applyBorder="1" applyAlignment="1">
      <alignment horizontal="center" vertical="center"/>
    </xf>
    <xf numFmtId="0" fontId="7" fillId="13" borderId="23" xfId="0" applyFont="1" applyFill="1" applyBorder="1" applyAlignment="1">
      <alignment horizontal="center" vertical="center"/>
    </xf>
    <xf numFmtId="0" fontId="7" fillId="0" borderId="13" xfId="0" applyFont="1" applyBorder="1" applyAlignment="1">
      <alignment horizontal="center"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13" fillId="0" borderId="0" xfId="0" applyFont="1" applyAlignment="1" applyProtection="1">
      <alignment horizontal="center"/>
      <protection locked="0"/>
    </xf>
    <xf numFmtId="0" fontId="13" fillId="0" borderId="0" xfId="0" applyFont="1" applyAlignment="1">
      <alignment horizontal="center"/>
    </xf>
    <xf numFmtId="0" fontId="1" fillId="17" borderId="0" xfId="0" applyFont="1" applyFill="1" applyAlignment="1" applyProtection="1">
      <alignment horizontal="center"/>
      <protection locked="0"/>
    </xf>
    <xf numFmtId="0" fontId="1" fillId="17" borderId="0" xfId="0" applyFont="1" applyFill="1" applyAlignment="1">
      <alignment horizontal="center"/>
    </xf>
    <xf numFmtId="0" fontId="0" fillId="17" borderId="0" xfId="0" applyFill="1" applyAlignment="1">
      <alignment horizontal="center"/>
    </xf>
    <xf numFmtId="0" fontId="0" fillId="0" borderId="0" xfId="0" applyAlignment="1"/>
    <xf numFmtId="0" fontId="1" fillId="0" borderId="0" xfId="0" applyFont="1" applyAlignment="1"/>
  </cellXfs>
  <cellStyles count="7">
    <cellStyle name="Hipervínculo" xfId="4" builtinId="8"/>
    <cellStyle name="Millares" xfId="1" builtinId="3"/>
    <cellStyle name="Millares [0]" xfId="2" builtinId="6"/>
    <cellStyle name="Moneda" xfId="5" builtinId="4"/>
    <cellStyle name="Moneda 2" xfId="6" xr:uid="{A35473B3-B68C-420A-AA4F-BD2AC6E4307F}"/>
    <cellStyle name="Normal" xfId="0" builtinId="0"/>
    <cellStyle name="Porcentaje" xfId="3" builtinId="5"/>
  </cellStyles>
  <dxfs count="2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66"/>
      <color rgb="FFFF3399"/>
      <color rgb="FFFFCC99"/>
      <color rgb="FFCCFF99"/>
      <color rgb="FF0000FF"/>
      <color rgb="FF4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file:///C:\Users\maabello\Documents\SAP\zspc_sm04.bmp" TargetMode="Externa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4</xdr:row>
      <xdr:rowOff>0</xdr:rowOff>
    </xdr:to>
    <xdr:pic>
      <xdr:nvPicPr>
        <xdr:cNvPr id="2" name="Imagen 1">
          <a:extLst>
            <a:ext uri="{FF2B5EF4-FFF2-40B4-BE49-F238E27FC236}">
              <a16:creationId xmlns:a16="http://schemas.microsoft.com/office/drawing/2014/main" id="{870E5DE3-6FAF-4BB0-842C-2B451CC2A1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0910" cy="7315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F84E8B72-78FB-40EC-BA55-7946E13AADF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152400</xdr:rowOff>
    </xdr:to>
    <xdr:pic>
      <xdr:nvPicPr>
        <xdr:cNvPr id="2" name="Imagen 1">
          <a:extLst>
            <a:ext uri="{FF2B5EF4-FFF2-40B4-BE49-F238E27FC236}">
              <a16:creationId xmlns:a16="http://schemas.microsoft.com/office/drawing/2014/main" id="{D4F3447E-AFB7-4330-80DD-C920D92286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08C65CC0-75DD-4272-A5D1-CD3DB30849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D11F5B7F-6CF5-4239-9354-E0480115FA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6FE8A85D-38E7-498E-8CB9-E80CBA39622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457200</xdr:colOff>
      <xdr:row>3</xdr:row>
      <xdr:rowOff>180975</xdr:rowOff>
    </xdr:to>
    <xdr:pic>
      <xdr:nvPicPr>
        <xdr:cNvPr id="2" name="Imagen 1">
          <a:extLst>
            <a:ext uri="{FF2B5EF4-FFF2-40B4-BE49-F238E27FC236}">
              <a16:creationId xmlns:a16="http://schemas.microsoft.com/office/drawing/2014/main" id="{36D302BB-5392-460E-B1C7-22D555E54F8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4F2E2249-6776-4162-B691-FBADC8FF62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10</xdr:row>
      <xdr:rowOff>142875</xdr:rowOff>
    </xdr:to>
    <xdr:pic>
      <xdr:nvPicPr>
        <xdr:cNvPr id="2" name="Imagen 1">
          <a:extLst>
            <a:ext uri="{FF2B5EF4-FFF2-40B4-BE49-F238E27FC236}">
              <a16:creationId xmlns:a16="http://schemas.microsoft.com/office/drawing/2014/main" id="{A95A9973-33D5-43A9-B5A7-4AF79BA1A4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10</xdr:row>
      <xdr:rowOff>139411</xdr:rowOff>
    </xdr:to>
    <xdr:pic>
      <xdr:nvPicPr>
        <xdr:cNvPr id="2" name="Imagen 1">
          <a:extLst>
            <a:ext uri="{FF2B5EF4-FFF2-40B4-BE49-F238E27FC236}">
              <a16:creationId xmlns:a16="http://schemas.microsoft.com/office/drawing/2014/main" id="{118B7AD6-8D6A-43FB-9F1F-071597362A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B6E6F540-0778-49F6-B673-5BE2CA60D6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657225</xdr:colOff>
      <xdr:row>3</xdr:row>
      <xdr:rowOff>184785</xdr:rowOff>
    </xdr:to>
    <xdr:pic>
      <xdr:nvPicPr>
        <xdr:cNvPr id="2" name="Imagen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390900" cy="762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185266CE-3565-44EC-963D-D491A8E211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C72CD4BB-6D12-44B3-9328-22F8235B7B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1234D499-75F7-4852-849C-1CD7EB0B99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FEA854CC-EC43-4A35-A9BE-C75276716B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296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30E15FBD-6837-478B-8517-1D0378F076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235160FB-3596-4325-A657-63B788B1E1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472440</xdr:colOff>
      <xdr:row>6</xdr:row>
      <xdr:rowOff>142875</xdr:rowOff>
    </xdr:to>
    <xdr:pic>
      <xdr:nvPicPr>
        <xdr:cNvPr id="2" name="Imagen 1">
          <a:extLst>
            <a:ext uri="{FF2B5EF4-FFF2-40B4-BE49-F238E27FC236}">
              <a16:creationId xmlns:a16="http://schemas.microsoft.com/office/drawing/2014/main" id="{CEB67375-171E-4B75-8CEB-E9C1C95E89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1B3F271B-6DFB-433C-AB10-7A28410D0C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2961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5</xdr:row>
      <xdr:rowOff>171450</xdr:rowOff>
    </xdr:to>
    <xdr:pic>
      <xdr:nvPicPr>
        <xdr:cNvPr id="2" name="Imagen 1">
          <a:extLst>
            <a:ext uri="{FF2B5EF4-FFF2-40B4-BE49-F238E27FC236}">
              <a16:creationId xmlns:a16="http://schemas.microsoft.com/office/drawing/2014/main" id="{C450BAE2-21A4-45C2-8449-0FCB02F97C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C5F21FE6-3822-4F99-80BA-5E91DBFDF13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678180</xdr:colOff>
      <xdr:row>3</xdr:row>
      <xdr:rowOff>180975</xdr:rowOff>
    </xdr:to>
    <xdr:pic>
      <xdr:nvPicPr>
        <xdr:cNvPr id="2" name="Imagen 1">
          <a:extLst>
            <a:ext uri="{FF2B5EF4-FFF2-40B4-BE49-F238E27FC236}">
              <a16:creationId xmlns:a16="http://schemas.microsoft.com/office/drawing/2014/main" id="{779D7DCD-76AC-4DEC-9E90-D91FC54739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10</xdr:row>
      <xdr:rowOff>142875</xdr:rowOff>
    </xdr:to>
    <xdr:pic>
      <xdr:nvPicPr>
        <xdr:cNvPr id="2" name="Imagen 1">
          <a:extLst>
            <a:ext uri="{FF2B5EF4-FFF2-40B4-BE49-F238E27FC236}">
              <a16:creationId xmlns:a16="http://schemas.microsoft.com/office/drawing/2014/main" id="{F88293CF-D8A2-4470-8EA6-E8E6AFC210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0F5FBB22-1857-42FB-94B9-65D9824CF4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4CF8B681-0A9F-44C4-BF7E-643090187E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A2F70BB0-079B-4C40-AE01-B521F2B910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B9FA2128-3DBE-41FA-A8A4-3EC3048A2F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2961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D9522C73-700C-47DF-82E0-F2479CC430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E2921272-5472-4578-8AA6-094A19BF92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32A3CA59-6A4F-446F-80A3-809E4755F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EE3E2366-99BE-4A82-A7C9-07714DD8C0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296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CE0FDF35-B3BD-43FD-B31B-B4DFE3E217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266700</xdr:colOff>
      <xdr:row>3</xdr:row>
      <xdr:rowOff>180975</xdr:rowOff>
    </xdr:to>
    <xdr:pic>
      <xdr:nvPicPr>
        <xdr:cNvPr id="2" name="Imagen 1">
          <a:extLst>
            <a:ext uri="{FF2B5EF4-FFF2-40B4-BE49-F238E27FC236}">
              <a16:creationId xmlns:a16="http://schemas.microsoft.com/office/drawing/2014/main" id="{B8B9318D-C8A5-455B-8A5F-2B7634F22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C43868F7-537A-4BEE-945A-3C9337465A5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E8C08BE5-F595-4443-BEF3-6DE17DC0A9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182880</xdr:rowOff>
    </xdr:to>
    <xdr:pic>
      <xdr:nvPicPr>
        <xdr:cNvPr id="2" name="Imagen 1">
          <a:extLst>
            <a:ext uri="{FF2B5EF4-FFF2-40B4-BE49-F238E27FC236}">
              <a16:creationId xmlns:a16="http://schemas.microsoft.com/office/drawing/2014/main" id="{8DFA995F-D118-4B3A-8039-4E06651A9A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3</xdr:row>
      <xdr:rowOff>180975</xdr:rowOff>
    </xdr:to>
    <xdr:pic>
      <xdr:nvPicPr>
        <xdr:cNvPr id="2" name="Imagen 1">
          <a:extLst>
            <a:ext uri="{FF2B5EF4-FFF2-40B4-BE49-F238E27FC236}">
              <a16:creationId xmlns:a16="http://schemas.microsoft.com/office/drawing/2014/main" id="{A066B72A-A81E-47E3-BA6B-B6A36307AB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3474720" cy="73152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namedSheetView name="Vista 1" id="{AF11F3F8-6E36-4535-B9CF-6A4A77FC74F6}">
    <nsvFilter filterId="{00000000-0009-0000-0000-000007000000}" ref="A12:IZ40" tableId="0"/>
  </namedSheetView>
</namedSheetViews>
</file>

<file path=xl/namedSheetViews/namedSheetView2.xml><?xml version="1.0" encoding="utf-8"?>
<namedSheetViews xmlns="http://schemas.microsoft.com/office/spreadsheetml/2019/namedsheetviews" xmlns:x="http://schemas.openxmlformats.org/spreadsheetml/2006/main">
  <namedSheetView name="Vista 1" id="{55FB8CED-EA56-44BE-A967-5EE211724B2C}">
    <nsvFilter filterId="{00000000-0009-0000-0000-000008000000}" ref="A12:IZ19" tableId="0">
      <columnFilter colId="10">
        <filter colId="10">
          <x:filters>
            <x:filter val="374"/>
            <x:filter val="410"/>
            <x:filter val="411"/>
            <x:filter val="422"/>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Daniela Alba" id="{45CC7E1A-B2E6-46F5-A9A7-5A1B8BD3273F}" userId="e213746c67ab4efb"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20" dT="2021-11-19T22:48:08.90" personId="{45CC7E1A-B2E6-46F5-A9A7-5A1B8BD3273F}" id="{19092D90-3613-488D-82A0-10FB17EFF298}">
    <text>=15,38+3,8+7,69+7,69+34,6+7,69+23,07-3,9</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microsoft.com/office/2019/04/relationships/namedSheetView" Target="../namedSheetViews/namedSheetView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7A76-109E-4AD3-9454-C4809239B2E6}">
  <sheetPr codeName="Hoja36" filterMode="1"/>
  <dimension ref="A1:JA556"/>
  <sheetViews>
    <sheetView topLeftCell="W10" zoomScaleNormal="100" workbookViewId="0">
      <selection activeCell="AB447" sqref="AB447"/>
    </sheetView>
  </sheetViews>
  <sheetFormatPr defaultColWidth="11.42578125" defaultRowHeight="14.45"/>
  <cols>
    <col min="1" max="1" width="12.7109375" customWidth="1"/>
    <col min="2" max="2" width="35.140625" customWidth="1"/>
    <col min="3" max="4" width="12.7109375" customWidth="1"/>
    <col min="5" max="5" width="16" customWidth="1"/>
    <col min="6" max="6" width="20" customWidth="1"/>
    <col min="7" max="7" width="58.5703125" customWidth="1"/>
    <col min="8" max="8" width="12.7109375" customWidth="1"/>
    <col min="9" max="9" width="16" customWidth="1"/>
    <col min="10" max="10" width="7.7109375" customWidth="1"/>
    <col min="11" max="11" width="7.42578125" customWidth="1"/>
    <col min="12" max="12" width="23.28515625" style="4" customWidth="1"/>
    <col min="13" max="13" width="39.5703125" customWidth="1"/>
    <col min="14" max="18" width="12.7109375" customWidth="1"/>
    <col min="19" max="19" width="41.28515625" customWidth="1"/>
    <col min="20" max="26" width="12.7109375" customWidth="1"/>
    <col min="27" max="27" width="19.85546875" customWidth="1"/>
    <col min="28" max="34" width="12.7109375" customWidth="1"/>
    <col min="35" max="35" width="18.42578125" customWidth="1"/>
    <col min="36" max="36" width="53" customWidth="1"/>
    <col min="37" max="37" width="12.7109375" customWidth="1"/>
    <col min="38" max="39" width="13.42578125" customWidth="1"/>
    <col min="40" max="40" width="13.28515625" customWidth="1"/>
    <col min="41" max="42" width="13.42578125" customWidth="1"/>
    <col min="43" max="43" width="13.28515625" customWidth="1"/>
    <col min="44" max="44" width="19.5703125" customWidth="1"/>
    <col min="45" max="45" width="19" customWidth="1"/>
    <col min="46" max="46" width="18.85546875" customWidth="1"/>
    <col min="47" max="47" width="17.140625" customWidth="1"/>
    <col min="48" max="48" width="22.28515625" style="89" customWidth="1"/>
    <col min="49" max="50" width="13.28515625" customWidth="1"/>
    <col min="51" max="51" width="23.28515625" style="89" customWidth="1"/>
    <col min="52" max="52" width="18.140625" customWidth="1"/>
    <col min="53" max="53" width="17.42578125" customWidth="1"/>
    <col min="71" max="71" width="11.42578125" style="48"/>
    <col min="73" max="73" width="11.42578125" style="46"/>
    <col min="80" max="80" width="14.5703125" customWidth="1"/>
    <col min="91" max="91" width="17.85546875" customWidth="1"/>
  </cols>
  <sheetData>
    <row r="1" spans="1:91">
      <c r="A1" s="502"/>
      <c r="B1" s="502"/>
      <c r="C1" s="502"/>
      <c r="D1" s="502"/>
      <c r="E1" s="486" t="s">
        <v>0</v>
      </c>
      <c r="F1" s="487"/>
      <c r="G1" s="487"/>
      <c r="H1" s="487"/>
      <c r="I1" s="488"/>
      <c r="J1" s="492" t="s">
        <v>1</v>
      </c>
      <c r="K1" s="493"/>
      <c r="L1" s="494"/>
    </row>
    <row r="2" spans="1:91">
      <c r="A2" s="502"/>
      <c r="B2" s="502"/>
      <c r="C2" s="502"/>
      <c r="D2" s="502"/>
      <c r="E2" s="489"/>
      <c r="F2" s="490"/>
      <c r="G2" s="490"/>
      <c r="H2" s="490"/>
      <c r="I2" s="491"/>
      <c r="J2" s="486" t="s">
        <v>2</v>
      </c>
      <c r="K2" s="487"/>
      <c r="L2" s="495"/>
      <c r="M2">
        <v>163</v>
      </c>
    </row>
    <row r="3" spans="1:91">
      <c r="A3" s="502"/>
      <c r="B3" s="502"/>
      <c r="C3" s="502"/>
      <c r="D3" s="502"/>
      <c r="E3" s="486" t="s">
        <v>3</v>
      </c>
      <c r="F3" s="487"/>
      <c r="G3" s="487"/>
      <c r="H3" s="487"/>
      <c r="I3" s="488"/>
      <c r="J3" s="489"/>
      <c r="K3" s="490"/>
      <c r="L3" s="496"/>
    </row>
    <row r="4" spans="1:91">
      <c r="A4" s="502"/>
      <c r="B4" s="502"/>
      <c r="C4" s="502"/>
      <c r="D4" s="502"/>
      <c r="E4" s="489"/>
      <c r="F4" s="490"/>
      <c r="G4" s="490"/>
      <c r="H4" s="490"/>
      <c r="I4" s="491"/>
      <c r="J4" s="492" t="s">
        <v>4</v>
      </c>
      <c r="K4" s="493"/>
      <c r="L4" s="494"/>
    </row>
    <row r="5" spans="1:91" ht="15" thickBot="1"/>
    <row r="6" spans="1:91" ht="15" thickBot="1">
      <c r="A6" s="503" t="s">
        <v>5</v>
      </c>
      <c r="B6" s="503"/>
      <c r="C6" s="503"/>
      <c r="D6" s="1">
        <v>44316</v>
      </c>
      <c r="Z6" s="338" t="s">
        <v>6</v>
      </c>
    </row>
    <row r="7" spans="1:91" ht="15" thickBot="1"/>
    <row r="8" spans="1:91" ht="15.6" customHeight="1" thickBot="1">
      <c r="A8" s="454" t="s">
        <v>7</v>
      </c>
      <c r="B8" s="455"/>
      <c r="C8" s="455"/>
      <c r="D8" s="455"/>
      <c r="E8" s="455"/>
      <c r="F8" s="455"/>
      <c r="G8" s="455"/>
      <c r="H8" s="455"/>
      <c r="I8" s="455"/>
      <c r="J8" s="455"/>
      <c r="K8" s="455"/>
      <c r="L8" s="456"/>
      <c r="M8" s="455"/>
      <c r="N8" s="455"/>
      <c r="O8" s="455"/>
      <c r="P8" s="457"/>
      <c r="Q8" s="466" t="s">
        <v>8</v>
      </c>
      <c r="R8" s="467"/>
      <c r="S8" s="467"/>
      <c r="T8" s="467"/>
      <c r="U8" s="467"/>
      <c r="V8" s="467"/>
      <c r="W8" s="467"/>
      <c r="X8" s="467"/>
      <c r="Y8" s="467"/>
      <c r="Z8" s="467"/>
      <c r="AA8" s="467"/>
      <c r="AB8" s="467"/>
      <c r="AC8" s="467"/>
      <c r="AD8" s="467"/>
      <c r="AE8" s="467"/>
      <c r="AF8" s="467"/>
      <c r="AG8" s="467"/>
      <c r="AH8" s="467"/>
      <c r="AI8" s="467"/>
      <c r="AJ8" s="467"/>
      <c r="AK8" s="467"/>
      <c r="AL8" s="467"/>
      <c r="AM8" s="467"/>
      <c r="AN8" s="467"/>
      <c r="AO8" s="467"/>
      <c r="AP8" s="467"/>
      <c r="AQ8" s="467"/>
      <c r="AR8" s="468" t="s">
        <v>9</v>
      </c>
      <c r="AS8" s="469"/>
      <c r="AT8" s="469"/>
      <c r="AU8" s="469"/>
      <c r="AV8" s="469"/>
      <c r="AW8" s="469"/>
      <c r="AX8" s="469"/>
      <c r="AY8" s="470"/>
      <c r="AZ8" s="474" t="s">
        <v>10</v>
      </c>
      <c r="BA8" s="475"/>
      <c r="BB8" s="475"/>
      <c r="BC8" s="475"/>
      <c r="BD8" s="475"/>
      <c r="BE8" s="475"/>
      <c r="BF8" s="475"/>
      <c r="BG8" s="475"/>
      <c r="BH8" s="475"/>
      <c r="BI8" s="475"/>
      <c r="BJ8" s="476"/>
      <c r="BK8" s="443" t="s">
        <v>11</v>
      </c>
      <c r="BL8" s="444"/>
      <c r="BM8" s="444"/>
      <c r="BN8" s="444"/>
      <c r="BO8" s="444"/>
      <c r="BP8" s="445"/>
      <c r="BQ8" s="424" t="s">
        <v>12</v>
      </c>
      <c r="BR8" s="425"/>
      <c r="BS8" s="426"/>
      <c r="BT8" s="425"/>
      <c r="BU8" s="427"/>
      <c r="BV8" s="425"/>
      <c r="BW8" s="425"/>
      <c r="BX8" s="425"/>
      <c r="BY8" s="425"/>
      <c r="BZ8" s="425"/>
      <c r="CA8" s="425"/>
      <c r="CB8" s="425"/>
      <c r="CC8" s="425"/>
      <c r="CD8" s="425"/>
      <c r="CE8" s="425"/>
      <c r="CF8" s="425"/>
      <c r="CG8" s="428"/>
    </row>
    <row r="9" spans="1:91" ht="15" customHeight="1" thickBot="1">
      <c r="A9" s="458"/>
      <c r="B9" s="459"/>
      <c r="C9" s="459"/>
      <c r="D9" s="459"/>
      <c r="E9" s="459"/>
      <c r="F9" s="459"/>
      <c r="G9" s="459"/>
      <c r="H9" s="459"/>
      <c r="I9" s="459"/>
      <c r="J9" s="459"/>
      <c r="K9" s="459"/>
      <c r="L9" s="460"/>
      <c r="M9" s="459"/>
      <c r="N9" s="459"/>
      <c r="O9" s="459"/>
      <c r="P9" s="461"/>
      <c r="Q9" s="434" t="s">
        <v>13</v>
      </c>
      <c r="R9" s="435"/>
      <c r="S9" s="436"/>
      <c r="T9" s="440">
        <v>2020</v>
      </c>
      <c r="U9" s="441"/>
      <c r="V9" s="441"/>
      <c r="W9" s="441"/>
      <c r="X9" s="441"/>
      <c r="Y9" s="441"/>
      <c r="Z9" s="441"/>
      <c r="AA9" s="441"/>
      <c r="AB9" s="441"/>
      <c r="AC9" s="441"/>
      <c r="AD9" s="440">
        <v>2021</v>
      </c>
      <c r="AE9" s="441"/>
      <c r="AF9" s="441"/>
      <c r="AG9" s="441"/>
      <c r="AH9" s="441"/>
      <c r="AI9" s="441"/>
      <c r="AJ9" s="441"/>
      <c r="AK9" s="441"/>
      <c r="AL9" s="441">
        <v>2022</v>
      </c>
      <c r="AM9" s="441"/>
      <c r="AN9" s="440">
        <v>2023</v>
      </c>
      <c r="AO9" s="442"/>
      <c r="AP9" s="441">
        <v>2024</v>
      </c>
      <c r="AQ9" s="441"/>
      <c r="AR9" s="471"/>
      <c r="AS9" s="472"/>
      <c r="AT9" s="472"/>
      <c r="AU9" s="472"/>
      <c r="AV9" s="472"/>
      <c r="AW9" s="472"/>
      <c r="AX9" s="472"/>
      <c r="AY9" s="473"/>
      <c r="AZ9" s="477"/>
      <c r="BA9" s="478"/>
      <c r="BB9" s="478"/>
      <c r="BC9" s="478"/>
      <c r="BD9" s="478"/>
      <c r="BE9" s="478"/>
      <c r="BF9" s="478"/>
      <c r="BG9" s="478"/>
      <c r="BH9" s="478"/>
      <c r="BI9" s="478"/>
      <c r="BJ9" s="479"/>
      <c r="BK9" s="446"/>
      <c r="BL9" s="447"/>
      <c r="BM9" s="447"/>
      <c r="BN9" s="447"/>
      <c r="BO9" s="447"/>
      <c r="BP9" s="448"/>
      <c r="BQ9" s="429"/>
      <c r="BR9" s="430"/>
      <c r="BS9" s="431"/>
      <c r="BT9" s="430"/>
      <c r="BU9" s="432"/>
      <c r="BV9" s="430"/>
      <c r="BW9" s="430"/>
      <c r="BX9" s="430"/>
      <c r="BY9" s="430"/>
      <c r="BZ9" s="430"/>
      <c r="CA9" s="430"/>
      <c r="CB9" s="430"/>
      <c r="CC9" s="430"/>
      <c r="CD9" s="430"/>
      <c r="CE9" s="430"/>
      <c r="CF9" s="430"/>
      <c r="CG9" s="433"/>
    </row>
    <row r="10" spans="1:91" ht="20.25" customHeight="1" thickBot="1">
      <c r="A10" s="462"/>
      <c r="B10" s="463"/>
      <c r="C10" s="463"/>
      <c r="D10" s="463"/>
      <c r="E10" s="463"/>
      <c r="F10" s="463"/>
      <c r="G10" s="463"/>
      <c r="H10" s="463"/>
      <c r="I10" s="463"/>
      <c r="J10" s="463"/>
      <c r="K10" s="463"/>
      <c r="L10" s="464"/>
      <c r="M10" s="463"/>
      <c r="N10" s="463"/>
      <c r="O10" s="463"/>
      <c r="P10" s="465"/>
      <c r="Q10" s="437"/>
      <c r="R10" s="438"/>
      <c r="S10" s="439"/>
      <c r="T10" s="440" t="s">
        <v>14</v>
      </c>
      <c r="U10" s="441"/>
      <c r="V10" s="441"/>
      <c r="W10" s="441"/>
      <c r="X10" s="441"/>
      <c r="Y10" s="441"/>
      <c r="Z10" s="441"/>
      <c r="AA10" s="441"/>
      <c r="AB10" s="441"/>
      <c r="AC10" s="442"/>
      <c r="AD10" s="440" t="s">
        <v>14</v>
      </c>
      <c r="AE10" s="441"/>
      <c r="AF10" s="441"/>
      <c r="AG10" s="441"/>
      <c r="AH10" s="441"/>
      <c r="AI10" s="441"/>
      <c r="AJ10" s="441"/>
      <c r="AK10" s="441"/>
      <c r="AL10" s="441" t="s">
        <v>14</v>
      </c>
      <c r="AM10" s="441"/>
      <c r="AN10" s="441" t="s">
        <v>14</v>
      </c>
      <c r="AO10" s="441"/>
      <c r="AP10" s="441" t="s">
        <v>14</v>
      </c>
      <c r="AQ10" s="441"/>
      <c r="AR10" s="480">
        <v>2020</v>
      </c>
      <c r="AS10" s="481"/>
      <c r="AT10" s="481"/>
      <c r="AU10" s="482"/>
      <c r="AV10" s="483">
        <v>2021</v>
      </c>
      <c r="AW10" s="484"/>
      <c r="AX10" s="484"/>
      <c r="AY10" s="485"/>
      <c r="AZ10" s="36" t="s">
        <v>13</v>
      </c>
      <c r="BA10" s="452">
        <v>2020</v>
      </c>
      <c r="BB10" s="453"/>
      <c r="BC10" s="452">
        <v>2021</v>
      </c>
      <c r="BD10" s="453"/>
      <c r="BE10" s="452">
        <v>2022</v>
      </c>
      <c r="BF10" s="453"/>
      <c r="BG10" s="452">
        <v>2023</v>
      </c>
      <c r="BH10" s="453"/>
      <c r="BI10" s="452">
        <v>2024</v>
      </c>
      <c r="BJ10" s="453"/>
      <c r="BK10" s="449"/>
      <c r="BL10" s="450"/>
      <c r="BM10" s="450"/>
      <c r="BN10" s="450"/>
      <c r="BO10" s="450"/>
      <c r="BP10" s="451"/>
      <c r="BQ10" s="422" t="s">
        <v>13</v>
      </c>
      <c r="BR10" s="423"/>
      <c r="BS10" s="416">
        <v>2020</v>
      </c>
      <c r="BT10" s="417"/>
      <c r="BU10" s="418"/>
      <c r="BV10" s="419">
        <v>2021</v>
      </c>
      <c r="BW10" s="420"/>
      <c r="BX10" s="421"/>
      <c r="BY10" s="419">
        <v>2022</v>
      </c>
      <c r="BZ10" s="420"/>
      <c r="CA10" s="421"/>
      <c r="CB10" s="419">
        <v>2023</v>
      </c>
      <c r="CC10" s="420"/>
      <c r="CD10" s="421"/>
      <c r="CE10" s="419">
        <v>2024</v>
      </c>
      <c r="CF10" s="420"/>
      <c r="CG10" s="421"/>
    </row>
    <row r="11" spans="1:91" ht="58.9" customHeight="1" thickBot="1">
      <c r="A11" s="227" t="s">
        <v>15</v>
      </c>
      <c r="B11" s="227" t="s">
        <v>16</v>
      </c>
      <c r="C11" s="227" t="s">
        <v>17</v>
      </c>
      <c r="D11" s="227" t="s">
        <v>18</v>
      </c>
      <c r="E11" s="227" t="s">
        <v>19</v>
      </c>
      <c r="F11" s="227" t="s">
        <v>20</v>
      </c>
      <c r="G11" s="227" t="s">
        <v>21</v>
      </c>
      <c r="H11" s="227" t="s">
        <v>22</v>
      </c>
      <c r="I11" s="227" t="s">
        <v>23</v>
      </c>
      <c r="J11" s="227" t="s">
        <v>24</v>
      </c>
      <c r="K11" s="227" t="s">
        <v>25</v>
      </c>
      <c r="L11" s="227" t="s">
        <v>26</v>
      </c>
      <c r="M11" s="227" t="s">
        <v>27</v>
      </c>
      <c r="N11" s="227" t="s">
        <v>28</v>
      </c>
      <c r="O11" s="227" t="s">
        <v>29</v>
      </c>
      <c r="P11" s="228" t="s">
        <v>30</v>
      </c>
      <c r="Q11" s="229" t="s">
        <v>31</v>
      </c>
      <c r="R11" s="229" t="s">
        <v>32</v>
      </c>
      <c r="S11" s="230" t="s">
        <v>33</v>
      </c>
      <c r="T11" s="231" t="s">
        <v>34</v>
      </c>
      <c r="U11" s="231" t="s">
        <v>35</v>
      </c>
      <c r="V11" s="231" t="s">
        <v>36</v>
      </c>
      <c r="W11" s="231" t="s">
        <v>37</v>
      </c>
      <c r="X11" s="232" t="s">
        <v>38</v>
      </c>
      <c r="Y11" s="232" t="s">
        <v>39</v>
      </c>
      <c r="Z11" s="232" t="s">
        <v>40</v>
      </c>
      <c r="AA11" s="232" t="s">
        <v>41</v>
      </c>
      <c r="AB11" s="232" t="s">
        <v>42</v>
      </c>
      <c r="AC11" s="232" t="s">
        <v>43</v>
      </c>
      <c r="AD11" s="233" t="s">
        <v>44</v>
      </c>
      <c r="AE11" s="233" t="s">
        <v>45</v>
      </c>
      <c r="AF11" s="230" t="s">
        <v>46</v>
      </c>
      <c r="AG11" s="230" t="s">
        <v>47</v>
      </c>
      <c r="AH11" s="233" t="s">
        <v>48</v>
      </c>
      <c r="AI11" s="230" t="s">
        <v>41</v>
      </c>
      <c r="AJ11" s="230" t="s">
        <v>42</v>
      </c>
      <c r="AK11" s="230" t="s">
        <v>43</v>
      </c>
      <c r="AL11" s="231" t="s">
        <v>49</v>
      </c>
      <c r="AM11" s="231" t="s">
        <v>50</v>
      </c>
      <c r="AN11" s="231" t="s">
        <v>51</v>
      </c>
      <c r="AO11" s="231" t="s">
        <v>52</v>
      </c>
      <c r="AP11" s="231" t="s">
        <v>53</v>
      </c>
      <c r="AQ11" s="231" t="s">
        <v>54</v>
      </c>
      <c r="AR11" s="24" t="s">
        <v>55</v>
      </c>
      <c r="AS11" s="24" t="s">
        <v>56</v>
      </c>
      <c r="AT11" s="53" t="s">
        <v>57</v>
      </c>
      <c r="AU11" s="24" t="s">
        <v>58</v>
      </c>
      <c r="AV11" s="398" t="s">
        <v>55</v>
      </c>
      <c r="AW11" s="399" t="s">
        <v>56</v>
      </c>
      <c r="AX11" s="399" t="s">
        <v>57</v>
      </c>
      <c r="AY11" s="398" t="s">
        <v>58</v>
      </c>
      <c r="AZ11" s="234" t="s">
        <v>59</v>
      </c>
      <c r="BA11" s="235" t="s">
        <v>60</v>
      </c>
      <c r="BB11" s="236" t="s">
        <v>61</v>
      </c>
      <c r="BC11" s="235" t="s">
        <v>62</v>
      </c>
      <c r="BD11" s="236" t="s">
        <v>63</v>
      </c>
      <c r="BE11" s="235" t="s">
        <v>64</v>
      </c>
      <c r="BF11" s="236" t="s">
        <v>65</v>
      </c>
      <c r="BG11" s="235" t="s">
        <v>66</v>
      </c>
      <c r="BH11" s="236" t="s">
        <v>67</v>
      </c>
      <c r="BI11" s="235" t="s">
        <v>68</v>
      </c>
      <c r="BJ11" s="236" t="s">
        <v>69</v>
      </c>
      <c r="BK11" s="237" t="s">
        <v>70</v>
      </c>
      <c r="BL11" s="237" t="s">
        <v>71</v>
      </c>
      <c r="BM11" s="237" t="s">
        <v>72</v>
      </c>
      <c r="BN11" s="237" t="s">
        <v>73</v>
      </c>
      <c r="BO11" s="237" t="s">
        <v>74</v>
      </c>
      <c r="BP11" s="237" t="s">
        <v>75</v>
      </c>
      <c r="BQ11" s="238" t="s">
        <v>76</v>
      </c>
      <c r="BR11" s="239" t="s">
        <v>77</v>
      </c>
      <c r="BS11" s="240" t="s">
        <v>78</v>
      </c>
      <c r="BT11" s="241" t="s">
        <v>79</v>
      </c>
      <c r="BU11" s="241" t="s">
        <v>80</v>
      </c>
      <c r="BV11" s="242" t="s">
        <v>81</v>
      </c>
      <c r="BW11" s="241" t="s">
        <v>82</v>
      </c>
      <c r="BX11" s="241" t="s">
        <v>83</v>
      </c>
      <c r="BY11" s="242" t="s">
        <v>84</v>
      </c>
      <c r="BZ11" s="241" t="s">
        <v>85</v>
      </c>
      <c r="CA11" s="241" t="s">
        <v>86</v>
      </c>
      <c r="CB11" s="242" t="s">
        <v>87</v>
      </c>
      <c r="CC11" s="241" t="s">
        <v>88</v>
      </c>
      <c r="CD11" s="241" t="s">
        <v>89</v>
      </c>
      <c r="CE11" s="242" t="s">
        <v>90</v>
      </c>
      <c r="CF11" s="241" t="s">
        <v>91</v>
      </c>
      <c r="CG11" s="241" t="s">
        <v>92</v>
      </c>
      <c r="CH11" s="241" t="s">
        <v>93</v>
      </c>
      <c r="CI11" s="241" t="s">
        <v>94</v>
      </c>
      <c r="CJ11" s="241" t="s">
        <v>95</v>
      </c>
      <c r="CK11" s="241" t="s">
        <v>96</v>
      </c>
      <c r="CL11" s="29" t="s">
        <v>97</v>
      </c>
      <c r="CM11" s="265" t="s">
        <v>32</v>
      </c>
    </row>
    <row r="12" spans="1:91" ht="18" hidden="1" customHeight="1">
      <c r="A12" s="260" t="s">
        <v>98</v>
      </c>
      <c r="B12" s="260" t="s">
        <v>99</v>
      </c>
      <c r="C12" s="260" t="s">
        <v>100</v>
      </c>
      <c r="D12" s="260" t="s">
        <v>101</v>
      </c>
      <c r="E12" s="260" t="s">
        <v>102</v>
      </c>
      <c r="F12" s="260" t="s">
        <v>103</v>
      </c>
      <c r="G12" s="260" t="s">
        <v>104</v>
      </c>
      <c r="H12" s="260" t="s">
        <v>105</v>
      </c>
      <c r="I12" s="260" t="s">
        <v>106</v>
      </c>
      <c r="J12" s="12" t="s">
        <v>107</v>
      </c>
      <c r="K12" s="260" t="s">
        <v>108</v>
      </c>
      <c r="L12" s="260" t="s">
        <v>109</v>
      </c>
      <c r="M12" s="260" t="s">
        <v>110</v>
      </c>
      <c r="N12" s="260" t="s">
        <v>111</v>
      </c>
      <c r="O12" s="260" t="s">
        <v>112</v>
      </c>
      <c r="P12" s="10">
        <v>7</v>
      </c>
      <c r="Q12" s="11">
        <v>40</v>
      </c>
      <c r="R12" s="11">
        <f>Z12+AH12</f>
        <v>13</v>
      </c>
      <c r="S12" s="11" t="str">
        <f>VLOOKUP(K12,'1197 Salud'!$K$13:$AK$54,9,0)</f>
        <v>Se logra dar cumplimiento a la implementación de lineas estrategicas de politca pública, en los municipios priorizados de Sopo, Fusagasuga, Zipaquirá, Nilo, El Rosal y La Mesa, en la vigencia 2020. Para el año  2021, se ha logrado avanzar en  siete municipios los cuales son : Gachancipa, Cucunuba, Funza, Girardot,  Cota, Guaduas y Villeta con  la implementacion de acciones que permiten fortalecer las areas de politica pública orientadas al trabajador informal en cuanto a deberes y derechos, entornos laborales saludables, fomento del trabajo protegido, red sociales de trabajadores, Sivisala.</v>
      </c>
      <c r="T12" s="11">
        <v>6</v>
      </c>
      <c r="U12" s="11">
        <v>0</v>
      </c>
      <c r="V12" s="11">
        <v>6</v>
      </c>
      <c r="W12" s="11">
        <v>0</v>
      </c>
      <c r="X12" s="11">
        <v>6</v>
      </c>
      <c r="Y12" s="11">
        <v>0</v>
      </c>
      <c r="Z12" s="11">
        <v>6</v>
      </c>
      <c r="AA12" s="11" t="s">
        <v>110</v>
      </c>
      <c r="AB12" s="11" t="s">
        <v>113</v>
      </c>
      <c r="AC12" s="11" t="s">
        <v>114</v>
      </c>
      <c r="AD12" s="402">
        <v>12</v>
      </c>
      <c r="AE12" s="402">
        <v>0</v>
      </c>
      <c r="AF12" s="11">
        <f>VLOOKUP(K12,'1197 Salud'!$K$13:$AK$54,22,0)</f>
        <v>7</v>
      </c>
      <c r="AG12" s="11">
        <f>VLOOKUP($K$12,'1197 Salud'!$K$13:$AK$54,23,0)</f>
        <v>0</v>
      </c>
      <c r="AH12" s="11">
        <f>AF12</f>
        <v>7</v>
      </c>
      <c r="AI12" s="11" t="str">
        <f>VLOOKUP(K12,'1197 Salud'!$K$13:$AK$54,25,0)</f>
        <v>Municipios con líneas estratégicas implementadas de la Política Pública para el Fomento de la Seguridad y Salud de los Trabajadores.</v>
      </c>
      <c r="AJ12" s="11" t="str">
        <f>VLOOKUP(K12,'1197 Salud'!$K$13:$AK$54,26,0)</f>
        <v>Se avanzó en los siete municipios Gachancipa, Cucunuba, Funza, Girardot, Cota, Guaduas y Villeta  con  la implementacion de acciones que permiten fortalecer las areas de politica pública orientadas al trabajador informal en cuanto a deberes y derechos, entornos laborales saludables, fomento del trabajo protegido, red sociales de trabajadores, Sivisala.</v>
      </c>
      <c r="AK12" s="11" t="str">
        <f>VLOOKUP(K12,'1197 Salud'!$K$13:$AK$54,27,0)</f>
        <v xml:space="preserve">La totalidad de los  municipios a la fecha no cuenta con ejecutor de salud laboral.  Algunos no atienden las solciitudes por parte de los referentes, por lo tanto no se cuenta con la totalidad de PAS municipales para conocer quienes cuentan con acciones de la Dimensión y qiuenes no. A la fecha no se cuenta con contrato interadministrativo de concurrencia. </v>
      </c>
      <c r="AL12" s="11">
        <v>12</v>
      </c>
      <c r="AM12" s="11">
        <v>0</v>
      </c>
      <c r="AN12" s="11">
        <v>10</v>
      </c>
      <c r="AO12" s="11">
        <v>0</v>
      </c>
      <c r="AP12" s="11">
        <v>0</v>
      </c>
      <c r="AQ12" s="11">
        <v>0</v>
      </c>
      <c r="AR12" s="51">
        <v>227184557</v>
      </c>
      <c r="AS12" s="54">
        <v>0</v>
      </c>
      <c r="AT12" s="54">
        <f t="shared" ref="AT12:AT75" si="0">AR12+AS12</f>
        <v>227184557</v>
      </c>
      <c r="AU12" s="51">
        <v>211070998</v>
      </c>
      <c r="AV12" s="243">
        <v>454011350</v>
      </c>
      <c r="AW12" s="244"/>
      <c r="AX12" s="244"/>
      <c r="AY12" s="243">
        <v>445048280</v>
      </c>
      <c r="AZ12" s="44">
        <f>R12/Q12</f>
        <v>0.32500000000000001</v>
      </c>
      <c r="BA12" s="44">
        <v>0.15</v>
      </c>
      <c r="BB12" s="44">
        <v>1</v>
      </c>
      <c r="BC12" s="44">
        <f>AD12/Q12</f>
        <v>0.3</v>
      </c>
      <c r="BD12" s="44" cm="1">
        <f t="array" ref="BD12">_xlfn.IFS(AD12=0,"NA",AD12&gt;0,AH12/AD12)</f>
        <v>0.58333333333333337</v>
      </c>
      <c r="BE12" s="44">
        <f>AL12/Q12</f>
        <v>0.3</v>
      </c>
      <c r="BF12" s="44">
        <v>0</v>
      </c>
      <c r="BG12" s="44">
        <f>AN12/Q12</f>
        <v>0.25</v>
      </c>
      <c r="BH12" s="44">
        <v>0</v>
      </c>
      <c r="BI12" s="44">
        <f>AP12/Q12</f>
        <v>0</v>
      </c>
      <c r="BJ12" s="44" t="s">
        <v>115</v>
      </c>
      <c r="BK12" s="44">
        <f t="shared" ref="BK12:BK75" si="1">IF(AZ12&gt;100%,"100%",AZ12)</f>
        <v>0.32500000000000001</v>
      </c>
      <c r="BL12" s="44">
        <v>1</v>
      </c>
      <c r="BM12" s="44" cm="1">
        <f t="array" ref="BM12">_xlfn.IFS(BD12="NA","NA",BD12&gt;100%,"100%",BD12&lt;100,BD12)</f>
        <v>0.58333333333333337</v>
      </c>
      <c r="BN12" s="44" cm="1">
        <f t="array" ref="BN12">_xlfn.IFS(BF12="NA","NA",BF12&gt;100%,"100%",BF12&lt;100,BF12)</f>
        <v>0</v>
      </c>
      <c r="BO12" s="44" cm="1">
        <f t="array" ref="BO12">_xlfn.IFS(BH12="NA","NA",BH12&gt;100%,"100%",BH12&lt;100,BH12)</f>
        <v>0</v>
      </c>
      <c r="BP12" s="44" t="str" cm="1">
        <f t="array" ref="BP12">_xlfn.IFS(BJ12="NA","NA",BJ12&gt;100%,"100%",BJ12&lt;100,BJ12)</f>
        <v>NA</v>
      </c>
      <c r="BQ12" s="45">
        <v>0.22500000000000001</v>
      </c>
      <c r="BR12" s="45">
        <f t="shared" ref="BR12:BR77" si="2">BQ12*BK12</f>
        <v>7.3125000000000009E-2</v>
      </c>
      <c r="BS12" s="45">
        <v>3.3799999999999997E-2</v>
      </c>
      <c r="BT12" s="45">
        <v>3.3799999999999997E-2</v>
      </c>
      <c r="BU12" s="45">
        <v>3.3799999999999997E-2</v>
      </c>
      <c r="BV12" s="45">
        <f>(AD12*BQ12)/Q12</f>
        <v>6.7500000000000004E-2</v>
      </c>
      <c r="BW12" s="45">
        <f t="shared" ref="BW12:BW37" si="3">IF(BM12="NA","NA",BM12*BV12)</f>
        <v>3.9375000000000007E-2</v>
      </c>
      <c r="BX12" s="45">
        <f t="shared" ref="BX12:BX37" si="4">BR12-BU12</f>
        <v>3.9325000000000013E-2</v>
      </c>
      <c r="BY12" s="45">
        <f>(AL12*BQ12)/Q12</f>
        <v>6.7500000000000004E-2</v>
      </c>
      <c r="BZ12" s="45">
        <f>IF(BN12="NA","NA",BN12*BY12)</f>
        <v>0</v>
      </c>
      <c r="CA12" s="45">
        <f t="shared" ref="CA12:CA53" si="5">BR12-BU12-BX12</f>
        <v>0</v>
      </c>
      <c r="CB12" s="45">
        <f>(AN12*BQ12)/Q12</f>
        <v>5.6250000000000001E-2</v>
      </c>
      <c r="CC12" s="45">
        <f>IF(BO12="NA","NA",BO12*CB12)</f>
        <v>0</v>
      </c>
      <c r="CD12" s="45">
        <v>0</v>
      </c>
      <c r="CE12" s="45">
        <f>(AP12*BQ12)/Q12</f>
        <v>0</v>
      </c>
      <c r="CF12" s="45" t="str">
        <f>IF(BP12="NA","NA",BP12*CE12)</f>
        <v>NA</v>
      </c>
      <c r="CG12" s="45">
        <v>0</v>
      </c>
      <c r="CH12" s="244"/>
      <c r="CI12" s="244"/>
      <c r="CJ12" s="244"/>
      <c r="CK12" s="244"/>
      <c r="CM12" s="63">
        <v>10</v>
      </c>
    </row>
    <row r="13" spans="1:91" ht="18" hidden="1" customHeight="1">
      <c r="A13" s="260" t="s">
        <v>98</v>
      </c>
      <c r="B13" s="260" t="s">
        <v>99</v>
      </c>
      <c r="C13" s="260" t="s">
        <v>100</v>
      </c>
      <c r="D13" s="260" t="s">
        <v>101</v>
      </c>
      <c r="E13" s="260" t="s">
        <v>102</v>
      </c>
      <c r="F13" s="260" t="s">
        <v>116</v>
      </c>
      <c r="G13" s="260" t="s">
        <v>117</v>
      </c>
      <c r="H13" s="260" t="s">
        <v>118</v>
      </c>
      <c r="I13" s="260" t="s">
        <v>106</v>
      </c>
      <c r="J13" s="260" t="s">
        <v>119</v>
      </c>
      <c r="K13" s="260" t="s">
        <v>120</v>
      </c>
      <c r="L13" s="260" t="s">
        <v>121</v>
      </c>
      <c r="M13" s="260" t="s">
        <v>122</v>
      </c>
      <c r="N13" s="260" t="s">
        <v>123</v>
      </c>
      <c r="O13" s="260" t="s">
        <v>124</v>
      </c>
      <c r="P13" s="10">
        <v>100</v>
      </c>
      <c r="Q13" s="11">
        <v>100</v>
      </c>
      <c r="R13" s="11">
        <f>(Z13+AH13)/CL13</f>
        <v>47.75</v>
      </c>
      <c r="S13" s="11" t="str">
        <f>VLOOKUP(K13,'1197 Salud'!$K$13:$AK$54,9,0)</f>
        <v>1. La Secretaría de Salud tramita las solicitudes de los servicios de salud para la población pobre no asegurada y extranjera sin afiliación al Sistema General de Seguridad Social en Salud SGSSS con las Instituciones Prestadoras de Salud IPS públicas, privadas y Empresas Sociales de Estado Hospitales del Departamento garantizando la facturación generada por la prestación de los servicios de salud este acorde con los parámetros contractuales entre las entidades prestadoras de servicio de salud.
2. La cobertura del aseguramiento en salud establece el porcentaje de la población que cuenta con afiliación al sistema general de seguridad social en salud, garantizando así su acceso a los diferentes servicios de salud que brinda el sistema. A nivel Nacional el estándar o meta a cumplir frente al aseguramiento se encuentra en 97% con el propósito de lograr la cobertura universal.</v>
      </c>
      <c r="T13" s="11">
        <v>0</v>
      </c>
      <c r="U13" s="11">
        <v>100</v>
      </c>
      <c r="V13" s="11">
        <v>0</v>
      </c>
      <c r="W13" s="11">
        <v>100</v>
      </c>
      <c r="X13" s="11" t="s">
        <v>115</v>
      </c>
      <c r="Y13" s="11">
        <v>100</v>
      </c>
      <c r="Z13" s="11">
        <v>100</v>
      </c>
      <c r="AA13" s="11" t="s">
        <v>125</v>
      </c>
      <c r="AB13" s="11" t="s">
        <v>126</v>
      </c>
      <c r="AC13" s="11" t="s">
        <v>127</v>
      </c>
      <c r="AD13" s="403">
        <v>0</v>
      </c>
      <c r="AE13" s="403">
        <v>100</v>
      </c>
      <c r="AF13" s="11">
        <f>VLOOKUP(K13,'1197 Salud'!$K$13:$AK$54,22,0)</f>
        <v>0</v>
      </c>
      <c r="AG13" s="11">
        <f>VLOOKUP(K13,'1197 Salud'!$K$13:$AK$54,23,0)</f>
        <v>91</v>
      </c>
      <c r="AH13" s="11">
        <f>AG13</f>
        <v>91</v>
      </c>
      <c r="AI13" s="11" t="str">
        <f>VLOOKUP(K13,'1197 Salud'!$K$13:$AK$54,25,0)</f>
        <v>Solicitudes atendidas</v>
      </c>
      <c r="AJ13" s="11" t="str">
        <f>VLOOKUP(K13,'1197 Salud'!$K$13:$AK$54,26,0)</f>
        <v>1. La Secretaría de Salud tramita las solicitudes de los servicios de salud para la población pobre no asegurada y extranjera sin afiliación al Sistema General de Seguridad Social en Salud SGSSS con las Instituciones Prestadoras de Salud IPS públicas, privadas y Empresas Sociales de Estado Hospitales del Departamento garantizando la facturación generada por la prestación de los servicios de salud este acorde con los parámetros contractuales entre las entidades prestadoras de servicio de salud.
2. La cobertura del aseguramiento en salud establece el porcentaje de la población que cuenta con afiliación al sistema general de seguridad social en salud, garantizando así su acceso a los diferentes servicios de salud que brinda el sistema. A nivel Nacional el estándar o meta a cumplir frente al aseguramiento se encuentra en 97% con el propósito de lograr la cobertura universal.</v>
      </c>
      <c r="AK13" s="11" t="str">
        <f>VLOOKUP(K13,'1197 Salud'!$K$13:$AK$54,27,0)</f>
        <v>•	En la Secretario de Salud del Departamento se ha teniendo en cuenta el recaudo del Departamento de las fuentes que financia esta meta, lo cual es baja en el 1er semestre del año que implica a celebrar contratación de prestación de servicios y el pago de cartera a las Instituciones Prestadoras de Salud. 
•	En la Secretaria de Salud del Departamento no cuenta un cuadro o programa del seguimiento de las factoras o cuentas de cobro desde su la radicación en la Dirección de Aseguramiento hasta su pago. contratación parcial en la medida que se tenga recaudo efectivo.</v>
      </c>
      <c r="AL13" s="11">
        <v>0</v>
      </c>
      <c r="AM13" s="11">
        <v>100</v>
      </c>
      <c r="AN13" s="11">
        <v>0</v>
      </c>
      <c r="AO13" s="11">
        <v>100</v>
      </c>
      <c r="AP13" s="11">
        <v>0</v>
      </c>
      <c r="AQ13" s="11">
        <v>0</v>
      </c>
      <c r="AR13" s="51">
        <v>60756265838</v>
      </c>
      <c r="AS13" s="54">
        <v>0</v>
      </c>
      <c r="AT13" s="54">
        <f t="shared" si="0"/>
        <v>60756265838</v>
      </c>
      <c r="AU13" s="51">
        <v>43867890418</v>
      </c>
      <c r="AV13" s="243">
        <v>91892722227</v>
      </c>
      <c r="AW13" s="244"/>
      <c r="AX13" s="244"/>
      <c r="AY13" s="243">
        <v>58154453020</v>
      </c>
      <c r="AZ13" s="44" cm="1">
        <f t="array" ref="AZ13">_xlfn.IFS((BA13=0),(BD13/CL13),(BA13&gt;0),((BB13+BD13)/CL13),(BE13&gt;0),((BB13+BD13+BE13)/CL13),(BG13&gt;0),((BB13+BD13+BE13+G13)/CL13))</f>
        <v>0.47750000000000004</v>
      </c>
      <c r="BA13" s="44">
        <v>0.25</v>
      </c>
      <c r="BB13" s="44">
        <v>1</v>
      </c>
      <c r="BC13" s="44">
        <f>IF(AE13&gt;0,(1/CL13),0)</f>
        <v>0.25</v>
      </c>
      <c r="BD13" s="44" cm="1">
        <f t="array" ref="BD13">_xlfn.IFS(AE13=0,"NA",AE13&gt;0,AH13/AE13)</f>
        <v>0.91</v>
      </c>
      <c r="BE13" s="44">
        <f>IF(AM13&gt;0,(1/CL13),0)</f>
        <v>0.25</v>
      </c>
      <c r="BF13" s="44">
        <v>0</v>
      </c>
      <c r="BG13" s="44">
        <f>IF(AO13&gt;0,(1/CL13),0)</f>
        <v>0.25</v>
      </c>
      <c r="BH13" s="44">
        <v>0</v>
      </c>
      <c r="BI13" s="44">
        <v>0</v>
      </c>
      <c r="BJ13" s="44" t="s">
        <v>115</v>
      </c>
      <c r="BK13" s="44">
        <f t="shared" si="1"/>
        <v>0.47750000000000004</v>
      </c>
      <c r="BL13" s="44">
        <v>1</v>
      </c>
      <c r="BM13" s="44" cm="1">
        <f t="array" ref="BM13">_xlfn.IFS(BD13="NA","NA",BD13&gt;100%,"100%",BD13&lt;100,BD13)</f>
        <v>0.91</v>
      </c>
      <c r="BN13" s="44">
        <v>0</v>
      </c>
      <c r="BO13" s="44">
        <v>0</v>
      </c>
      <c r="BP13" s="44" t="s">
        <v>115</v>
      </c>
      <c r="BQ13" s="45">
        <v>0.22500000000000001</v>
      </c>
      <c r="BR13" s="45">
        <f t="shared" si="2"/>
        <v>0.10743750000000001</v>
      </c>
      <c r="BS13" s="45">
        <v>5.6300000000000003E-2</v>
      </c>
      <c r="BT13" s="45">
        <v>5.6300000000000003E-2</v>
      </c>
      <c r="BU13" s="45">
        <v>5.6300000000000003E-2</v>
      </c>
      <c r="BV13" s="45">
        <v>5.6300000000000003E-2</v>
      </c>
      <c r="BW13" s="45">
        <f t="shared" si="3"/>
        <v>5.1233000000000008E-2</v>
      </c>
      <c r="BX13" s="45">
        <f t="shared" si="4"/>
        <v>5.1137500000000002E-2</v>
      </c>
      <c r="BY13" s="45">
        <v>5.6300000000000003E-2</v>
      </c>
      <c r="BZ13" s="45">
        <v>0</v>
      </c>
      <c r="CA13" s="45">
        <f t="shared" si="5"/>
        <v>0</v>
      </c>
      <c r="CB13" s="45">
        <v>5.6300000000000003E-2</v>
      </c>
      <c r="CC13" s="45">
        <v>0</v>
      </c>
      <c r="CD13" s="45">
        <v>0</v>
      </c>
      <c r="CE13" s="45">
        <v>0</v>
      </c>
      <c r="CF13" s="45" t="s">
        <v>115</v>
      </c>
      <c r="CG13" s="45">
        <v>0</v>
      </c>
      <c r="CH13" s="244">
        <f>IF(W13&gt;0,1,0)</f>
        <v>1</v>
      </c>
      <c r="CI13" s="244">
        <f>IF(AE13&gt;0,1,0)</f>
        <v>1</v>
      </c>
      <c r="CJ13" s="244">
        <f>IF(AM13&gt;0,1,0)</f>
        <v>1</v>
      </c>
      <c r="CK13" s="244">
        <f>IF(AO13&gt;0,1,0)</f>
        <v>1</v>
      </c>
      <c r="CL13">
        <f>CH13+CI13+CJ13+CK13</f>
        <v>4</v>
      </c>
      <c r="CM13" s="63">
        <f>AVERAGE(Z13,AH13)</f>
        <v>95.5</v>
      </c>
    </row>
    <row r="14" spans="1:91" ht="18" hidden="1" customHeight="1">
      <c r="A14" s="260" t="s">
        <v>98</v>
      </c>
      <c r="B14" s="260" t="s">
        <v>99</v>
      </c>
      <c r="C14" s="260" t="s">
        <v>100</v>
      </c>
      <c r="D14" s="260" t="s">
        <v>101</v>
      </c>
      <c r="E14" s="260" t="s">
        <v>102</v>
      </c>
      <c r="F14" s="260" t="s">
        <v>116</v>
      </c>
      <c r="G14" s="260" t="s">
        <v>117</v>
      </c>
      <c r="H14" s="260" t="s">
        <v>128</v>
      </c>
      <c r="I14" s="260" t="s">
        <v>106</v>
      </c>
      <c r="J14" s="260" t="s">
        <v>119</v>
      </c>
      <c r="K14" s="260" t="s">
        <v>129</v>
      </c>
      <c r="L14" s="260" t="s">
        <v>130</v>
      </c>
      <c r="M14" s="260" t="s">
        <v>131</v>
      </c>
      <c r="N14" s="260" t="s">
        <v>111</v>
      </c>
      <c r="O14" s="260" t="s">
        <v>112</v>
      </c>
      <c r="P14" s="10">
        <v>0</v>
      </c>
      <c r="Q14" s="11">
        <v>1</v>
      </c>
      <c r="R14" s="11">
        <f t="shared" ref="R14:R17" si="6">Z14+AH14</f>
        <v>0.47</v>
      </c>
      <c r="S14" s="11" t="str">
        <f>VLOOKUP(K14,'1197 Salud'!$K$13:$AK$54,9,0)</f>
        <v>1, En la Secretaría de Salud con los diferentes grupos de profesionales de la Dirección de Aseguramiento realiza asistencias técnicas y acompañamientos con las Entidades Administradoras de Planes de Beneficios de Salud EAPB, con los municipios en donde se garantiza el acceso a los servicios de salud de sus afiliados del Departamento de Cundinamarca.
2, Se ha generado un incremento en las afiliacion de los usuarios que demandan servicios de salud y las IPS a través de la herramienta de miseguridad social se ha realizado el aseguramiento por SAT como lo indica el decreto 064 de 2020 permitiendo una disminución considerable de la población no asegurada PNA.</v>
      </c>
      <c r="T14" s="11">
        <v>0.25</v>
      </c>
      <c r="U14" s="11">
        <v>0</v>
      </c>
      <c r="V14" s="11">
        <v>0.25</v>
      </c>
      <c r="W14" s="11">
        <v>0</v>
      </c>
      <c r="X14" s="11">
        <v>0.25</v>
      </c>
      <c r="Y14" s="11">
        <v>0</v>
      </c>
      <c r="Z14" s="11">
        <v>0.25</v>
      </c>
      <c r="AA14" s="11" t="s">
        <v>132</v>
      </c>
      <c r="AB14" s="11" t="s">
        <v>133</v>
      </c>
      <c r="AC14" s="11">
        <v>0</v>
      </c>
      <c r="AD14" s="403">
        <v>0.25</v>
      </c>
      <c r="AE14" s="403">
        <v>0</v>
      </c>
      <c r="AF14" s="11">
        <f>VLOOKUP(K14,'1197 Salud'!$K$13:$AK$54,22,0)</f>
        <v>0.22</v>
      </c>
      <c r="AG14" s="11">
        <f>VLOOKUP(K14,'1197 Salud'!$K$13:$AK$54,23,0)</f>
        <v>0</v>
      </c>
      <c r="AH14" s="11">
        <f t="shared" ref="AH14:AH17" si="7">AF14</f>
        <v>0.22</v>
      </c>
      <c r="AI14" s="11" t="str">
        <f>VLOOKUP(K14,'1197 Salud'!$K$13:$AK$54,25,0)</f>
        <v>Estrategia implementada</v>
      </c>
      <c r="AJ14" s="11" t="str">
        <f>VLOOKUP(K14,'1197 Salud'!$K$13:$AK$54,26,0)</f>
        <v>1, En la Secretaría de Salud con los diferentes grupos de profesionales de la Dirección de Aseguramiento realiza asistencias técnicas y acompañamientos con las Entidades Administradoras de Planes de Beneficios de Salud EAPB, con los municipios en donde se garantiza el acceso a los servicios de salud de sus afiliados del Departamento de Cundinamarca.
2, Se ha generado un incremento en las afiliacion de los usuarios que demandan servicios de salud y las IPS a través de la herramienta de miseguridad social se ha realizado el aseguramiento por SAT como lo indica el decreto 064 de 2020 permitiendo una disminución considerable de la población no asegurada PNA.</v>
      </c>
      <c r="AK14" s="11" t="str">
        <f>VLOOKUP(K14,'1197 Salud'!$K$13:$AK$54,27,0)</f>
        <v>•	Las Entidades Administradoras de Planes de Beneficios de Salud EAPB se demora en la entrega de la información solicitada y solicitan plazo para la entrega.
•	Empresa Prestadora de Salud Sanitas ha incumplido con varios requerimientos, solicitando plazo la entrega y no cumplen con lo acordado.
•	 Las Empresas Prestadoras de Salud no dan respuesta a los requerimientos de la auditoria a los municipios.
•	Los municipios no entregar los informes de auditora oportunamente a Secretaría de Salud con los diferentes grupos de profesionales de la Dirección de Aseguramiento.</v>
      </c>
      <c r="AL14" s="11">
        <v>0.25</v>
      </c>
      <c r="AM14" s="11">
        <v>0</v>
      </c>
      <c r="AN14" s="11">
        <v>0.25</v>
      </c>
      <c r="AO14" s="11">
        <v>0</v>
      </c>
      <c r="AP14" s="11">
        <v>0</v>
      </c>
      <c r="AQ14" s="11">
        <v>0</v>
      </c>
      <c r="AR14" s="51">
        <v>110104293</v>
      </c>
      <c r="AS14" s="54">
        <v>0</v>
      </c>
      <c r="AT14" s="54">
        <f t="shared" si="0"/>
        <v>110104293</v>
      </c>
      <c r="AU14" s="51">
        <v>110104293</v>
      </c>
      <c r="AV14" s="243">
        <v>344419590</v>
      </c>
      <c r="AW14" s="244"/>
      <c r="AX14" s="244"/>
      <c r="AY14" s="243">
        <v>319284357</v>
      </c>
      <c r="AZ14" s="44">
        <f>R14/Q14</f>
        <v>0.47</v>
      </c>
      <c r="BA14" s="44">
        <v>0.25</v>
      </c>
      <c r="BB14" s="44">
        <v>1</v>
      </c>
      <c r="BC14" s="44">
        <f t="shared" ref="BC14:BC17" si="8">AD14/Q14</f>
        <v>0.25</v>
      </c>
      <c r="BD14" s="44" cm="1">
        <f t="array" ref="BD14">_xlfn.IFS(AD14=0,"NA",AD14&gt;0,AH14/AD14)</f>
        <v>0.88</v>
      </c>
      <c r="BE14" s="44">
        <f t="shared" ref="BE14:BE17" si="9">AL14/Q14</f>
        <v>0.25</v>
      </c>
      <c r="BF14" s="44">
        <v>0</v>
      </c>
      <c r="BG14" s="44">
        <f t="shared" ref="BG14:BG17" si="10">AN14/Q14</f>
        <v>0.25</v>
      </c>
      <c r="BH14" s="44">
        <v>0</v>
      </c>
      <c r="BI14" s="44">
        <f>AP14/Q14</f>
        <v>0</v>
      </c>
      <c r="BJ14" s="44" t="s">
        <v>115</v>
      </c>
      <c r="BK14" s="44">
        <f t="shared" si="1"/>
        <v>0.47</v>
      </c>
      <c r="BL14" s="44">
        <v>1</v>
      </c>
      <c r="BM14" s="44" cm="1">
        <f t="array" ref="BM14">_xlfn.IFS(BD14="NA","NA",BD14&gt;100%,"100%",BD14&lt;100,BD14)</f>
        <v>0.88</v>
      </c>
      <c r="BN14" s="44" cm="1">
        <f t="array" ref="BN14">_xlfn.IFS(BF14="NA","NA",BF14&gt;100%,"100%",BF14&lt;100,BF14)</f>
        <v>0</v>
      </c>
      <c r="BO14" s="44" cm="1">
        <f t="array" ref="BO14">_xlfn.IFS(BH14="NA","NA",BH14&gt;100%,"100%",BH14&lt;100,BH14)</f>
        <v>0</v>
      </c>
      <c r="BP14" s="44" t="str" cm="1">
        <f t="array" ref="BP14">_xlfn.IFS(BJ14="NA","NA",BJ14&gt;100%,"100%",BJ14&lt;100,BJ14)</f>
        <v>NA</v>
      </c>
      <c r="BQ14" s="45">
        <v>0.22500000000000001</v>
      </c>
      <c r="BR14" s="45">
        <f t="shared" si="2"/>
        <v>0.10575</v>
      </c>
      <c r="BS14" s="45">
        <v>5.6300000000000003E-2</v>
      </c>
      <c r="BT14" s="45">
        <v>5.6300000000000003E-2</v>
      </c>
      <c r="BU14" s="45">
        <v>5.6300000000000003E-2</v>
      </c>
      <c r="BV14" s="45">
        <f t="shared" ref="BV14:BV17" si="11">(AD14*BQ14)/Q14</f>
        <v>5.6250000000000001E-2</v>
      </c>
      <c r="BW14" s="45">
        <f t="shared" ref="BW14:BW18" si="12">IF(BM14="NA","NA",BM14*BV14)</f>
        <v>4.9500000000000002E-2</v>
      </c>
      <c r="BX14" s="45">
        <f t="shared" ref="BX14:BX18" si="13">BR14-BU14</f>
        <v>4.9449999999999994E-2</v>
      </c>
      <c r="BY14" s="45">
        <f t="shared" ref="BY14:BY17" si="14">(AL14*BQ14)/Q14</f>
        <v>5.6250000000000001E-2</v>
      </c>
      <c r="BZ14" s="45">
        <f t="shared" ref="BZ14:BZ17" si="15">IF(BN14="NA","NA",BN14*BY14)</f>
        <v>0</v>
      </c>
      <c r="CA14" s="45">
        <f t="shared" ref="CA14:CA17" si="16">BR14-BU14-BX14</f>
        <v>0</v>
      </c>
      <c r="CB14" s="45">
        <f t="shared" ref="CB14:CB17" si="17">(AN14*BQ14)/Q14</f>
        <v>5.6250000000000001E-2</v>
      </c>
      <c r="CC14" s="45">
        <f t="shared" ref="CC14:CC17" si="18">IF(BO14="NA","NA",BO14*CB14)</f>
        <v>0</v>
      </c>
      <c r="CD14" s="45">
        <v>0</v>
      </c>
      <c r="CE14" s="45">
        <f>(AP14*BQ14)/Q14</f>
        <v>0</v>
      </c>
      <c r="CF14" s="45" t="str">
        <f>IF(BP14="NA","NA",BP14*CE14)</f>
        <v>NA</v>
      </c>
      <c r="CG14" s="45">
        <v>0</v>
      </c>
      <c r="CH14" s="244"/>
      <c r="CI14" s="244"/>
      <c r="CJ14" s="244"/>
      <c r="CK14" s="244"/>
      <c r="CM14" s="63">
        <v>0.41000000000000003</v>
      </c>
    </row>
    <row r="15" spans="1:91" ht="18" hidden="1" customHeight="1">
      <c r="A15" s="260" t="s">
        <v>98</v>
      </c>
      <c r="B15" s="260" t="s">
        <v>99</v>
      </c>
      <c r="C15" s="260" t="s">
        <v>100</v>
      </c>
      <c r="D15" s="260" t="s">
        <v>101</v>
      </c>
      <c r="E15" s="260" t="s">
        <v>102</v>
      </c>
      <c r="F15" s="96" t="s">
        <v>134</v>
      </c>
      <c r="G15" s="260" t="s">
        <v>135</v>
      </c>
      <c r="H15" s="260" t="s">
        <v>136</v>
      </c>
      <c r="I15" s="260" t="s">
        <v>106</v>
      </c>
      <c r="J15" s="12" t="s">
        <v>137</v>
      </c>
      <c r="K15" s="260" t="s">
        <v>138</v>
      </c>
      <c r="L15" s="260" t="s">
        <v>139</v>
      </c>
      <c r="M15" s="260" t="s">
        <v>140</v>
      </c>
      <c r="N15" s="260" t="s">
        <v>111</v>
      </c>
      <c r="O15" s="260" t="s">
        <v>112</v>
      </c>
      <c r="P15" s="10">
        <v>4</v>
      </c>
      <c r="Q15" s="11">
        <v>11</v>
      </c>
      <c r="R15" s="11">
        <f t="shared" si="6"/>
        <v>5</v>
      </c>
      <c r="S15" s="11" t="str">
        <f>VLOOKUP(K15,'1197 Salud'!$K$13:$AK$54,9,0)</f>
        <v xml:space="preserve">Se han adelantado acciones para la identificacion de enfermerdades trasnmitidas por vectores, georreferenciación, identificación de vector y capacitación a la comunidad, para la identificacion de factores de riesgo en los municipios de Fusagasuga, Girardot y Ricaurte, además, se estan trabajando 4 municipios más del departamento a saber Anapoima, Villeta, La Mesa y Guaduas para avanzar en la consecución de metas del cuatrenio </v>
      </c>
      <c r="T15" s="11">
        <v>2</v>
      </c>
      <c r="U15" s="11">
        <v>0</v>
      </c>
      <c r="V15" s="11">
        <v>2</v>
      </c>
      <c r="W15" s="11">
        <v>0</v>
      </c>
      <c r="X15" s="11">
        <v>2</v>
      </c>
      <c r="Y15" s="11">
        <v>0</v>
      </c>
      <c r="Z15" s="11">
        <v>2</v>
      </c>
      <c r="AA15" s="11" t="s">
        <v>141</v>
      </c>
      <c r="AB15" s="11" t="s">
        <v>142</v>
      </c>
      <c r="AC15" s="11" t="s">
        <v>143</v>
      </c>
      <c r="AD15" s="403">
        <v>3</v>
      </c>
      <c r="AE15" s="403">
        <v>0</v>
      </c>
      <c r="AF15" s="11">
        <f>VLOOKUP(K15,'1197 Salud'!$K$13:$AK$54,22,0)</f>
        <v>3</v>
      </c>
      <c r="AG15" s="11">
        <f>VLOOKUP(K15,'1197 Salud'!$K$13:$AK$54,23,0)</f>
        <v>0</v>
      </c>
      <c r="AH15" s="11">
        <f t="shared" si="7"/>
        <v>3</v>
      </c>
      <c r="AI15" s="11" t="str">
        <f>VLOOKUP(K15,'1197 Salud'!$K$13:$AK$54,25,0)</f>
        <v>Municipios con estrategia implementada</v>
      </c>
      <c r="AJ15" s="11" t="str">
        <f>VLOOKUP(K15,'1197 Salud'!$K$13:$AK$54,26,0)</f>
        <v xml:space="preserve">Se han adelantado acciones para la identificacion de enfermerdades trasnmitidas por vectores, georreferenciación, identificación de vector y capacitación a la comunidad, para la identificacion de factores de riesgo en los municipios de Fusagasuga, Girardot y Ricaurte, además, se estan trabajando 4 municipios más del departamento a saber Anapoima, Villeta, La Mesa y Guaduas para avanzar en la consecución de metas del cuatrenio </v>
      </c>
      <c r="AK15" s="11" t="str">
        <f>VLOOKUP(K15,'1197 Salud'!$K$13:$AK$54,27,0)</f>
        <v>N/A</v>
      </c>
      <c r="AL15" s="11">
        <v>3</v>
      </c>
      <c r="AM15" s="11">
        <v>0</v>
      </c>
      <c r="AN15" s="11">
        <v>3</v>
      </c>
      <c r="AO15" s="11">
        <v>0</v>
      </c>
      <c r="AP15" s="11">
        <v>0</v>
      </c>
      <c r="AQ15" s="11">
        <v>0</v>
      </c>
      <c r="AR15" s="51">
        <v>709634566</v>
      </c>
      <c r="AS15" s="54">
        <v>0</v>
      </c>
      <c r="AT15" s="54">
        <f t="shared" si="0"/>
        <v>709634566</v>
      </c>
      <c r="AU15" s="51">
        <v>121720655</v>
      </c>
      <c r="AV15" s="243">
        <v>5228171080</v>
      </c>
      <c r="AW15" s="244"/>
      <c r="AX15" s="244"/>
      <c r="AY15" s="243">
        <v>2867934570</v>
      </c>
      <c r="AZ15" s="44">
        <f>R15/Q15</f>
        <v>0.45454545454545453</v>
      </c>
      <c r="BA15" s="44">
        <v>0.18179999999999999</v>
      </c>
      <c r="BB15" s="44">
        <v>1</v>
      </c>
      <c r="BC15" s="44">
        <f t="shared" si="8"/>
        <v>0.27272727272727271</v>
      </c>
      <c r="BD15" s="44" cm="1">
        <f t="array" ref="BD15">_xlfn.IFS(AD15=0,"NA",AD15&gt;0,AH15/AD15)</f>
        <v>1</v>
      </c>
      <c r="BE15" s="44">
        <f t="shared" si="9"/>
        <v>0.27272727272727271</v>
      </c>
      <c r="BF15" s="44">
        <v>0</v>
      </c>
      <c r="BG15" s="44">
        <f t="shared" si="10"/>
        <v>0.27272727272727271</v>
      </c>
      <c r="BH15" s="44">
        <v>0</v>
      </c>
      <c r="BI15" s="44">
        <f>AP15/Q15</f>
        <v>0</v>
      </c>
      <c r="BJ15" s="44" t="s">
        <v>115</v>
      </c>
      <c r="BK15" s="44">
        <f t="shared" si="1"/>
        <v>0.45454545454545453</v>
      </c>
      <c r="BL15" s="44">
        <v>1</v>
      </c>
      <c r="BM15" s="44" cm="1">
        <f t="array" ref="BM15">_xlfn.IFS(BD15="NA","NA",BD15&gt;100%,"100%",BD15&lt;100,BD15)</f>
        <v>1</v>
      </c>
      <c r="BN15" s="44" cm="1">
        <f t="array" ref="BN15">_xlfn.IFS(BF15="NA","NA",BF15&gt;100%,"100%",BF15&lt;100,BF15)</f>
        <v>0</v>
      </c>
      <c r="BO15" s="44" cm="1">
        <f t="array" ref="BO15">_xlfn.IFS(BH15="NA","NA",BH15&gt;100%,"100%",BH15&lt;100,BH15)</f>
        <v>0</v>
      </c>
      <c r="BP15" s="44" t="str" cm="1">
        <f t="array" ref="BP15">_xlfn.IFS(BJ15="NA","NA",BJ15&gt;100%,"100%",BJ15&lt;100,BJ15)</f>
        <v>NA</v>
      </c>
      <c r="BQ15" s="45">
        <v>0.22500000000000001</v>
      </c>
      <c r="BR15" s="45">
        <f t="shared" si="2"/>
        <v>0.10227272727272727</v>
      </c>
      <c r="BS15" s="45">
        <v>4.0899999999999999E-2</v>
      </c>
      <c r="BT15" s="45">
        <v>4.0899999999999999E-2</v>
      </c>
      <c r="BU15" s="45">
        <v>4.0899999999999999E-2</v>
      </c>
      <c r="BV15" s="45">
        <f t="shared" si="11"/>
        <v>6.136363636363637E-2</v>
      </c>
      <c r="BW15" s="45">
        <f t="shared" si="12"/>
        <v>6.136363636363637E-2</v>
      </c>
      <c r="BX15" s="45">
        <f t="shared" si="13"/>
        <v>6.1372727272727266E-2</v>
      </c>
      <c r="BY15" s="45">
        <f t="shared" si="14"/>
        <v>6.136363636363637E-2</v>
      </c>
      <c r="BZ15" s="45">
        <f t="shared" si="15"/>
        <v>0</v>
      </c>
      <c r="CA15" s="45">
        <f t="shared" si="16"/>
        <v>0</v>
      </c>
      <c r="CB15" s="45">
        <f t="shared" si="17"/>
        <v>6.136363636363637E-2</v>
      </c>
      <c r="CC15" s="45">
        <f t="shared" si="18"/>
        <v>0</v>
      </c>
      <c r="CD15" s="45">
        <v>0</v>
      </c>
      <c r="CE15" s="45">
        <f>(AP15*BQ15)/Q15</f>
        <v>0</v>
      </c>
      <c r="CF15" s="45" t="str">
        <f>IF(BP15="NA","NA",BP15*CE15)</f>
        <v>NA</v>
      </c>
      <c r="CG15" s="45">
        <v>0</v>
      </c>
      <c r="CH15" s="244"/>
      <c r="CI15" s="244"/>
      <c r="CJ15" s="244"/>
      <c r="CK15" s="244"/>
      <c r="CM15" s="63">
        <v>5</v>
      </c>
    </row>
    <row r="16" spans="1:91" ht="18" hidden="1" customHeight="1">
      <c r="A16" s="260" t="s">
        <v>144</v>
      </c>
      <c r="B16" s="260" t="s">
        <v>145</v>
      </c>
      <c r="C16" s="260" t="s">
        <v>100</v>
      </c>
      <c r="D16" s="260" t="s">
        <v>101</v>
      </c>
      <c r="E16" s="260" t="s">
        <v>102</v>
      </c>
      <c r="F16" s="260" t="s">
        <v>146</v>
      </c>
      <c r="G16" s="260" t="s">
        <v>147</v>
      </c>
      <c r="H16" s="260" t="s">
        <v>148</v>
      </c>
      <c r="I16" s="260" t="s">
        <v>106</v>
      </c>
      <c r="J16" s="260"/>
      <c r="K16" s="260" t="s">
        <v>149</v>
      </c>
      <c r="L16" s="260" t="s">
        <v>150</v>
      </c>
      <c r="M16" s="260" t="s">
        <v>151</v>
      </c>
      <c r="N16" s="260" t="s">
        <v>111</v>
      </c>
      <c r="O16" s="260" t="s">
        <v>112</v>
      </c>
      <c r="P16" s="10">
        <v>2000</v>
      </c>
      <c r="Q16" s="11">
        <v>2500</v>
      </c>
      <c r="R16" s="11">
        <f t="shared" si="6"/>
        <v>1508</v>
      </c>
      <c r="S16" s="11" t="str">
        <f>VLOOKUP(K16,'1126 Desarrollo Social'!$K$13:$S$58,9,0)</f>
        <v>Caracterización de 1392 familias en riesgo de desintegraciónCapacitación en alianza con el ICBF sobre los tipos de violencia contra NNA en 6 provincias del DepartamentoEsta meta se ha dado cumplimiento con recursos contratados del plan de desarrollo anterior previo a la armonización del presupuesto</v>
      </c>
      <c r="T16" s="11">
        <v>200</v>
      </c>
      <c r="U16" s="11">
        <v>0</v>
      </c>
      <c r="V16" s="11">
        <v>200</v>
      </c>
      <c r="W16" s="11">
        <v>0</v>
      </c>
      <c r="X16" s="11">
        <v>253</v>
      </c>
      <c r="Y16" s="11">
        <v>0</v>
      </c>
      <c r="Z16" s="11">
        <v>253</v>
      </c>
      <c r="AA16" s="11" t="s">
        <v>152</v>
      </c>
      <c r="AB16" s="11" t="s">
        <v>153</v>
      </c>
      <c r="AC16" s="11" t="s">
        <v>154</v>
      </c>
      <c r="AD16" s="403">
        <v>200</v>
      </c>
      <c r="AE16" s="403">
        <v>0</v>
      </c>
      <c r="AF16" s="11">
        <f>VLOOKUP(K16,'1126 Desarrollo Social'!$K$13:$AK$58,22,0)</f>
        <v>1255</v>
      </c>
      <c r="AG16" s="11">
        <f>VLOOKUP(K16,'1126 Desarrollo Social'!$K$13:$AK$58,23,0)</f>
        <v>0</v>
      </c>
      <c r="AH16" s="11">
        <f t="shared" si="7"/>
        <v>1255</v>
      </c>
      <c r="AI16" s="11">
        <f>VLOOKUP(K16,'1126 Desarrollo Social'!$K$13:$AK$58,25,0)</f>
        <v>0</v>
      </c>
      <c r="AJ16" s="11" t="str">
        <f>VLOOKUP(K16,'1126 Desarrollo Social'!$K$13:$AK$58,26,0)</f>
        <v xml:space="preserve">Se realizo la implementacion de la estrategia una familia que progresa es una familia cundinamarquesa, con el taller "roles de padres e hijos- comunicacion asertiva", taller pareja encuentro entre iguales", primer taller virtual con adolescentes del Sistema de Responsabilidad Penal Adolescentes </v>
      </c>
      <c r="AK16" s="11">
        <f>VLOOKUP(K16,'1126 Desarrollo Social'!$K$13:$AK$58,27,0)</f>
        <v>0</v>
      </c>
      <c r="AL16" s="11">
        <v>1000</v>
      </c>
      <c r="AM16" s="11">
        <v>0</v>
      </c>
      <c r="AN16" s="11">
        <v>1047</v>
      </c>
      <c r="AO16" s="11">
        <v>0</v>
      </c>
      <c r="AP16" s="11">
        <v>0</v>
      </c>
      <c r="AQ16" s="11">
        <v>0</v>
      </c>
      <c r="AR16" s="51">
        <v>24030000</v>
      </c>
      <c r="AS16" s="54">
        <v>0</v>
      </c>
      <c r="AT16" s="54">
        <f t="shared" si="0"/>
        <v>24030000</v>
      </c>
      <c r="AU16" s="51">
        <v>22629999</v>
      </c>
      <c r="AV16" s="243">
        <v>120794631</v>
      </c>
      <c r="AW16" s="244"/>
      <c r="AX16" s="244"/>
      <c r="AY16" s="243">
        <v>117150199</v>
      </c>
      <c r="AZ16" s="44">
        <f>R16/Q16</f>
        <v>0.60319999999999996</v>
      </c>
      <c r="BA16" s="44">
        <v>0.08</v>
      </c>
      <c r="BB16" s="44">
        <v>1.2649999999999999</v>
      </c>
      <c r="BC16" s="44">
        <f t="shared" si="8"/>
        <v>0.08</v>
      </c>
      <c r="BD16" s="44" cm="1">
        <f t="array" ref="BD16">_xlfn.IFS(AD16=0,"NA",AD16&gt;0,AH16/AD16)</f>
        <v>6.2750000000000004</v>
      </c>
      <c r="BE16" s="44">
        <f t="shared" si="9"/>
        <v>0.4</v>
      </c>
      <c r="BF16" s="44">
        <v>0</v>
      </c>
      <c r="BG16" s="44">
        <f t="shared" si="10"/>
        <v>0.41880000000000001</v>
      </c>
      <c r="BH16" s="44">
        <v>0</v>
      </c>
      <c r="BI16" s="44">
        <f>AP16/Q16</f>
        <v>0</v>
      </c>
      <c r="BJ16" s="44" t="s">
        <v>115</v>
      </c>
      <c r="BK16" s="44">
        <f t="shared" si="1"/>
        <v>0.60319999999999996</v>
      </c>
      <c r="BL16" s="44">
        <v>1</v>
      </c>
      <c r="BM16" s="44" t="str" cm="1">
        <f t="array" ref="BM16">_xlfn.IFS(BD16="NA","NA",BD16&gt;100%,"100%",BD16&lt;100,BD16)</f>
        <v>100%</v>
      </c>
      <c r="BN16" s="44" cm="1">
        <f t="array" ref="BN16">_xlfn.IFS(BF16="NA","NA",BF16&gt;100%,"100%",BF16&lt;100,BF16)</f>
        <v>0</v>
      </c>
      <c r="BO16" s="44" cm="1">
        <f t="array" ref="BO16">_xlfn.IFS(BH16="NA","NA",BH16&gt;100%,"100%",BH16&lt;100,BH16)</f>
        <v>0</v>
      </c>
      <c r="BP16" s="44" t="str" cm="1">
        <f t="array" ref="BP16">_xlfn.IFS(BJ16="NA","NA",BJ16&gt;100%,"100%",BJ16&lt;100,BJ16)</f>
        <v>NA</v>
      </c>
      <c r="BQ16" s="45">
        <v>0.22500000000000001</v>
      </c>
      <c r="BR16" s="45">
        <f t="shared" si="2"/>
        <v>0.13572000000000001</v>
      </c>
      <c r="BS16" s="45">
        <v>1.7999999999999999E-2</v>
      </c>
      <c r="BT16" s="45">
        <v>1.7999999999999999E-2</v>
      </c>
      <c r="BU16" s="45">
        <v>2.2800000000000001E-2</v>
      </c>
      <c r="BV16" s="45">
        <f t="shared" si="11"/>
        <v>1.7999999999999999E-2</v>
      </c>
      <c r="BW16" s="45">
        <f t="shared" si="12"/>
        <v>1.7999999999999999E-2</v>
      </c>
      <c r="BX16" s="45">
        <f t="shared" si="13"/>
        <v>0.11292000000000001</v>
      </c>
      <c r="BY16" s="45">
        <f t="shared" si="14"/>
        <v>0.09</v>
      </c>
      <c r="BZ16" s="45">
        <f t="shared" si="15"/>
        <v>0</v>
      </c>
      <c r="CA16" s="45">
        <f t="shared" si="16"/>
        <v>0</v>
      </c>
      <c r="CB16" s="45">
        <f t="shared" si="17"/>
        <v>9.4230000000000008E-2</v>
      </c>
      <c r="CC16" s="45">
        <f t="shared" si="18"/>
        <v>0</v>
      </c>
      <c r="CD16" s="45">
        <v>0</v>
      </c>
      <c r="CE16" s="45">
        <f>(AP16*BQ16)/Q16</f>
        <v>0</v>
      </c>
      <c r="CF16" s="45" t="str">
        <f>IF(BP16="NA","NA",BP16*CE16)</f>
        <v>NA</v>
      </c>
      <c r="CG16" s="45">
        <v>0</v>
      </c>
      <c r="CH16" s="244"/>
      <c r="CI16" s="244"/>
      <c r="CJ16" s="244"/>
      <c r="CK16" s="244"/>
      <c r="CM16" s="63">
        <v>1178</v>
      </c>
    </row>
    <row r="17" spans="1:91" ht="18" hidden="1" customHeight="1">
      <c r="A17" s="260" t="s">
        <v>144</v>
      </c>
      <c r="B17" s="260" t="s">
        <v>145</v>
      </c>
      <c r="C17" s="260" t="s">
        <v>100</v>
      </c>
      <c r="D17" s="260" t="s">
        <v>101</v>
      </c>
      <c r="E17" s="260" t="s">
        <v>102</v>
      </c>
      <c r="F17" s="260" t="s">
        <v>155</v>
      </c>
      <c r="G17" s="260" t="s">
        <v>156</v>
      </c>
      <c r="H17" s="260" t="s">
        <v>157</v>
      </c>
      <c r="I17" s="260" t="s">
        <v>106</v>
      </c>
      <c r="J17" s="260"/>
      <c r="K17" s="260" t="s">
        <v>158</v>
      </c>
      <c r="L17" s="260" t="s">
        <v>159</v>
      </c>
      <c r="M17" s="260" t="s">
        <v>160</v>
      </c>
      <c r="N17" s="260" t="s">
        <v>123</v>
      </c>
      <c r="O17" s="260" t="s">
        <v>112</v>
      </c>
      <c r="P17" s="10">
        <v>0</v>
      </c>
      <c r="Q17" s="11">
        <v>50</v>
      </c>
      <c r="R17" s="11">
        <f t="shared" si="6"/>
        <v>20</v>
      </c>
      <c r="S17" s="11">
        <f>VLOOKUP(K17,'1126 Desarrollo Social'!$K$13:$S$58,9,0)</f>
        <v>0</v>
      </c>
      <c r="T17" s="11">
        <v>0</v>
      </c>
      <c r="U17" s="11">
        <v>0</v>
      </c>
      <c r="V17" s="11">
        <v>5</v>
      </c>
      <c r="W17" s="11">
        <v>0</v>
      </c>
      <c r="X17" s="11">
        <v>5</v>
      </c>
      <c r="Y17" s="11">
        <v>0</v>
      </c>
      <c r="Z17" s="11">
        <v>5</v>
      </c>
      <c r="AA17" s="11">
        <v>0</v>
      </c>
      <c r="AB17" s="11" t="s">
        <v>161</v>
      </c>
      <c r="AC17" s="11">
        <v>0</v>
      </c>
      <c r="AD17" s="403">
        <v>10</v>
      </c>
      <c r="AE17" s="403">
        <v>0</v>
      </c>
      <c r="AF17" s="11">
        <f>VLOOKUP(K17,'1126 Desarrollo Social'!$K$13:$AK$58,22,0)</f>
        <v>15</v>
      </c>
      <c r="AG17" s="11">
        <f>VLOOKUP(K17,'1126 Desarrollo Social'!$K$13:$AK$58,23,0)</f>
        <v>0</v>
      </c>
      <c r="AH17" s="11">
        <f t="shared" si="7"/>
        <v>15</v>
      </c>
      <c r="AI17" s="11" t="str">
        <f>VLOOKUP(K17,'1126 Desarrollo Social'!$K$13:$AK$58,25,0)</f>
        <v xml:space="preserve">Asesorias - Acompañamiento -asistencia tecnica </v>
      </c>
      <c r="AJ17" s="11" t="str">
        <f>VLOOKUP(K17,'1126 Desarrollo Social'!$K$13:$AK$58,26,0)</f>
        <v>Gira promoción política pública  en 116 municipios, 112 gestores capacitados - Caracterizacion de las familias del Departamento que devengan su sustento del trabajo independiente - Socializacion de la politica publica de familia en los 116 municipios de Cundinamarca - Gira provincial de politica publica  ( con articulacion con la secretatria de planeacion)</v>
      </c>
      <c r="AK17" s="11">
        <f>VLOOKUP(K17,'1126 Desarrollo Social'!$K$13:$AK$58,27,0)</f>
        <v>0</v>
      </c>
      <c r="AL17" s="11">
        <v>15</v>
      </c>
      <c r="AM17" s="11">
        <v>0</v>
      </c>
      <c r="AN17" s="11">
        <v>20</v>
      </c>
      <c r="AO17" s="11">
        <v>0</v>
      </c>
      <c r="AP17" s="11">
        <v>0</v>
      </c>
      <c r="AQ17" s="11">
        <v>0</v>
      </c>
      <c r="AR17" s="52"/>
      <c r="AS17" s="54">
        <v>15000000</v>
      </c>
      <c r="AT17" s="54">
        <f t="shared" si="0"/>
        <v>15000000</v>
      </c>
      <c r="AU17" s="52"/>
      <c r="AV17" s="243">
        <v>1248010681</v>
      </c>
      <c r="AW17" s="244"/>
      <c r="AX17" s="244"/>
      <c r="AY17" s="243">
        <v>517662749</v>
      </c>
      <c r="AZ17" s="44">
        <f>R17/Q17</f>
        <v>0.4</v>
      </c>
      <c r="BA17" s="44">
        <v>0.1</v>
      </c>
      <c r="BB17" s="44">
        <v>1</v>
      </c>
      <c r="BC17" s="44">
        <f t="shared" si="8"/>
        <v>0.2</v>
      </c>
      <c r="BD17" s="44" cm="1">
        <f t="array" ref="BD17">_xlfn.IFS(AD17=0,"NA",AD17&gt;0,AH17/AD17)</f>
        <v>1.5</v>
      </c>
      <c r="BE17" s="44">
        <f t="shared" si="9"/>
        <v>0.3</v>
      </c>
      <c r="BF17" s="44">
        <v>0</v>
      </c>
      <c r="BG17" s="44">
        <f t="shared" si="10"/>
        <v>0.4</v>
      </c>
      <c r="BH17" s="44">
        <v>0</v>
      </c>
      <c r="BI17" s="44">
        <f>AP17/Q17</f>
        <v>0</v>
      </c>
      <c r="BJ17" s="44" t="s">
        <v>115</v>
      </c>
      <c r="BK17" s="44">
        <f t="shared" si="1"/>
        <v>0.4</v>
      </c>
      <c r="BL17" s="44">
        <v>1</v>
      </c>
      <c r="BM17" s="44" t="str" cm="1">
        <f t="array" ref="BM17">_xlfn.IFS(BD17="NA","NA",BD17&gt;100%,"100%",BD17&lt;100,BD17)</f>
        <v>100%</v>
      </c>
      <c r="BN17" s="44" cm="1">
        <f t="array" ref="BN17">_xlfn.IFS(BF17="NA","NA",BF17&gt;100%,"100%",BF17&lt;100,BF17)</f>
        <v>0</v>
      </c>
      <c r="BO17" s="44" cm="1">
        <f t="array" ref="BO17">_xlfn.IFS(BH17="NA","NA",BH17&gt;100%,"100%",BH17&lt;100,BH17)</f>
        <v>0</v>
      </c>
      <c r="BP17" s="44" t="str" cm="1">
        <f t="array" ref="BP17">_xlfn.IFS(BJ17="NA","NA",BJ17&gt;100%,"100%",BJ17&lt;100,BJ17)</f>
        <v>NA</v>
      </c>
      <c r="BQ17" s="45">
        <v>0.22500000000000001</v>
      </c>
      <c r="BR17" s="45">
        <f t="shared" si="2"/>
        <v>9.0000000000000011E-2</v>
      </c>
      <c r="BS17" s="45">
        <v>2.2499999999999999E-2</v>
      </c>
      <c r="BT17" s="45">
        <v>2.2499999999999999E-2</v>
      </c>
      <c r="BU17" s="45">
        <v>2.2499999999999999E-2</v>
      </c>
      <c r="BV17" s="45">
        <f t="shared" si="11"/>
        <v>4.4999999999999998E-2</v>
      </c>
      <c r="BW17" s="45">
        <f t="shared" si="12"/>
        <v>4.4999999999999998E-2</v>
      </c>
      <c r="BX17" s="45">
        <f t="shared" si="13"/>
        <v>6.7500000000000004E-2</v>
      </c>
      <c r="BY17" s="45">
        <f t="shared" si="14"/>
        <v>6.7500000000000004E-2</v>
      </c>
      <c r="BZ17" s="45">
        <f t="shared" si="15"/>
        <v>0</v>
      </c>
      <c r="CA17" s="45">
        <f t="shared" si="16"/>
        <v>0</v>
      </c>
      <c r="CB17" s="45">
        <f t="shared" si="17"/>
        <v>0.09</v>
      </c>
      <c r="CC17" s="45">
        <f t="shared" si="18"/>
        <v>0</v>
      </c>
      <c r="CD17" s="45">
        <v>0</v>
      </c>
      <c r="CE17" s="45">
        <f>(AP17*BQ17)/Q17</f>
        <v>0</v>
      </c>
      <c r="CF17" s="45" t="str">
        <f>IF(BP17="NA","NA",BP17*CE17)</f>
        <v>NA</v>
      </c>
      <c r="CG17" s="45">
        <v>0</v>
      </c>
      <c r="CH17" s="244"/>
      <c r="CI17" s="244"/>
      <c r="CJ17" s="244"/>
      <c r="CK17" s="244"/>
      <c r="CM17" s="63">
        <v>9</v>
      </c>
    </row>
    <row r="18" spans="1:91" ht="18" hidden="1" customHeight="1">
      <c r="A18" s="260" t="s">
        <v>144</v>
      </c>
      <c r="B18" s="260" t="s">
        <v>145</v>
      </c>
      <c r="C18" s="260" t="s">
        <v>100</v>
      </c>
      <c r="D18" s="260" t="s">
        <v>101</v>
      </c>
      <c r="E18" s="260" t="s">
        <v>102</v>
      </c>
      <c r="F18" s="260" t="s">
        <v>162</v>
      </c>
      <c r="G18" s="260" t="s">
        <v>163</v>
      </c>
      <c r="H18" s="260" t="s">
        <v>164</v>
      </c>
      <c r="I18" s="260" t="s">
        <v>165</v>
      </c>
      <c r="J18" s="260"/>
      <c r="K18" s="260" t="s">
        <v>166</v>
      </c>
      <c r="L18" s="260" t="s">
        <v>167</v>
      </c>
      <c r="M18" s="260" t="s">
        <v>168</v>
      </c>
      <c r="N18" s="260" t="s">
        <v>111</v>
      </c>
      <c r="O18" s="260" t="s">
        <v>124</v>
      </c>
      <c r="P18" s="10">
        <v>12000</v>
      </c>
      <c r="Q18" s="11">
        <v>12000</v>
      </c>
      <c r="R18" s="11">
        <f>(Z18+AH18)/CL18</f>
        <v>8856.6666666666661</v>
      </c>
      <c r="S18" s="11">
        <f>VLOOKUP(K18,'1126 Desarrollo Social'!$K$13:$S$58,9,0)</f>
        <v>0</v>
      </c>
      <c r="T18" s="11">
        <v>0</v>
      </c>
      <c r="U18" s="11">
        <v>12000</v>
      </c>
      <c r="V18" s="11">
        <v>0</v>
      </c>
      <c r="W18" s="11">
        <v>0</v>
      </c>
      <c r="X18" s="11" t="s">
        <v>115</v>
      </c>
      <c r="Y18" s="11">
        <v>570</v>
      </c>
      <c r="Z18" s="11">
        <v>570</v>
      </c>
      <c r="AA18" s="11">
        <v>0</v>
      </c>
      <c r="AB18" s="11" t="s">
        <v>169</v>
      </c>
      <c r="AC18" s="11">
        <v>0</v>
      </c>
      <c r="AD18" s="403">
        <v>0</v>
      </c>
      <c r="AE18" s="403">
        <v>12000</v>
      </c>
      <c r="AF18" s="11">
        <f>VLOOKUP(K18,'1126 Desarrollo Social'!$K$13:$AK$58,22,0)</f>
        <v>0</v>
      </c>
      <c r="AG18" s="11">
        <f>VLOOKUP(K18,'1126 Desarrollo Social'!$K$13:$AK$58,23,0)</f>
        <v>26000</v>
      </c>
      <c r="AH18" s="11">
        <f>AG18</f>
        <v>26000</v>
      </c>
      <c r="AI18" s="11">
        <f>VLOOKUP(K18,'1126 Desarrollo Social'!$K$13:$AK$58,25,0)</f>
        <v>0</v>
      </c>
      <c r="AJ18" s="11">
        <f>VLOOKUP(K18,'1126 Desarrollo Social'!$K$13:$AK$58,26,0)</f>
        <v>0</v>
      </c>
      <c r="AK18" s="11">
        <f>VLOOKUP(K18,'1126 Desarrollo Social'!$K$13:$AK$58,27,0)</f>
        <v>0</v>
      </c>
      <c r="AL18" s="11">
        <v>0</v>
      </c>
      <c r="AM18" s="11">
        <v>12000</v>
      </c>
      <c r="AN18" s="11">
        <v>0</v>
      </c>
      <c r="AO18" s="11">
        <v>12000</v>
      </c>
      <c r="AP18" s="11">
        <v>0</v>
      </c>
      <c r="AQ18" s="11">
        <v>0</v>
      </c>
      <c r="AR18" s="52"/>
      <c r="AS18" s="54">
        <v>0</v>
      </c>
      <c r="AT18" s="54">
        <f t="shared" si="0"/>
        <v>0</v>
      </c>
      <c r="AU18" s="52"/>
      <c r="AV18" s="243">
        <v>2200000000</v>
      </c>
      <c r="AW18" s="244"/>
      <c r="AX18" s="244"/>
      <c r="AY18" s="243">
        <v>2035322474</v>
      </c>
      <c r="AZ18" s="44" cm="1">
        <f t="array" ref="AZ18">_xlfn.IFS((BA18=0),(BD18/CL18),(BA18&gt;0),((BB18+BD18)/CL18),(BE18&gt;0),((BB18+BD18+BE18)/CL18),(BG18&gt;0),((BB18+BD18+BE18+G18)/CL18))</f>
        <v>0.72222222222222221</v>
      </c>
      <c r="BA18" s="44">
        <v>0</v>
      </c>
      <c r="BB18" s="44" t="s">
        <v>115</v>
      </c>
      <c r="BC18" s="44">
        <f>IF(AE18&gt;0,(1/CL18),0)</f>
        <v>0.33333333333333331</v>
      </c>
      <c r="BD18" s="44" cm="1">
        <f t="array" ref="BD18">_xlfn.IFS(AE18=0,"NA",AE18&gt;0,AH18/AE18)</f>
        <v>2.1666666666666665</v>
      </c>
      <c r="BE18" s="44">
        <f>IF(AM18&gt;0,(1/CL18),0)</f>
        <v>0.33333333333333331</v>
      </c>
      <c r="BF18" s="44">
        <v>0</v>
      </c>
      <c r="BG18" s="44">
        <f>IF(AO18&gt;0,(1/CL18),0)</f>
        <v>0.33333333333333331</v>
      </c>
      <c r="BH18" s="44">
        <v>0</v>
      </c>
      <c r="BI18" s="44">
        <v>0</v>
      </c>
      <c r="BJ18" s="44" t="s">
        <v>115</v>
      </c>
      <c r="BK18" s="44">
        <f t="shared" si="1"/>
        <v>0.72222222222222221</v>
      </c>
      <c r="BL18" s="44" t="s">
        <v>115</v>
      </c>
      <c r="BM18" s="44" t="str" cm="1">
        <f t="array" ref="BM18">_xlfn.IFS(BD18="NA","NA",BD18&gt;100%,"100%",BD18&lt;100,BD18)</f>
        <v>100%</v>
      </c>
      <c r="BN18" s="44">
        <v>0</v>
      </c>
      <c r="BO18" s="44">
        <v>0</v>
      </c>
      <c r="BP18" s="44" t="s">
        <v>115</v>
      </c>
      <c r="BQ18" s="45">
        <v>0.22500000000000001</v>
      </c>
      <c r="BR18" s="45">
        <f t="shared" si="2"/>
        <v>0.16250000000000001</v>
      </c>
      <c r="BS18" s="45">
        <v>0</v>
      </c>
      <c r="BT18" s="45" t="s">
        <v>115</v>
      </c>
      <c r="BU18" s="45">
        <v>0</v>
      </c>
      <c r="BV18" s="45">
        <v>7.4999999999999997E-2</v>
      </c>
      <c r="BW18" s="45">
        <f t="shared" si="12"/>
        <v>7.4999999999999997E-2</v>
      </c>
      <c r="BX18" s="45">
        <f t="shared" si="13"/>
        <v>0.16250000000000001</v>
      </c>
      <c r="BY18" s="45">
        <v>7.4999999999999997E-2</v>
      </c>
      <c r="BZ18" s="45">
        <v>0</v>
      </c>
      <c r="CA18" s="45">
        <f t="shared" si="5"/>
        <v>0</v>
      </c>
      <c r="CB18" s="45">
        <v>7.4999999999999997E-2</v>
      </c>
      <c r="CC18" s="45">
        <v>0</v>
      </c>
      <c r="CD18" s="45">
        <v>0</v>
      </c>
      <c r="CE18" s="45">
        <v>0</v>
      </c>
      <c r="CF18" s="45" t="s">
        <v>115</v>
      </c>
      <c r="CG18" s="45">
        <v>0</v>
      </c>
      <c r="CH18" s="244">
        <f>IF(W18&gt;0,1,0)</f>
        <v>0</v>
      </c>
      <c r="CI18" s="244">
        <f>IF(AE18&gt;0,1,0)</f>
        <v>1</v>
      </c>
      <c r="CJ18" s="244">
        <f>IF(AM18&gt;0,1,0)</f>
        <v>1</v>
      </c>
      <c r="CK18" s="244">
        <f>IF(AO18&gt;0,1,0)</f>
        <v>1</v>
      </c>
      <c r="CL18">
        <f>CH18+CI18+CJ18+CK18</f>
        <v>3</v>
      </c>
      <c r="CM18" s="63">
        <f>AVERAGE(Z18,AH18)</f>
        <v>13285</v>
      </c>
    </row>
    <row r="19" spans="1:91" ht="18" hidden="1" customHeight="1">
      <c r="A19" s="260" t="s">
        <v>98</v>
      </c>
      <c r="B19" s="260" t="s">
        <v>99</v>
      </c>
      <c r="C19" s="260" t="s">
        <v>100</v>
      </c>
      <c r="D19" s="260" t="s">
        <v>101</v>
      </c>
      <c r="E19" s="260" t="s">
        <v>102</v>
      </c>
      <c r="F19" s="260" t="s">
        <v>155</v>
      </c>
      <c r="G19" s="260" t="s">
        <v>156</v>
      </c>
      <c r="H19" s="260" t="s">
        <v>170</v>
      </c>
      <c r="I19" s="260" t="s">
        <v>106</v>
      </c>
      <c r="J19" s="12" t="s">
        <v>171</v>
      </c>
      <c r="K19" s="260" t="s">
        <v>172</v>
      </c>
      <c r="L19" s="260" t="s">
        <v>173</v>
      </c>
      <c r="M19" s="260" t="s">
        <v>174</v>
      </c>
      <c r="N19" s="260" t="s">
        <v>123</v>
      </c>
      <c r="O19" s="260" t="s">
        <v>112</v>
      </c>
      <c r="P19" s="10">
        <v>76</v>
      </c>
      <c r="Q19" s="11">
        <v>24</v>
      </c>
      <c r="R19" s="11">
        <f t="shared" ref="R19:R26" si="19">Z19+AH19</f>
        <v>8</v>
      </c>
      <c r="S19" s="11" t="str">
        <f>VLOOKUP(K19,'1197 Salud'!$K$13:$AK$54,9,0)</f>
        <v>En el año 2.021 a través del modelo de Atención Primaria Región que progresa en salud se logra la caracterización a través de la “Ficha Familiar” de 42.235 personas (8.502 familias) de las cuales el 9% son de la zona urbana y el restante (91%) corresponde a zona rural y rural disperso; desde  la estrategia "Protegiendo a tu bebe" se encontraron y canalizaron  483 gestantes a varios servicios, entre ellos; aseguramiento, vacunación, curso de preparación a la maternidad, controles prenatales, odontología, psicología, otros servicios de salud y servicios sociales; de ellas 304 (63%) efectivamente asisten al servicio canalizado; igualmente se identifican 847 migrantes, son canalizados 378 menores de 5 años por esquema de vacunación incompleto, de los cuales 286 (75%) completan su esquema de vacunación
Se han canalizado un total de 302 gestantes (48%) sin controles prenatales, de las cuales 75 (25%) han retomado o iniciado sus controles prenatales.
De otra parte, se han encontrado y canalizado 23 gestantes (3.6%) sin aseguramiento, siendo afiliadas 16 (69%).
Respecto a Gestantes con diagnóstico o sintomatología de Covid – 19 se han encontrado 25 equivalentes al 4%, quienes de manera prioritaria y efectiva han sido tratadas y se les hace los seguimientos correspondientes de manera obligatoria.
56 de las 630 (8,8%) gestantes son encontradas y canalizadas por no contar con la vacunación regular, de ellas 13 (23%) se hace efectiva la vacunación.
Sólo 2 gestantes son encontradas con diagnóstico de sífilis, son canalizadas y tratadas.
 Por otra parte desde el proyecto piloto en Rio Negro en articulación con Crónicas para abordar los siguientes temas "Hipertensión arterial y Diabetes Mellitus" se logró lo siguiente: 1 ENTREGA: 99 beneficiarios 2 ENTREGA: 202 beneficiarios 3. ENTREGA: 197 beneficiarios</v>
      </c>
      <c r="T19" s="11">
        <v>1</v>
      </c>
      <c r="U19" s="11">
        <v>0</v>
      </c>
      <c r="V19" s="11">
        <v>1</v>
      </c>
      <c r="W19" s="11">
        <v>0</v>
      </c>
      <c r="X19" s="11">
        <v>1</v>
      </c>
      <c r="Y19" s="11">
        <v>0</v>
      </c>
      <c r="Z19" s="11">
        <v>1</v>
      </c>
      <c r="AA19" s="11" t="s">
        <v>175</v>
      </c>
      <c r="AB19" s="11" t="s">
        <v>176</v>
      </c>
      <c r="AC19" s="11">
        <v>0</v>
      </c>
      <c r="AD19" s="403">
        <v>7</v>
      </c>
      <c r="AE19" s="403">
        <v>0</v>
      </c>
      <c r="AF19" s="11">
        <f>VLOOKUP(K19,'1197 Salud'!$K$13:$AK$54,22,0)</f>
        <v>7</v>
      </c>
      <c r="AG19" s="11">
        <f>VLOOKUP(K19,'1197 Salud'!$K$13:$AK$54,23,0)</f>
        <v>0</v>
      </c>
      <c r="AH19" s="11">
        <f t="shared" ref="AH19:AH26" si="20">AF19</f>
        <v>7</v>
      </c>
      <c r="AI19" s="11" t="str">
        <f>VLOOKUP(K19,'1197 Salud'!$K$13:$AK$54,25,0)</f>
        <v>Regionales con el modelo de APS implementado</v>
      </c>
      <c r="AJ19" s="11" t="str">
        <f>VLOOKUP(K19,'1197 Salud'!$K$13:$AK$54,26,0)</f>
        <v>En el año 2.021 a través del modelo de Atención Primaria Región que progresa en salud se logra la caracterización a través de la “Ficha Familiar” de 42.235 personas (8.502 familias) de las cuales el 9% son de la zona urbana y el restante (91%) corresponde a zona rural y rural disperso; desde  la estrategia "Protegiendo a tu bebe" se encontraron y canalizaron  483 gestantes a varios servicios, entre ellos; aseguramiento, vacunación, curso de preparación a la maternidad, controles prenatales, odontología, psicología, otros servicios de salud y servicios sociales; de ellas 304 (63%) efectivamente asisten al servicio canalizado; igualmente se identifican 847 migrantes, son canalizados 378 menores de 5 años por esquema de vacunación incompleto, de los cuales 286 (75%) completan su esquema de vacunación
Se han canalizado un total de 302 gestantes (48%) sin controles prenatales, de las cuales 75 (25%) han retomado o iniciado sus controles prenatales.
De otra parte, se han encontrado y canalizado 23 gestantes (3.6%) sin aseguramiento, siendo afiliadas 16 (69%).
Respecto a Gestantes con diagnóstico o sintomatología de Covid – 19 se han encontrado 25 equivalentes al 4%, quienes de manera prioritaria y efectiva han sido tratadas y se les hace los seguimientos correspondientes de manera obligatoria.
56 de las 630 (8,8%) gestantes son encontradas y canalizadas por no contar con la vacunación regular, de ellas 13 (23%) se hace efectiva la vacunación.
Sólo 2 gestantes son encontradas con diagnóstico de sífilis, son canalizadas y tratadas.
 Por otra parte desde el proyecto piloto en Rio Negro en articulación con Crónicas para abordar los siguientes temas "Hipertensión arterial y Diabetes Mellitus" se logró lo siguiente: 1 ENTREGA: 99 beneficiarios 2 ENTREGA: 202 beneficiarios 3. ENTREGA: 197 beneficiarios</v>
      </c>
      <c r="AK19" s="11" t="str">
        <f>VLOOKUP(K19,'1197 Salud'!$K$13:$AK$54,27,0)</f>
        <v>N/A</v>
      </c>
      <c r="AL19" s="11">
        <v>8</v>
      </c>
      <c r="AM19" s="11">
        <v>0</v>
      </c>
      <c r="AN19" s="11">
        <v>8</v>
      </c>
      <c r="AO19" s="11">
        <v>0</v>
      </c>
      <c r="AP19" s="11">
        <v>0</v>
      </c>
      <c r="AQ19" s="11">
        <v>0</v>
      </c>
      <c r="AR19" s="51">
        <v>240005741</v>
      </c>
      <c r="AS19" s="54">
        <v>0</v>
      </c>
      <c r="AT19" s="54">
        <f t="shared" si="0"/>
        <v>240005741</v>
      </c>
      <c r="AU19" s="51">
        <v>157326789</v>
      </c>
      <c r="AV19" s="243">
        <v>6624377791</v>
      </c>
      <c r="AW19" s="244"/>
      <c r="AX19" s="244"/>
      <c r="AY19" s="243">
        <v>4540673888</v>
      </c>
      <c r="AZ19" s="44">
        <f t="shared" ref="AZ19:AZ26" si="21">R19/Q19</f>
        <v>0.33333333333333331</v>
      </c>
      <c r="BA19" s="44">
        <v>4.1700000000000001E-2</v>
      </c>
      <c r="BB19" s="44">
        <v>1</v>
      </c>
      <c r="BC19" s="44">
        <f t="shared" ref="BC19:BC26" si="22">AD19/Q19</f>
        <v>0.29166666666666669</v>
      </c>
      <c r="BD19" s="44" cm="1">
        <f t="array" ref="BD19">_xlfn.IFS(AD19=0,"NA",AD19&gt;0,AH19/AD19)</f>
        <v>1</v>
      </c>
      <c r="BE19" s="44">
        <f t="shared" ref="BE19:BE26" si="23">AL19/Q19</f>
        <v>0.33333333333333331</v>
      </c>
      <c r="BF19" s="44">
        <v>0</v>
      </c>
      <c r="BG19" s="44">
        <f t="shared" ref="BG19:BG26" si="24">AN19/Q19</f>
        <v>0.33333333333333331</v>
      </c>
      <c r="BH19" s="44">
        <v>0</v>
      </c>
      <c r="BI19" s="44">
        <f t="shared" ref="BI19:BI26" si="25">AP19/Q19</f>
        <v>0</v>
      </c>
      <c r="BJ19" s="44" t="s">
        <v>115</v>
      </c>
      <c r="BK19" s="44">
        <f t="shared" si="1"/>
        <v>0.33333333333333331</v>
      </c>
      <c r="BL19" s="44">
        <v>1</v>
      </c>
      <c r="BM19" s="44" cm="1">
        <f t="array" ref="BM19">_xlfn.IFS(BD19="NA","NA",BD19&gt;100%,"100%",BD19&lt;100,BD19)</f>
        <v>1</v>
      </c>
      <c r="BN19" s="44" cm="1">
        <f t="array" ref="BN19">_xlfn.IFS(BF19="NA","NA",BF19&gt;100%,"100%",BF19&lt;100,BF19)</f>
        <v>0</v>
      </c>
      <c r="BO19" s="44" cm="1">
        <f t="array" ref="BO19">_xlfn.IFS(BH19="NA","NA",BH19&gt;100%,"100%",BH19&lt;100,BH19)</f>
        <v>0</v>
      </c>
      <c r="BP19" s="44" t="str" cm="1">
        <f t="array" ref="BP19">_xlfn.IFS(BJ19="NA","NA",BJ19&gt;100%,"100%",BJ19&lt;100,BJ19)</f>
        <v>NA</v>
      </c>
      <c r="BQ19" s="45">
        <v>0.22500000000000001</v>
      </c>
      <c r="BR19" s="45">
        <f t="shared" si="2"/>
        <v>7.4999999999999997E-2</v>
      </c>
      <c r="BS19" s="45">
        <v>9.4000000000000004E-3</v>
      </c>
      <c r="BT19" s="45">
        <v>9.4000000000000004E-3</v>
      </c>
      <c r="BU19" s="45">
        <v>9.4000000000000004E-3</v>
      </c>
      <c r="BV19" s="45">
        <f t="shared" ref="BV19:BV26" si="26">(AD19*BQ19)/Q19</f>
        <v>6.5625000000000003E-2</v>
      </c>
      <c r="BW19" s="45">
        <f t="shared" ref="BW19:BW27" si="27">IF(BM19="NA","NA",BM19*BV19)</f>
        <v>6.5625000000000003E-2</v>
      </c>
      <c r="BX19" s="45">
        <f t="shared" ref="BX19:BX27" si="28">BR19-BU19</f>
        <v>6.5599999999999992E-2</v>
      </c>
      <c r="BY19" s="45">
        <f t="shared" ref="BY19:BY26" si="29">(AL19*BQ19)/Q19</f>
        <v>7.4999999999999997E-2</v>
      </c>
      <c r="BZ19" s="45">
        <f t="shared" ref="BZ19:BZ26" si="30">IF(BN19="NA","NA",BN19*BY19)</f>
        <v>0</v>
      </c>
      <c r="CA19" s="45">
        <f t="shared" ref="CA19:CA26" si="31">BR19-BU19-BX19</f>
        <v>0</v>
      </c>
      <c r="CB19" s="45">
        <f t="shared" ref="CB19:CB26" si="32">(AN19*BQ19)/Q19</f>
        <v>7.4999999999999997E-2</v>
      </c>
      <c r="CC19" s="45">
        <f t="shared" ref="CC19:CC26" si="33">IF(BO19="NA","NA",BO19*CB19)</f>
        <v>0</v>
      </c>
      <c r="CD19" s="45">
        <v>0</v>
      </c>
      <c r="CE19" s="45">
        <f t="shared" ref="CE19:CE26" si="34">(AP19*BQ19)/Q19</f>
        <v>0</v>
      </c>
      <c r="CF19" s="45" t="str">
        <f t="shared" ref="CF19:CF26" si="35">IF(BP19="NA","NA",BP19*CE19)</f>
        <v>NA</v>
      </c>
      <c r="CG19" s="45">
        <v>0</v>
      </c>
      <c r="CH19" s="244"/>
      <c r="CI19" s="244"/>
      <c r="CJ19" s="244"/>
      <c r="CK19" s="244"/>
      <c r="CM19" s="63">
        <v>6</v>
      </c>
    </row>
    <row r="20" spans="1:91" ht="18" hidden="1" customHeight="1">
      <c r="A20" s="260" t="s">
        <v>98</v>
      </c>
      <c r="B20" s="260" t="s">
        <v>99</v>
      </c>
      <c r="C20" s="260" t="s">
        <v>100</v>
      </c>
      <c r="D20" s="260" t="s">
        <v>101</v>
      </c>
      <c r="E20" s="260" t="s">
        <v>102</v>
      </c>
      <c r="F20" s="260" t="s">
        <v>177</v>
      </c>
      <c r="G20" s="260" t="s">
        <v>178</v>
      </c>
      <c r="H20" s="260" t="s">
        <v>179</v>
      </c>
      <c r="I20" s="260" t="s">
        <v>106</v>
      </c>
      <c r="J20" s="12" t="s">
        <v>180</v>
      </c>
      <c r="K20" s="260" t="s">
        <v>181</v>
      </c>
      <c r="L20" s="260" t="s">
        <v>182</v>
      </c>
      <c r="M20" s="260" t="s">
        <v>183</v>
      </c>
      <c r="N20" s="260" t="s">
        <v>111</v>
      </c>
      <c r="O20" s="260" t="s">
        <v>112</v>
      </c>
      <c r="P20" s="10">
        <v>0</v>
      </c>
      <c r="Q20" s="11">
        <v>20</v>
      </c>
      <c r="R20" s="11">
        <f t="shared" si="19"/>
        <v>8</v>
      </c>
      <c r="S20" s="11" t="str">
        <f>VLOOKUP(K20,'1197 Salud'!$K$13:$AK$54,9,0)</f>
        <v xml:space="preserve">Se logró la caracterización de la población con Tuberculosis en los 20 municipios con mayor carga de la enfermedad en el departamento: Girardot, Guaduas, Soacha, Fusagasugá, Mosquera, Zipaquirá, Chía, La Mesa, Facatativá, Yacopí, Funza, Pacho, Villeta, Nilo, El Colegio, Madrid, Anapoima, La Palma, Puerto Salgar, Tocaima; análisis epidemiológico del comportamiento del evento, evaluando los indicadores de impacto, programáticos y de cumplimiento de las metas de los planes estratégicos nacional y departamental. Se realizaron mesas de trabajo para análisis de la situación de TB con participación de Secretarias de Salud municipal, EAPB, red de prestadores y otros actores en los municipios de Tocaima, Funza, Soacha, Girardot, Puerto Salgar, Fusagasugá, Mosquera, Yacopí, Chía, Zipaquirá, Sibaté, la Mesa, Anapoima, La Palma , Madrid, Villeta, Guaduas, Facatativá, Nilo validando el plan de trabajo presentado por Tocaima, Girardot, Fusagasugá, Yacopí, Chía, Sibaté, Soacha; lográndose un avance del 40% en la implementación de actividades para fortalecimiento de las líneas estratégicas 1 y 2 del plan departamental y nacional "Hacia el fin de la tuberculosis" en los municipios de Tocaima, Girardot, Soacha, Guaduas, Villeta, La Mesa, Yacopí y Anapoima. </v>
      </c>
      <c r="T20" s="11">
        <v>3</v>
      </c>
      <c r="U20" s="11">
        <v>0</v>
      </c>
      <c r="V20" s="11">
        <v>3</v>
      </c>
      <c r="W20" s="11">
        <v>0</v>
      </c>
      <c r="X20" s="11">
        <v>3</v>
      </c>
      <c r="Y20" s="11">
        <v>0</v>
      </c>
      <c r="Z20" s="11">
        <v>3</v>
      </c>
      <c r="AA20" s="11" t="s">
        <v>184</v>
      </c>
      <c r="AB20" s="11" t="s">
        <v>185</v>
      </c>
      <c r="AC20" s="11" t="s">
        <v>186</v>
      </c>
      <c r="AD20" s="403">
        <v>6</v>
      </c>
      <c r="AE20" s="403">
        <v>0</v>
      </c>
      <c r="AF20" s="11">
        <f>VLOOKUP(K20,'1197 Salud'!$K$13:$AK$54,22,0)</f>
        <v>5</v>
      </c>
      <c r="AG20" s="11">
        <f>VLOOKUP(K20,'1197 Salud'!$K$13:$AK$54,23,0)</f>
        <v>0</v>
      </c>
      <c r="AH20" s="11">
        <f t="shared" si="20"/>
        <v>5</v>
      </c>
      <c r="AI20" s="11" t="str">
        <f>VLOOKUP(K20,'1197 Salud'!$K$13:$AK$54,25,0)</f>
        <v>Municipios con acciones del plan estratégico departamental “Hacia el fin de la tuberculosis" en la línea estratégica 1 y 2. implementadas</v>
      </c>
      <c r="AJ20" s="11" t="str">
        <f>VLOOKUP(K20,'1197 Salud'!$K$13:$AK$54,26,0)</f>
        <v>Se avanzó en los cinco municipios Guaduas, Villeta, La Mesa, Yacopí y Anapoima con la implementación de las líneas 1 y 2 del Plan Estratégico hacia el fin de la Tuberculosis, así como en la realización de asistencias técnicas, seguimiento a los pacientes con diagnóstico de Tuberculosis en IPS, EAPB y Entidades Territoriales Municipales fortaleciendo acciones de prevención y control de la tuberculosis.</v>
      </c>
      <c r="AK20" s="11" t="str">
        <f>VLOOKUP(K20,'1197 Salud'!$K$13:$AK$54,27,0)</f>
        <v>Continuidad en las acciones debido a los cortes de vigencias  y los inicios de nuevas contrataciones</v>
      </c>
      <c r="AL20" s="11">
        <v>6</v>
      </c>
      <c r="AM20" s="11">
        <v>0</v>
      </c>
      <c r="AN20" s="11">
        <v>5</v>
      </c>
      <c r="AO20" s="11">
        <v>0</v>
      </c>
      <c r="AP20" s="11">
        <v>0</v>
      </c>
      <c r="AQ20" s="11">
        <v>0</v>
      </c>
      <c r="AR20" s="51">
        <v>57963134</v>
      </c>
      <c r="AS20" s="54">
        <v>0</v>
      </c>
      <c r="AT20" s="54">
        <f t="shared" si="0"/>
        <v>57963134</v>
      </c>
      <c r="AU20" s="51">
        <v>24709815</v>
      </c>
      <c r="AV20" s="243">
        <v>542817123</v>
      </c>
      <c r="AW20" s="244"/>
      <c r="AX20" s="244"/>
      <c r="AY20" s="243">
        <v>539901712</v>
      </c>
      <c r="AZ20" s="44">
        <f t="shared" si="21"/>
        <v>0.4</v>
      </c>
      <c r="BA20" s="44">
        <v>0.15</v>
      </c>
      <c r="BB20" s="44">
        <v>1</v>
      </c>
      <c r="BC20" s="44">
        <f t="shared" si="22"/>
        <v>0.3</v>
      </c>
      <c r="BD20" s="44" cm="1">
        <f t="array" ref="BD20">_xlfn.IFS(AD20=0,"NA",AD20&gt;0,AH20/AD20)</f>
        <v>0.83333333333333337</v>
      </c>
      <c r="BE20" s="44">
        <f t="shared" si="23"/>
        <v>0.3</v>
      </c>
      <c r="BF20" s="44">
        <v>0</v>
      </c>
      <c r="BG20" s="44">
        <f t="shared" si="24"/>
        <v>0.25</v>
      </c>
      <c r="BH20" s="44">
        <v>0</v>
      </c>
      <c r="BI20" s="44">
        <f t="shared" si="25"/>
        <v>0</v>
      </c>
      <c r="BJ20" s="44" t="s">
        <v>115</v>
      </c>
      <c r="BK20" s="44">
        <f t="shared" si="1"/>
        <v>0.4</v>
      </c>
      <c r="BL20" s="44">
        <v>1</v>
      </c>
      <c r="BM20" s="44" cm="1">
        <f t="array" ref="BM20">_xlfn.IFS(BD20="NA","NA",BD20&gt;100%,"100%",BD20&lt;100,BD20)</f>
        <v>0.83333333333333337</v>
      </c>
      <c r="BN20" s="44" cm="1">
        <f t="array" ref="BN20">_xlfn.IFS(BF20="NA","NA",BF20&gt;100%,"100%",BF20&lt;100,BF20)</f>
        <v>0</v>
      </c>
      <c r="BO20" s="44" cm="1">
        <f t="array" ref="BO20">_xlfn.IFS(BH20="NA","NA",BH20&gt;100%,"100%",BH20&lt;100,BH20)</f>
        <v>0</v>
      </c>
      <c r="BP20" s="44" t="str" cm="1">
        <f t="array" ref="BP20">_xlfn.IFS(BJ20="NA","NA",BJ20&gt;100%,"100%",BJ20&lt;100,BJ20)</f>
        <v>NA</v>
      </c>
      <c r="BQ20" s="45">
        <v>0.22500000000000001</v>
      </c>
      <c r="BR20" s="45">
        <f t="shared" si="2"/>
        <v>9.0000000000000011E-2</v>
      </c>
      <c r="BS20" s="45">
        <v>3.3799999999999997E-2</v>
      </c>
      <c r="BT20" s="45">
        <v>3.3799999999999997E-2</v>
      </c>
      <c r="BU20" s="45">
        <v>3.3799999999999997E-2</v>
      </c>
      <c r="BV20" s="45">
        <f t="shared" si="26"/>
        <v>6.7500000000000004E-2</v>
      </c>
      <c r="BW20" s="45">
        <f t="shared" si="27"/>
        <v>5.6250000000000008E-2</v>
      </c>
      <c r="BX20" s="45">
        <f t="shared" si="28"/>
        <v>5.6200000000000014E-2</v>
      </c>
      <c r="BY20" s="45">
        <f t="shared" si="29"/>
        <v>6.7500000000000004E-2</v>
      </c>
      <c r="BZ20" s="45">
        <f t="shared" si="30"/>
        <v>0</v>
      </c>
      <c r="CA20" s="45">
        <f t="shared" si="31"/>
        <v>0</v>
      </c>
      <c r="CB20" s="45">
        <f t="shared" si="32"/>
        <v>5.6250000000000001E-2</v>
      </c>
      <c r="CC20" s="45">
        <f t="shared" si="33"/>
        <v>0</v>
      </c>
      <c r="CD20" s="45">
        <v>0</v>
      </c>
      <c r="CE20" s="45">
        <f t="shared" si="34"/>
        <v>0</v>
      </c>
      <c r="CF20" s="45" t="str">
        <f t="shared" si="35"/>
        <v>NA</v>
      </c>
      <c r="CG20" s="45">
        <v>0</v>
      </c>
      <c r="CH20" s="244"/>
      <c r="CI20" s="244"/>
      <c r="CJ20" s="244"/>
      <c r="CK20" s="244"/>
      <c r="CM20" s="63">
        <v>5</v>
      </c>
    </row>
    <row r="21" spans="1:91" ht="18" hidden="1" customHeight="1">
      <c r="A21" s="260" t="s">
        <v>187</v>
      </c>
      <c r="B21" s="260" t="s">
        <v>188</v>
      </c>
      <c r="C21" s="260" t="s">
        <v>100</v>
      </c>
      <c r="D21" s="260" t="s">
        <v>101</v>
      </c>
      <c r="E21" s="260" t="s">
        <v>189</v>
      </c>
      <c r="F21" s="260" t="s">
        <v>190</v>
      </c>
      <c r="G21" s="260" t="s">
        <v>191</v>
      </c>
      <c r="H21" s="260" t="s">
        <v>192</v>
      </c>
      <c r="I21" s="260" t="s">
        <v>106</v>
      </c>
      <c r="J21" s="260"/>
      <c r="K21" s="260" t="s">
        <v>193</v>
      </c>
      <c r="L21" s="260" t="s">
        <v>194</v>
      </c>
      <c r="M21" s="260" t="s">
        <v>195</v>
      </c>
      <c r="N21" s="260" t="s">
        <v>111</v>
      </c>
      <c r="O21" s="260" t="s">
        <v>112</v>
      </c>
      <c r="P21" s="10">
        <v>0</v>
      </c>
      <c r="Q21" s="11">
        <v>1</v>
      </c>
      <c r="R21" s="11">
        <f t="shared" si="19"/>
        <v>0.39999999999999997</v>
      </c>
      <c r="S21" s="11" t="str">
        <f>VLOOKUP(K21,'1133 Felicidad'!$K$13:$AK$15,9,0)</f>
        <v>Se realizó acercamiento con el Observatorio de Sabana Como Vamos y el Departamento Nacional de Planeación (DNP) con el propósito de obtener insumos para la estructura  del Observatorio. Se elaboró el Decreto de creación del Observatorio, el cual esta pendiente de firma del Gobernador. De acuerdo con la convocatoria realizada por MinTic, se han realizado reuniones técnicas para la medición del indicador de Felicidad y Bienestar. A la fecha (31 de agosto 2021), el observatorio cuenta con los siguientes documentos técnicos finales: Documento Marco, Parámetros para la elaboración del artículo de investigación y Decreto No. 316 de septiembre 13 de 2021 Por e cual se crea el Observatorio de Felicidad y Bienestar como estrategia fundamental para el soporte, monitoreo y seguimiento a la política publica de felicidad y bienestar subjetivo del Departamento de Cundinamarca.  Se realizó la entrega de los productos desarrolados por MinTic, sobre el indicador de Felicidad del Departramento. La Alta Consejeria adelanto la contratación de servicios profesionales con el fin de dar continuidad  a la meta No. 10 de la Alta Consejeria</v>
      </c>
      <c r="T21" s="11">
        <v>0</v>
      </c>
      <c r="U21" s="11">
        <v>0</v>
      </c>
      <c r="V21" s="11">
        <v>0.05</v>
      </c>
      <c r="W21" s="11">
        <v>0</v>
      </c>
      <c r="X21" s="11">
        <v>0.05</v>
      </c>
      <c r="Y21" s="11">
        <v>0</v>
      </c>
      <c r="Z21" s="11">
        <v>0.05</v>
      </c>
      <c r="AA21" s="11" t="s">
        <v>196</v>
      </c>
      <c r="AB21" s="11" t="s">
        <v>197</v>
      </c>
      <c r="AC21" s="11" t="s">
        <v>198</v>
      </c>
      <c r="AD21" s="403">
        <v>0.4</v>
      </c>
      <c r="AE21" s="403">
        <v>0</v>
      </c>
      <c r="AF21" s="11">
        <f>VLOOKUP(K21,'1133 Felicidad'!$K$13:$AK$15,22,0)</f>
        <v>0.35</v>
      </c>
      <c r="AG21" s="11">
        <f>VLOOKUP(K21,'1133 Felicidad'!$K$13:$AK$15,23,0)</f>
        <v>0</v>
      </c>
      <c r="AH21" s="11">
        <f t="shared" si="20"/>
        <v>0.35</v>
      </c>
      <c r="AI21" s="11">
        <f>VLOOKUP(K21,'1133 Felicidad'!$K$13:$AK$15,25,0)</f>
        <v>0</v>
      </c>
      <c r="AJ21" s="11" t="str">
        <f>VLOOKUP(K21,'1133 Felicidad'!$K$13:$AK$15,26,0)</f>
        <v>Se realizó acercamiento con el Observatorio de Sabana Como Vamos y el Departamento Nacional de Planeación (DNP) con el propósito de obtener insumos para la estructura  del Observatorio. Se elaboró el Decreto de creación del Observatorio, el cual esta pendiente de firma del Gobernador. De acuerdo con la convocatoria realizada por MinTic, se han realizado reuniones técnicas para la medición del indicador de Felicidad y Bienestar. A la fecha (31 de agosto 2021), el observatorio cuenta con los siguientes documentos técnicos finales: Documento Marco, Parámetros para la elaboración del artículo de investigación y Decreto No. 316 de septiembre 13 de 2021 Por e cual se crea el Observatorio de Felicidad y Bienestar como estrategia fundamental para el soporte, monitoreo y seguimiento a la política publica de felicidad y bienestar subjetivo del Departamento de Cundinamarca.  Se realizó la entrega de los productos desarrolados por MinTic, sobre el indicador de Felicidad del Departramento. La Alta Consejeria adelanto la contratación de servicios profesionales con el fin de dar continuidad  a la meta No. 10. Se firmó un contrato interadministrativo con las Universidad de Cundinarma cuyo objeto es Implementar la tercera y cuarta fase del Observatorio de Felicidad y Bienestar, acorde con el documento marco que corresponde al desarrollo de las líneas de investigación y su metodología definida, con sus respectivos procesos de socialización y publicación. Así como fortalecer los procesos de capacitación y formación de la Escuela de Felicidad y Bienestar.</v>
      </c>
      <c r="AK21" s="11" t="str">
        <f>VLOOKUP(K21,'1133 Felicidad'!$K$13:$AK$15,27,0)</f>
        <v>La consolidación de indicadores actualizados de bienestar subjetivo para los 116 municipios del Departamento. Se realizaron dos correcciones al documento original al documento del Decreto del Observatorio. La propuesta metodología del Min.Tic no se ajusta a la metodología utilizada para la medición de indicador de Felicidad. Por falta de recursos no se ha dado inicio con los estudios e investigaciones.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v>
      </c>
      <c r="AL21" s="11">
        <v>0.4</v>
      </c>
      <c r="AM21" s="11">
        <v>0</v>
      </c>
      <c r="AN21" s="11">
        <v>0.15</v>
      </c>
      <c r="AO21" s="11">
        <v>0</v>
      </c>
      <c r="AP21" s="11">
        <v>0</v>
      </c>
      <c r="AQ21" s="11">
        <v>0</v>
      </c>
      <c r="AR21" s="51">
        <v>16000000</v>
      </c>
      <c r="AS21" s="54">
        <v>0</v>
      </c>
      <c r="AT21" s="54">
        <f t="shared" si="0"/>
        <v>16000000</v>
      </c>
      <c r="AU21" s="51">
        <v>16000000</v>
      </c>
      <c r="AV21" s="243">
        <v>590891458</v>
      </c>
      <c r="AW21" s="244"/>
      <c r="AX21" s="244"/>
      <c r="AY21" s="243">
        <v>590891458</v>
      </c>
      <c r="AZ21" s="44">
        <f t="shared" si="21"/>
        <v>0.39999999999999997</v>
      </c>
      <c r="BA21" s="44">
        <v>0.05</v>
      </c>
      <c r="BB21" s="44">
        <v>1</v>
      </c>
      <c r="BC21" s="44">
        <f t="shared" si="22"/>
        <v>0.4</v>
      </c>
      <c r="BD21" s="44" cm="1">
        <f t="array" ref="BD21">_xlfn.IFS(AD21=0,"NA",AD21&gt;0,AH21/AD21)</f>
        <v>0.87499999999999989</v>
      </c>
      <c r="BE21" s="44">
        <f t="shared" si="23"/>
        <v>0.4</v>
      </c>
      <c r="BF21" s="44">
        <v>0</v>
      </c>
      <c r="BG21" s="44">
        <f t="shared" si="24"/>
        <v>0.15</v>
      </c>
      <c r="BH21" s="44">
        <v>0</v>
      </c>
      <c r="BI21" s="44">
        <f t="shared" si="25"/>
        <v>0</v>
      </c>
      <c r="BJ21" s="44" t="s">
        <v>115</v>
      </c>
      <c r="BK21" s="44">
        <f t="shared" si="1"/>
        <v>0.39999999999999997</v>
      </c>
      <c r="BL21" s="44">
        <v>1</v>
      </c>
      <c r="BM21" s="44" cm="1">
        <f t="array" ref="BM21">_xlfn.IFS(BD21="NA","NA",BD21&gt;100%,"100%",BD21&lt;100,BD21)</f>
        <v>0.87499999999999989</v>
      </c>
      <c r="BN21" s="44" cm="1">
        <f t="array" ref="BN21">_xlfn.IFS(BF21="NA","NA",BF21&gt;100%,"100%",BF21&lt;100,BF21)</f>
        <v>0</v>
      </c>
      <c r="BO21" s="44" cm="1">
        <f t="array" ref="BO21">_xlfn.IFS(BH21="NA","NA",BH21&gt;100%,"100%",BH21&lt;100,BH21)</f>
        <v>0</v>
      </c>
      <c r="BP21" s="44" t="str" cm="1">
        <f t="array" ref="BP21">_xlfn.IFS(BJ21="NA","NA",BJ21&gt;100%,"100%",BJ21&lt;100,BJ21)</f>
        <v>NA</v>
      </c>
      <c r="BQ21" s="45">
        <v>0.22500000000000001</v>
      </c>
      <c r="BR21" s="45">
        <f t="shared" si="2"/>
        <v>0.09</v>
      </c>
      <c r="BS21" s="45">
        <v>1.1299999999999999E-2</v>
      </c>
      <c r="BT21" s="45">
        <v>1.1299999999999999E-2</v>
      </c>
      <c r="BU21" s="45">
        <v>1.1299999999999999E-2</v>
      </c>
      <c r="BV21" s="45">
        <f t="shared" si="26"/>
        <v>9.0000000000000011E-2</v>
      </c>
      <c r="BW21" s="45">
        <f t="shared" si="27"/>
        <v>7.8750000000000001E-2</v>
      </c>
      <c r="BX21" s="45">
        <f t="shared" si="28"/>
        <v>7.8699999999999992E-2</v>
      </c>
      <c r="BY21" s="45">
        <f t="shared" si="29"/>
        <v>9.0000000000000011E-2</v>
      </c>
      <c r="BZ21" s="45">
        <f t="shared" si="30"/>
        <v>0</v>
      </c>
      <c r="CA21" s="45">
        <f t="shared" si="31"/>
        <v>0</v>
      </c>
      <c r="CB21" s="45">
        <f t="shared" si="32"/>
        <v>3.3750000000000002E-2</v>
      </c>
      <c r="CC21" s="45">
        <f t="shared" si="33"/>
        <v>0</v>
      </c>
      <c r="CD21" s="45">
        <v>0</v>
      </c>
      <c r="CE21" s="45">
        <f t="shared" si="34"/>
        <v>0</v>
      </c>
      <c r="CF21" s="45" t="str">
        <f t="shared" si="35"/>
        <v>NA</v>
      </c>
      <c r="CG21" s="45">
        <v>0</v>
      </c>
      <c r="CH21" s="244"/>
      <c r="CI21" s="244"/>
      <c r="CJ21" s="244"/>
      <c r="CK21" s="244"/>
      <c r="CM21" s="63">
        <v>0.28999999999999998</v>
      </c>
    </row>
    <row r="22" spans="1:91" ht="18" hidden="1" customHeight="1">
      <c r="A22" s="260" t="s">
        <v>187</v>
      </c>
      <c r="B22" s="260" t="s">
        <v>188</v>
      </c>
      <c r="C22" s="260" t="s">
        <v>100</v>
      </c>
      <c r="D22" s="260" t="s">
        <v>101</v>
      </c>
      <c r="E22" s="260" t="s">
        <v>189</v>
      </c>
      <c r="F22" s="260" t="s">
        <v>190</v>
      </c>
      <c r="G22" s="260" t="s">
        <v>191</v>
      </c>
      <c r="H22" s="260" t="s">
        <v>199</v>
      </c>
      <c r="I22" s="260" t="s">
        <v>200</v>
      </c>
      <c r="J22" s="260"/>
      <c r="K22" s="260" t="s">
        <v>201</v>
      </c>
      <c r="L22" s="260" t="s">
        <v>202</v>
      </c>
      <c r="M22" s="260" t="s">
        <v>203</v>
      </c>
      <c r="N22" s="260" t="s">
        <v>111</v>
      </c>
      <c r="O22" s="260" t="s">
        <v>112</v>
      </c>
      <c r="P22" s="10">
        <v>0</v>
      </c>
      <c r="Q22" s="11">
        <v>1</v>
      </c>
      <c r="R22" s="11">
        <f t="shared" si="19"/>
        <v>0.39</v>
      </c>
      <c r="S22" s="11" t="str">
        <f>VLOOKUP(K22,'1133 Felicidad'!$K$13:$AK$15,9,0)</f>
        <v>Se cuenta con avances de las metas de las diferentes dependencias del Departamento que se articulan en el plan operativo de la política pública de felicidad y bienestar subjetivo. Se realizó el primer y segundo Comité Transversal de Felicidad y Bienestar vigencia 2021 y se realizó socialización de la Política Pública a las instancias de particiación: Consejo Consultivo de Mujeres, las plataformas municipales y departamental de jóvenes y en el mes de julio: Consejo Territorial de Planeación y los representantes de las Juntas de Acción Comunal. Se realizo Conversatorio de Juventud en el Municipio de Cajicá en el marco de la Política Publica de Felicidad y Bienestar; La Alta Consejeria adelanto la contratación de servicios profesionales con el fin de dar continuidad a la meta No.11 de la Alta Consejeria</v>
      </c>
      <c r="T22" s="11">
        <v>0</v>
      </c>
      <c r="U22" s="11">
        <v>0</v>
      </c>
      <c r="V22" s="11">
        <v>0.05</v>
      </c>
      <c r="W22" s="11">
        <v>0</v>
      </c>
      <c r="X22" s="11">
        <v>0.05</v>
      </c>
      <c r="Y22" s="11">
        <v>0</v>
      </c>
      <c r="Z22" s="11">
        <v>0.05</v>
      </c>
      <c r="AA22" s="11" t="s">
        <v>204</v>
      </c>
      <c r="AB22" s="11" t="s">
        <v>205</v>
      </c>
      <c r="AC22" s="11" t="s">
        <v>198</v>
      </c>
      <c r="AD22" s="403">
        <v>0.4</v>
      </c>
      <c r="AE22" s="403">
        <v>0</v>
      </c>
      <c r="AF22" s="11">
        <f>VLOOKUP(K22,'1133 Felicidad'!$K$13:$AK$15,22,0)</f>
        <v>0.34</v>
      </c>
      <c r="AG22" s="11">
        <f>VLOOKUP(K22,'1133 Felicidad'!$K$13:$AK$15,23,0)</f>
        <v>0</v>
      </c>
      <c r="AH22" s="11">
        <f t="shared" si="20"/>
        <v>0.34</v>
      </c>
      <c r="AI22" s="11">
        <f>VLOOKUP(K22,'1133 Felicidad'!$K$13:$AK$15,25,0)</f>
        <v>0</v>
      </c>
      <c r="AJ22" s="11" t="str">
        <f>VLOOKUP(K22,'1133 Felicidad'!$K$13:$AK$15,26,0)</f>
        <v xml:space="preserve">Se cuenta con avances de las metas de las diferentes dependencias del Departamento que se articulan en el plan operativo de la política pública de felicidad y bienestar subjetivo. Se realizó el primer y segundo, Comité Transversal de Felicidad y Bienestar vigencia 2021 y se realizó socialización de la Política Pública a las instancias de particiación: Consejo Consultivo de Mujeres, las plataformas municipales y departamental de jóvenes y en el mes de julio: Consejo Territorial de Planeación y los representantes de las Juntas de Acción Comunal.  Se realizo Conversatorio de Juventud en el Municipio de Cajicá en el marco de la Política Publica de Felicidad y Bienestar; La Alta Consejeria adelanto la contratación de servicios profesionales con el fin de dar continuidad  a la meta No.11 de la Alta Consejeria. Se está adelantando la actualización del plan operativo de la política publica. </v>
      </c>
      <c r="AK22" s="11" t="str">
        <f>VLOOKUP(K22,'1133 Felicidad'!$K$13:$AK$15,27,0)</f>
        <v>Recibir la información de los avances por parte de cada una de las dependencias de la Gobernación de Cundinamarca, lo que genera reprocesos y dificulta la consolidación del avance de las metas del plan operativo de la política pública de felicidad y bienestar. Para la continuidad del desarrollo de la meta 11 se cuenta con una persona de planta, debido a la finalización de los contratos de prestación de servicios.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 Se convocó dos veces el tercer comité de felicidad en el mes de noviembre pero no se llevó a cabo debido a la falta de quorum.</v>
      </c>
      <c r="AL22" s="11">
        <v>0.4</v>
      </c>
      <c r="AM22" s="11">
        <v>0</v>
      </c>
      <c r="AN22" s="11">
        <v>0.15</v>
      </c>
      <c r="AO22" s="11">
        <v>0</v>
      </c>
      <c r="AP22" s="11">
        <v>0</v>
      </c>
      <c r="AQ22" s="11">
        <v>0</v>
      </c>
      <c r="AR22" s="51">
        <v>24000000</v>
      </c>
      <c r="AS22" s="54">
        <v>0</v>
      </c>
      <c r="AT22" s="54">
        <f t="shared" si="0"/>
        <v>24000000</v>
      </c>
      <c r="AU22" s="51">
        <v>24000000</v>
      </c>
      <c r="AV22" s="243">
        <v>242891458</v>
      </c>
      <c r="AW22" s="244"/>
      <c r="AX22" s="244"/>
      <c r="AY22" s="243">
        <v>242891458</v>
      </c>
      <c r="AZ22" s="44">
        <f t="shared" si="21"/>
        <v>0.39</v>
      </c>
      <c r="BA22" s="44">
        <v>0.05</v>
      </c>
      <c r="BB22" s="44">
        <v>1</v>
      </c>
      <c r="BC22" s="44">
        <f t="shared" si="22"/>
        <v>0.4</v>
      </c>
      <c r="BD22" s="44" cm="1">
        <f t="array" ref="BD22">_xlfn.IFS(AD22=0,"NA",AD22&gt;0,AH22/AD22)</f>
        <v>0.85</v>
      </c>
      <c r="BE22" s="44">
        <f t="shared" si="23"/>
        <v>0.4</v>
      </c>
      <c r="BF22" s="44">
        <v>0</v>
      </c>
      <c r="BG22" s="44">
        <f t="shared" si="24"/>
        <v>0.15</v>
      </c>
      <c r="BH22" s="44">
        <v>0</v>
      </c>
      <c r="BI22" s="44">
        <f t="shared" si="25"/>
        <v>0</v>
      </c>
      <c r="BJ22" s="44" t="s">
        <v>115</v>
      </c>
      <c r="BK22" s="44">
        <f t="shared" si="1"/>
        <v>0.39</v>
      </c>
      <c r="BL22" s="44">
        <v>1</v>
      </c>
      <c r="BM22" s="44" cm="1">
        <f t="array" ref="BM22">_xlfn.IFS(BD22="NA","NA",BD22&gt;100%,"100%",BD22&lt;100,BD22)</f>
        <v>0.85</v>
      </c>
      <c r="BN22" s="44" cm="1">
        <f t="array" ref="BN22">_xlfn.IFS(BF22="NA","NA",BF22&gt;100%,"100%",BF22&lt;100,BF22)</f>
        <v>0</v>
      </c>
      <c r="BO22" s="44" cm="1">
        <f t="array" ref="BO22">_xlfn.IFS(BH22="NA","NA",BH22&gt;100%,"100%",BH22&lt;100,BH22)</f>
        <v>0</v>
      </c>
      <c r="BP22" s="44" t="str" cm="1">
        <f t="array" ref="BP22">_xlfn.IFS(BJ22="NA","NA",BJ22&gt;100%,"100%",BJ22&lt;100,BJ22)</f>
        <v>NA</v>
      </c>
      <c r="BQ22" s="45">
        <v>0.22500000000000001</v>
      </c>
      <c r="BR22" s="45">
        <f t="shared" si="2"/>
        <v>8.7750000000000009E-2</v>
      </c>
      <c r="BS22" s="45">
        <v>1.1299999999999999E-2</v>
      </c>
      <c r="BT22" s="45">
        <v>1.1299999999999999E-2</v>
      </c>
      <c r="BU22" s="45">
        <v>1.1299999999999999E-2</v>
      </c>
      <c r="BV22" s="45">
        <f t="shared" si="26"/>
        <v>9.0000000000000011E-2</v>
      </c>
      <c r="BW22" s="45">
        <f t="shared" si="27"/>
        <v>7.6500000000000012E-2</v>
      </c>
      <c r="BX22" s="45">
        <f t="shared" si="28"/>
        <v>7.6450000000000004E-2</v>
      </c>
      <c r="BY22" s="45">
        <f t="shared" si="29"/>
        <v>9.0000000000000011E-2</v>
      </c>
      <c r="BZ22" s="45">
        <f t="shared" si="30"/>
        <v>0</v>
      </c>
      <c r="CA22" s="45">
        <f t="shared" si="31"/>
        <v>0</v>
      </c>
      <c r="CB22" s="45">
        <f t="shared" si="32"/>
        <v>3.3750000000000002E-2</v>
      </c>
      <c r="CC22" s="45">
        <f t="shared" si="33"/>
        <v>0</v>
      </c>
      <c r="CD22" s="45">
        <v>0</v>
      </c>
      <c r="CE22" s="45">
        <f t="shared" si="34"/>
        <v>0</v>
      </c>
      <c r="CF22" s="45" t="str">
        <f t="shared" si="35"/>
        <v>NA</v>
      </c>
      <c r="CG22" s="45">
        <v>0</v>
      </c>
      <c r="CH22" s="244"/>
      <c r="CI22" s="244"/>
      <c r="CJ22" s="244"/>
      <c r="CK22" s="244"/>
      <c r="CM22" s="63">
        <v>0.28999999999999998</v>
      </c>
    </row>
    <row r="23" spans="1:91" ht="18" hidden="1" customHeight="1">
      <c r="A23" s="260" t="s">
        <v>187</v>
      </c>
      <c r="B23" s="260" t="s">
        <v>188</v>
      </c>
      <c r="C23" s="260" t="s">
        <v>100</v>
      </c>
      <c r="D23" s="260" t="s">
        <v>101</v>
      </c>
      <c r="E23" s="260" t="s">
        <v>189</v>
      </c>
      <c r="F23" s="260" t="s">
        <v>190</v>
      </c>
      <c r="G23" s="260" t="s">
        <v>191</v>
      </c>
      <c r="H23" s="260" t="s">
        <v>206</v>
      </c>
      <c r="I23" s="260" t="s">
        <v>200</v>
      </c>
      <c r="J23" s="260"/>
      <c r="K23" s="260" t="s">
        <v>207</v>
      </c>
      <c r="L23" s="260" t="s">
        <v>208</v>
      </c>
      <c r="M23" s="260" t="s">
        <v>209</v>
      </c>
      <c r="N23" s="260" t="s">
        <v>111</v>
      </c>
      <c r="O23" s="260" t="s">
        <v>112</v>
      </c>
      <c r="P23" s="10">
        <v>0</v>
      </c>
      <c r="Q23" s="11">
        <v>1</v>
      </c>
      <c r="R23" s="11">
        <f t="shared" si="19"/>
        <v>0.51</v>
      </c>
      <c r="S23" s="11" t="str">
        <f>VLOOKUP(K23,'1133 Felicidad'!$K$13:$AK$15,9,0)</f>
        <v>Se cuenta con el portafolio de servicios de Felicidad y Bienestar el cual consta de 13 cursos que se orientan a las dimensiones de la política pública de felicidad. Se está elaborando el Documento Marco de la Escuela de Felicidad y Bienestar. Se desarrollaron nueve cursos que se encuentran en revisión para cargar a la Escuela Virtual 2036 en la plataforma Moodle y se abrió el proceso de inscripión. Se prestó asistencia técnica a través de capacitaciones virtuales y presenciales dirigidas a los municipios de Cundinamarca y a las depencidas de la Gobernación. Se cuenta con el documento técnico final "Orientaciones para la construcción de programas de educación para el trabajo y desarrollo humano" de la Escuela de Fellcidad y Bienestar para ser radicado en la Secretaría de Educación Departamental. Se prestó asistencia técnica a través de capacitaciones virtuales y presenciales dirigidas a los municipios de Cundinama. La Alta Consejeria adelanto la contratación de servicios profesionales con el fin de dar continuidad a la meta No.12 de la Alta Consejeria</v>
      </c>
      <c r="T23" s="11">
        <v>0.05</v>
      </c>
      <c r="U23" s="11">
        <v>0</v>
      </c>
      <c r="V23" s="11">
        <v>0.1</v>
      </c>
      <c r="W23" s="11">
        <v>0</v>
      </c>
      <c r="X23" s="11">
        <v>0.15</v>
      </c>
      <c r="Y23" s="11">
        <v>0</v>
      </c>
      <c r="Z23" s="11">
        <v>0.15</v>
      </c>
      <c r="AA23" s="11" t="s">
        <v>210</v>
      </c>
      <c r="AB23" s="11" t="s">
        <v>211</v>
      </c>
      <c r="AC23" s="11" t="s">
        <v>198</v>
      </c>
      <c r="AD23" s="403">
        <v>0.4</v>
      </c>
      <c r="AE23" s="403">
        <v>0</v>
      </c>
      <c r="AF23" s="11">
        <f>VLOOKUP(K23,'1133 Felicidad'!$K$13:$AK$15,22,0)</f>
        <v>0.36</v>
      </c>
      <c r="AG23" s="11">
        <f>VLOOKUP(K23,'1133 Felicidad'!$K$13:$AK$15,23,0)</f>
        <v>0</v>
      </c>
      <c r="AH23" s="11">
        <f t="shared" si="20"/>
        <v>0.36</v>
      </c>
      <c r="AI23" s="11">
        <f>VLOOKUP(K23,'1133 Felicidad'!$K$13:$AK$15,25,0)</f>
        <v>0</v>
      </c>
      <c r="AJ23" s="11" t="str">
        <f>VLOOKUP(K23,'1133 Felicidad'!$K$13:$AK$15,26,0)</f>
        <v>Se cuenta con el portafolio de servicios de Felicidad y Bienestar el cual consta de 13 cursos que se orientan a las dimensiones de la política pública de felicidad. Se está elaborando el Documento Marco de la Escuela de Felicidad y Bienestar.  Se desarrollaron nueve cursos que se encuentran en revisión para cargar a la Escuela Virtual 2036 en la plataforma Moodle y se abrió el proceso de inscripión. Se prestó asistencia técnica a través de capacitaciones virtuales y presenciales dirigidas a los municipios de Cundinamarca y a las depencidas de la Gobernación. Se cuenta con el documento técnico final "Orientaciones para la construcción de programas de educación para el trabajo y desarrollo humano" de la Escuela de Fellcidad y Bienestar para ser radicado en la Secretaría de Educación Departamental.  Se prestó asistencia técnica a través de capacitaciones virtuales y presenciales dirigidas a los municipios de Cundinama. La Alta Consejeria adelanto la contratación de servicios profesionales con el fin de dar continuidad  a la meta No.12 de la Alta Consejeria. Se realizó un convenio interadministrativo con la Universidad de Cundinamarca cuyo objeto es Implementar el laboratorio de iniciativas que consiste en el desarrollar ideas de negocios para ser ejecutadas en el contexto de familia, así como el desarrollo de estrategias de felicidad y bienestar a treinta (30) familias cundinamarquesas  Implementar el laboratorio de iniciativas que consiste en el desarrollar ideas de negocios para ser ejecutadas en el contexto de familia, así como el desarrollo de estrategias de felicidad y bienestar a treinta (30) familias cundinamarquesas. En este contexto se realizó la selección de las 30 familias, se caracterizó la población y comenzaron a participar en el diplomado titulado jovenes emprendedores, felices y exitosos. Asimismo se realizó el conversatorio sobre el manejo del duelo.</v>
      </c>
      <c r="AK23" s="11" t="str">
        <f>VLOOKUP(K23,'1133 Felicidad'!$K$13:$AK$15,27,0)</f>
        <v>El equipo psicosocial es insufuciente para atender la demanda de solicitudes de los municipios, debido a la finalizacion de los contratos de prestación de serivicios.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v>
      </c>
      <c r="AL23" s="11">
        <v>0.4</v>
      </c>
      <c r="AM23" s="11">
        <v>0</v>
      </c>
      <c r="AN23" s="11">
        <v>0.1</v>
      </c>
      <c r="AO23" s="11">
        <v>0</v>
      </c>
      <c r="AP23" s="11">
        <v>0</v>
      </c>
      <c r="AQ23" s="11">
        <v>0</v>
      </c>
      <c r="AR23" s="51">
        <v>61500000</v>
      </c>
      <c r="AS23" s="54">
        <v>0</v>
      </c>
      <c r="AT23" s="54">
        <f t="shared" si="0"/>
        <v>61500000</v>
      </c>
      <c r="AU23" s="51">
        <v>61500000</v>
      </c>
      <c r="AV23" s="243">
        <v>498891458</v>
      </c>
      <c r="AW23" s="244"/>
      <c r="AX23" s="244"/>
      <c r="AY23" s="243">
        <v>498531455</v>
      </c>
      <c r="AZ23" s="44">
        <f t="shared" si="21"/>
        <v>0.51</v>
      </c>
      <c r="BA23" s="44">
        <v>0.1</v>
      </c>
      <c r="BB23" s="44">
        <v>1.5</v>
      </c>
      <c r="BC23" s="44">
        <f t="shared" si="22"/>
        <v>0.4</v>
      </c>
      <c r="BD23" s="44" cm="1">
        <f t="array" ref="BD23">_xlfn.IFS(AD23=0,"NA",AD23&gt;0,AH23/AD23)</f>
        <v>0.89999999999999991</v>
      </c>
      <c r="BE23" s="44">
        <f t="shared" si="23"/>
        <v>0.4</v>
      </c>
      <c r="BF23" s="44">
        <v>0</v>
      </c>
      <c r="BG23" s="44">
        <f t="shared" si="24"/>
        <v>0.1</v>
      </c>
      <c r="BH23" s="44">
        <v>0</v>
      </c>
      <c r="BI23" s="44">
        <f t="shared" si="25"/>
        <v>0</v>
      </c>
      <c r="BJ23" s="44" t="s">
        <v>115</v>
      </c>
      <c r="BK23" s="44">
        <f t="shared" si="1"/>
        <v>0.51</v>
      </c>
      <c r="BL23" s="44">
        <v>1</v>
      </c>
      <c r="BM23" s="44" cm="1">
        <f t="array" ref="BM23">_xlfn.IFS(BD23="NA","NA",BD23&gt;100%,"100%",BD23&lt;100,BD23)</f>
        <v>0.89999999999999991</v>
      </c>
      <c r="BN23" s="44" cm="1">
        <f t="array" ref="BN23">_xlfn.IFS(BF23="NA","NA",BF23&gt;100%,"100%",BF23&lt;100,BF23)</f>
        <v>0</v>
      </c>
      <c r="BO23" s="44" cm="1">
        <f t="array" ref="BO23">_xlfn.IFS(BH23="NA","NA",BH23&gt;100%,"100%",BH23&lt;100,BH23)</f>
        <v>0</v>
      </c>
      <c r="BP23" s="44" t="str" cm="1">
        <f t="array" ref="BP23">_xlfn.IFS(BJ23="NA","NA",BJ23&gt;100%,"100%",BJ23&lt;100,BJ23)</f>
        <v>NA</v>
      </c>
      <c r="BQ23" s="45">
        <v>0.22500000000000001</v>
      </c>
      <c r="BR23" s="45">
        <f t="shared" si="2"/>
        <v>0.11475</v>
      </c>
      <c r="BS23" s="45">
        <v>2.2499999999999999E-2</v>
      </c>
      <c r="BT23" s="45">
        <v>2.2499999999999999E-2</v>
      </c>
      <c r="BU23" s="45">
        <v>3.3799999999999997E-2</v>
      </c>
      <c r="BV23" s="45">
        <f t="shared" si="26"/>
        <v>9.0000000000000011E-2</v>
      </c>
      <c r="BW23" s="45">
        <f t="shared" si="27"/>
        <v>8.1000000000000003E-2</v>
      </c>
      <c r="BX23" s="45">
        <f t="shared" si="28"/>
        <v>8.0950000000000008E-2</v>
      </c>
      <c r="BY23" s="45">
        <f t="shared" si="29"/>
        <v>9.0000000000000011E-2</v>
      </c>
      <c r="BZ23" s="45">
        <f t="shared" si="30"/>
        <v>0</v>
      </c>
      <c r="CA23" s="45">
        <f t="shared" si="31"/>
        <v>0</v>
      </c>
      <c r="CB23" s="45">
        <f t="shared" si="32"/>
        <v>2.2500000000000003E-2</v>
      </c>
      <c r="CC23" s="45">
        <f t="shared" si="33"/>
        <v>0</v>
      </c>
      <c r="CD23" s="45">
        <v>0</v>
      </c>
      <c r="CE23" s="45">
        <f t="shared" si="34"/>
        <v>0</v>
      </c>
      <c r="CF23" s="45" t="str">
        <f t="shared" si="35"/>
        <v>NA</v>
      </c>
      <c r="CG23" s="45">
        <v>0</v>
      </c>
      <c r="CH23" s="244"/>
      <c r="CI23" s="244"/>
      <c r="CJ23" s="244"/>
      <c r="CK23" s="244"/>
      <c r="CM23" s="63">
        <v>0.39</v>
      </c>
    </row>
    <row r="24" spans="1:91" ht="18" hidden="1" customHeight="1">
      <c r="A24" s="260" t="s">
        <v>212</v>
      </c>
      <c r="B24" s="260" t="s">
        <v>213</v>
      </c>
      <c r="C24" s="260" t="s">
        <v>100</v>
      </c>
      <c r="D24" s="260" t="s">
        <v>101</v>
      </c>
      <c r="E24" s="260" t="s">
        <v>189</v>
      </c>
      <c r="F24" s="260" t="s">
        <v>190</v>
      </c>
      <c r="G24" s="260" t="s">
        <v>191</v>
      </c>
      <c r="H24" s="260" t="s">
        <v>214</v>
      </c>
      <c r="I24" s="260"/>
      <c r="J24" s="260"/>
      <c r="K24" s="260" t="s">
        <v>215</v>
      </c>
      <c r="L24" s="260" t="s">
        <v>216</v>
      </c>
      <c r="M24" s="260" t="s">
        <v>217</v>
      </c>
      <c r="N24" s="260" t="s">
        <v>111</v>
      </c>
      <c r="O24" s="260" t="s">
        <v>112</v>
      </c>
      <c r="P24" s="10">
        <v>651</v>
      </c>
      <c r="Q24" s="11">
        <v>7000</v>
      </c>
      <c r="R24" s="11">
        <f t="shared" si="19"/>
        <v>5873</v>
      </c>
      <c r="S24" s="11" t="str">
        <f>VLOOKUP(K24,'1215 Corporación'!$K$13:$AK$14,9,0)</f>
        <v>Se logró llegar a mas beneficiados de los presupuestados debido a que se generaron nuevas estrategias para mitigar el impacto de la pandemia que afecta a los afiliados de l CSC.</v>
      </c>
      <c r="T24" s="11">
        <v>100</v>
      </c>
      <c r="U24" s="11">
        <v>0</v>
      </c>
      <c r="V24" s="11">
        <v>100</v>
      </c>
      <c r="W24" s="11">
        <v>0</v>
      </c>
      <c r="X24" s="11">
        <v>3852</v>
      </c>
      <c r="Y24" s="11">
        <v>0</v>
      </c>
      <c r="Z24" s="11">
        <v>3852</v>
      </c>
      <c r="AA24" s="11" t="s">
        <v>218</v>
      </c>
      <c r="AB24" s="11" t="s">
        <v>219</v>
      </c>
      <c r="AC24" s="11" t="s">
        <v>220</v>
      </c>
      <c r="AD24" s="403">
        <v>1900</v>
      </c>
      <c r="AE24" s="403">
        <v>0</v>
      </c>
      <c r="AF24" s="11">
        <f>VLOOKUP(K24,'1215 Corporación'!$K$13:$AK$14,22,0)</f>
        <v>2021</v>
      </c>
      <c r="AG24" s="11">
        <f>VLOOKUP(K24,'1215 Corporación'!$K$13:$AK$14,23,0)</f>
        <v>0</v>
      </c>
      <c r="AH24" s="11">
        <f t="shared" si="20"/>
        <v>2021</v>
      </c>
      <c r="AI24" s="11" t="str">
        <f>VLOOKUP(K24,'1215 Corporación'!$K$13:$AK$14,25,0)</f>
        <v>Afiliaciones ,subsidios educativos,Promocion de portafólio de servicios</v>
      </c>
      <c r="AJ24" s="11" t="str">
        <f>VLOOKUP(K24,'1215 Corporación'!$K$13:$AK$14,26,0)</f>
        <v>Aliaciones 384 ,subsidios educativos 21,Promocion de portafolio de servicios 1616</v>
      </c>
      <c r="AK24" s="11" t="str">
        <f>VLOOKUP(K24,'1215 Corporación'!$K$13:$AK$14,27,0)</f>
        <v>Ninguna</v>
      </c>
      <c r="AL24" s="11">
        <v>1000</v>
      </c>
      <c r="AM24" s="11">
        <v>0</v>
      </c>
      <c r="AN24" s="11">
        <v>1000</v>
      </c>
      <c r="AO24" s="11">
        <v>0</v>
      </c>
      <c r="AP24" s="11">
        <v>0</v>
      </c>
      <c r="AQ24" s="11">
        <v>0</v>
      </c>
      <c r="AR24" s="52"/>
      <c r="AS24" s="54">
        <v>904989855</v>
      </c>
      <c r="AT24" s="54">
        <f t="shared" si="0"/>
        <v>904989855</v>
      </c>
      <c r="AU24" s="52"/>
      <c r="AV24" s="243">
        <v>1437374000</v>
      </c>
      <c r="AW24" s="244"/>
      <c r="AX24" s="244"/>
      <c r="AY24" s="243">
        <v>821603991</v>
      </c>
      <c r="AZ24" s="44">
        <f t="shared" si="21"/>
        <v>0.83899999999999997</v>
      </c>
      <c r="BA24" s="44">
        <v>2.5000000000000001E-2</v>
      </c>
      <c r="BB24" s="44">
        <v>38.520000000000003</v>
      </c>
      <c r="BC24" s="44">
        <f t="shared" si="22"/>
        <v>0.27142857142857141</v>
      </c>
      <c r="BD24" s="44" cm="1">
        <f t="array" ref="BD24">_xlfn.IFS(AD24=0,"NA",AD24&gt;0,AH24/AD24)</f>
        <v>1.0636842105263158</v>
      </c>
      <c r="BE24" s="44">
        <f t="shared" si="23"/>
        <v>0.14285714285714285</v>
      </c>
      <c r="BF24" s="44">
        <v>0</v>
      </c>
      <c r="BG24" s="44">
        <f t="shared" si="24"/>
        <v>0.14285714285714285</v>
      </c>
      <c r="BH24" s="44">
        <v>0</v>
      </c>
      <c r="BI24" s="44">
        <f t="shared" si="25"/>
        <v>0</v>
      </c>
      <c r="BJ24" s="44" t="s">
        <v>115</v>
      </c>
      <c r="BK24" s="44">
        <f t="shared" si="1"/>
        <v>0.83899999999999997</v>
      </c>
      <c r="BL24" s="44">
        <v>1</v>
      </c>
      <c r="BM24" s="44" t="str" cm="1">
        <f t="array" ref="BM24">_xlfn.IFS(BD24="NA","NA",BD24&gt;100%,"100%",BD24&lt;100,BD24)</f>
        <v>100%</v>
      </c>
      <c r="BN24" s="44" cm="1">
        <f t="array" ref="BN24">_xlfn.IFS(BF24="NA","NA",BF24&gt;100%,"100%",BF24&lt;100,BF24)</f>
        <v>0</v>
      </c>
      <c r="BO24" s="44" cm="1">
        <f t="array" ref="BO24">_xlfn.IFS(BH24="NA","NA",BH24&gt;100%,"100%",BH24&lt;100,BH24)</f>
        <v>0</v>
      </c>
      <c r="BP24" s="44" t="str" cm="1">
        <f t="array" ref="BP24">_xlfn.IFS(BJ24="NA","NA",BJ24&gt;100%,"100%",BJ24&lt;100,BJ24)</f>
        <v>NA</v>
      </c>
      <c r="BQ24" s="45">
        <v>0.22500000000000001</v>
      </c>
      <c r="BR24" s="45">
        <f t="shared" si="2"/>
        <v>0.188775</v>
      </c>
      <c r="BS24" s="45">
        <v>5.5999999999999999E-3</v>
      </c>
      <c r="BT24" s="45">
        <v>5.5999999999999999E-3</v>
      </c>
      <c r="BU24" s="262">
        <v>0.12379999999999999</v>
      </c>
      <c r="BV24" s="45">
        <f t="shared" si="26"/>
        <v>6.1071428571428568E-2</v>
      </c>
      <c r="BW24" s="45">
        <f t="shared" si="27"/>
        <v>6.1071428571428568E-2</v>
      </c>
      <c r="BX24" s="45">
        <f t="shared" si="28"/>
        <v>6.4975000000000005E-2</v>
      </c>
      <c r="BY24" s="45">
        <f t="shared" si="29"/>
        <v>3.214285714285714E-2</v>
      </c>
      <c r="BZ24" s="45">
        <f t="shared" si="30"/>
        <v>0</v>
      </c>
      <c r="CA24" s="45">
        <f t="shared" si="31"/>
        <v>0</v>
      </c>
      <c r="CB24" s="45">
        <f t="shared" si="32"/>
        <v>3.214285714285714E-2</v>
      </c>
      <c r="CC24" s="45">
        <f t="shared" si="33"/>
        <v>0</v>
      </c>
      <c r="CD24" s="45">
        <v>0</v>
      </c>
      <c r="CE24" s="45">
        <f t="shared" si="34"/>
        <v>0</v>
      </c>
      <c r="CF24" s="45" t="str">
        <f t="shared" si="35"/>
        <v>NA</v>
      </c>
      <c r="CG24" s="45">
        <v>0</v>
      </c>
      <c r="CH24" s="244"/>
      <c r="CI24" s="244"/>
      <c r="CJ24" s="244"/>
      <c r="CK24" s="244"/>
      <c r="CM24" s="63">
        <v>5178</v>
      </c>
    </row>
    <row r="25" spans="1:91" ht="18" hidden="1" customHeight="1">
      <c r="A25" s="260" t="s">
        <v>221</v>
      </c>
      <c r="B25" s="260" t="s">
        <v>222</v>
      </c>
      <c r="C25" s="260" t="s">
        <v>100</v>
      </c>
      <c r="D25" s="260" t="s">
        <v>101</v>
      </c>
      <c r="E25" s="260" t="s">
        <v>189</v>
      </c>
      <c r="F25" s="260" t="s">
        <v>190</v>
      </c>
      <c r="G25" s="260" t="s">
        <v>191</v>
      </c>
      <c r="H25" s="260" t="s">
        <v>223</v>
      </c>
      <c r="I25" s="260"/>
      <c r="J25" s="260"/>
      <c r="K25" s="260" t="s">
        <v>224</v>
      </c>
      <c r="L25" s="260" t="s">
        <v>225</v>
      </c>
      <c r="M25" s="260" t="s">
        <v>226</v>
      </c>
      <c r="N25" s="260" t="s">
        <v>111</v>
      </c>
      <c r="O25" s="260" t="s">
        <v>112</v>
      </c>
      <c r="P25" s="10">
        <v>15</v>
      </c>
      <c r="Q25" s="11">
        <v>25</v>
      </c>
      <c r="R25" s="11">
        <f t="shared" ca="1" si="19"/>
        <v>17</v>
      </c>
      <c r="S25" s="11" t="str">
        <f ca="1">VLOOKUP(K25,'1220 IDECUT'!$K$13:$AK$48,9,0)</f>
        <v>Durante el 2020, se dió acompañamiento a ocho (8) procesos musicales como músicas tradicionales, populares, campesinas, urbanas y  bandísticos desarrollados en los municipios del departamento,  a través de talleres virtuales (técnicas de afinación, digitación, interpretación de instrumentos sinfónicos dirigido a los músicos integrantes de las bandas municipales, lo cual ayuda a su fortalecimiento y evaluación de los avances.  Adicionalmente, se brindó apoyo a los procesos musicales en la edición de audio y video de montajes y ensambles musicales (preproducción, producción , post producción, grabación). En lo corrido del 2021,    Se apoyaron 9 procesos musicales:
Prácticas y agrupaciones
1. Orquestas de cuerdas pulsadas
2. Músicas tradicionales, populares, campesinas y urbanas
Circulación
3. Alianza agrupaciones musicales Región Metropolitana Bogotá-Cundinamarca
Gobernanza
4. Comunicación interactiva entre actores (Red de voceros)
5. Datos e información disponible (SIMUS)
6. Recursos y herramientas facilitadoras de la gestión (Banco de Partituras)
7. Participación real y propositiva
8. Gestión articulada y reciproca con la música (Agendas áreas artísticas con entidades regionales y departamentales)
9. Plan Departamental de Música
aumentando la cobertura en el departamento en  78 municipios con Bandas musicales; en 41 municipios en dotaciòn intrumental;  78 municipios con proceso de formacion musical- escuelas, beneficiando a la población de los municipios de Quipile, Gachalá, Vianí, Cachipay, Tausa, Bojacá, Anolaima, Albán, Arbeláez, Guaduas, Junín, El Rosal, La Vega, Tabio, Cota, Arbeláez, Fúquene, Puerto Salgar, Lenguazaque, La Peña, Beltrán, Chipaque, Venecia, San Bernardo, Quetame, Bituima, Vergara, Vianí, Carmen De Carupa, Fómeque, Zipacón, Albán, Pulí, Fosca, Sutatausa, Bojacá, Ubaque, Gama, Villa pinzón, Tibacuy, Tena, Anolaima, Suesca, Nocaima, Suesca, La Vega, Manta, Cucunubá, Medina, Topaipí, Nemocón, Nimaima, Soacha, Chía, Facatativá, Mosquera, El Rosal, Sopó, Cajicá, Sibaté, Funza, Cota, Gachetá, Nemocón, Guasca, Puerto Salgar, Villeta, Cogua, Lenguazaque, Gachalá, Paratebueno, Gama, Supatá, Gutierrez, Chaguaní, Yacopí, San Francisco y Nariño con servicios de formación, acompañamiento y dotación musical. Se realizó acompañamiento y apoyo técnico a 29 municipios de 6, 5 y 4 categoría. A la fecha se  atendido a más de 321 personas en el área de música.</v>
      </c>
      <c r="T25" s="11">
        <v>5</v>
      </c>
      <c r="U25" s="11">
        <v>0</v>
      </c>
      <c r="V25" s="11">
        <v>5</v>
      </c>
      <c r="W25" s="11">
        <v>0</v>
      </c>
      <c r="X25" s="11">
        <v>8</v>
      </c>
      <c r="Y25" s="11">
        <v>0</v>
      </c>
      <c r="Z25" s="11">
        <v>8</v>
      </c>
      <c r="AA25" s="11" t="s">
        <v>227</v>
      </c>
      <c r="AB25" s="11" t="s">
        <v>228</v>
      </c>
      <c r="AC25" s="11" t="s">
        <v>229</v>
      </c>
      <c r="AD25" s="403">
        <v>7</v>
      </c>
      <c r="AE25" s="403">
        <v>0</v>
      </c>
      <c r="AF25" s="11">
        <f ca="1">VLOOKUP(K25,'1220 IDECUT'!$K$13:$AK$48,22,0)</f>
        <v>9</v>
      </c>
      <c r="AG25" s="11">
        <f ca="1">VLOOKUP(K25,'1220 IDECUT'!$K$13:$AK$48,23,0)</f>
        <v>0</v>
      </c>
      <c r="AH25" s="11">
        <f t="shared" ca="1" si="20"/>
        <v>9</v>
      </c>
      <c r="AI25" s="11" t="str">
        <f ca="1">VLOOKUP(K25,'1220 IDECUT'!$K$13:$AK$48,25,0)</f>
        <v>Clases virtuales</v>
      </c>
      <c r="AJ25" s="11" t="str">
        <f ca="1">VLOOKUP(K25,'1220 IDECUT'!$K$13:$AK$48,26,0)</f>
        <v xml:space="preserve">Se realizó acompañamiento y apoyo técnico a 29 municipios de 6, 5 y 4 categoría. A la fecha se  atendido a más de 321 personas en el área de música </v>
      </c>
      <c r="AK25" s="11">
        <f ca="1">VLOOKUP(K25,'1220 IDECUT'!$K$13:$AK$48,27,0)</f>
        <v>0</v>
      </c>
      <c r="AL25" s="11">
        <v>7</v>
      </c>
      <c r="AM25" s="11">
        <v>0</v>
      </c>
      <c r="AN25" s="11">
        <v>6</v>
      </c>
      <c r="AO25" s="11">
        <v>0</v>
      </c>
      <c r="AP25" s="11">
        <v>0</v>
      </c>
      <c r="AQ25" s="11">
        <v>0</v>
      </c>
      <c r="AR25" s="51">
        <v>20000000</v>
      </c>
      <c r="AS25" s="54">
        <v>0</v>
      </c>
      <c r="AT25" s="54">
        <f t="shared" si="0"/>
        <v>20000000</v>
      </c>
      <c r="AU25" s="51">
        <v>20000000</v>
      </c>
      <c r="AV25" s="243">
        <v>380297334</v>
      </c>
      <c r="AW25" s="244"/>
      <c r="AX25" s="244"/>
      <c r="AY25" s="243">
        <v>343326667</v>
      </c>
      <c r="AZ25" s="44">
        <f t="shared" ca="1" si="21"/>
        <v>0.68</v>
      </c>
      <c r="BA25" s="44">
        <v>0.2</v>
      </c>
      <c r="BB25" s="44">
        <v>1.6</v>
      </c>
      <c r="BC25" s="44">
        <f t="shared" si="22"/>
        <v>0.28000000000000003</v>
      </c>
      <c r="BD25" s="44" cm="1">
        <f t="array" aca="1" ref="BD25" ca="1">_xlfn.IFS(AD25=0,"NA",AD25&gt;0,AH25/AD25)</f>
        <v>1.2857142857142858</v>
      </c>
      <c r="BE25" s="44">
        <f t="shared" si="23"/>
        <v>0.28000000000000003</v>
      </c>
      <c r="BF25" s="44">
        <v>0</v>
      </c>
      <c r="BG25" s="44">
        <f t="shared" si="24"/>
        <v>0.24</v>
      </c>
      <c r="BH25" s="44">
        <v>0</v>
      </c>
      <c r="BI25" s="44">
        <f t="shared" si="25"/>
        <v>0</v>
      </c>
      <c r="BJ25" s="44" t="s">
        <v>115</v>
      </c>
      <c r="BK25" s="44">
        <f t="shared" ca="1" si="1"/>
        <v>0.68</v>
      </c>
      <c r="BL25" s="44">
        <v>1</v>
      </c>
      <c r="BM25" s="44" t="str" cm="1">
        <f t="array" aca="1" ref="BM25" ca="1">_xlfn.IFS(BD25="NA","NA",BD25&gt;100%,"100%",BD25&lt;100,BD25)</f>
        <v>100%</v>
      </c>
      <c r="BN25" s="44" cm="1">
        <f t="array" ref="BN25">_xlfn.IFS(BF25="NA","NA",BF25&gt;100%,"100%",BF25&lt;100,BF25)</f>
        <v>0</v>
      </c>
      <c r="BO25" s="44" cm="1">
        <f t="array" ref="BO25">_xlfn.IFS(BH25="NA","NA",BH25&gt;100%,"100%",BH25&lt;100,BH25)</f>
        <v>0</v>
      </c>
      <c r="BP25" s="44" t="str" cm="1">
        <f t="array" ref="BP25">_xlfn.IFS(BJ25="NA","NA",BJ25&gt;100%,"100%",BJ25&lt;100,BJ25)</f>
        <v>NA</v>
      </c>
      <c r="BQ25" s="45">
        <v>0.22500000000000001</v>
      </c>
      <c r="BR25" s="45">
        <f t="shared" ca="1" si="2"/>
        <v>0.15300000000000002</v>
      </c>
      <c r="BS25" s="45">
        <v>4.4999999999999998E-2</v>
      </c>
      <c r="BT25" s="45">
        <v>4.4999999999999998E-2</v>
      </c>
      <c r="BU25" s="45">
        <v>7.1999999999999995E-2</v>
      </c>
      <c r="BV25" s="45">
        <f t="shared" si="26"/>
        <v>6.3E-2</v>
      </c>
      <c r="BW25" s="45">
        <f t="shared" ca="1" si="27"/>
        <v>6.3E-2</v>
      </c>
      <c r="BX25" s="45">
        <f t="shared" ca="1" si="28"/>
        <v>8.100000000000003E-2</v>
      </c>
      <c r="BY25" s="45">
        <f t="shared" si="29"/>
        <v>6.3E-2</v>
      </c>
      <c r="BZ25" s="45">
        <f t="shared" si="30"/>
        <v>0</v>
      </c>
      <c r="CA25" s="45">
        <f t="shared" ca="1" si="31"/>
        <v>0</v>
      </c>
      <c r="CB25" s="45">
        <f t="shared" si="32"/>
        <v>5.4000000000000006E-2</v>
      </c>
      <c r="CC25" s="45">
        <f t="shared" si="33"/>
        <v>0</v>
      </c>
      <c r="CD25" s="45">
        <v>0</v>
      </c>
      <c r="CE25" s="45">
        <f t="shared" si="34"/>
        <v>0</v>
      </c>
      <c r="CF25" s="45" t="str">
        <f t="shared" si="35"/>
        <v>NA</v>
      </c>
      <c r="CG25" s="45">
        <v>0</v>
      </c>
      <c r="CH25" s="244"/>
      <c r="CI25" s="244"/>
      <c r="CJ25" s="244"/>
      <c r="CK25" s="244"/>
      <c r="CM25" s="63">
        <v>15</v>
      </c>
    </row>
    <row r="26" spans="1:91" ht="18" hidden="1" customHeight="1">
      <c r="A26" s="260" t="s">
        <v>221</v>
      </c>
      <c r="B26" s="260" t="s">
        <v>222</v>
      </c>
      <c r="C26" s="260" t="s">
        <v>100</v>
      </c>
      <c r="D26" s="260" t="s">
        <v>101</v>
      </c>
      <c r="E26" s="260" t="s">
        <v>189</v>
      </c>
      <c r="F26" s="260" t="s">
        <v>190</v>
      </c>
      <c r="G26" s="260" t="s">
        <v>191</v>
      </c>
      <c r="H26" s="260" t="s">
        <v>230</v>
      </c>
      <c r="I26" s="260"/>
      <c r="J26" s="260"/>
      <c r="K26" s="260" t="s">
        <v>231</v>
      </c>
      <c r="L26" s="260" t="s">
        <v>232</v>
      </c>
      <c r="M26" s="260" t="s">
        <v>233</v>
      </c>
      <c r="N26" s="260" t="s">
        <v>111</v>
      </c>
      <c r="O26" s="260" t="s">
        <v>112</v>
      </c>
      <c r="P26" s="10">
        <v>4</v>
      </c>
      <c r="Q26" s="11">
        <v>12</v>
      </c>
      <c r="R26" s="11">
        <f t="shared" ca="1" si="19"/>
        <v>3</v>
      </c>
      <c r="S26" s="11" t="str">
        <f ca="1">VLOOKUP(K26,'1220 IDECUT'!$K$13:$AK$48,9,0)</f>
        <v xml:space="preserve">Durante la vigencia 2021, se han cofinanciado 3 eventos de celebraciones de prácticas artísticas y culturales colectiva beneficiando a los municipios de Sopo, Cucunuba, Soacha, Girardot, Facatativá y Fusagasugá. La primera, corresponde a  la celebración del día nacional de la afro colombianidad, donde se logro la participación de las comunidades afro del departamento, logrando así el rescate de la identidad cultural, sus raíces y sus costumbres afro; así como también  se realizaron capacitaciones a la población afro sobre el origen y el uso de sus derechos, beneficiando de esta manera a la comunidad perteneciente a esta etnia, en especial a los representantes de los municipios de Soacha, Fusagasugá, Girardot y Facatativá quienes fueron los que asistieron al evento y replicaron la información. 
Por otro lado, el segundo evento se realizo en  el municipio de Sopo,  donde se llevó a cabo el XX festival de teatro, arte y folclor del 8 de septiembre hasta el 11 de septiembre; en éste se apoyó con  la entrega de insumos alimenticios para los artistas que invitados . Con la realización de este evento, se rescato los valores de identidad cultural y artística, logrando de esta forma la debida construcción del tejido social mediante la consolidación de actividades desarrolladas alrededor del arte y la cultura. 
y por ultimo,se brindó  apoyo  a la Segunda feria artesanal “ Expolana" en el municipio de Cucunuba, especificamente apoyo logístico y de soporte  con el alquiler del sonido y de la tarima para el desarrollo  de la feria. Cabe anotar, que estos eventos benefician a toda la población del municipio, en especial a los artesanos y comerciantes con la  generación de espacios y estrategias de  reactivación económica.
La primera, la celebración del día nacional de la afro colombianidad, donde se logro la participación de las comunidades afro del departamento, logrando así el rescate de la identidad cultural, sus raíces y sus costumbres afro.  Se realizaron capacitaciones a la población afro sobre el origen y el uso de sus derechos. El beneficio fue para toda la comunidad perteneciente a esta etnia, en especial para los representantes de los municipios de Soacha, Fusagasugá, Girardot y Facatativá quienes fueron los que asistieron al evento y replicaron la información. 
Por otro lado, el segundo evento se realizo con el municipio de Sopo,  XX festival de teatro, arte y folclor en el municipio. Se realizo la entrega de insumos alimenticios para los artistas invitados del 8 de septiembre hasta el 11 de septiembre. Con la realización de este evento, se rescato los valores de identidad cultural y artística, logrando de esta forma la debida construcción del tejido social mediante la consolidación de actividades desarrolladas alrededor del arte y la cultura. 
y por ultimo, apoyo  a la 2da feria artesanal “ expolanas en el municipio de Cucunuba, para este evento se apoya con el alquiler del sonido y de la tarima para el desarrollo total de la feria. Cabe anotar, que estos eventos benefician a toda la población del municipio, en especial a los artesanos y comerciantes en la medida que genera una reactivación económica importante, pues este evento genera un impacto importante en la región.  </v>
      </c>
      <c r="T26" s="11">
        <v>1</v>
      </c>
      <c r="U26" s="11">
        <v>0</v>
      </c>
      <c r="V26" s="11">
        <v>1</v>
      </c>
      <c r="W26" s="11">
        <v>0</v>
      </c>
      <c r="X26" s="11">
        <v>0</v>
      </c>
      <c r="Y26" s="11">
        <v>0</v>
      </c>
      <c r="Z26" s="11">
        <v>0</v>
      </c>
      <c r="AA26" s="11"/>
      <c r="AB26" s="11"/>
      <c r="AC26" s="11"/>
      <c r="AD26" s="403">
        <v>4</v>
      </c>
      <c r="AE26" s="403">
        <v>0</v>
      </c>
      <c r="AF26" s="11">
        <f ca="1">VLOOKUP(K26,'1220 IDECUT'!$K$13:$AK$48,22,0)</f>
        <v>3</v>
      </c>
      <c r="AG26" s="11">
        <f ca="1">VLOOKUP(K26,'1220 IDECUT'!$K$13:$AK$48,23,0)</f>
        <v>0</v>
      </c>
      <c r="AH26" s="11">
        <f t="shared" ca="1" si="20"/>
        <v>3</v>
      </c>
      <c r="AI26" s="11" t="str">
        <f ca="1">VLOOKUP(K26,'1220 IDECUT'!$K$13:$AK$48,25,0)</f>
        <v>Cofinanciacion</v>
      </c>
      <c r="AJ26" s="11" t="str">
        <f ca="1">VLOOKUP(K26,'1220 IDECUT'!$K$13:$AK$48,26,0)</f>
        <v>Durante la vigencia 2021, se han cofinanciado 3 eventos de celebraciones de prácticas artísticas y culturales colectiva beneficiando a los municipios de Sopo, Cucunuba, Soacha, Girardot, Facatativá y Fusagasugá. La primera, corresponde a  la celebración del día nacional de la afro colombianidad, donde se logro la participación de las comunidades afro del departamento, logrando así el rescate de la identidad cultural, sus raíces y sus costumbres afro; así como también  se realizaron capacitaciones a la población afro sobre el origen y el uso de sus derechos, beneficiando de esta manera a la comunidad perteneciente a esta etnia, en especial a los representantes de los municipios de Soacha, Fusagasugá, Girardot y Facatativá quienes fueron los que asistieron al evento y replicaron la información. 
Por otro lado, el segundo evento se realizo en  el municipio de Sopo,  donde se llevó a cabo el XX festival de teatro, arte y folclor del 8 de septiembre hasta el 11 de septiembre; en éste se apoyó con  la entrega de insumos alimenticios para los artistas que invitados . Con la realización de este evento, se rescato los valores de identidad cultural y artística, logrando de esta forma la debida construcción del tejido social mediante la consolidación de actividades desarrolladas alrededor del arte y la cultura. 
y por ultimo,se brindó  apoyo  a la Segunda feria artesanal “ Expolana" en el municipio de Cucunuba, especificamente apoyo logístico y de soporte  con el alquiler del sonido y de la tarima para el desarrollo  de la feria. Cabe anotar, que estos eventos benefician a toda la población del municipio, en especial a los artesanos y comerciantes con la  generación de espacios y estrategias de  reactivación económica.</v>
      </c>
      <c r="AK26" s="11">
        <f ca="1">VLOOKUP(K26,'1220 IDECUT'!$K$13:$AK$48,27,0)</f>
        <v>0</v>
      </c>
      <c r="AL26" s="11">
        <v>4</v>
      </c>
      <c r="AM26" s="11">
        <v>0</v>
      </c>
      <c r="AN26" s="11">
        <v>3</v>
      </c>
      <c r="AO26" s="11">
        <v>0</v>
      </c>
      <c r="AP26" s="11">
        <v>0</v>
      </c>
      <c r="AQ26" s="11">
        <v>0</v>
      </c>
      <c r="AR26" s="51">
        <v>15000000</v>
      </c>
      <c r="AS26" s="54">
        <v>0</v>
      </c>
      <c r="AT26" s="54">
        <f t="shared" si="0"/>
        <v>15000000</v>
      </c>
      <c r="AU26" s="51">
        <v>15000000</v>
      </c>
      <c r="AV26" s="243">
        <v>40000000</v>
      </c>
      <c r="AW26" s="244"/>
      <c r="AX26" s="244"/>
      <c r="AY26" s="243">
        <v>40000000</v>
      </c>
      <c r="AZ26" s="44">
        <f t="shared" ca="1" si="21"/>
        <v>0.25</v>
      </c>
      <c r="BA26" s="44">
        <v>8.3299999999999999E-2</v>
      </c>
      <c r="BB26" s="44">
        <v>0</v>
      </c>
      <c r="BC26" s="44">
        <f t="shared" si="22"/>
        <v>0.33333333333333331</v>
      </c>
      <c r="BD26" s="44" cm="1">
        <f t="array" aca="1" ref="BD26" ca="1">_xlfn.IFS(AD26=0,"NA",AD26&gt;0,AH26/AD26)</f>
        <v>0.75</v>
      </c>
      <c r="BE26" s="44">
        <f t="shared" si="23"/>
        <v>0.33333333333333331</v>
      </c>
      <c r="BF26" s="44">
        <v>0</v>
      </c>
      <c r="BG26" s="44">
        <f t="shared" si="24"/>
        <v>0.25</v>
      </c>
      <c r="BH26" s="44">
        <v>0</v>
      </c>
      <c r="BI26" s="44">
        <f t="shared" si="25"/>
        <v>0</v>
      </c>
      <c r="BJ26" s="44" t="s">
        <v>115</v>
      </c>
      <c r="BK26" s="44">
        <f t="shared" ca="1" si="1"/>
        <v>0.25</v>
      </c>
      <c r="BL26" s="44">
        <v>0</v>
      </c>
      <c r="BM26" s="44" cm="1">
        <f t="array" aca="1" ref="BM26" ca="1">_xlfn.IFS(BD26="NA","NA",BD26&gt;100%,"100%",BD26&lt;100,BD26)</f>
        <v>0.75</v>
      </c>
      <c r="BN26" s="44" cm="1">
        <f t="array" ref="BN26">_xlfn.IFS(BF26="NA","NA",BF26&gt;100%,"100%",BF26&lt;100,BF26)</f>
        <v>0</v>
      </c>
      <c r="BO26" s="44" cm="1">
        <f t="array" ref="BO26">_xlfn.IFS(BH26="NA","NA",BH26&gt;100%,"100%",BH26&lt;100,BH26)</f>
        <v>0</v>
      </c>
      <c r="BP26" s="44" t="str" cm="1">
        <f t="array" ref="BP26">_xlfn.IFS(BJ26="NA","NA",BJ26&gt;100%,"100%",BJ26&lt;100,BJ26)</f>
        <v>NA</v>
      </c>
      <c r="BQ26" s="45">
        <v>0.22500000000000001</v>
      </c>
      <c r="BR26" s="45">
        <f t="shared" ca="1" si="2"/>
        <v>5.6250000000000001E-2</v>
      </c>
      <c r="BS26" s="45">
        <v>1.8700000000000001E-2</v>
      </c>
      <c r="BT26" s="45">
        <v>0</v>
      </c>
      <c r="BU26" s="45">
        <v>0</v>
      </c>
      <c r="BV26" s="45">
        <f t="shared" si="26"/>
        <v>7.4999999999999997E-2</v>
      </c>
      <c r="BW26" s="45">
        <f t="shared" ca="1" si="27"/>
        <v>5.6249999999999994E-2</v>
      </c>
      <c r="BX26" s="45">
        <f t="shared" ca="1" si="28"/>
        <v>5.6250000000000001E-2</v>
      </c>
      <c r="BY26" s="45">
        <f t="shared" si="29"/>
        <v>7.4999999999999997E-2</v>
      </c>
      <c r="BZ26" s="45">
        <f t="shared" si="30"/>
        <v>0</v>
      </c>
      <c r="CA26" s="45">
        <f t="shared" ca="1" si="31"/>
        <v>0</v>
      </c>
      <c r="CB26" s="45">
        <f t="shared" si="32"/>
        <v>5.6250000000000001E-2</v>
      </c>
      <c r="CC26" s="45">
        <f t="shared" si="33"/>
        <v>0</v>
      </c>
      <c r="CD26" s="45">
        <v>0</v>
      </c>
      <c r="CE26" s="45">
        <f t="shared" si="34"/>
        <v>0</v>
      </c>
      <c r="CF26" s="45" t="str">
        <f t="shared" si="35"/>
        <v>NA</v>
      </c>
      <c r="CG26" s="45">
        <v>0</v>
      </c>
      <c r="CH26" s="244"/>
      <c r="CI26" s="244"/>
      <c r="CJ26" s="244"/>
      <c r="CK26" s="244"/>
      <c r="CM26" s="63">
        <v>1</v>
      </c>
    </row>
    <row r="27" spans="1:91" ht="18" hidden="1" customHeight="1">
      <c r="A27" s="260" t="s">
        <v>221</v>
      </c>
      <c r="B27" s="260" t="s">
        <v>222</v>
      </c>
      <c r="C27" s="260" t="s">
        <v>100</v>
      </c>
      <c r="D27" s="260" t="s">
        <v>101</v>
      </c>
      <c r="E27" s="260" t="s">
        <v>189</v>
      </c>
      <c r="F27" s="260" t="s">
        <v>190</v>
      </c>
      <c r="G27" s="260" t="s">
        <v>191</v>
      </c>
      <c r="H27" s="260" t="s">
        <v>234</v>
      </c>
      <c r="I27" s="260"/>
      <c r="J27" s="260"/>
      <c r="K27" s="260" t="s">
        <v>235</v>
      </c>
      <c r="L27" s="260" t="s">
        <v>236</v>
      </c>
      <c r="M27" s="260" t="s">
        <v>237</v>
      </c>
      <c r="N27" s="260" t="s">
        <v>111</v>
      </c>
      <c r="O27" s="260" t="s">
        <v>124</v>
      </c>
      <c r="P27" s="10">
        <v>90</v>
      </c>
      <c r="Q27" s="11">
        <v>90</v>
      </c>
      <c r="R27" s="11">
        <f ca="1">(Z27+AH27)/CL27</f>
        <v>48.75</v>
      </c>
      <c r="S27" s="11" t="str">
        <f ca="1">VLOOKUP(K27,'1220 IDECUT'!$K$13:$AK$48,9,0)</f>
        <v xml:space="preserve">Durante la vigencia 2020 se apoyaron 92 municipios del departamento con la contratación de 148 formadores  y en lo corrido de la vigencia 2021. Se han potencializado 103 municipios (AGUA DE DIOS, ALBÁN, ANOLAIMA, APULO, ARBELAÉZ, BELTRAN, BITUIMA, BOJACÁ, CABRERA, CACHIPAY, CAPARRAPÍ, CAQUEZA, CARMEN DE CARUPA, CHAGUANÍ, CHIPAQUE, CHOACHÍ, CHOCONTÁ, COGUA, COTA, CUCUNUBÁ, EL COLEGIO, EL PEÑÓN, EL ROSAL, FACATATIVÁ, FÓMEQUE, FOSCA, FÚQUENE, FUSAGASUGA, GACHALÁ, GACHANCIPÁ, GACHETÁ, GAMA, GRANADA, GUACHETÁ, GUADUAS, GUASCA, GUATAVITA, GUAYABAL DE SÍQUIMA, GUAYABETAL, GUTIERREZ, JERUSALÉN, JUNIN, LA MESA, LA PALMA, LA PEÑA, LA VEGA, LENGUAZAQUE, MACHETÁ, MANTA, MEDINA, NARIÑO, NEMOCÓN, NILO, NIMAIMA, NOCAIMA, PACHO, PAIME, PANDI, PARATEBUENO, PASCA, PUERTO SALGAR, PULÍ, QUEBRADANEGRA, QUETAME, QUIPILE, RICAURTE, SAN ANTONIO DEL TEQUENDAMA, SAN BERNARDO, SAN CAYETANO, SAN FRANCISCO, SAN JUAN DE RIO SECO, SASAIMA, SESQUILÉ, SIBATÉ, SILVANIA, SIMIJACA, SOACHA, CHÍA,, MOSQUERA, SOPÓ, CAJICÁ, FUNZA, SUBACHOQUE, SUESCA, SUPATÁ, SUSA, SUTATAUSA, TABIO, TAUSA, TENA, TIBACUY, TIBIRITA, TOCAIMA, TOPAIPÍ, UBALÁ, UBAQUE, UBATÉ, UNE, ÚTICA, VENECIA, VERGARA, VIANÍ, VILLAGÓMEZ, VILLAPINZÓN, VILLETA, VIOTÁ, YACOPÍ, ZIPACÓN.) con 249 formadores en las diferentes áreas artísticas. Los procesos de formación artística se desarrollan de forma transversal e incluyente para toda la población, lo cual permite beneficiar porblación victima, ROM, Indígena, Afrodescendiente, en condición de discapacidad, LGTBI, entre otros; y a su vez, se ha buscado garatnizar el acceso a  la población rural, priorizando a los  municipios de categoría 5 y 6.  
</v>
      </c>
      <c r="T27" s="11">
        <v>0</v>
      </c>
      <c r="U27" s="11">
        <v>90</v>
      </c>
      <c r="V27" s="11">
        <v>0</v>
      </c>
      <c r="W27" s="11">
        <v>90</v>
      </c>
      <c r="X27" s="11" t="s">
        <v>115</v>
      </c>
      <c r="Y27" s="11">
        <v>92</v>
      </c>
      <c r="Z27" s="11">
        <v>92</v>
      </c>
      <c r="AA27" s="11" t="s">
        <v>238</v>
      </c>
      <c r="AB27" s="11" t="s">
        <v>239</v>
      </c>
      <c r="AC27" s="11" t="s">
        <v>240</v>
      </c>
      <c r="AD27" s="403">
        <v>0</v>
      </c>
      <c r="AE27" s="403">
        <v>90</v>
      </c>
      <c r="AF27" s="11">
        <f ca="1">VLOOKUP(K27,'1220 IDECUT'!$K$13:$AK$48,22,0)</f>
        <v>0</v>
      </c>
      <c r="AG27" s="11">
        <f ca="1">VLOOKUP(K27,'1220 IDECUT'!$K$13:$AK$48,23,0)</f>
        <v>103</v>
      </c>
      <c r="AH27" s="11">
        <f ca="1">AG27</f>
        <v>103</v>
      </c>
      <c r="AI27" s="11" t="str">
        <f ca="1">VLOOKUP(K27,'1220 IDECUT'!$K$13:$AK$48,25,0)</f>
        <v>Clases en areas artisticas</v>
      </c>
      <c r="AJ27" s="11" t="str">
        <f ca="1">VLOOKUP(K27,'1220 IDECUT'!$K$13:$AK$48,26,0)</f>
        <v xml:space="preserve">Se han potencializado 103 municipios (AGUA DE DIOS, ALBÁN, ANOLAIMA, APULO, ARBELAÉZ, BELTRAN, BITUIMA, BOJACÁ, CABRERA, CACHIPAY, CAPARRAPÍ, CAQUEZA, CARMEN DE CARUPA, CHAGUANÍ, CHIPAQUE, CHOACHÍ, CHOCONTÁ, COGUA, COTA, CUCUNUBÁ, EL COLEGIO, EL PEÑÓN, EL ROSAL, FACATATIVÁ, FÓMEQUE, FOSCA, FÚQUENE, FUSAGASUGA, GACHALÁ, GACHANCIPÁ, GACHETÁ, GAMA, GRANADA, GUACHETÁ, GUADUAS, GUASCA, GUATAVITA, GUAYABAL DE SÍQUIMA, GUAYABETAL, GUTIERREZ, JERUSALÉN, JUNIN, LA MESA, LA PALMA, LA PEÑA, LA VEGA, LENGUAZAQUE, MACHETÁ, MANTA, MEDINA, NARIÑO, NEMOCÓN, NILO, NIMAIMA, NOCAIMA, PACHO, PAIME, PANDI, PARATEBUENO, PASCA, PUERTO SALGAR, PULÍ, QUEBRADANEGRA, QUETAME, QUIPILE, RICAURTE, SAN ANTONIO DEL TEQUENDAMA, SAN BERNARDO, SAN CAYETANO, SAN FRANCISCO, SAN JUAN DE RIO SECO, SASAIMA, SESQUILÉ, SIBATÉ, SILVANIA, SIMIJACA, SOACHA, CHÍA,, MOSQUERA, SOPÓ, CAJICÁ, FUNZA, SUBACHOQUE, SUESCA, SUPATÁ, SUSA, SUTATAUSA, TABIO, TAUSA, TENA, TIBACUY, TIBIRITA, TOCAIMA, TOPAIPÍ, UBALÁ, UBAQUE, UBATÉ, UNE, ÚTICA, VENECIA, VERGARA, VIANÍ, VILLAGÓMEZ, VILLAPINZÓN, VILLETA, VIOTÁ, YACOPÍ, ZIPACÓN.) con 249 formadores en las diferentes áreas artísticas. Los procesos de formación artística se desarrollan de forma transversal e incluyente para toda la población, lo cual permite beneficiar porblación victima, ROM, Indígena, Afrodescendiente, en condición de discapacidad, LGTBI, entre otros; y a su vez, se ha buscado garatnizar el acceso a  la población rural, priorizando a los  municipios de categoría 5 y 6.  
</v>
      </c>
      <c r="AK27" s="11">
        <f ca="1">VLOOKUP(K27,'1220 IDECUT'!$K$13:$AK$48,27,0)</f>
        <v>0</v>
      </c>
      <c r="AL27" s="11">
        <v>0</v>
      </c>
      <c r="AM27" s="11">
        <v>90</v>
      </c>
      <c r="AN27" s="11">
        <v>0</v>
      </c>
      <c r="AO27" s="11">
        <v>90</v>
      </c>
      <c r="AP27" s="11">
        <v>0</v>
      </c>
      <c r="AQ27" s="11">
        <v>0</v>
      </c>
      <c r="AR27" s="51">
        <v>815700000</v>
      </c>
      <c r="AS27" s="54">
        <v>0</v>
      </c>
      <c r="AT27" s="54">
        <f t="shared" si="0"/>
        <v>815700000</v>
      </c>
      <c r="AU27" s="51">
        <v>815700000</v>
      </c>
      <c r="AV27" s="243">
        <v>2972155000</v>
      </c>
      <c r="AW27" s="244"/>
      <c r="AX27" s="244"/>
      <c r="AY27" s="243">
        <v>2974751000</v>
      </c>
      <c r="AZ27" s="44" cm="1">
        <f t="array" aca="1" ref="AZ27" ca="1">_xlfn.IFS((BA27=0),(BD27/CL27),(BA27&gt;0),((BB27+BD27)/CL27),(BE27&gt;0),((BB27+BD27+BE27)/CL27),(BG27&gt;0),((BB27+BD27+BE27+G27)/CL27))</f>
        <v>0.54166111111111115</v>
      </c>
      <c r="BA27" s="44">
        <v>0.25</v>
      </c>
      <c r="BB27" s="44">
        <v>1.0222</v>
      </c>
      <c r="BC27" s="44">
        <f>IF(AE27&gt;0,(1/CL27),0)</f>
        <v>0.25</v>
      </c>
      <c r="BD27" s="44" cm="1">
        <f t="array" aca="1" ref="BD27" ca="1">_xlfn.IFS(AE27=0,"NA",AE27&gt;0,AH27/AE27)</f>
        <v>1.1444444444444444</v>
      </c>
      <c r="BE27" s="44">
        <f>IF(AM27&gt;0,(1/CL27),0)</f>
        <v>0.25</v>
      </c>
      <c r="BF27" s="44">
        <v>0</v>
      </c>
      <c r="BG27" s="44">
        <f>IF(AO27&gt;0,(1/CL27),0)</f>
        <v>0.25</v>
      </c>
      <c r="BH27" s="44">
        <v>0</v>
      </c>
      <c r="BI27" s="44">
        <v>0</v>
      </c>
      <c r="BJ27" s="44" t="s">
        <v>115</v>
      </c>
      <c r="BK27" s="253" t="str">
        <f ca="1">IF(AZ27&gt;50%,"50%",AZ27)</f>
        <v>50%</v>
      </c>
      <c r="BL27" s="44">
        <v>1</v>
      </c>
      <c r="BM27" s="44" t="str" cm="1">
        <f t="array" aca="1" ref="BM27" ca="1">_xlfn.IFS(BD27="NA","NA",BD27&gt;100%,"100%",BD27&lt;100,BD27)</f>
        <v>100%</v>
      </c>
      <c r="BN27" s="44">
        <v>0</v>
      </c>
      <c r="BO27" s="44">
        <v>0</v>
      </c>
      <c r="BP27" s="44" t="s">
        <v>115</v>
      </c>
      <c r="BQ27" s="45">
        <v>0.22500000000000001</v>
      </c>
      <c r="BR27" s="45">
        <f t="shared" ca="1" si="2"/>
        <v>0.1125</v>
      </c>
      <c r="BS27" s="45">
        <v>5.6300000000000003E-2</v>
      </c>
      <c r="BT27" s="45">
        <v>5.6300000000000003E-2</v>
      </c>
      <c r="BU27" s="45">
        <v>5.6300000000000003E-2</v>
      </c>
      <c r="BV27" s="45">
        <v>5.6300000000000003E-2</v>
      </c>
      <c r="BW27" s="45">
        <f t="shared" ca="1" si="27"/>
        <v>5.6300000000000003E-2</v>
      </c>
      <c r="BX27" s="45">
        <f t="shared" ca="1" si="28"/>
        <v>5.62E-2</v>
      </c>
      <c r="BY27" s="45">
        <v>5.6300000000000003E-2</v>
      </c>
      <c r="BZ27" s="45">
        <v>0</v>
      </c>
      <c r="CA27" s="45">
        <f t="shared" ca="1" si="5"/>
        <v>0</v>
      </c>
      <c r="CB27" s="45">
        <v>5.6300000000000003E-2</v>
      </c>
      <c r="CC27" s="45">
        <v>0</v>
      </c>
      <c r="CD27" s="45">
        <v>0</v>
      </c>
      <c r="CE27" s="45">
        <v>0</v>
      </c>
      <c r="CF27" s="45" t="s">
        <v>115</v>
      </c>
      <c r="CG27" s="45">
        <v>0</v>
      </c>
      <c r="CH27" s="244">
        <f>IF(W27&gt;0,1,0)</f>
        <v>1</v>
      </c>
      <c r="CI27" s="244">
        <f>IF(AE27&gt;0,1,0)</f>
        <v>1</v>
      </c>
      <c r="CJ27" s="244">
        <f>IF(AM27&gt;0,1,0)</f>
        <v>1</v>
      </c>
      <c r="CK27" s="244">
        <f>IF(AO27&gt;0,1,0)</f>
        <v>1</v>
      </c>
      <c r="CL27">
        <f>CH27+CI27+CJ27+CK27</f>
        <v>4</v>
      </c>
      <c r="CM27" s="63">
        <f ca="1">AVERAGE(Z27,AH27)</f>
        <v>97.5</v>
      </c>
    </row>
    <row r="28" spans="1:91" ht="18" hidden="1" customHeight="1">
      <c r="A28" s="260" t="s">
        <v>221</v>
      </c>
      <c r="B28" s="260" t="s">
        <v>222</v>
      </c>
      <c r="C28" s="260" t="s">
        <v>100</v>
      </c>
      <c r="D28" s="260" t="s">
        <v>101</v>
      </c>
      <c r="E28" s="260" t="s">
        <v>189</v>
      </c>
      <c r="F28" s="260" t="s">
        <v>190</v>
      </c>
      <c r="G28" s="260" t="s">
        <v>191</v>
      </c>
      <c r="H28" s="260" t="s">
        <v>241</v>
      </c>
      <c r="I28" s="260"/>
      <c r="J28" s="260"/>
      <c r="K28" s="260" t="s">
        <v>242</v>
      </c>
      <c r="L28" s="260" t="s">
        <v>243</v>
      </c>
      <c r="M28" s="260" t="s">
        <v>244</v>
      </c>
      <c r="N28" s="260" t="s">
        <v>111</v>
      </c>
      <c r="O28" s="260" t="s">
        <v>112</v>
      </c>
      <c r="P28" s="10">
        <v>17</v>
      </c>
      <c r="Q28" s="11">
        <v>40</v>
      </c>
      <c r="R28" s="11">
        <f t="shared" ref="R28:R36" ca="1" si="36">Z28+AH28</f>
        <v>21</v>
      </c>
      <c r="S28" s="11" t="str">
        <f ca="1">VLOOKUP(K28,'1220 IDECUT'!$K$13:$AK$48,9,0)</f>
        <v>Durante la vigencia 2020 se dió acompañamiento a ocho (8) municipios y se designaron formadores en seis(6) municipios.  En lo corrido de la vigencia 2021. A la fecha se han implementado 13 procesos de formación  literaria por medio de talleres, los cuales se desarrollan  entre la teoría y la práctica a través de la  conformación de grupos en la cabecera municipal y por lo menos en dos zonas rurales de cada municipio, beneficiando a los diferentes grupos etarios y poblacionales en los municipios de Alban, Anapoima, Cachipay, Caparrapí, Fúquene, Puerto Salgar, Simijaca, Soacha, Tabio, Topaipí, Útica, Viotá y Zipacón.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
Se implementaron procesos de formación literaria a través de la estrategia de literatura diseñada por el Idecut, y desarrollada en 13 municipios en el 2021 (Alban, Anapoima, Cachipay, Caparrapí, Fúquene, Puerto Salgar, Simijaca, Soacha, Tabio, Topaipí, Útica, Viotá y Zipacón.)
Se ha logrado gran impacto en niños, adultos mayores, población discapacitada y víctimas del conflicto armado en el municipio de Viotá.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v>
      </c>
      <c r="T28" s="11">
        <v>10</v>
      </c>
      <c r="U28" s="11">
        <v>0</v>
      </c>
      <c r="V28" s="11">
        <v>8</v>
      </c>
      <c r="W28" s="11">
        <v>0</v>
      </c>
      <c r="X28" s="11">
        <v>8</v>
      </c>
      <c r="Y28" s="11">
        <v>0</v>
      </c>
      <c r="Z28" s="11">
        <v>8</v>
      </c>
      <c r="AA28" s="11" t="s">
        <v>245</v>
      </c>
      <c r="AB28" s="11" t="s">
        <v>246</v>
      </c>
      <c r="AC28" s="11" t="s">
        <v>247</v>
      </c>
      <c r="AD28" s="403">
        <v>12</v>
      </c>
      <c r="AE28" s="403">
        <v>0</v>
      </c>
      <c r="AF28" s="11">
        <f ca="1">VLOOKUP(K28,'1220 IDECUT'!$K$13:$AK$48,22,0)</f>
        <v>13</v>
      </c>
      <c r="AG28" s="11">
        <f ca="1">VLOOKUP(K28,'1220 IDECUT'!$K$13:$AK$48,23,0)</f>
        <v>0</v>
      </c>
      <c r="AH28" s="11">
        <f t="shared" ref="AH28:AH36" ca="1" si="37">AF28</f>
        <v>13</v>
      </c>
      <c r="AI28" s="11" t="str">
        <f ca="1">VLOOKUP(K28,'1220 IDECUT'!$K$13:$AK$48,25,0)</f>
        <v>Clases de literatura</v>
      </c>
      <c r="AJ28" s="11" t="str">
        <f ca="1">VLOOKUP(K28,'1220 IDECUT'!$K$13:$AK$48,26,0)</f>
        <v>A la fecha se han implementado 13 procesos de formación  literaria por medio de talleres, los cuales se desarrollan  entre la teoría y la práctica a través de la  conformación de grupos en la cabecera municipal y por lo menos en dos zonas rurales de cada municipio, beneficiando a los diferentes grupos etarios y poblacionales en los municipios de Alban, Anapoima, Cachipay, Caparrapí, Fúquene, Puerto Salgar, Simijaca, Soacha, Tabio, Topaipí, Útica, Viotá y Zipacón.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v>
      </c>
      <c r="AK28" s="11">
        <f ca="1">VLOOKUP(K28,'1220 IDECUT'!$K$13:$AK$48,27,0)</f>
        <v>0</v>
      </c>
      <c r="AL28" s="11">
        <v>10</v>
      </c>
      <c r="AM28" s="11">
        <v>0</v>
      </c>
      <c r="AN28" s="11">
        <v>10</v>
      </c>
      <c r="AO28" s="11">
        <v>0</v>
      </c>
      <c r="AP28" s="11">
        <v>0</v>
      </c>
      <c r="AQ28" s="11">
        <v>0</v>
      </c>
      <c r="AR28" s="51">
        <v>60000000</v>
      </c>
      <c r="AS28" s="54">
        <v>0</v>
      </c>
      <c r="AT28" s="54">
        <f t="shared" si="0"/>
        <v>60000000</v>
      </c>
      <c r="AU28" s="51">
        <v>60000000</v>
      </c>
      <c r="AV28" s="243">
        <v>180000000</v>
      </c>
      <c r="AW28" s="244"/>
      <c r="AX28" s="244"/>
      <c r="AY28" s="243">
        <v>149660000</v>
      </c>
      <c r="AZ28" s="44">
        <f t="shared" ref="AZ28:AZ36" ca="1" si="38">R28/Q28</f>
        <v>0.52500000000000002</v>
      </c>
      <c r="BA28" s="44">
        <v>0.2</v>
      </c>
      <c r="BB28" s="44">
        <v>1</v>
      </c>
      <c r="BC28" s="44">
        <f t="shared" ref="BC28:BC36" si="39">AD28/Q28</f>
        <v>0.3</v>
      </c>
      <c r="BD28" s="44" cm="1">
        <f t="array" aca="1" ref="BD28" ca="1">_xlfn.IFS(AD28=0,"NA",AD28&gt;0,AH28/AD28)</f>
        <v>1.0833333333333333</v>
      </c>
      <c r="BE28" s="44">
        <f t="shared" ref="BE28:BE36" si="40">AL28/Q28</f>
        <v>0.25</v>
      </c>
      <c r="BF28" s="44">
        <v>0</v>
      </c>
      <c r="BG28" s="44">
        <f t="shared" ref="BG28:BG36" si="41">AN28/Q28</f>
        <v>0.25</v>
      </c>
      <c r="BH28" s="44">
        <v>0</v>
      </c>
      <c r="BI28" s="44">
        <f t="shared" ref="BI28:BI36" si="42">AP28/Q28</f>
        <v>0</v>
      </c>
      <c r="BJ28" s="44" t="s">
        <v>115</v>
      </c>
      <c r="BK28" s="44">
        <f t="shared" ca="1" si="1"/>
        <v>0.52500000000000002</v>
      </c>
      <c r="BL28" s="44">
        <v>1</v>
      </c>
      <c r="BM28" s="44" t="str" cm="1">
        <f t="array" aca="1" ref="BM28" ca="1">_xlfn.IFS(BD28="NA","NA",BD28&gt;100%,"100%",BD28&lt;100,BD28)</f>
        <v>100%</v>
      </c>
      <c r="BN28" s="44" cm="1">
        <f t="array" ref="BN28">_xlfn.IFS(BF28="NA","NA",BF28&gt;100%,"100%",BF28&lt;100,BF28)</f>
        <v>0</v>
      </c>
      <c r="BO28" s="44" cm="1">
        <f t="array" ref="BO28">_xlfn.IFS(BH28="NA","NA",BH28&gt;100%,"100%",BH28&lt;100,BH28)</f>
        <v>0</v>
      </c>
      <c r="BP28" s="44" t="str" cm="1">
        <f t="array" ref="BP28">_xlfn.IFS(BJ28="NA","NA",BJ28&gt;100%,"100%",BJ28&lt;100,BJ28)</f>
        <v>NA</v>
      </c>
      <c r="BQ28" s="45">
        <v>0.22500000000000001</v>
      </c>
      <c r="BR28" s="45">
        <f t="shared" ca="1" si="2"/>
        <v>0.11812500000000001</v>
      </c>
      <c r="BS28" s="45">
        <v>4.4999999999999998E-2</v>
      </c>
      <c r="BT28" s="45">
        <v>4.4999999999999998E-2</v>
      </c>
      <c r="BU28" s="45">
        <v>4.4999999999999998E-2</v>
      </c>
      <c r="BV28" s="45">
        <f t="shared" ref="BV28:BV36" si="43">(AD28*BQ28)/Q28</f>
        <v>6.7500000000000004E-2</v>
      </c>
      <c r="BW28" s="45">
        <f t="shared" ref="BW28:BW36" ca="1" si="44">IF(BM28="NA","NA",BM28*BV28)</f>
        <v>6.7500000000000004E-2</v>
      </c>
      <c r="BX28" s="45">
        <f t="shared" ref="BX28:BX36" ca="1" si="45">BR28-BU28</f>
        <v>7.3125000000000009E-2</v>
      </c>
      <c r="BY28" s="45">
        <f t="shared" ref="BY28:BY36" si="46">(AL28*BQ28)/Q28</f>
        <v>5.6250000000000001E-2</v>
      </c>
      <c r="BZ28" s="45">
        <f t="shared" ref="BZ28:BZ36" si="47">IF(BN28="NA","NA",BN28*BY28)</f>
        <v>0</v>
      </c>
      <c r="CA28" s="45">
        <f t="shared" ref="CA28:CA36" ca="1" si="48">BR28-BU28-BX28</f>
        <v>0</v>
      </c>
      <c r="CB28" s="45">
        <f t="shared" ref="CB28:CB36" si="49">(AN28*BQ28)/Q28</f>
        <v>5.6250000000000001E-2</v>
      </c>
      <c r="CC28" s="45">
        <f t="shared" ref="CC28:CC36" si="50">IF(BO28="NA","NA",BO28*CB28)</f>
        <v>0</v>
      </c>
      <c r="CD28" s="45">
        <v>0</v>
      </c>
      <c r="CE28" s="45">
        <f t="shared" ref="CE28:CE36" si="51">(AP28*BQ28)/Q28</f>
        <v>0</v>
      </c>
      <c r="CF28" s="45" t="str">
        <f t="shared" ref="CF28:CF36" si="52">IF(BP28="NA","NA",BP28*CE28)</f>
        <v>NA</v>
      </c>
      <c r="CG28" s="45">
        <v>0</v>
      </c>
      <c r="CH28" s="244"/>
      <c r="CI28" s="244"/>
      <c r="CJ28" s="244"/>
      <c r="CK28" s="244"/>
      <c r="CM28" s="63">
        <v>24</v>
      </c>
    </row>
    <row r="29" spans="1:91" ht="18" hidden="1" customHeight="1">
      <c r="A29" s="260" t="s">
        <v>248</v>
      </c>
      <c r="B29" s="260" t="s">
        <v>249</v>
      </c>
      <c r="C29" s="260" t="s">
        <v>100</v>
      </c>
      <c r="D29" s="260" t="s">
        <v>101</v>
      </c>
      <c r="E29" s="260" t="s">
        <v>189</v>
      </c>
      <c r="F29" s="260" t="s">
        <v>190</v>
      </c>
      <c r="G29" s="260" t="s">
        <v>191</v>
      </c>
      <c r="H29" s="260" t="s">
        <v>250</v>
      </c>
      <c r="I29" s="260" t="s">
        <v>106</v>
      </c>
      <c r="J29" s="260"/>
      <c r="K29" s="260" t="s">
        <v>251</v>
      </c>
      <c r="L29" s="260" t="s">
        <v>252</v>
      </c>
      <c r="M29" s="260" t="s">
        <v>253</v>
      </c>
      <c r="N29" s="260" t="s">
        <v>111</v>
      </c>
      <c r="O29" s="260" t="s">
        <v>112</v>
      </c>
      <c r="P29" s="10">
        <v>2</v>
      </c>
      <c r="Q29" s="11">
        <v>4</v>
      </c>
      <c r="R29" s="11">
        <f t="shared" si="36"/>
        <v>1</v>
      </c>
      <c r="S29" s="11">
        <f>VLOOKUP(K29,'1208 Indeportes'!$K$13:$AK$39,9,0)</f>
        <v>0</v>
      </c>
      <c r="T29" s="11">
        <v>0</v>
      </c>
      <c r="U29" s="11">
        <v>0</v>
      </c>
      <c r="V29" s="11">
        <v>0</v>
      </c>
      <c r="W29" s="11">
        <v>0</v>
      </c>
      <c r="X29" s="11">
        <v>0</v>
      </c>
      <c r="Y29" s="11">
        <v>0</v>
      </c>
      <c r="Z29" s="11">
        <v>0</v>
      </c>
      <c r="AA29" s="11"/>
      <c r="AB29" s="11"/>
      <c r="AC29" s="11"/>
      <c r="AD29" s="403">
        <v>1</v>
      </c>
      <c r="AE29" s="403">
        <v>0</v>
      </c>
      <c r="AF29" s="11">
        <f>VLOOKUP(K29,'1208 Indeportes'!$K$13:$AH$39,22,0)</f>
        <v>1</v>
      </c>
      <c r="AG29" s="11">
        <f>VLOOKUP(K29,'1208 Indeportes'!$K$13:$AH$39,23,0)</f>
        <v>0</v>
      </c>
      <c r="AH29" s="11">
        <f t="shared" si="37"/>
        <v>1</v>
      </c>
      <c r="AI29" s="11">
        <f>VLOOKUP(K29,'1208 Indeportes'!$K$13:$AK$39,25,0)</f>
        <v>0</v>
      </c>
      <c r="AJ29" s="11" t="str">
        <f>VLOOKUP(K29,'1208 Indeportes'!$K$13:$AK$39,26,0)</f>
        <v>Para el año 2021, logramos desarrollar las fases municipales, provinciales y la final departamental en el municipio de Girardot del 5 al 7 de noviembre. El regional nacional se disputó en la ciudad de Ibagué del 22 al 25 de noviembre y la gran final nacional que se disputará en la ciudad de Cartagena fecha por confirmar. Durante el desarrollo del evento, contamos con la participación de 102 municipios del departamento y 4.639 comunales compitiendo en los diferentes deportes individuales como billar, ajedrez, atletismo, tejo, mini tejo, rana, trompo y domino, y deportes de conjunto como baloncesto y futbol de salón.</v>
      </c>
      <c r="AK29" s="11">
        <f>VLOOKUP(K29,'1208 Indeportes'!$K$13:$AK$39,27,0)</f>
        <v>0</v>
      </c>
      <c r="AL29" s="11">
        <v>2</v>
      </c>
      <c r="AM29" s="11">
        <v>0</v>
      </c>
      <c r="AN29" s="11">
        <v>1</v>
      </c>
      <c r="AO29" s="11">
        <v>0</v>
      </c>
      <c r="AP29" s="11">
        <v>0</v>
      </c>
      <c r="AQ29" s="11">
        <v>0</v>
      </c>
      <c r="AR29" s="52"/>
      <c r="AS29" s="54">
        <v>0</v>
      </c>
      <c r="AT29" s="54">
        <f t="shared" si="0"/>
        <v>0</v>
      </c>
      <c r="AU29" s="52"/>
      <c r="AV29" s="243">
        <v>600000000</v>
      </c>
      <c r="AW29" s="244"/>
      <c r="AX29" s="244"/>
      <c r="AY29" s="243">
        <v>597107693</v>
      </c>
      <c r="AZ29" s="44">
        <f t="shared" si="38"/>
        <v>0.25</v>
      </c>
      <c r="BA29" s="44">
        <v>0</v>
      </c>
      <c r="BB29" s="44" t="s">
        <v>115</v>
      </c>
      <c r="BC29" s="44">
        <f t="shared" si="39"/>
        <v>0.25</v>
      </c>
      <c r="BD29" s="44" cm="1">
        <f t="array" ref="BD29">_xlfn.IFS(AD29=0,"NA",AD29&gt;0,AH29/AD29)</f>
        <v>1</v>
      </c>
      <c r="BE29" s="44">
        <f t="shared" si="40"/>
        <v>0.5</v>
      </c>
      <c r="BF29" s="44">
        <v>0</v>
      </c>
      <c r="BG29" s="44">
        <f t="shared" si="41"/>
        <v>0.25</v>
      </c>
      <c r="BH29" s="44">
        <v>0</v>
      </c>
      <c r="BI29" s="44">
        <f t="shared" si="42"/>
        <v>0</v>
      </c>
      <c r="BJ29" s="44" t="s">
        <v>115</v>
      </c>
      <c r="BK29" s="44">
        <f t="shared" si="1"/>
        <v>0.25</v>
      </c>
      <c r="BL29" s="44" t="s">
        <v>115</v>
      </c>
      <c r="BM29" s="44" cm="1">
        <f t="array" ref="BM29">_xlfn.IFS(BD29="NA","NA",BD29&gt;100%,"100%",BD29&lt;100,BD29)</f>
        <v>1</v>
      </c>
      <c r="BN29" s="44" cm="1">
        <f t="array" ref="BN29">_xlfn.IFS(BF29="NA","NA",BF29&gt;100%,"100%",BF29&lt;100,BF29)</f>
        <v>0</v>
      </c>
      <c r="BO29" s="44" cm="1">
        <f t="array" ref="BO29">_xlfn.IFS(BH29="NA","NA",BH29&gt;100%,"100%",BH29&lt;100,BH29)</f>
        <v>0</v>
      </c>
      <c r="BP29" s="44" t="str" cm="1">
        <f t="array" ref="BP29">_xlfn.IFS(BJ29="NA","NA",BJ29&gt;100%,"100%",BJ29&lt;100,BJ29)</f>
        <v>NA</v>
      </c>
      <c r="BQ29" s="45">
        <v>0.22500000000000001</v>
      </c>
      <c r="BR29" s="45">
        <f t="shared" si="2"/>
        <v>5.6250000000000001E-2</v>
      </c>
      <c r="BS29" s="45">
        <v>0</v>
      </c>
      <c r="BT29" s="45" t="s">
        <v>115</v>
      </c>
      <c r="BU29" s="45">
        <v>0</v>
      </c>
      <c r="BV29" s="45">
        <f t="shared" si="43"/>
        <v>5.6250000000000001E-2</v>
      </c>
      <c r="BW29" s="45">
        <f t="shared" si="44"/>
        <v>5.6250000000000001E-2</v>
      </c>
      <c r="BX29" s="45">
        <f t="shared" si="45"/>
        <v>5.6250000000000001E-2</v>
      </c>
      <c r="BY29" s="45">
        <f t="shared" si="46"/>
        <v>0.1125</v>
      </c>
      <c r="BZ29" s="45">
        <f t="shared" si="47"/>
        <v>0</v>
      </c>
      <c r="CA29" s="45">
        <f t="shared" si="48"/>
        <v>0</v>
      </c>
      <c r="CB29" s="45">
        <f t="shared" si="49"/>
        <v>5.6250000000000001E-2</v>
      </c>
      <c r="CC29" s="45">
        <f t="shared" si="50"/>
        <v>0</v>
      </c>
      <c r="CD29" s="45">
        <v>0</v>
      </c>
      <c r="CE29" s="45">
        <f t="shared" si="51"/>
        <v>0</v>
      </c>
      <c r="CF29" s="45" t="str">
        <f t="shared" si="52"/>
        <v>NA</v>
      </c>
      <c r="CG29" s="45">
        <v>0</v>
      </c>
      <c r="CH29" s="244"/>
      <c r="CI29" s="244"/>
      <c r="CJ29" s="244"/>
      <c r="CK29" s="244"/>
      <c r="CM29" s="63">
        <v>0</v>
      </c>
    </row>
    <row r="30" spans="1:91" ht="18" hidden="1" customHeight="1">
      <c r="A30" s="260" t="s">
        <v>248</v>
      </c>
      <c r="B30" s="260" t="s">
        <v>249</v>
      </c>
      <c r="C30" s="260" t="s">
        <v>100</v>
      </c>
      <c r="D30" s="260" t="s">
        <v>101</v>
      </c>
      <c r="E30" s="260" t="s">
        <v>189</v>
      </c>
      <c r="F30" s="260" t="s">
        <v>190</v>
      </c>
      <c r="G30" s="260" t="s">
        <v>191</v>
      </c>
      <c r="H30" s="260" t="s">
        <v>254</v>
      </c>
      <c r="I30" s="260" t="s">
        <v>255</v>
      </c>
      <c r="J30" s="260"/>
      <c r="K30" s="260" t="s">
        <v>256</v>
      </c>
      <c r="L30" s="260" t="s">
        <v>257</v>
      </c>
      <c r="M30" s="260" t="s">
        <v>258</v>
      </c>
      <c r="N30" s="260" t="s">
        <v>111</v>
      </c>
      <c r="O30" s="260" t="s">
        <v>112</v>
      </c>
      <c r="P30" s="10">
        <v>6000</v>
      </c>
      <c r="Q30" s="11">
        <v>8000</v>
      </c>
      <c r="R30" s="11">
        <f t="shared" si="36"/>
        <v>4285</v>
      </c>
      <c r="S30" s="11" t="str">
        <f>VLOOKUP(K30,'1208 Indeportes'!$K$13:$AK$39,9,0)</f>
        <v>Programas de hábitos y estilos de vida saludables en el marco del convenio interadministrativo No. 257 con FONDECUN. Capacitaciones a través de campamentos y actividad física. Se hizo una capacitación denominada "Recreación en tiempos de COVID - 19". Se lograron beneficiar a un total de 450 personas.</v>
      </c>
      <c r="T30" s="11">
        <v>1500</v>
      </c>
      <c r="U30" s="11">
        <v>0</v>
      </c>
      <c r="V30" s="11">
        <v>1500</v>
      </c>
      <c r="W30" s="11">
        <v>0</v>
      </c>
      <c r="X30" s="11">
        <v>1774</v>
      </c>
      <c r="Y30" s="11">
        <v>0</v>
      </c>
      <c r="Z30" s="11">
        <v>1774</v>
      </c>
      <c r="AA30" s="11">
        <v>0</v>
      </c>
      <c r="AB30" s="11" t="s">
        <v>259</v>
      </c>
      <c r="AC30" s="11">
        <v>0</v>
      </c>
      <c r="AD30" s="403">
        <v>2000</v>
      </c>
      <c r="AE30" s="403">
        <v>0</v>
      </c>
      <c r="AF30" s="11">
        <f>VLOOKUP(K30,'1208 Indeportes'!$K$13:$AH$39,22,0)</f>
        <v>2511</v>
      </c>
      <c r="AG30" s="11">
        <f>VLOOKUP(K30,'1208 Indeportes'!$K$13:$AH$39,23,0)</f>
        <v>0</v>
      </c>
      <c r="AH30" s="11">
        <f t="shared" si="37"/>
        <v>2511</v>
      </c>
      <c r="AI30" s="11">
        <f>VLOOKUP(K30,'1208 Indeportes'!$K$13:$AK$39,25,0)</f>
        <v>0</v>
      </c>
      <c r="AJ30" s="11" t="str">
        <f>VLOOKUP(K30,'1208 Indeportes'!$K$13:$AK$39,26,0)</f>
        <v xml:space="preserve">Para el año 2021, teníamos programado capacitar 2.000 voluntarios. Para dar cumplimiento a esta meta de producto, hemos desarrollado las siguientes acciones: en el mes de febrero se realizó la capacitación para 100 personas en “Educar para la Vida” a todo el cuerpo docente del Municipio de  San Juan de Rioseco, formadores e instructores de las EFD, se apoyó con el cuerpo biomédico, estrategias de educación física frente a los retos de la vida, dos fisioterapeutas apoyaron la estrategia de como arrancar actividad física luego de un largo periodo de sedentarismo, planificación de la Educación Física.
En el mes de mayo capacitamos a 946 personas del área de recreación, aprovechamiento del tiempo libre y campamento juvenil, a jóvenes de los grados 9, 10 y 11 de los municipios interesados. Trabajamos en temáticas como recreación, campamentos, liderazgo juvenil y ecología. Se trabajó con los municipios de la provincia del Gualivá, en el Municipio de La Vega, capacitando a 59 líderes. En la provincia de Magdalena centro, los 7 municipios de la provincia se unieron a esta actividad, capacitando a 213 líderes. En el municipio de Soacha, se trabajó con líderes sociales, estudiantes de 10 y 11, formadores recreativos, con presencia de 74 personas. El personal restante, se capacito de manera virtual, para dar contenido y línea temática para el desarrollo de los campamentos infantiles que se celebraron en el mes de junio.
En el mes de junio capacitamos 320 personas. Del 21 al 28 de junio se realizó la capacitación en actividad física, dirigida musicalizada, se realizó de manera mixta, presencial y virtual. En presencialidad las sedes fueron: Zipaquirá, Sibaté y Villeta.
En el mes de julio se capacitaron para vacaciones recreativas un total de 500 formadores para el correcto desarrollo de la actividad de vacaciones recreativas.  Está capacitación fue certificada por INDEPORTES. Para el 3 de julio en el Municipio de Zipaquirá se realizó capacitación en seguimiento de ciclovías, con una asistencia de 40 personas. 
En agosto logramos capacitar a 350 personas.  Se capacitó a los líderes y formadores de recreación en temática dirigida al encuentro de adulto mayor que se desarrolló durante el mes de agosto en las diferentes provincias del departamento. Estas capacitaciones se realizaron de manera virtual y la convocatoria se realizó a través de los provinciales.
A la fecha, en total, hemos capacitado a 2.261 voluntarios en todo el departamento de Cundinamarca.
</v>
      </c>
      <c r="AK30" s="11">
        <f>VLOOKUP(K30,'1208 Indeportes'!$K$13:$AK$39,27,0)</f>
        <v>0</v>
      </c>
      <c r="AL30" s="11">
        <v>2000</v>
      </c>
      <c r="AM30" s="11">
        <v>0</v>
      </c>
      <c r="AN30" s="11">
        <v>2226</v>
      </c>
      <c r="AO30" s="11">
        <v>0</v>
      </c>
      <c r="AP30" s="11">
        <v>0</v>
      </c>
      <c r="AQ30" s="11">
        <v>0</v>
      </c>
      <c r="AR30" s="51">
        <v>120000000</v>
      </c>
      <c r="AS30" s="54">
        <v>0</v>
      </c>
      <c r="AT30" s="54">
        <f t="shared" si="0"/>
        <v>120000000</v>
      </c>
      <c r="AU30" s="51">
        <v>59516618</v>
      </c>
      <c r="AV30" s="243">
        <v>85000000</v>
      </c>
      <c r="AW30" s="244"/>
      <c r="AX30" s="244"/>
      <c r="AY30" s="243">
        <v>25000000</v>
      </c>
      <c r="AZ30" s="44">
        <f t="shared" si="38"/>
        <v>0.53562500000000002</v>
      </c>
      <c r="BA30" s="44">
        <v>0.1875</v>
      </c>
      <c r="BB30" s="44">
        <v>1.1827000000000001</v>
      </c>
      <c r="BC30" s="44">
        <f t="shared" si="39"/>
        <v>0.25</v>
      </c>
      <c r="BD30" s="44" cm="1">
        <f t="array" ref="BD30">_xlfn.IFS(AD30=0,"NA",AD30&gt;0,AH30/AD30)</f>
        <v>1.2555000000000001</v>
      </c>
      <c r="BE30" s="44">
        <f t="shared" si="40"/>
        <v>0.25</v>
      </c>
      <c r="BF30" s="44">
        <v>0</v>
      </c>
      <c r="BG30" s="44">
        <f t="shared" si="41"/>
        <v>0.27825</v>
      </c>
      <c r="BH30" s="44">
        <v>0</v>
      </c>
      <c r="BI30" s="44">
        <f t="shared" si="42"/>
        <v>0</v>
      </c>
      <c r="BJ30" s="44" t="s">
        <v>115</v>
      </c>
      <c r="BK30" s="44">
        <f t="shared" si="1"/>
        <v>0.53562500000000002</v>
      </c>
      <c r="BL30" s="44">
        <v>1</v>
      </c>
      <c r="BM30" s="44" t="str" cm="1">
        <f t="array" ref="BM30">_xlfn.IFS(BD30="NA","NA",BD30&gt;100%,"100%",BD30&lt;100,BD30)</f>
        <v>100%</v>
      </c>
      <c r="BN30" s="44" cm="1">
        <f t="array" ref="BN30">_xlfn.IFS(BF30="NA","NA",BF30&gt;100%,"100%",BF30&lt;100,BF30)</f>
        <v>0</v>
      </c>
      <c r="BO30" s="44" cm="1">
        <f t="array" ref="BO30">_xlfn.IFS(BH30="NA","NA",BH30&gt;100%,"100%",BH30&lt;100,BH30)</f>
        <v>0</v>
      </c>
      <c r="BP30" s="44" t="str" cm="1">
        <f t="array" ref="BP30">_xlfn.IFS(BJ30="NA","NA",BJ30&gt;100%,"100%",BJ30&lt;100,BJ30)</f>
        <v>NA</v>
      </c>
      <c r="BQ30" s="45">
        <v>0.22500000000000001</v>
      </c>
      <c r="BR30" s="45">
        <f t="shared" si="2"/>
        <v>0.120515625</v>
      </c>
      <c r="BS30" s="45">
        <v>4.2200000000000001E-2</v>
      </c>
      <c r="BT30" s="45">
        <v>4.2200000000000001E-2</v>
      </c>
      <c r="BU30" s="45">
        <v>4.99E-2</v>
      </c>
      <c r="BV30" s="45">
        <f t="shared" si="43"/>
        <v>5.6250000000000001E-2</v>
      </c>
      <c r="BW30" s="45">
        <f t="shared" si="44"/>
        <v>5.6250000000000001E-2</v>
      </c>
      <c r="BX30" s="45">
        <f t="shared" si="45"/>
        <v>7.0615625000000001E-2</v>
      </c>
      <c r="BY30" s="45">
        <f t="shared" si="46"/>
        <v>5.6250000000000001E-2</v>
      </c>
      <c r="BZ30" s="45">
        <f t="shared" si="47"/>
        <v>0</v>
      </c>
      <c r="CA30" s="45">
        <f t="shared" si="48"/>
        <v>0</v>
      </c>
      <c r="CB30" s="45">
        <f t="shared" si="49"/>
        <v>6.2606250000000002E-2</v>
      </c>
      <c r="CC30" s="45">
        <f t="shared" si="50"/>
        <v>0</v>
      </c>
      <c r="CD30" s="45">
        <v>0</v>
      </c>
      <c r="CE30" s="45">
        <f t="shared" si="51"/>
        <v>0</v>
      </c>
      <c r="CF30" s="45" t="str">
        <f t="shared" si="52"/>
        <v>NA</v>
      </c>
      <c r="CG30" s="45">
        <v>0</v>
      </c>
      <c r="CH30" s="244"/>
      <c r="CI30" s="244"/>
      <c r="CJ30" s="244"/>
      <c r="CK30" s="244"/>
      <c r="CM30" s="63">
        <v>4035</v>
      </c>
    </row>
    <row r="31" spans="1:91" ht="18" hidden="1" customHeight="1">
      <c r="A31" s="260" t="s">
        <v>248</v>
      </c>
      <c r="B31" s="260" t="s">
        <v>249</v>
      </c>
      <c r="C31" s="260" t="s">
        <v>100</v>
      </c>
      <c r="D31" s="260" t="s">
        <v>101</v>
      </c>
      <c r="E31" s="260" t="s">
        <v>189</v>
      </c>
      <c r="F31" s="260" t="s">
        <v>190</v>
      </c>
      <c r="G31" s="260" t="s">
        <v>191</v>
      </c>
      <c r="H31" s="260" t="s">
        <v>260</v>
      </c>
      <c r="I31" s="260" t="s">
        <v>106</v>
      </c>
      <c r="J31" s="260"/>
      <c r="K31" s="260" t="s">
        <v>261</v>
      </c>
      <c r="L31" s="260" t="s">
        <v>262</v>
      </c>
      <c r="M31" s="260" t="s">
        <v>263</v>
      </c>
      <c r="N31" s="260" t="s">
        <v>111</v>
      </c>
      <c r="O31" s="260" t="s">
        <v>112</v>
      </c>
      <c r="P31" s="10">
        <v>142000</v>
      </c>
      <c r="Q31" s="11">
        <v>160000</v>
      </c>
      <c r="R31" s="11">
        <f t="shared" si="36"/>
        <v>106147</v>
      </c>
      <c r="S31" s="11" t="str">
        <f>VLOOKUP(K31,'1208 Indeportes'!$K$13:$AK$39,9,0)</f>
        <v>Se han realizado dos concursos: 1). El día del desafío con la participación del 99% de los municipios del departamento y el 2). Evento denominado Cundinamarca Activa y Saludable, a través de las redes sociales de los municipios y de Indeportes. Se han beneficiado con los dos eventos aproximadamente 30.000 personas. Se han realizado actividades dirigidas a la población diversamente hábil y víctimas. Lo anterior en el marco del convenio interadministrativo No. 257 celebrado con FONDECUN.</v>
      </c>
      <c r="T31" s="11">
        <v>30000</v>
      </c>
      <c r="U31" s="11">
        <v>0</v>
      </c>
      <c r="V31" s="11">
        <v>30000</v>
      </c>
      <c r="W31" s="11">
        <v>0</v>
      </c>
      <c r="X31" s="11">
        <v>33000</v>
      </c>
      <c r="Y31" s="11">
        <v>0</v>
      </c>
      <c r="Z31" s="11">
        <v>33000</v>
      </c>
      <c r="AA31" s="11">
        <v>0</v>
      </c>
      <c r="AB31" s="11" t="s">
        <v>264</v>
      </c>
      <c r="AC31" s="11">
        <v>0</v>
      </c>
      <c r="AD31" s="403">
        <v>40000</v>
      </c>
      <c r="AE31" s="403">
        <v>0</v>
      </c>
      <c r="AF31" s="11">
        <f>VLOOKUP(K31,'1208 Indeportes'!$K$13:$AH$39,22,0)</f>
        <v>73147</v>
      </c>
      <c r="AG31" s="11">
        <f>VLOOKUP(K31,'1208 Indeportes'!$K$13:$AH$39,23,0)</f>
        <v>0</v>
      </c>
      <c r="AH31" s="11">
        <f t="shared" si="37"/>
        <v>73147</v>
      </c>
      <c r="AI31" s="11">
        <f>VLOOKUP(K31,'1208 Indeportes'!$K$13:$AK$39,25,0)</f>
        <v>0</v>
      </c>
      <c r="AJ31" s="11" t="str">
        <f>VLOOKUP(K31,'1208 Indeportes'!$K$13:$AK$39,26,0)</f>
        <v xml:space="preserve">Para el año 2021, teníamos programado vincular 40.000 personas en las actividades de recreación y actividad física. Para dar cumplimiento a la meta programada, desde Indeportes realizamos las siguientes actividades: A través del programa denominado Ciclovía por la vida, logramos desarrollar 9 actividades en diferentes municipios del departamento, logrando beneficiar a 11.243 personas. El 06 de abril se desarrolló el día mundial de la actividad física con una participación de 83 municipios y más de 5000 personas beneficiadas de manera virtual y presencial. Entre abril y junio con grupos regulares de actividad física beneficiamos 800 personas y con grupos no regulares de actividad física beneficiamos 160 personas. Entre abril y junio, en eventos masivos, llegamos a 820 personas, en Zipaquirá, Facatativá, Ubaté, Sibaté y Soacha.  Entre abril y junio se realizaron 10 acciones para promover hábitos y estilos de vida saludables, se realizaron actividades en los mismos municipios anteriormente nombrados, con un total de 432 personas beneficiadas. El 26 de mayo se realizó el día del desafío, con una participación de 90 municipios y más de 20.000 personas beneficiadas de manera virtual y presencial
El 3 de junio realizamos la celebración del día mundial de la bicicleta con una participación de 3.455 personas.  
A través del programa de campamentos infantiles y juveniles, hemos podido vincular a mas de 4.500 niños, niñas, jóvenes y adolescentes de nuestro departamento. En total, hasta la fecha, hemos logrado vincular a 73.147 personas.
</v>
      </c>
      <c r="AK31" s="11">
        <f>VLOOKUP(K31,'1208 Indeportes'!$K$13:$AK$39,27,0)</f>
        <v>0</v>
      </c>
      <c r="AL31" s="11">
        <v>40000</v>
      </c>
      <c r="AM31" s="11">
        <v>0</v>
      </c>
      <c r="AN31" s="11">
        <v>47000</v>
      </c>
      <c r="AO31" s="11">
        <v>0</v>
      </c>
      <c r="AP31" s="11">
        <v>0</v>
      </c>
      <c r="AQ31" s="11">
        <v>0</v>
      </c>
      <c r="AR31" s="51">
        <v>445192000</v>
      </c>
      <c r="AS31" s="54">
        <v>0</v>
      </c>
      <c r="AT31" s="54">
        <f t="shared" si="0"/>
        <v>445192000</v>
      </c>
      <c r="AU31" s="51">
        <v>396808035</v>
      </c>
      <c r="AV31" s="243">
        <v>908847430</v>
      </c>
      <c r="AW31" s="244"/>
      <c r="AX31" s="244"/>
      <c r="AY31" s="243">
        <v>778055895</v>
      </c>
      <c r="AZ31" s="44">
        <f t="shared" si="38"/>
        <v>0.66341874999999995</v>
      </c>
      <c r="BA31" s="44">
        <v>0.1875</v>
      </c>
      <c r="BB31" s="44">
        <v>1.1000000000000001</v>
      </c>
      <c r="BC31" s="44">
        <f t="shared" si="39"/>
        <v>0.25</v>
      </c>
      <c r="BD31" s="44" cm="1">
        <f t="array" ref="BD31">_xlfn.IFS(AD31=0,"NA",AD31&gt;0,AH31/AD31)</f>
        <v>1.8286750000000001</v>
      </c>
      <c r="BE31" s="44">
        <f t="shared" si="40"/>
        <v>0.25</v>
      </c>
      <c r="BF31" s="44">
        <v>0</v>
      </c>
      <c r="BG31" s="44">
        <f t="shared" si="41"/>
        <v>0.29375000000000001</v>
      </c>
      <c r="BH31" s="44">
        <v>0</v>
      </c>
      <c r="BI31" s="44">
        <f t="shared" si="42"/>
        <v>0</v>
      </c>
      <c r="BJ31" s="44" t="s">
        <v>115</v>
      </c>
      <c r="BK31" s="44">
        <f t="shared" si="1"/>
        <v>0.66341874999999995</v>
      </c>
      <c r="BL31" s="44">
        <v>1</v>
      </c>
      <c r="BM31" s="44" t="str" cm="1">
        <f t="array" ref="BM31">_xlfn.IFS(BD31="NA","NA",BD31&gt;100%,"100%",BD31&lt;100,BD31)</f>
        <v>100%</v>
      </c>
      <c r="BN31" s="44" cm="1">
        <f t="array" ref="BN31">_xlfn.IFS(BF31="NA","NA",BF31&gt;100%,"100%",BF31&lt;100,BF31)</f>
        <v>0</v>
      </c>
      <c r="BO31" s="44" cm="1">
        <f t="array" ref="BO31">_xlfn.IFS(BH31="NA","NA",BH31&gt;100%,"100%",BH31&lt;100,BH31)</f>
        <v>0</v>
      </c>
      <c r="BP31" s="44" t="str" cm="1">
        <f t="array" ref="BP31">_xlfn.IFS(BJ31="NA","NA",BJ31&gt;100%,"100%",BJ31&lt;100,BJ31)</f>
        <v>NA</v>
      </c>
      <c r="BQ31" s="45">
        <v>0.22500000000000001</v>
      </c>
      <c r="BR31" s="45">
        <f t="shared" si="2"/>
        <v>0.14926921874999999</v>
      </c>
      <c r="BS31" s="45">
        <v>4.2200000000000001E-2</v>
      </c>
      <c r="BT31" s="45">
        <v>4.2200000000000001E-2</v>
      </c>
      <c r="BU31" s="45">
        <v>4.6399999999999997E-2</v>
      </c>
      <c r="BV31" s="45">
        <f t="shared" si="43"/>
        <v>5.6250000000000001E-2</v>
      </c>
      <c r="BW31" s="45">
        <f t="shared" si="44"/>
        <v>5.6250000000000001E-2</v>
      </c>
      <c r="BX31" s="45">
        <f t="shared" si="45"/>
        <v>0.10286921874999999</v>
      </c>
      <c r="BY31" s="45">
        <f t="shared" si="46"/>
        <v>5.6250000000000001E-2</v>
      </c>
      <c r="BZ31" s="45">
        <f t="shared" si="47"/>
        <v>0</v>
      </c>
      <c r="CA31" s="45">
        <f t="shared" si="48"/>
        <v>0</v>
      </c>
      <c r="CB31" s="45">
        <f t="shared" si="49"/>
        <v>6.6093750000000007E-2</v>
      </c>
      <c r="CC31" s="45">
        <f t="shared" si="50"/>
        <v>0</v>
      </c>
      <c r="CD31" s="45">
        <v>0</v>
      </c>
      <c r="CE31" s="45">
        <f t="shared" si="51"/>
        <v>0</v>
      </c>
      <c r="CF31" s="45" t="str">
        <f t="shared" si="52"/>
        <v>NA</v>
      </c>
      <c r="CG31" s="45">
        <v>0</v>
      </c>
      <c r="CH31" s="244"/>
      <c r="CI31" s="244"/>
      <c r="CJ31" s="244"/>
      <c r="CK31" s="244"/>
      <c r="CM31" s="63">
        <v>86147</v>
      </c>
    </row>
    <row r="32" spans="1:91" ht="18" hidden="1" customHeight="1">
      <c r="A32" s="260" t="s">
        <v>248</v>
      </c>
      <c r="B32" s="260" t="s">
        <v>249</v>
      </c>
      <c r="C32" s="260" t="s">
        <v>100</v>
      </c>
      <c r="D32" s="260" t="s">
        <v>101</v>
      </c>
      <c r="E32" s="260" t="s">
        <v>189</v>
      </c>
      <c r="F32" s="260" t="s">
        <v>190</v>
      </c>
      <c r="G32" s="260" t="s">
        <v>191</v>
      </c>
      <c r="H32" s="260" t="s">
        <v>265</v>
      </c>
      <c r="I32" s="260" t="s">
        <v>106</v>
      </c>
      <c r="J32" s="260"/>
      <c r="K32" s="260" t="s">
        <v>266</v>
      </c>
      <c r="L32" s="260" t="s">
        <v>267</v>
      </c>
      <c r="M32" s="260" t="s">
        <v>268</v>
      </c>
      <c r="N32" s="260" t="s">
        <v>111</v>
      </c>
      <c r="O32" s="260" t="s">
        <v>112</v>
      </c>
      <c r="P32" s="10">
        <v>0</v>
      </c>
      <c r="Q32" s="11">
        <v>3</v>
      </c>
      <c r="R32" s="11">
        <f t="shared" si="36"/>
        <v>0</v>
      </c>
      <c r="S32" s="11">
        <f>VLOOKUP(K32,'1208 Indeportes'!$K$13:$AK$39,9,0)</f>
        <v>0</v>
      </c>
      <c r="T32" s="11">
        <v>0</v>
      </c>
      <c r="U32" s="11">
        <v>0</v>
      </c>
      <c r="V32" s="11">
        <v>0</v>
      </c>
      <c r="W32" s="11">
        <v>0</v>
      </c>
      <c r="X32" s="11">
        <v>0</v>
      </c>
      <c r="Y32" s="11">
        <v>0</v>
      </c>
      <c r="Z32" s="11">
        <v>0</v>
      </c>
      <c r="AA32" s="11"/>
      <c r="AB32" s="11"/>
      <c r="AC32" s="11"/>
      <c r="AD32" s="403">
        <v>1</v>
      </c>
      <c r="AE32" s="403">
        <v>0</v>
      </c>
      <c r="AF32" s="11">
        <f>VLOOKUP(K32,'1208 Indeportes'!$K$13:$AH$39,22,0)</f>
        <v>0</v>
      </c>
      <c r="AG32" s="11">
        <f>VLOOKUP(K32,'1208 Indeportes'!$K$13:$AH$39,23,0)</f>
        <v>0</v>
      </c>
      <c r="AH32" s="11">
        <f t="shared" si="37"/>
        <v>0</v>
      </c>
      <c r="AI32" s="11">
        <f>VLOOKUP(K32,'1208 Indeportes'!$K$13:$AK$39,25,0)</f>
        <v>0</v>
      </c>
      <c r="AJ32" s="11" t="str">
        <f>VLOOKUP(K32,'1208 Indeportes'!$K$13:$AK$39,26,0)</f>
        <v>La Licitación Pública cuyo objeto es PRESTACIÓN DE SERVICIOS DE APOYO LOGÍSTICO PARA EL DESARROLLO DEL PROYECTO "FESTIVAL LA LEYENDA DEL DORADO 2021" PARA EL CUMPLIMIENTO DE LAS METAS DEL PLAN DE DESARROLLO “CUNDINAMARCA REGIÓN QUE PROGRESA”. Se encuentra publicado, por un valor de $365.000.000 y ejecución programada a partir del 14 de diciembre del 2021. Los eventos serán desarrollados durante dos fines de semana en los municipios de La Calera, El Rosal y Villeta.</v>
      </c>
      <c r="AK32" s="11">
        <f>VLOOKUP(K32,'1208 Indeportes'!$K$13:$AK$39,27,0)</f>
        <v>0</v>
      </c>
      <c r="AL32" s="11">
        <v>1</v>
      </c>
      <c r="AM32" s="11">
        <v>0</v>
      </c>
      <c r="AN32" s="11">
        <v>1</v>
      </c>
      <c r="AO32" s="11">
        <v>0</v>
      </c>
      <c r="AP32" s="11">
        <v>0</v>
      </c>
      <c r="AQ32" s="11">
        <v>0</v>
      </c>
      <c r="AR32" s="52"/>
      <c r="AS32" s="54">
        <v>0</v>
      </c>
      <c r="AT32" s="54">
        <f t="shared" si="0"/>
        <v>0</v>
      </c>
      <c r="AU32" s="52"/>
      <c r="AV32" s="243">
        <v>390000000</v>
      </c>
      <c r="AW32" s="244"/>
      <c r="AX32" s="244"/>
      <c r="AY32" s="243">
        <v>25000000</v>
      </c>
      <c r="AZ32" s="44">
        <f t="shared" si="38"/>
        <v>0</v>
      </c>
      <c r="BA32" s="44">
        <v>0</v>
      </c>
      <c r="BB32" s="44" t="s">
        <v>115</v>
      </c>
      <c r="BC32" s="44">
        <f t="shared" si="39"/>
        <v>0.33333333333333331</v>
      </c>
      <c r="BD32" s="44" cm="1">
        <f t="array" ref="BD32">_xlfn.IFS(AD32=0,"NA",AD32&gt;0,AH32/AD32)</f>
        <v>0</v>
      </c>
      <c r="BE32" s="44">
        <f t="shared" si="40"/>
        <v>0.33333333333333331</v>
      </c>
      <c r="BF32" s="44">
        <v>0</v>
      </c>
      <c r="BG32" s="44">
        <f t="shared" si="41"/>
        <v>0.33333333333333331</v>
      </c>
      <c r="BH32" s="44">
        <v>0</v>
      </c>
      <c r="BI32" s="44">
        <f t="shared" si="42"/>
        <v>0</v>
      </c>
      <c r="BJ32" s="44" t="s">
        <v>115</v>
      </c>
      <c r="BK32" s="44">
        <f t="shared" si="1"/>
        <v>0</v>
      </c>
      <c r="BL32" s="44" t="s">
        <v>115</v>
      </c>
      <c r="BM32" s="44" cm="1">
        <f t="array" ref="BM32">_xlfn.IFS(BD32="NA","NA",BD32&gt;100%,"100%",BD32&lt;100,BD32)</f>
        <v>0</v>
      </c>
      <c r="BN32" s="44" cm="1">
        <f t="array" ref="BN32">_xlfn.IFS(BF32="NA","NA",BF32&gt;100%,"100%",BF32&lt;100,BF32)</f>
        <v>0</v>
      </c>
      <c r="BO32" s="44" cm="1">
        <f t="array" ref="BO32">_xlfn.IFS(BH32="NA","NA",BH32&gt;100%,"100%",BH32&lt;100,BH32)</f>
        <v>0</v>
      </c>
      <c r="BP32" s="44" t="str" cm="1">
        <f t="array" ref="BP32">_xlfn.IFS(BJ32="NA","NA",BJ32&gt;100%,"100%",BJ32&lt;100,BJ32)</f>
        <v>NA</v>
      </c>
      <c r="BQ32" s="45">
        <v>0.22500000000000001</v>
      </c>
      <c r="BR32" s="45">
        <f t="shared" si="2"/>
        <v>0</v>
      </c>
      <c r="BS32" s="45">
        <v>0</v>
      </c>
      <c r="BT32" s="45" t="s">
        <v>115</v>
      </c>
      <c r="BU32" s="45">
        <v>0</v>
      </c>
      <c r="BV32" s="45">
        <f t="shared" si="43"/>
        <v>7.4999999999999997E-2</v>
      </c>
      <c r="BW32" s="45">
        <f t="shared" si="44"/>
        <v>0</v>
      </c>
      <c r="BX32" s="45">
        <f t="shared" si="45"/>
        <v>0</v>
      </c>
      <c r="BY32" s="45">
        <f t="shared" si="46"/>
        <v>7.4999999999999997E-2</v>
      </c>
      <c r="BZ32" s="45">
        <f t="shared" si="47"/>
        <v>0</v>
      </c>
      <c r="CA32" s="45">
        <f t="shared" si="48"/>
        <v>0</v>
      </c>
      <c r="CB32" s="45">
        <f t="shared" si="49"/>
        <v>7.4999999999999997E-2</v>
      </c>
      <c r="CC32" s="45">
        <f t="shared" si="50"/>
        <v>0</v>
      </c>
      <c r="CD32" s="45">
        <v>0</v>
      </c>
      <c r="CE32" s="45">
        <f t="shared" si="51"/>
        <v>0</v>
      </c>
      <c r="CF32" s="45" t="str">
        <f t="shared" si="52"/>
        <v>NA</v>
      </c>
      <c r="CG32" s="45">
        <v>0</v>
      </c>
      <c r="CH32" s="244"/>
      <c r="CI32" s="244"/>
      <c r="CJ32" s="244"/>
      <c r="CK32" s="244"/>
      <c r="CM32" s="63">
        <v>0</v>
      </c>
    </row>
    <row r="33" spans="1:91" ht="18" hidden="1" customHeight="1">
      <c r="A33" s="260" t="s">
        <v>248</v>
      </c>
      <c r="B33" s="260" t="s">
        <v>249</v>
      </c>
      <c r="C33" s="260" t="s">
        <v>100</v>
      </c>
      <c r="D33" s="260" t="s">
        <v>101</v>
      </c>
      <c r="E33" s="260" t="s">
        <v>189</v>
      </c>
      <c r="F33" s="260" t="s">
        <v>190</v>
      </c>
      <c r="G33" s="260" t="s">
        <v>191</v>
      </c>
      <c r="H33" s="260" t="s">
        <v>269</v>
      </c>
      <c r="I33" s="260" t="s">
        <v>106</v>
      </c>
      <c r="J33" s="260"/>
      <c r="K33" s="260" t="s">
        <v>270</v>
      </c>
      <c r="L33" s="260" t="s">
        <v>271</v>
      </c>
      <c r="M33" s="260" t="s">
        <v>272</v>
      </c>
      <c r="N33" s="260" t="s">
        <v>111</v>
      </c>
      <c r="O33" s="260" t="s">
        <v>112</v>
      </c>
      <c r="P33" s="10">
        <v>0</v>
      </c>
      <c r="Q33" s="11">
        <v>1</v>
      </c>
      <c r="R33" s="11">
        <f t="shared" si="36"/>
        <v>0</v>
      </c>
      <c r="S33" s="11">
        <f>VLOOKUP(K33,'1208 Indeportes'!$K$13:$AK$39,9,0)</f>
        <v>0</v>
      </c>
      <c r="T33" s="11">
        <v>0</v>
      </c>
      <c r="U33" s="11">
        <v>0</v>
      </c>
      <c r="V33" s="11">
        <v>0</v>
      </c>
      <c r="W33" s="11">
        <v>0</v>
      </c>
      <c r="X33" s="11">
        <v>0</v>
      </c>
      <c r="Y33" s="11">
        <v>0</v>
      </c>
      <c r="Z33" s="11">
        <v>0</v>
      </c>
      <c r="AA33" s="11"/>
      <c r="AB33" s="11"/>
      <c r="AC33" s="11"/>
      <c r="AD33" s="403">
        <v>0</v>
      </c>
      <c r="AE33" s="403">
        <v>0</v>
      </c>
      <c r="AF33" s="11">
        <f>VLOOKUP(K33,'1208 Indeportes'!$K$13:$AH$39,22,0)</f>
        <v>0</v>
      </c>
      <c r="AG33" s="11">
        <f>VLOOKUP(K33,'1208 Indeportes'!$K$13:$AH$39,23,0)</f>
        <v>0</v>
      </c>
      <c r="AH33" s="11">
        <f t="shared" si="37"/>
        <v>0</v>
      </c>
      <c r="AI33" s="11">
        <f>VLOOKUP(K33,'1208 Indeportes'!$K$13:$AK$39,25,0)</f>
        <v>0</v>
      </c>
      <c r="AJ33" s="11" t="str">
        <f>VLOOKUP(K33,'1208 Indeportes'!$K$13:$AK$39,26,0)</f>
        <v>Durante el año 2021 vamos a realizar el lanzamiento y firma del pacto por los juegos departamentales. En el año 2022 se realizarán las siguientes fases, programadas a partir del mes de septiembre.</v>
      </c>
      <c r="AK33" s="11">
        <f>VLOOKUP(K33,'1208 Indeportes'!$K$13:$AK$39,27,0)</f>
        <v>0</v>
      </c>
      <c r="AL33" s="11">
        <v>1</v>
      </c>
      <c r="AM33" s="11">
        <v>0</v>
      </c>
      <c r="AN33" s="11">
        <v>0</v>
      </c>
      <c r="AO33" s="11">
        <v>0</v>
      </c>
      <c r="AP33" s="11">
        <v>0</v>
      </c>
      <c r="AQ33" s="11">
        <v>0</v>
      </c>
      <c r="AR33" s="52"/>
      <c r="AS33" s="54">
        <v>0</v>
      </c>
      <c r="AT33" s="54">
        <f t="shared" si="0"/>
        <v>0</v>
      </c>
      <c r="AU33" s="52"/>
      <c r="AV33" s="243">
        <v>300000000</v>
      </c>
      <c r="AW33" s="244"/>
      <c r="AX33" s="244"/>
      <c r="AY33" s="243">
        <v>236250000</v>
      </c>
      <c r="AZ33" s="44">
        <f t="shared" si="38"/>
        <v>0</v>
      </c>
      <c r="BA33" s="44">
        <v>0</v>
      </c>
      <c r="BB33" s="44" t="s">
        <v>115</v>
      </c>
      <c r="BC33" s="44">
        <f t="shared" si="39"/>
        <v>0</v>
      </c>
      <c r="BD33" s="44" t="str" cm="1">
        <f t="array" ref="BD33">_xlfn.IFS(AD33=0,"NA",AD33&gt;0,AH33/AD33)</f>
        <v>NA</v>
      </c>
      <c r="BE33" s="44">
        <f t="shared" si="40"/>
        <v>1</v>
      </c>
      <c r="BF33" s="44">
        <v>0</v>
      </c>
      <c r="BG33" s="44">
        <f t="shared" si="41"/>
        <v>0</v>
      </c>
      <c r="BH33" s="44">
        <v>0</v>
      </c>
      <c r="BI33" s="44">
        <f t="shared" si="42"/>
        <v>0</v>
      </c>
      <c r="BJ33" s="44" t="s">
        <v>115</v>
      </c>
      <c r="BK33" s="44">
        <f t="shared" si="1"/>
        <v>0</v>
      </c>
      <c r="BL33" s="44" t="s">
        <v>115</v>
      </c>
      <c r="BM33" s="44" t="str" cm="1">
        <f t="array" ref="BM33">_xlfn.IFS(BD33="NA","NA",BD33&gt;100%,"100%",BD33&lt;100,BD33)</f>
        <v>NA</v>
      </c>
      <c r="BN33" s="44" cm="1">
        <f t="array" ref="BN33">_xlfn.IFS(BF33="NA","NA",BF33&gt;100%,"100%",BF33&lt;100,BF33)</f>
        <v>0</v>
      </c>
      <c r="BO33" s="44" cm="1">
        <f t="array" ref="BO33">_xlfn.IFS(BH33="NA","NA",BH33&gt;100%,"100%",BH33&lt;100,BH33)</f>
        <v>0</v>
      </c>
      <c r="BP33" s="44" t="str" cm="1">
        <f t="array" ref="BP33">_xlfn.IFS(BJ33="NA","NA",BJ33&gt;100%,"100%",BJ33&lt;100,BJ33)</f>
        <v>NA</v>
      </c>
      <c r="BQ33" s="45">
        <v>0.22500000000000001</v>
      </c>
      <c r="BR33" s="45">
        <f t="shared" si="2"/>
        <v>0</v>
      </c>
      <c r="BS33" s="45">
        <v>0</v>
      </c>
      <c r="BT33" s="45" t="s">
        <v>115</v>
      </c>
      <c r="BU33" s="45">
        <v>0</v>
      </c>
      <c r="BV33" s="45">
        <f t="shared" si="43"/>
        <v>0</v>
      </c>
      <c r="BW33" s="45" t="str">
        <f t="shared" si="44"/>
        <v>NA</v>
      </c>
      <c r="BX33" s="45">
        <f t="shared" si="45"/>
        <v>0</v>
      </c>
      <c r="BY33" s="45">
        <f t="shared" si="46"/>
        <v>0.22500000000000001</v>
      </c>
      <c r="BZ33" s="45">
        <f t="shared" si="47"/>
        <v>0</v>
      </c>
      <c r="CA33" s="45">
        <f t="shared" si="48"/>
        <v>0</v>
      </c>
      <c r="CB33" s="45">
        <f t="shared" si="49"/>
        <v>0</v>
      </c>
      <c r="CC33" s="45">
        <f t="shared" si="50"/>
        <v>0</v>
      </c>
      <c r="CD33" s="45">
        <v>0</v>
      </c>
      <c r="CE33" s="45">
        <f t="shared" si="51"/>
        <v>0</v>
      </c>
      <c r="CF33" s="45" t="str">
        <f t="shared" si="52"/>
        <v>NA</v>
      </c>
      <c r="CG33" s="45">
        <v>0</v>
      </c>
      <c r="CH33" s="244"/>
      <c r="CI33" s="244"/>
      <c r="CJ33" s="244"/>
      <c r="CK33" s="244"/>
      <c r="CM33" s="63">
        <v>0</v>
      </c>
    </row>
    <row r="34" spans="1:91" ht="18" hidden="1" customHeight="1">
      <c r="A34" s="260" t="s">
        <v>248</v>
      </c>
      <c r="B34" s="260" t="s">
        <v>249</v>
      </c>
      <c r="C34" s="260" t="s">
        <v>100</v>
      </c>
      <c r="D34" s="260" t="s">
        <v>101</v>
      </c>
      <c r="E34" s="260" t="s">
        <v>189</v>
      </c>
      <c r="F34" s="260" t="s">
        <v>190</v>
      </c>
      <c r="G34" s="260" t="s">
        <v>191</v>
      </c>
      <c r="H34" s="260" t="s">
        <v>273</v>
      </c>
      <c r="I34" s="260" t="s">
        <v>106</v>
      </c>
      <c r="J34" s="260"/>
      <c r="K34" s="260" t="s">
        <v>274</v>
      </c>
      <c r="L34" s="260" t="s">
        <v>275</v>
      </c>
      <c r="M34" s="260" t="s">
        <v>276</v>
      </c>
      <c r="N34" s="260" t="s">
        <v>111</v>
      </c>
      <c r="O34" s="260" t="s">
        <v>112</v>
      </c>
      <c r="P34" s="10">
        <v>41</v>
      </c>
      <c r="Q34" s="11">
        <v>60</v>
      </c>
      <c r="R34" s="11">
        <f t="shared" si="36"/>
        <v>25</v>
      </c>
      <c r="S34" s="11" t="str">
        <f>VLOOKUP(K34,'1208 Indeportes'!$K$13:$AK$39,9,0)</f>
        <v>1. En mayo se realizaron dos eventos, uno para celebrar el día de la afrocolombianidad en el Municipio de Soacha, y el otro con agremiaciones campesinas en el Municipio de San Juan de Rioseco.
2. En junio se realizó evento con Juntas de acción comunal en el Municipio de Ubaque y conmemoración del día del orgullo Gay en el Municipio de Madrid
3. En julio se realizó evento en el Municipio de Guachetá con agremiación de mineros
4. En Agosto se realizó evento en Puerto Bogotá con agremiación de pescadores y en Girardot con la comunidad LGBTIQ+
11 de septiembre Gachetá con JAC, 12 de septiembre Cáqueza con JAC, 9 de octubre comunidades indígenas en Chía, 10 de octubre Fusagasugá conmemoración día de la raza</v>
      </c>
      <c r="T34" s="11">
        <v>10</v>
      </c>
      <c r="U34" s="11">
        <v>0</v>
      </c>
      <c r="V34" s="11">
        <v>10</v>
      </c>
      <c r="W34" s="11">
        <v>0</v>
      </c>
      <c r="X34" s="11">
        <v>12</v>
      </c>
      <c r="Y34" s="11">
        <v>0</v>
      </c>
      <c r="Z34" s="11">
        <v>12</v>
      </c>
      <c r="AA34" s="11">
        <v>0</v>
      </c>
      <c r="AB34" s="11" t="s">
        <v>277</v>
      </c>
      <c r="AC34" s="11">
        <v>0</v>
      </c>
      <c r="AD34" s="403">
        <v>15</v>
      </c>
      <c r="AE34" s="403">
        <v>0</v>
      </c>
      <c r="AF34" s="11">
        <f>VLOOKUP(K34,'1208 Indeportes'!$K$13:$AH$39,22,0)</f>
        <v>13</v>
      </c>
      <c r="AG34" s="11"/>
      <c r="AH34" s="11">
        <f t="shared" si="37"/>
        <v>13</v>
      </c>
      <c r="AI34" s="11">
        <f>VLOOKUP(K34,'1208 Indeportes'!$K$13:$AK$39,25,0)</f>
        <v>0</v>
      </c>
      <c r="AJ34" s="11" t="str">
        <f>VLOOKUP(K34,'1208 Indeportes'!$K$13:$AK$39,26,0)</f>
        <v>En mayo se realizaron dos eventos, uno para celebrar el día de la afrocolombianidad en el Municipio de Soacha, y el otro con agremiaciones campesinas en el Municipio de San Juan de Rioseco. En junio se realizó evento con Juntas de acción comunal en el Municipio de Ubaque y conmemoración del día del orgullo Gay en el Municipio de Madrid. En julio se realizó evento en el Municipio de Guachetá con agremiación de mineros. En agosto se realizó evento en Puerto Bogotá con agremiación de pescadores y en Girardot con la comunidad LGBTIQ+. El 19 de septiembre se realizó un evento dirigido a la comunidad indígena JE ERURIWA del municipio de Medina, donde se beneficiaron 100 personas. El 4 de octubre realizamos un evento dirigido a las comunidades indígenas Muiscas de los Municipios de Chía, Cota y Sesquilé, donde se beneficiaron 200 personas. Durante el mes de noviembre realizamos un evento en el Municipio de Guaduas dirigido a la agremiación de mujeres y un segundo evento en el municipio de Jerusalén beneficiando a las Juntas de Acción Comunal. En estos dos eventos logramos beneficiar a 310 personas.</v>
      </c>
      <c r="AK34" s="11">
        <f>VLOOKUP(K34,'1208 Indeportes'!$K$13:$AK$39,27,0)</f>
        <v>0</v>
      </c>
      <c r="AL34" s="11">
        <v>15</v>
      </c>
      <c r="AM34" s="11">
        <v>0</v>
      </c>
      <c r="AN34" s="11">
        <v>18</v>
      </c>
      <c r="AO34" s="11">
        <v>0</v>
      </c>
      <c r="AP34" s="11">
        <v>0</v>
      </c>
      <c r="AQ34" s="11">
        <v>0</v>
      </c>
      <c r="AR34" s="51">
        <v>179280000</v>
      </c>
      <c r="AS34" s="54">
        <v>0</v>
      </c>
      <c r="AT34" s="54">
        <f t="shared" si="0"/>
        <v>179280000</v>
      </c>
      <c r="AU34" s="51">
        <v>158540569</v>
      </c>
      <c r="AV34" s="243">
        <v>135330769</v>
      </c>
      <c r="AW34" s="244"/>
      <c r="AX34" s="244"/>
      <c r="AY34" s="243">
        <v>120323077</v>
      </c>
      <c r="AZ34" s="44">
        <f t="shared" si="38"/>
        <v>0.41666666666666669</v>
      </c>
      <c r="BA34" s="44">
        <v>0.16669999999999999</v>
      </c>
      <c r="BB34" s="44">
        <v>1.2</v>
      </c>
      <c r="BC34" s="44">
        <f t="shared" si="39"/>
        <v>0.25</v>
      </c>
      <c r="BD34" s="44" cm="1">
        <f t="array" ref="BD34">_xlfn.IFS(AD34=0,"NA",AD34&gt;0,AH34/AD34)</f>
        <v>0.8666666666666667</v>
      </c>
      <c r="BE34" s="44">
        <f t="shared" si="40"/>
        <v>0.25</v>
      </c>
      <c r="BF34" s="44">
        <v>0</v>
      </c>
      <c r="BG34" s="44">
        <f t="shared" si="41"/>
        <v>0.3</v>
      </c>
      <c r="BH34" s="44">
        <v>0</v>
      </c>
      <c r="BI34" s="44">
        <f t="shared" si="42"/>
        <v>0</v>
      </c>
      <c r="BJ34" s="44" t="s">
        <v>115</v>
      </c>
      <c r="BK34" s="44">
        <f t="shared" si="1"/>
        <v>0.41666666666666669</v>
      </c>
      <c r="BL34" s="44">
        <v>1</v>
      </c>
      <c r="BM34" s="44" cm="1">
        <f t="array" ref="BM34">_xlfn.IFS(BD34="NA","NA",BD34&gt;100%,"100%",BD34&lt;100,BD34)</f>
        <v>0.8666666666666667</v>
      </c>
      <c r="BN34" s="44" cm="1">
        <f t="array" ref="BN34">_xlfn.IFS(BF34="NA","NA",BF34&gt;100%,"100%",BF34&lt;100,BF34)</f>
        <v>0</v>
      </c>
      <c r="BO34" s="44" cm="1">
        <f t="array" ref="BO34">_xlfn.IFS(BH34="NA","NA",BH34&gt;100%,"100%",BH34&lt;100,BH34)</f>
        <v>0</v>
      </c>
      <c r="BP34" s="44" t="str" cm="1">
        <f t="array" ref="BP34">_xlfn.IFS(BJ34="NA","NA",BJ34&gt;100%,"100%",BJ34&lt;100,BJ34)</f>
        <v>NA</v>
      </c>
      <c r="BQ34" s="45">
        <v>0.22500000000000001</v>
      </c>
      <c r="BR34" s="45">
        <f t="shared" si="2"/>
        <v>9.375E-2</v>
      </c>
      <c r="BS34" s="45">
        <v>3.7499999999999999E-2</v>
      </c>
      <c r="BT34" s="45">
        <v>3.7499999999999999E-2</v>
      </c>
      <c r="BU34" s="45">
        <v>4.4999999999999998E-2</v>
      </c>
      <c r="BV34" s="45">
        <f t="shared" si="43"/>
        <v>5.6250000000000001E-2</v>
      </c>
      <c r="BW34" s="45">
        <f t="shared" si="44"/>
        <v>4.8750000000000002E-2</v>
      </c>
      <c r="BX34" s="45">
        <f t="shared" si="45"/>
        <v>4.8750000000000002E-2</v>
      </c>
      <c r="BY34" s="45">
        <f t="shared" si="46"/>
        <v>5.6250000000000001E-2</v>
      </c>
      <c r="BZ34" s="45">
        <f t="shared" si="47"/>
        <v>0</v>
      </c>
      <c r="CA34" s="45">
        <f t="shared" si="48"/>
        <v>0</v>
      </c>
      <c r="CB34" s="45">
        <f t="shared" si="49"/>
        <v>6.7499999999999991E-2</v>
      </c>
      <c r="CC34" s="45">
        <f t="shared" si="50"/>
        <v>0</v>
      </c>
      <c r="CD34" s="45">
        <v>0</v>
      </c>
      <c r="CE34" s="45">
        <f t="shared" si="51"/>
        <v>0</v>
      </c>
      <c r="CF34" s="45" t="str">
        <f t="shared" si="52"/>
        <v>NA</v>
      </c>
      <c r="CG34" s="45">
        <v>0</v>
      </c>
      <c r="CH34" s="244"/>
      <c r="CI34" s="244"/>
      <c r="CJ34" s="244"/>
      <c r="CK34" s="244"/>
      <c r="CM34" s="63">
        <v>22</v>
      </c>
    </row>
    <row r="35" spans="1:91" ht="18" hidden="1" customHeight="1">
      <c r="A35" s="260" t="s">
        <v>248</v>
      </c>
      <c r="B35" s="260" t="s">
        <v>249</v>
      </c>
      <c r="C35" s="260" t="s">
        <v>100</v>
      </c>
      <c r="D35" s="260" t="s">
        <v>101</v>
      </c>
      <c r="E35" s="260" t="s">
        <v>189</v>
      </c>
      <c r="F35" s="260" t="s">
        <v>190</v>
      </c>
      <c r="G35" s="260" t="s">
        <v>191</v>
      </c>
      <c r="H35" s="260" t="s">
        <v>278</v>
      </c>
      <c r="I35" s="260" t="s">
        <v>106</v>
      </c>
      <c r="J35" s="260"/>
      <c r="K35" s="260" t="s">
        <v>279</v>
      </c>
      <c r="L35" s="260" t="s">
        <v>280</v>
      </c>
      <c r="M35" s="260" t="s">
        <v>281</v>
      </c>
      <c r="N35" s="260" t="s">
        <v>111</v>
      </c>
      <c r="O35" s="260" t="s">
        <v>112</v>
      </c>
      <c r="P35" s="10">
        <v>56</v>
      </c>
      <c r="Q35" s="11">
        <v>150</v>
      </c>
      <c r="R35" s="11">
        <f t="shared" si="36"/>
        <v>103</v>
      </c>
      <c r="S35" s="11" t="str">
        <f>VLOOKUP(K35,'1208 Indeportes'!$K$13:$AK$39,9,0)</f>
        <v>Se desarrollaron 6 campamentos municipales virtuales en ocasión a la emergencia sanitaria por el COVID - 19. Se han realizado en los municipios de Vergara, Cajicá, La Vega, Tenjo, Facatativá y Tabio. Se beneficiaron 730 personas adolescentes.</v>
      </c>
      <c r="T35" s="11">
        <v>15</v>
      </c>
      <c r="U35" s="11">
        <v>0</v>
      </c>
      <c r="V35" s="11">
        <v>15</v>
      </c>
      <c r="W35" s="11">
        <v>0</v>
      </c>
      <c r="X35" s="11">
        <v>14</v>
      </c>
      <c r="Y35" s="11">
        <v>0</v>
      </c>
      <c r="Z35" s="11">
        <v>14</v>
      </c>
      <c r="AA35" s="11">
        <v>0</v>
      </c>
      <c r="AB35" s="11" t="s">
        <v>282</v>
      </c>
      <c r="AC35" s="11">
        <v>0</v>
      </c>
      <c r="AD35" s="403">
        <v>40</v>
      </c>
      <c r="AE35" s="403">
        <v>0</v>
      </c>
      <c r="AF35" s="11">
        <f>VLOOKUP(K35,'1208 Indeportes'!$K$13:$AH$39,22,0)</f>
        <v>89</v>
      </c>
      <c r="AG35" s="11">
        <f>VLOOKUP(K35,'1208 Indeportes'!$K$13:$AH$39,23,0)</f>
        <v>0</v>
      </c>
      <c r="AH35" s="11">
        <f t="shared" si="37"/>
        <v>89</v>
      </c>
      <c r="AI35" s="11">
        <f>VLOOKUP(K35,'1208 Indeportes'!$K$13:$AK$39,25,0)</f>
        <v>0</v>
      </c>
      <c r="AJ35" s="11" t="str">
        <f>VLOOKUP(K35,'1208 Indeportes'!$K$13:$AK$39,26,0)</f>
        <v xml:space="preserve">En el mes de abril se realizaron los campamentos infantiles en las provincias de Ubaté, Oriente, Almeidas, Guavio, Rionegro y Sabana Centro.
En el mes de junio se realizaron los campamentos infantiles en las provincias de Sabana Occidente, Sumapaz, Tequendama, Alto Magdalena, Gualivá, Magdalena Centro. Se llevo a cabo durante los días 13 y 14 el campamento regional juvenil dirigido a las provincias de Ubaté, Rionegro, Gualivá y Magdalena Centro.
</v>
      </c>
      <c r="AK35" s="11">
        <f>VLOOKUP(K35,'1208 Indeportes'!$K$13:$AK$39,27,0)</f>
        <v>0</v>
      </c>
      <c r="AL35" s="11">
        <v>41</v>
      </c>
      <c r="AM35" s="11">
        <v>0</v>
      </c>
      <c r="AN35" s="11">
        <v>55</v>
      </c>
      <c r="AO35" s="11">
        <v>0</v>
      </c>
      <c r="AP35" s="11">
        <v>0</v>
      </c>
      <c r="AQ35" s="11">
        <v>0</v>
      </c>
      <c r="AR35" s="51">
        <v>662085083</v>
      </c>
      <c r="AS35" s="54">
        <v>0</v>
      </c>
      <c r="AT35" s="54">
        <f t="shared" si="0"/>
        <v>662085083</v>
      </c>
      <c r="AU35" s="51">
        <v>653640432</v>
      </c>
      <c r="AV35" s="243">
        <v>610000000</v>
      </c>
      <c r="AW35" s="244"/>
      <c r="AX35" s="244"/>
      <c r="AY35" s="243">
        <v>510000000</v>
      </c>
      <c r="AZ35" s="44">
        <f t="shared" si="38"/>
        <v>0.68666666666666665</v>
      </c>
      <c r="BA35" s="44">
        <v>0.1</v>
      </c>
      <c r="BB35" s="44">
        <v>0.93330000000000002</v>
      </c>
      <c r="BC35" s="44">
        <f t="shared" si="39"/>
        <v>0.26666666666666666</v>
      </c>
      <c r="BD35" s="44" cm="1">
        <f t="array" ref="BD35">_xlfn.IFS(AD35=0,"NA",AD35&gt;0,AH35/AD35)</f>
        <v>2.2250000000000001</v>
      </c>
      <c r="BE35" s="44">
        <f t="shared" si="40"/>
        <v>0.27333333333333332</v>
      </c>
      <c r="BF35" s="44">
        <v>0</v>
      </c>
      <c r="BG35" s="44">
        <f t="shared" si="41"/>
        <v>0.36666666666666664</v>
      </c>
      <c r="BH35" s="44">
        <v>0</v>
      </c>
      <c r="BI35" s="44">
        <f t="shared" si="42"/>
        <v>0</v>
      </c>
      <c r="BJ35" s="44" t="s">
        <v>115</v>
      </c>
      <c r="BK35" s="44">
        <f t="shared" si="1"/>
        <v>0.68666666666666665</v>
      </c>
      <c r="BL35" s="44">
        <v>0.93330000000000002</v>
      </c>
      <c r="BM35" s="44" t="str" cm="1">
        <f t="array" ref="BM35">_xlfn.IFS(BD35="NA","NA",BD35&gt;100%,"100%",BD35&lt;100,BD35)</f>
        <v>100%</v>
      </c>
      <c r="BN35" s="44" cm="1">
        <f t="array" ref="BN35">_xlfn.IFS(BF35="NA","NA",BF35&gt;100%,"100%",BF35&lt;100,BF35)</f>
        <v>0</v>
      </c>
      <c r="BO35" s="44" cm="1">
        <f t="array" ref="BO35">_xlfn.IFS(BH35="NA","NA",BH35&gt;100%,"100%",BH35&lt;100,BH35)</f>
        <v>0</v>
      </c>
      <c r="BP35" s="44" t="str" cm="1">
        <f t="array" ref="BP35">_xlfn.IFS(BJ35="NA","NA",BJ35&gt;100%,"100%",BJ35&lt;100,BJ35)</f>
        <v>NA</v>
      </c>
      <c r="BQ35" s="45">
        <v>0.22500000000000001</v>
      </c>
      <c r="BR35" s="45">
        <f t="shared" si="2"/>
        <v>0.1545</v>
      </c>
      <c r="BS35" s="45">
        <v>2.2499999999999999E-2</v>
      </c>
      <c r="BT35" s="45">
        <v>2.1000000000000001E-2</v>
      </c>
      <c r="BU35" s="45">
        <v>2.1000000000000001E-2</v>
      </c>
      <c r="BV35" s="45">
        <f t="shared" si="43"/>
        <v>0.06</v>
      </c>
      <c r="BW35" s="45">
        <f t="shared" si="44"/>
        <v>0.06</v>
      </c>
      <c r="BX35" s="45">
        <f t="shared" si="45"/>
        <v>0.13350000000000001</v>
      </c>
      <c r="BY35" s="45">
        <f t="shared" si="46"/>
        <v>6.1499999999999999E-2</v>
      </c>
      <c r="BZ35" s="45">
        <f t="shared" si="47"/>
        <v>0</v>
      </c>
      <c r="CA35" s="45">
        <f t="shared" si="48"/>
        <v>0</v>
      </c>
      <c r="CB35" s="45">
        <f t="shared" si="49"/>
        <v>8.2500000000000004E-2</v>
      </c>
      <c r="CC35" s="45">
        <f t="shared" si="50"/>
        <v>0</v>
      </c>
      <c r="CD35" s="45">
        <v>0</v>
      </c>
      <c r="CE35" s="45">
        <f t="shared" si="51"/>
        <v>0</v>
      </c>
      <c r="CF35" s="45" t="str">
        <f t="shared" si="52"/>
        <v>NA</v>
      </c>
      <c r="CG35" s="45">
        <v>0</v>
      </c>
      <c r="CH35" s="244"/>
      <c r="CI35" s="244"/>
      <c r="CJ35" s="244"/>
      <c r="CK35" s="244"/>
      <c r="CM35" s="63">
        <v>54</v>
      </c>
    </row>
    <row r="36" spans="1:91" ht="18" hidden="1" customHeight="1">
      <c r="A36" s="260" t="s">
        <v>98</v>
      </c>
      <c r="B36" s="260" t="s">
        <v>99</v>
      </c>
      <c r="C36" s="260" t="s">
        <v>100</v>
      </c>
      <c r="D36" s="260" t="s">
        <v>101</v>
      </c>
      <c r="E36" s="260" t="s">
        <v>189</v>
      </c>
      <c r="F36" s="260" t="s">
        <v>283</v>
      </c>
      <c r="G36" s="260" t="s">
        <v>284</v>
      </c>
      <c r="H36" s="260" t="s">
        <v>285</v>
      </c>
      <c r="I36" s="260" t="s">
        <v>106</v>
      </c>
      <c r="J36" s="12" t="s">
        <v>286</v>
      </c>
      <c r="K36" s="260" t="s">
        <v>287</v>
      </c>
      <c r="L36" s="260" t="s">
        <v>288</v>
      </c>
      <c r="M36" s="260" t="s">
        <v>140</v>
      </c>
      <c r="N36" s="260" t="s">
        <v>111</v>
      </c>
      <c r="O36" s="260" t="s">
        <v>112</v>
      </c>
      <c r="P36" s="10">
        <v>0</v>
      </c>
      <c r="Q36" s="11">
        <v>60</v>
      </c>
      <c r="R36" s="11">
        <f t="shared" si="36"/>
        <v>49</v>
      </c>
      <c r="S36" s="11" t="str">
        <f>VLOOKUP(K36,'1197 Salud'!$K$13:$AK$54,9,0)</f>
        <v>Se ha logrado la implementacón de estrategias de prevención  de conducta suicida y violencias  en 49 municipios así: estrategia  "Desarrollo de habilidades de afrontamiento" , se ha realizado en 29 municipios: Agua de Dios, Anolaima, Anapoima, Arbelaez,  Apulo,  Bituima,  Cáqueza ,  Cajica,  Chia, Chipaque, Choachi, Choconta, Cogua, Cota, El Colegio, El Peñon, Facatativa, Funza, Fuquene, Fusagasuga, Gachala, Gachancipa, Girardot, Guacheta, Guaduas, Guataqui, La Calera, La Mesa, La Peña 
Con recuros Nacionales aducuionalemtne se implemento la estrategia: Cundinamarca región que progresa promoviendo la convivencia, transformando imaginarios estereotipos y representaciones sociales en las familias y las comunidades" en  20 municipios : Cota, El Rosal, Cajicá, El Peñón, Pacho, La Calera, La Vega, Choachí, Tena, Fusagasugá, Apulo, Lenguazaque, Bituima, Sutatausa, Ubaté, Tabio, Nariño, Paratebueno, Tibirita y Soacha.
Otro logro ha sido el Desarrollo  de Capacidades a los equipos psicosociales   al 100% del departamento,  brindando  herramientas para el abordaje de los eventos de la dimensión  (conducta suicida, violencia, consumo de SPA  y trastonos mentales ,  procurando una  atención integran en salud mental para los  usuarios y la  comunidad Cundinamarquesa ; Dentro de la principales tematicas  se desarrolladas  están:  *Tele orientación, Proceso de formación virtual para el personal de líneas amigas ; * Triage en salud Mental; *Primeros Auxilios Psicológicos en atención telefónica y autocuidado;*Depresión duelo y ansiedad; *Inteligencia emocional en tiempos de cuarentena y post cuarentena; *Alcohol en el entorno familiar; *Autocuidado en casa; *Salud mental de los trabajadores de la salud; *Orientación Familiar en violencia de genero e intrafamiliar *Curso delegados ESE , IPS, EAPB, secretarias de salud  para brindar apoyo emocional al personal de la salud de la primera línea atención COVID-19;* Resoluci´pn de conflictos; *Resiliencia, con aceptación y compromiso  más acción * Resiliencia y afrontamiento en la empresa * Logoterapia y Resiliencia, El sentido de la vida</v>
      </c>
      <c r="T36" s="11">
        <v>2</v>
      </c>
      <c r="U36" s="11">
        <v>0</v>
      </c>
      <c r="V36" s="11">
        <v>2</v>
      </c>
      <c r="W36" s="11">
        <v>0</v>
      </c>
      <c r="X36" s="11">
        <v>7</v>
      </c>
      <c r="Y36" s="11">
        <v>0</v>
      </c>
      <c r="Z36" s="11">
        <v>7</v>
      </c>
      <c r="AA36" s="11" t="s">
        <v>289</v>
      </c>
      <c r="AB36" s="11" t="s">
        <v>290</v>
      </c>
      <c r="AC36" s="11" t="s">
        <v>291</v>
      </c>
      <c r="AD36" s="403">
        <v>20</v>
      </c>
      <c r="AE36" s="403">
        <v>0</v>
      </c>
      <c r="AF36" s="11">
        <f>VLOOKUP(K36,'1197 Salud'!$K$13:$AK$54,22,0)</f>
        <v>42</v>
      </c>
      <c r="AG36" s="11">
        <f>VLOOKUP(K36,'1197 Salud'!$K$13:$AK$54,23,0)</f>
        <v>0</v>
      </c>
      <c r="AH36" s="11">
        <f t="shared" si="37"/>
        <v>42</v>
      </c>
      <c r="AI36" s="11" t="str">
        <f>VLOOKUP(K36,'1197 Salud'!$K$13:$AK$54,25,0)</f>
        <v>Municipios con Estrategias de prevención de conducta suicida  y / o violencia intrafamiliar en el marco de la Política Departamental de Salud Mental</v>
      </c>
      <c r="AJ36" s="11" t="str">
        <f>VLOOKUP(K36,'1197 Salud'!$K$13:$AK$54,26,0)</f>
        <v>Se logra la implementación de estrategias de prevención  de conducta suicida y violencias en 42 municipios así:  "Desarrollo de habilidades de afrontamiento"  en  22 los siguientes 22:  Apulo,  Bituima,  Chia, Chipaque, Choachi, Choconta, Cogua, Cota, El Colegio, El Peñon, Facatativa, Funza, Fuquene, Fusagasuga, Gachala, Gachancipa, Girardot, Guacheta, Guaduas,La Calera, La Mesa, La Peña ;  y con recursos Nacionales estrategia "Cundinamarca región que progresa promoviendo la convivencia, transformando imaginarios estereotipos y representaciones sociales en las familias y las comunidades", en 20  : Cota, El Rosal, Cajicá, El Peñón, Pacho, La Calera, La Vega, Choachí, Tena, Fusagasugá, Apulo, Lenguazaque, Bituima, Sutatausa, Ubaté, Tabio, Nariño, Paratebueno, Tibirita y Soacha.</v>
      </c>
      <c r="AK36" s="11" t="str">
        <f>VLOOKUP(K36,'1197 Salud'!$K$13:$AK$54,27,0)</f>
        <v>Dificultad para realizar actividades  presenciales masivas y en algunos casos se observa falta de compromiso por parte de sectores diferentes al sector salud para el desarrollo de las estrategias</v>
      </c>
      <c r="AL36" s="11">
        <v>20</v>
      </c>
      <c r="AM36" s="11">
        <v>0</v>
      </c>
      <c r="AN36" s="11">
        <v>18</v>
      </c>
      <c r="AO36" s="11">
        <v>0</v>
      </c>
      <c r="AP36" s="11">
        <v>0</v>
      </c>
      <c r="AQ36" s="11">
        <v>0</v>
      </c>
      <c r="AR36" s="51">
        <v>92170650</v>
      </c>
      <c r="AS36" s="54">
        <v>0</v>
      </c>
      <c r="AT36" s="54">
        <f t="shared" si="0"/>
        <v>92170650</v>
      </c>
      <c r="AU36" s="51">
        <v>23224212</v>
      </c>
      <c r="AV36" s="243">
        <v>803625706</v>
      </c>
      <c r="AW36" s="244"/>
      <c r="AX36" s="244"/>
      <c r="AY36" s="243">
        <v>749409393</v>
      </c>
      <c r="AZ36" s="44">
        <f t="shared" si="38"/>
        <v>0.81666666666666665</v>
      </c>
      <c r="BA36" s="44">
        <v>3.3300000000000003E-2</v>
      </c>
      <c r="BB36" s="44">
        <v>3.5</v>
      </c>
      <c r="BC36" s="44">
        <f t="shared" si="39"/>
        <v>0.33333333333333331</v>
      </c>
      <c r="BD36" s="44" cm="1">
        <f t="array" ref="BD36">_xlfn.IFS(AD36=0,"NA",AD36&gt;0,AH36/AD36)</f>
        <v>2.1</v>
      </c>
      <c r="BE36" s="44">
        <f t="shared" si="40"/>
        <v>0.33333333333333331</v>
      </c>
      <c r="BF36" s="44">
        <v>0</v>
      </c>
      <c r="BG36" s="44">
        <f t="shared" si="41"/>
        <v>0.3</v>
      </c>
      <c r="BH36" s="44">
        <v>0</v>
      </c>
      <c r="BI36" s="44">
        <f t="shared" si="42"/>
        <v>0</v>
      </c>
      <c r="BJ36" s="44" t="s">
        <v>115</v>
      </c>
      <c r="BK36" s="44">
        <f t="shared" si="1"/>
        <v>0.81666666666666665</v>
      </c>
      <c r="BL36" s="44">
        <v>1</v>
      </c>
      <c r="BM36" s="44" t="str" cm="1">
        <f t="array" ref="BM36">_xlfn.IFS(BD36="NA","NA",BD36&gt;100%,"100%",BD36&lt;100,BD36)</f>
        <v>100%</v>
      </c>
      <c r="BN36" s="44" cm="1">
        <f t="array" ref="BN36">_xlfn.IFS(BF36="NA","NA",BF36&gt;100%,"100%",BF36&lt;100,BF36)</f>
        <v>0</v>
      </c>
      <c r="BO36" s="44" cm="1">
        <f t="array" ref="BO36">_xlfn.IFS(BH36="NA","NA",BH36&gt;100%,"100%",BH36&lt;100,BH36)</f>
        <v>0</v>
      </c>
      <c r="BP36" s="44" t="str" cm="1">
        <f t="array" ref="BP36">_xlfn.IFS(BJ36="NA","NA",BJ36&gt;100%,"100%",BJ36&lt;100,BJ36)</f>
        <v>NA</v>
      </c>
      <c r="BQ36" s="45">
        <v>0.22500000000000001</v>
      </c>
      <c r="BR36" s="45">
        <f t="shared" si="2"/>
        <v>0.18375</v>
      </c>
      <c r="BS36" s="45">
        <v>7.4999999999999997E-3</v>
      </c>
      <c r="BT36" s="45">
        <v>7.4999999999999997E-3</v>
      </c>
      <c r="BU36" s="45">
        <v>2.63E-2</v>
      </c>
      <c r="BV36" s="45">
        <f t="shared" si="43"/>
        <v>7.4999999999999997E-2</v>
      </c>
      <c r="BW36" s="45">
        <f t="shared" si="44"/>
        <v>7.4999999999999997E-2</v>
      </c>
      <c r="BX36" s="45">
        <f t="shared" si="45"/>
        <v>0.15745000000000001</v>
      </c>
      <c r="BY36" s="45">
        <f t="shared" si="46"/>
        <v>7.4999999999999997E-2</v>
      </c>
      <c r="BZ36" s="45">
        <f t="shared" si="47"/>
        <v>0</v>
      </c>
      <c r="CA36" s="45">
        <f t="shared" si="48"/>
        <v>0</v>
      </c>
      <c r="CB36" s="45">
        <f t="shared" si="49"/>
        <v>6.7499999999999991E-2</v>
      </c>
      <c r="CC36" s="45">
        <f t="shared" si="50"/>
        <v>0</v>
      </c>
      <c r="CD36" s="45">
        <v>0</v>
      </c>
      <c r="CE36" s="45">
        <f t="shared" si="51"/>
        <v>0</v>
      </c>
      <c r="CF36" s="45" t="str">
        <f t="shared" si="52"/>
        <v>NA</v>
      </c>
      <c r="CG36" s="45">
        <v>0</v>
      </c>
      <c r="CH36" s="244"/>
      <c r="CI36" s="244"/>
      <c r="CJ36" s="244"/>
      <c r="CK36" s="244"/>
      <c r="CM36" s="63">
        <v>14</v>
      </c>
    </row>
    <row r="37" spans="1:91" ht="18" hidden="1" customHeight="1">
      <c r="A37" s="260" t="s">
        <v>292</v>
      </c>
      <c r="B37" s="260" t="s">
        <v>293</v>
      </c>
      <c r="C37" s="260" t="s">
        <v>100</v>
      </c>
      <c r="D37" s="260" t="s">
        <v>101</v>
      </c>
      <c r="E37" s="260" t="s">
        <v>294</v>
      </c>
      <c r="F37" s="260" t="s">
        <v>295</v>
      </c>
      <c r="G37" s="260" t="s">
        <v>296</v>
      </c>
      <c r="H37" s="260" t="s">
        <v>297</v>
      </c>
      <c r="I37" s="260"/>
      <c r="J37" s="260" t="s">
        <v>298</v>
      </c>
      <c r="K37" s="260" t="s">
        <v>299</v>
      </c>
      <c r="L37" s="260" t="s">
        <v>300</v>
      </c>
      <c r="M37" s="260" t="s">
        <v>301</v>
      </c>
      <c r="N37" s="260" t="s">
        <v>123</v>
      </c>
      <c r="O37" s="260" t="s">
        <v>302</v>
      </c>
      <c r="P37" s="10">
        <v>94.5</v>
      </c>
      <c r="Q37" s="11">
        <v>100</v>
      </c>
      <c r="R37" s="11">
        <f>AVERAGE(Z37,AH37)</f>
        <v>100</v>
      </c>
      <c r="S37" s="11" t="str">
        <f>VLOOKUP(K37,'1108 Educación'!$K$13:$AK$40,9,0)</f>
        <v>Se ha logrado beneficiar a las 275 IED con las  prestación del servicio de aseo, Vigilancia y servicios públicos,  manteniendo  los espacios de su infraestructura con los protocolos de bioseguridad, instalaciones limpias, igualmente se ha  salvaguardando los bienes muebles de cada IED con la  prestación de servicio de vigilancia y  se benefician el 100% de las IED que han requerido el pago de servicios públicos domiciliarios, a través de la transferencia de recursos por parte de la Secretaría de Educación para este fin.</v>
      </c>
      <c r="T37" s="11">
        <v>0</v>
      </c>
      <c r="U37" s="11">
        <v>100</v>
      </c>
      <c r="V37" s="11">
        <v>0</v>
      </c>
      <c r="W37" s="11">
        <v>100</v>
      </c>
      <c r="X37" s="11" t="s">
        <v>115</v>
      </c>
      <c r="Y37" s="11">
        <v>100</v>
      </c>
      <c r="Z37" s="11">
        <v>100</v>
      </c>
      <c r="AA37" s="11" t="s">
        <v>303</v>
      </c>
      <c r="AB37" s="11" t="s">
        <v>304</v>
      </c>
      <c r="AC37" s="11">
        <v>0</v>
      </c>
      <c r="AD37" s="403">
        <v>0</v>
      </c>
      <c r="AE37" s="403">
        <v>100</v>
      </c>
      <c r="AF37" s="11">
        <f>VLOOKUP(K37,'1108 Educación'!$K$13:$AK$40,22,0)</f>
        <v>0</v>
      </c>
      <c r="AG37" s="11">
        <f>VLOOKUP(K37,'1108 Educación'!$K$13:$AK$40,23,0)</f>
        <v>100</v>
      </c>
      <c r="AH37" s="11">
        <f>AG37</f>
        <v>100</v>
      </c>
      <c r="AI37" s="11" t="str">
        <f>VLOOKUP(K37,'1108 Educación'!$K$13:$AK$40,25,0)</f>
        <v xml:space="preserve">Servicio de Aseo, Vigilancia y Servicios Publicos </v>
      </c>
      <c r="AJ37" s="11" t="str">
        <f>VLOOKUP(K37,'1108 Educación'!$K$13:$AK$40,26,0)</f>
        <v xml:space="preserve">Se ha logrado el 100% de  la prestacion del servicio de vigilancia  en las IED velando por la seguridad de las sedes con el fin de salvaguardar los bienes muebles, igualmente con la prestación del servicio de aseo se ha garantizado la  salubridad con las medidas de bioseguridad  en el marco de la pandemia. Se ha logrado la cobertura con servicios públicos a traves de transferencia a las IED  igualmente. Se ha adelantado la entrega de elementos de bioseguridad  como  lo son  lavamanos, dispensadores de gel y tapetes que permitan equipar a cada una de las IED  con elementos de bioseguridad para estudiantes,  personal administrativo y docentes   como parte de la proteción del virus COVID-19 garantizando asi el retorno  seguro a al presencialidad. </v>
      </c>
      <c r="AK37" s="11">
        <f>VLOOKUP(K37,'1108 Educación'!$K$13:$AK$40,27,0)</f>
        <v>0</v>
      </c>
      <c r="AL37" s="11">
        <v>0</v>
      </c>
      <c r="AM37" s="11">
        <v>100</v>
      </c>
      <c r="AN37" s="11">
        <v>0</v>
      </c>
      <c r="AO37" s="11">
        <v>100</v>
      </c>
      <c r="AP37" s="11">
        <v>0</v>
      </c>
      <c r="AQ37" s="11">
        <v>0</v>
      </c>
      <c r="AR37" s="51">
        <v>14157779366</v>
      </c>
      <c r="AS37" s="54">
        <v>0</v>
      </c>
      <c r="AT37" s="54">
        <f t="shared" si="0"/>
        <v>14157779366</v>
      </c>
      <c r="AU37" s="51">
        <v>11734163034</v>
      </c>
      <c r="AV37" s="243">
        <v>37062601447</v>
      </c>
      <c r="AW37" s="244"/>
      <c r="AX37" s="244"/>
      <c r="AY37" s="243">
        <v>36255909986</v>
      </c>
      <c r="AZ37" s="44" cm="1">
        <f t="array" ref="AZ37">_xlfn.IFS((BA37=0),(BD37/CL37),(BA37&gt;0),((BB37+BD37)/CL37),(BE37&gt;0),((BB37+BD37+BE37)/CL37),(BG37&gt;0),((BB37+BD37+BE37+G37)/CL37))</f>
        <v>0.45832499999999998</v>
      </c>
      <c r="BA37" s="44">
        <v>0.25</v>
      </c>
      <c r="BB37" s="44">
        <v>1</v>
      </c>
      <c r="BC37" s="44">
        <v>0.25</v>
      </c>
      <c r="BD37" s="44" cm="2">
        <f t="array" ref="BD37">_xlfn.IFS(AE37=0,"NA",AE37&gt;0,((AH37/AE37)*0.8333))</f>
        <v>0.83330000000000004</v>
      </c>
      <c r="BE37" s="44">
        <v>0.25</v>
      </c>
      <c r="BF37" s="44">
        <v>0</v>
      </c>
      <c r="BG37" s="44">
        <v>0.25</v>
      </c>
      <c r="BH37" s="44">
        <v>0</v>
      </c>
      <c r="BI37" s="44">
        <v>0</v>
      </c>
      <c r="BJ37" s="44" t="s">
        <v>115</v>
      </c>
      <c r="BK37" s="44">
        <f t="shared" si="1"/>
        <v>0.45832499999999998</v>
      </c>
      <c r="BL37" s="44">
        <v>1</v>
      </c>
      <c r="BM37" s="44" cm="1">
        <f t="array" ref="BM37">_xlfn.IFS(BD37="NA","NA",BD37&gt;100%,"100%",BD37&lt;100,BD37)</f>
        <v>0.83330000000000004</v>
      </c>
      <c r="BN37" s="44">
        <v>0</v>
      </c>
      <c r="BO37" s="44">
        <v>0</v>
      </c>
      <c r="BP37" s="44" t="s">
        <v>115</v>
      </c>
      <c r="BQ37" s="220">
        <v>0.22500000000000001</v>
      </c>
      <c r="BR37" s="45">
        <f t="shared" si="2"/>
        <v>0.103123125</v>
      </c>
      <c r="BS37" s="45">
        <v>5.6300000000000003E-2</v>
      </c>
      <c r="BT37" s="45">
        <v>5.6300000000000003E-2</v>
      </c>
      <c r="BU37" s="45">
        <v>5.6300000000000003E-2</v>
      </c>
      <c r="BV37" s="45">
        <v>5.6300000000000003E-2</v>
      </c>
      <c r="BW37" s="45">
        <f t="shared" si="3"/>
        <v>4.6914790000000005E-2</v>
      </c>
      <c r="BX37" s="45">
        <f t="shared" si="4"/>
        <v>4.6823124999999993E-2</v>
      </c>
      <c r="BY37" s="45">
        <v>5.6300000000000003E-2</v>
      </c>
      <c r="BZ37" s="45">
        <v>0</v>
      </c>
      <c r="CA37" s="45">
        <f t="shared" si="5"/>
        <v>0</v>
      </c>
      <c r="CB37" s="45">
        <v>5.6300000000000003E-2</v>
      </c>
      <c r="CC37" s="45">
        <v>0</v>
      </c>
      <c r="CD37" s="45">
        <v>0</v>
      </c>
      <c r="CE37" s="45">
        <v>0</v>
      </c>
      <c r="CF37" s="45" t="s">
        <v>115</v>
      </c>
      <c r="CG37" s="45">
        <v>0</v>
      </c>
      <c r="CH37" s="244">
        <f>IF(W37&gt;0,1,0)</f>
        <v>1</v>
      </c>
      <c r="CI37" s="244">
        <f>IF(AE37&gt;0,1,0)</f>
        <v>1</v>
      </c>
      <c r="CJ37" s="244">
        <f>IF(AM37&gt;0,1,0)</f>
        <v>1</v>
      </c>
      <c r="CK37" s="244">
        <f>IF(AO37&gt;0,1,0)</f>
        <v>1</v>
      </c>
      <c r="CL37">
        <f>CH37+CI37+CJ37+CK37</f>
        <v>4</v>
      </c>
      <c r="CM37" s="63">
        <v>100</v>
      </c>
    </row>
    <row r="38" spans="1:91" ht="18" hidden="1" customHeight="1">
      <c r="A38" s="260" t="s">
        <v>98</v>
      </c>
      <c r="B38" s="260" t="s">
        <v>99</v>
      </c>
      <c r="C38" s="260" t="s">
        <v>100</v>
      </c>
      <c r="D38" s="260" t="s">
        <v>101</v>
      </c>
      <c r="E38" s="260" t="s">
        <v>294</v>
      </c>
      <c r="F38" s="260" t="s">
        <v>305</v>
      </c>
      <c r="G38" s="260" t="s">
        <v>306</v>
      </c>
      <c r="H38" s="260" t="s">
        <v>307</v>
      </c>
      <c r="I38" s="260"/>
      <c r="J38" s="260" t="s">
        <v>308</v>
      </c>
      <c r="K38" s="260" t="s">
        <v>309</v>
      </c>
      <c r="L38" s="260" t="s">
        <v>310</v>
      </c>
      <c r="M38" s="260" t="s">
        <v>311</v>
      </c>
      <c r="N38" s="260" t="s">
        <v>123</v>
      </c>
      <c r="O38" s="260" t="s">
        <v>112</v>
      </c>
      <c r="P38" s="10">
        <v>0</v>
      </c>
      <c r="Q38" s="11">
        <v>100</v>
      </c>
      <c r="R38" s="11">
        <f t="shared" ref="R38:R46" si="53">Z38+AH38</f>
        <v>22</v>
      </c>
      <c r="S38" s="11" t="str">
        <f>VLOOKUP(K38,'1197 Salud'!$K$13:$AK$54,9,0)</f>
        <v>Se formuló el proyecto "Fortalecimiento , reorganización y establecimiento del Sistema de Atención de Urgencias en Emergencias y Desastres del departamento de Cundinamarca".
Se realizó la contratación de recurso humano (médicos) para la regulación de urgencias y emergencias en el Departamento y de profesionales de apoyo en los procesos administrativos del CRUE. 
Se coordinó la atención de 680 emergencias con afectaciones en salud de las cuales el 89,7% corresponden a accidentes de tránsito. La cobertura de la atención en urgencias de ascenció a 43,317 pacientes, de los cuales 37,771 (87,20%) corresponde a población venezolana. Durante el periodo, se realizó el comité de referencia y contrarreferencia según cronograma para con los hospitales de segundo y tercer nivel de atención, suspendido por la Pandemia de marzo a julio de 2020;  desde el mes de agosto 2020 se retomó esta actividad, en mayo de 2021 no se realizó el comite en razón a contingencias externas de los integrantes de los mismos. Se realizó visita de seguimiento al proceso de referencia y contrreferencia en 2020 a los municipios de Choconta, Sopo y Girardot de conformidad a lo planeado. 
Se realizó el comité virtual mensual del convenio del Sistema de Emergencias Medicas entre el Dpto de Cundinamarca y los Municipios primera categoría una vez declarada la cuarentena y alerta del COVID 19. en mayo de 2021 no se realizó comite en razón a contingencias externas de los participantes. Se apoyó a la Secretaria en el diseño de estudios previos en la  contratación del servicio de transporte helicoportado para transporte de vacunas COVID 19, según Plan Nacional de Vacunación.</v>
      </c>
      <c r="T38" s="11">
        <v>5</v>
      </c>
      <c r="U38" s="11">
        <v>0</v>
      </c>
      <c r="V38" s="11">
        <v>5</v>
      </c>
      <c r="W38" s="11">
        <v>0</v>
      </c>
      <c r="X38" s="11">
        <v>5</v>
      </c>
      <c r="Y38" s="11">
        <v>0</v>
      </c>
      <c r="Z38" s="11">
        <v>5</v>
      </c>
      <c r="AA38" s="11" t="s">
        <v>312</v>
      </c>
      <c r="AB38" s="11" t="s">
        <v>313</v>
      </c>
      <c r="AC38" s="11" t="s">
        <v>314</v>
      </c>
      <c r="AD38" s="403">
        <v>20</v>
      </c>
      <c r="AE38" s="403">
        <v>0</v>
      </c>
      <c r="AF38" s="11">
        <f>VLOOKUP(K38,'1197 Salud'!$K$13:$AK$54,22,0)</f>
        <v>17</v>
      </c>
      <c r="AG38" s="11">
        <f>VLOOKUP(K38,'1197 Salud'!$K$13:$AK$54,23,0)</f>
        <v>0</v>
      </c>
      <c r="AH38" s="11">
        <f t="shared" ref="AH38:AH46" si="54">AF38</f>
        <v>17</v>
      </c>
      <c r="AI38" s="11" t="str">
        <f>VLOOKUP(K38,'1197 Salud'!$K$13:$AK$54,25,0)</f>
        <v>Implementación de la red departamental</v>
      </c>
      <c r="AJ38" s="11" t="str">
        <f>VLOOKUP(K38,'1197 Salud'!$K$13:$AK$54,26,0)</f>
        <v>Se realizó la contratación de recurso humano (médicos) para la regulación de urgencias y emergencias en el Departamento y de profesionales de apoyo en los procesos administrativos del CRUE. Se Coordinó la atención de 604 emergencias con afectaciones en salud de las cuales el 90,6% corresponden a accidentes de tránsito. Se gestionó la atención en urgencias de 19,166 pacientes, de los cuales 18,414 (96,08%) corresponde a población venezolana.
También es preciso mencionar que se presentaron 789 incidentes medicos durante lo corrido del año.
Mensualmente se realizó el comite de referencia y contrarreferencia segun cronograma para con los hospitales de segundo y tercer nivel de atención, (excepto mayo en razón a contigencias externas de los integrantes del Comité).
Se realizó el comité virtual mensual del convenio del Sistema de Emergencias Medicas entre el Dpto de Cundinamarca y los Municipios de primera categoria. (excepto mayo en razón a contigencias externas de los integrantes del Comité) .
Se apoyó la Dirección en el diseño de estudios previos en la  contratación del servicio de transporte helicoportado para transporte de vacunas COVID 19, según Plan Nacional de Vacunación.</v>
      </c>
      <c r="AK38" s="11" t="str">
        <f>VLOOKUP(K38,'1197 Salud'!$K$13:$AK$54,27,0)</f>
        <v>Se presentó dificultad en la atención de urgencias de la población extranjera principalmente venezolana quienes marcan el mayor porcentaje en la prestación.  Hubó dificultad en la  remisión y traslado de pacientes por limitación de la oferta de servicios de salud. Otra dificultad fué la Declaratoria de cuarentena en el País y alerta por el  COVID-19.</v>
      </c>
      <c r="AL38" s="11">
        <v>40</v>
      </c>
      <c r="AM38" s="11">
        <v>0</v>
      </c>
      <c r="AN38" s="11">
        <v>35</v>
      </c>
      <c r="AO38" s="11">
        <v>0</v>
      </c>
      <c r="AP38" s="11">
        <v>0</v>
      </c>
      <c r="AQ38" s="11">
        <v>0</v>
      </c>
      <c r="AR38" s="51">
        <v>384541183</v>
      </c>
      <c r="AS38" s="54">
        <v>0</v>
      </c>
      <c r="AT38" s="54">
        <f t="shared" si="0"/>
        <v>384541183</v>
      </c>
      <c r="AU38" s="51">
        <v>292394852</v>
      </c>
      <c r="AV38" s="243">
        <v>7798591810</v>
      </c>
      <c r="AW38" s="244"/>
      <c r="AX38" s="244"/>
      <c r="AY38" s="243">
        <v>270349071</v>
      </c>
      <c r="AZ38" s="44">
        <f t="shared" ref="AZ38:AZ46" si="55">R38/Q38</f>
        <v>0.22</v>
      </c>
      <c r="BA38" s="44">
        <v>0.05</v>
      </c>
      <c r="BB38" s="44">
        <v>1</v>
      </c>
      <c r="BC38" s="44">
        <f t="shared" ref="BC38:BC46" si="56">AD38/Q38</f>
        <v>0.2</v>
      </c>
      <c r="BD38" s="44" cm="1">
        <f t="array" ref="BD38">_xlfn.IFS(AD38=0,"NA",AD38&gt;0,AH38/AD38)</f>
        <v>0.85</v>
      </c>
      <c r="BE38" s="44">
        <f t="shared" ref="BE38:BE46" si="57">AL38/Q38</f>
        <v>0.4</v>
      </c>
      <c r="BF38" s="44">
        <v>0</v>
      </c>
      <c r="BG38" s="44">
        <f t="shared" ref="BG38:BG46" si="58">AN38/Q38</f>
        <v>0.35</v>
      </c>
      <c r="BH38" s="44">
        <v>0</v>
      </c>
      <c r="BI38" s="44">
        <f t="shared" ref="BI38:BI46" si="59">AP38/Q38</f>
        <v>0</v>
      </c>
      <c r="BJ38" s="44" t="s">
        <v>115</v>
      </c>
      <c r="BK38" s="44">
        <f t="shared" si="1"/>
        <v>0.22</v>
      </c>
      <c r="BL38" s="44">
        <v>1</v>
      </c>
      <c r="BM38" s="44" cm="1">
        <f t="array" ref="BM38">_xlfn.IFS(BD38="NA","NA",BD38&gt;100%,"100%",BD38&lt;100,BD38)</f>
        <v>0.85</v>
      </c>
      <c r="BN38" s="44" cm="1">
        <f t="array" ref="BN38">_xlfn.IFS(BF38="NA","NA",BF38&gt;100%,"100%",BF38&lt;100,BF38)</f>
        <v>0</v>
      </c>
      <c r="BO38" s="44" cm="1">
        <f t="array" ref="BO38">_xlfn.IFS(BH38="NA","NA",BH38&gt;100%,"100%",BH38&lt;100,BH38)</f>
        <v>0</v>
      </c>
      <c r="BP38" s="44" t="str" cm="1">
        <f t="array" ref="BP38">_xlfn.IFS(BJ38="NA","NA",BJ38&gt;100%,"100%",BJ38&lt;100,BJ38)</f>
        <v>NA</v>
      </c>
      <c r="BQ38" s="45">
        <v>0.22500000000000001</v>
      </c>
      <c r="BR38" s="45">
        <f t="shared" si="2"/>
        <v>4.9500000000000002E-2</v>
      </c>
      <c r="BS38" s="45">
        <v>1.1299999999999999E-2</v>
      </c>
      <c r="BT38" s="45">
        <v>1.1299999999999999E-2</v>
      </c>
      <c r="BU38" s="45">
        <v>1.1299999999999999E-2</v>
      </c>
      <c r="BV38" s="45">
        <f t="shared" ref="BV38:BV46" si="60">(AD38*BQ38)/Q38</f>
        <v>4.4999999999999998E-2</v>
      </c>
      <c r="BW38" s="45">
        <f t="shared" ref="BW38:BW47" si="61">IF(BM38="NA","NA",BM38*BV38)</f>
        <v>3.8249999999999999E-2</v>
      </c>
      <c r="BX38" s="45">
        <f t="shared" ref="BX38:BX47" si="62">BR38-BU38</f>
        <v>3.8200000000000005E-2</v>
      </c>
      <c r="BY38" s="45">
        <f t="shared" ref="BY38:BY46" si="63">(AL38*BQ38)/Q38</f>
        <v>0.09</v>
      </c>
      <c r="BZ38" s="45">
        <f t="shared" ref="BZ38:BZ46" si="64">IF(BN38="NA","NA",BN38*BY38)</f>
        <v>0</v>
      </c>
      <c r="CA38" s="45">
        <f t="shared" ref="CA38:CA46" si="65">BR38-BU38-BX38</f>
        <v>0</v>
      </c>
      <c r="CB38" s="45">
        <f t="shared" ref="CB38:CB46" si="66">(AN38*BQ38)/Q38</f>
        <v>7.8750000000000001E-2</v>
      </c>
      <c r="CC38" s="45">
        <f t="shared" ref="CC38:CC46" si="67">IF(BO38="NA","NA",BO38*CB38)</f>
        <v>0</v>
      </c>
      <c r="CD38" s="45">
        <v>0</v>
      </c>
      <c r="CE38" s="45">
        <f t="shared" ref="CE38:CE46" si="68">(AP38*BQ38)/Q38</f>
        <v>0</v>
      </c>
      <c r="CF38" s="45" t="str">
        <f t="shared" ref="CF38:CF46" si="69">IF(BP38="NA","NA",BP38*CE38)</f>
        <v>NA</v>
      </c>
      <c r="CG38" s="45">
        <v>0</v>
      </c>
      <c r="CH38" s="244"/>
      <c r="CI38" s="244"/>
      <c r="CJ38" s="244"/>
      <c r="CK38" s="244"/>
      <c r="CM38" s="63">
        <v>10</v>
      </c>
    </row>
    <row r="39" spans="1:91" ht="18" hidden="1" customHeight="1">
      <c r="A39" s="260" t="s">
        <v>98</v>
      </c>
      <c r="B39" s="260" t="s">
        <v>99</v>
      </c>
      <c r="C39" s="260" t="s">
        <v>100</v>
      </c>
      <c r="D39" s="260" t="s">
        <v>101</v>
      </c>
      <c r="E39" s="260" t="s">
        <v>294</v>
      </c>
      <c r="F39" s="260" t="s">
        <v>305</v>
      </c>
      <c r="G39" s="260" t="s">
        <v>306</v>
      </c>
      <c r="H39" s="260" t="s">
        <v>315</v>
      </c>
      <c r="I39" s="260"/>
      <c r="J39" s="260" t="s">
        <v>316</v>
      </c>
      <c r="K39" s="260" t="s">
        <v>317</v>
      </c>
      <c r="L39" s="260" t="s">
        <v>318</v>
      </c>
      <c r="M39" s="260" t="s">
        <v>319</v>
      </c>
      <c r="N39" s="260" t="s">
        <v>111</v>
      </c>
      <c r="O39" s="260" t="s">
        <v>112</v>
      </c>
      <c r="P39" s="10">
        <v>0</v>
      </c>
      <c r="Q39" s="11">
        <v>14</v>
      </c>
      <c r="R39" s="11">
        <f t="shared" si="53"/>
        <v>2.4500000000000002</v>
      </c>
      <c r="S39" s="11" t="str">
        <f>VLOOKUP(K39,'1197 Salud'!$K$13:$AK$54,9,0)</f>
        <v xml:space="preserve">A partir del año 2020 el Ministerio de salud y Protección Social viabilizó el documento técnico de Reorganización, modernización y Rediseño de la Red pública Departamental en las 14 Regiones de Salud con el soporte jurídico Departamental de la ordenanza 007 del 2020 , mediante el decreto 221 del 9 de junio del 2021 se fusionan unas Empresas Sociales del Estado de nivel Departamental y se establece la reorganización y modernización de la red pública de prestadores de servicios de salud del Departamento De Cundinamarca en el marco de lo dispuesto por la ordenanza 07 de 2020. Se elaboró la hoja de ruta  de acuerdo con los lineamientos establecidos en la circular número 100 de 2021 de Secretaria de Salud de Cundinamarca  para la implementación de las 14 regiones de salud con sus 7 componentes: administrativo - inventarios, financiero, participación social, jurídico, redes calidad y sistemas de información con un avance en el cumplimiento de lo programado de un 31.64% (corte:noviembre 2021). En el año 2021 mediante ordenanza Departamental 048 se prorroga la implementación de las Regiones de Salud hasta el 1 de abril de 2022. </v>
      </c>
      <c r="T39" s="11">
        <v>1</v>
      </c>
      <c r="U39" s="11">
        <v>0</v>
      </c>
      <c r="V39" s="11">
        <v>1</v>
      </c>
      <c r="W39" s="11">
        <v>0</v>
      </c>
      <c r="X39" s="11">
        <v>0.75</v>
      </c>
      <c r="Y39" s="11">
        <v>0</v>
      </c>
      <c r="Z39" s="11">
        <v>0.75</v>
      </c>
      <c r="AA39" s="11" t="s">
        <v>319</v>
      </c>
      <c r="AB39" s="11" t="s">
        <v>320</v>
      </c>
      <c r="AC39" s="11" t="s">
        <v>321</v>
      </c>
      <c r="AD39" s="403">
        <v>3.25</v>
      </c>
      <c r="AE39" s="403">
        <v>0</v>
      </c>
      <c r="AF39" s="11">
        <f>VLOOKUP(K39,'1197 Salud'!$K$13:$AK$54,22,0)</f>
        <v>1.7</v>
      </c>
      <c r="AG39" s="11">
        <f>VLOOKUP(K39,'1197 Salud'!$K$13:$AK$54,23,0)</f>
        <v>0</v>
      </c>
      <c r="AH39" s="11">
        <f t="shared" si="54"/>
        <v>1.7</v>
      </c>
      <c r="AI39" s="11" t="str">
        <f>VLOOKUP(K39,'1197 Salud'!$K$13:$AK$54,25,0)</f>
        <v>Servicios de salud en las 14 Regiones de Salud. Regiones de salud implementadas</v>
      </c>
      <c r="AJ39" s="11" t="str">
        <f>VLOOKUP(K39,'1197 Salud'!$K$13:$AK$54,26,0)</f>
        <v>Durante la vigencia 2021 se logró asistir técnicamente a las 14 Regiones de Salud en la hoja de ruta en todos sus componentes para la implementación de las 14 Regiones de Salud en el año 2022.
Se cuenta con el decreto 221 del 2021 POR EL CUAL SE FUSIONAN UNAS EMPRESAS SOCIALES DEL ESTADO DE NIVEL DEPARTAMENTAL Y SE ESTABLECE LA REORGANIZACIÓN Y 
MODERNIZACIÓN DE LA RED PÚBLICA DE PRESTADORES DE SERVICIOS DE SALUD DEL DEPARTAMENTO DE CUNDINAMARCA, EN EL MARCO DE LO DISPUESTO POR LA ORDENANZA 07 DE 2020
Al mes de noviembre se lleva un avance total en los entregables de la hoja de ruta del 31.64%</v>
      </c>
      <c r="AK39" s="11" t="str">
        <f>VLOOKUP(K39,'1197 Salud'!$K$13:$AK$54,27,0)</f>
        <v>Falta de continuidad en el personal que brinda asistencia técnica tanto en el tema de infraestrucura, dotación y redes
Ordenanza 048 del 2021: prorrogación de la implementación de las 14 regiones del salud hasta el 1 de abril 2022</v>
      </c>
      <c r="AL39" s="11">
        <v>5</v>
      </c>
      <c r="AM39" s="11">
        <v>0</v>
      </c>
      <c r="AN39" s="11">
        <v>5</v>
      </c>
      <c r="AO39" s="11">
        <v>0</v>
      </c>
      <c r="AP39" s="11">
        <v>0</v>
      </c>
      <c r="AQ39" s="11">
        <v>0</v>
      </c>
      <c r="AR39" s="51">
        <v>7520934419</v>
      </c>
      <c r="AS39" s="54">
        <v>0</v>
      </c>
      <c r="AT39" s="54">
        <f t="shared" si="0"/>
        <v>7520934419</v>
      </c>
      <c r="AU39" s="51">
        <v>6733879814</v>
      </c>
      <c r="AV39" s="243">
        <v>68943415094</v>
      </c>
      <c r="AW39" s="244"/>
      <c r="AX39" s="244"/>
      <c r="AY39" s="243">
        <v>41147665599</v>
      </c>
      <c r="AZ39" s="44">
        <f t="shared" si="55"/>
        <v>0.17500000000000002</v>
      </c>
      <c r="BA39" s="44">
        <v>7.1400000000000005E-2</v>
      </c>
      <c r="BB39" s="44">
        <v>0.75</v>
      </c>
      <c r="BC39" s="44">
        <f t="shared" si="56"/>
        <v>0.23214285714285715</v>
      </c>
      <c r="BD39" s="44" cm="1">
        <f t="array" ref="BD39">_xlfn.IFS(AD39=0,"NA",AD39&gt;0,AH39/AD39)</f>
        <v>0.52307692307692311</v>
      </c>
      <c r="BE39" s="44">
        <f t="shared" si="57"/>
        <v>0.35714285714285715</v>
      </c>
      <c r="BF39" s="44">
        <v>0</v>
      </c>
      <c r="BG39" s="44">
        <f t="shared" si="58"/>
        <v>0.35714285714285715</v>
      </c>
      <c r="BH39" s="44">
        <v>0</v>
      </c>
      <c r="BI39" s="44">
        <f t="shared" si="59"/>
        <v>0</v>
      </c>
      <c r="BJ39" s="44" t="s">
        <v>115</v>
      </c>
      <c r="BK39" s="44">
        <f t="shared" si="1"/>
        <v>0.17500000000000002</v>
      </c>
      <c r="BL39" s="44">
        <v>0.75</v>
      </c>
      <c r="BM39" s="44" cm="1">
        <f t="array" ref="BM39">_xlfn.IFS(BD39="NA","NA",BD39&gt;100%,"100%",BD39&lt;100,BD39)</f>
        <v>0.52307692307692311</v>
      </c>
      <c r="BN39" s="44" cm="1">
        <f t="array" ref="BN39">_xlfn.IFS(BF39="NA","NA",BF39&gt;100%,"100%",BF39&lt;100,BF39)</f>
        <v>0</v>
      </c>
      <c r="BO39" s="44" cm="1">
        <f t="array" ref="BO39">_xlfn.IFS(BH39="NA","NA",BH39&gt;100%,"100%",BH39&lt;100,BH39)</f>
        <v>0</v>
      </c>
      <c r="BP39" s="44" t="str" cm="1">
        <f t="array" ref="BP39">_xlfn.IFS(BJ39="NA","NA",BJ39&gt;100%,"100%",BJ39&lt;100,BJ39)</f>
        <v>NA</v>
      </c>
      <c r="BQ39" s="45">
        <v>0.22500000000000001</v>
      </c>
      <c r="BR39" s="45">
        <f t="shared" si="2"/>
        <v>3.9375000000000007E-2</v>
      </c>
      <c r="BS39" s="45">
        <v>1.61E-2</v>
      </c>
      <c r="BT39" s="45">
        <v>1.21E-2</v>
      </c>
      <c r="BU39" s="45">
        <v>1.21E-2</v>
      </c>
      <c r="BV39" s="45">
        <f t="shared" si="60"/>
        <v>5.2232142857142859E-2</v>
      </c>
      <c r="BW39" s="45">
        <f t="shared" si="61"/>
        <v>2.7321428571428573E-2</v>
      </c>
      <c r="BX39" s="45">
        <f t="shared" si="62"/>
        <v>2.7275000000000008E-2</v>
      </c>
      <c r="BY39" s="45">
        <f t="shared" si="63"/>
        <v>8.0357142857142863E-2</v>
      </c>
      <c r="BZ39" s="45">
        <f t="shared" si="64"/>
        <v>0</v>
      </c>
      <c r="CA39" s="45">
        <f t="shared" si="65"/>
        <v>0</v>
      </c>
      <c r="CB39" s="45">
        <f t="shared" si="66"/>
        <v>8.0357142857142863E-2</v>
      </c>
      <c r="CC39" s="45">
        <f t="shared" si="67"/>
        <v>0</v>
      </c>
      <c r="CD39" s="45">
        <v>0</v>
      </c>
      <c r="CE39" s="45">
        <f t="shared" si="68"/>
        <v>0</v>
      </c>
      <c r="CF39" s="45" t="str">
        <f t="shared" si="69"/>
        <v>NA</v>
      </c>
      <c r="CG39" s="45">
        <v>0</v>
      </c>
      <c r="CH39" s="244"/>
      <c r="CI39" s="244"/>
      <c r="CJ39" s="244"/>
      <c r="CK39" s="244"/>
      <c r="CM39" s="63">
        <v>3.45</v>
      </c>
    </row>
    <row r="40" spans="1:91" ht="18" hidden="1" customHeight="1">
      <c r="A40" s="260" t="s">
        <v>98</v>
      </c>
      <c r="B40" s="260" t="s">
        <v>99</v>
      </c>
      <c r="C40" s="260" t="s">
        <v>100</v>
      </c>
      <c r="D40" s="260" t="s">
        <v>101</v>
      </c>
      <c r="E40" s="260" t="s">
        <v>294</v>
      </c>
      <c r="F40" s="260" t="s">
        <v>305</v>
      </c>
      <c r="G40" s="260" t="s">
        <v>306</v>
      </c>
      <c r="H40" s="260" t="s">
        <v>322</v>
      </c>
      <c r="I40" s="260" t="s">
        <v>106</v>
      </c>
      <c r="J40" s="12" t="s">
        <v>323</v>
      </c>
      <c r="K40" s="260" t="s">
        <v>324</v>
      </c>
      <c r="L40" s="260" t="s">
        <v>325</v>
      </c>
      <c r="M40" s="260" t="s">
        <v>326</v>
      </c>
      <c r="N40" s="260" t="s">
        <v>111</v>
      </c>
      <c r="O40" s="260" t="s">
        <v>112</v>
      </c>
      <c r="P40" s="10">
        <v>0</v>
      </c>
      <c r="Q40" s="11">
        <v>5078</v>
      </c>
      <c r="R40" s="11">
        <f t="shared" si="53"/>
        <v>2155</v>
      </c>
      <c r="S40" s="11" t="str">
        <f>VLOOKUP(K40,'1197 Salud'!$K$13:$AK$54,9,0)</f>
        <v xml:space="preserve">1. Se realizaron 2325 visitas desde los subprocesos de establecimientos farmacéuticos y tiendas naturistas, verificación de condiciones de habilitación, flujo de recursos.
2. Por medio de las visitas se logra minimizar el riesgo en la prestación del servicio en los 116 municipios del departamento de Cundinamarca, bajo la identificación de servicios prestados no acorde a la normativa generando imposiciones de medida de medida y remisión a procesos sancionatorios, se inician procesos de verificación virtual para dar continuidad en las acciones de Inspección vigilancia y Control. 
3. Se fortalece la articulación con los entes externos e internos para fortalecer las acciones de seguimiento a los actores vigilados en el departamento por medio de unificación de conceptos normativos,  la socialización en los lineamientos Nacionales y Departamentales y la ejecución de   encuentros de Tecnovigilancia y simposios de Farmacovigilancia que brinda herramienta en tiempos de pandemia llegando a una  participación de 2060 asistentes. Se priorizan prestadores de servicio de salud bajo riesgo alto teniendo en cuenta los servicios inscritos de forma transitoria en COVID-19 </v>
      </c>
      <c r="T40" s="11">
        <v>350</v>
      </c>
      <c r="U40" s="11">
        <v>0</v>
      </c>
      <c r="V40" s="11">
        <v>350</v>
      </c>
      <c r="W40" s="11">
        <v>0</v>
      </c>
      <c r="X40" s="11">
        <v>754</v>
      </c>
      <c r="Y40" s="11">
        <v>0</v>
      </c>
      <c r="Z40" s="11">
        <v>754</v>
      </c>
      <c r="AA40" s="11" t="s">
        <v>327</v>
      </c>
      <c r="AB40" s="11" t="s">
        <v>328</v>
      </c>
      <c r="AC40" s="11" t="s">
        <v>329</v>
      </c>
      <c r="AD40" s="403">
        <v>1400</v>
      </c>
      <c r="AE40" s="403">
        <v>0</v>
      </c>
      <c r="AF40" s="11">
        <f>VLOOKUP(K40,'1197 Salud'!$K$13:$AK$54,22,0)</f>
        <v>1401</v>
      </c>
      <c r="AG40" s="11">
        <f>VLOOKUP(K40,'1197 Salud'!$K$13:$AK$54,23,0)</f>
        <v>0</v>
      </c>
      <c r="AH40" s="11">
        <f t="shared" si="54"/>
        <v>1401</v>
      </c>
      <c r="AI40" s="11" t="str">
        <f>VLOOKUP(K40,'1197 Salud'!$K$13:$AK$54,25,0)</f>
        <v>Vistas de IVC realizadas</v>
      </c>
      <c r="AJ40" s="11" t="str">
        <f>VLOOKUP(K40,'1197 Salud'!$K$13:$AK$54,26,0)</f>
        <v>1, Se logra realizar 1401 visitas desde los subprocesos de establecimientos farmacéuticos y tiendas naturistas, verificación de condiciones de habilitación, flujo de recursos, y los programas de gestión de riesgo como (Faramacivigilancia, Tecnovigilancia, Reactivovigilancia y Mantenimiento Hospitalario) 
2, Por medio de las visitas se logra minimizar el riesgo en la prestación del servicio en los 116 municipios del departamento de Cundinamarca, bajo la identificación de servicios prestados no acorde a la normativa generando imposiciones de medida de medida. 
3, Así mismo se logra articulación con los entes externos e internos para fortalecer las acciones de seguimiento a los actores vigilados en el departamento por medio de unificación de conceptos normativos,  la socialización en los lineamientos Nacionales y Departamentales y la ejecución del  VI encuentro de Tecnovigilancia, y el VIII Simposio de Farmacovigilancia  con una participación de 941 asistentes</v>
      </c>
      <c r="AK40" s="11" t="str">
        <f>VLOOKUP(K40,'1197 Salud'!$K$13:$AK$54,27,0)</f>
        <v xml:space="preserve">Con ocasión de la emergencia sanitaria declarada por el Gobierno Nacional por la pandemia COVID-19 se ha requerido ajustar la planeación de cada actividad lo que genera    e diseño e implementación de procedimientos virtuales  sin embargo la verificación virtual no permite la verificación de estructuras o equipos de forma específica por lo tanto se debe reprogramar para complementar la verificación. Así mismo se recibió orden del Ministerio de Salud y Protección Social donde se suspenden la realización de  visitas de verificación de condiciones de habilitación relacionada con Resolución 856 del 2020.
</v>
      </c>
      <c r="AL40" s="11">
        <v>1400</v>
      </c>
      <c r="AM40" s="11">
        <v>0</v>
      </c>
      <c r="AN40" s="11">
        <v>1928</v>
      </c>
      <c r="AO40" s="11">
        <v>0</v>
      </c>
      <c r="AP40" s="11">
        <v>0</v>
      </c>
      <c r="AQ40" s="11">
        <v>0</v>
      </c>
      <c r="AR40" s="51">
        <v>217507729</v>
      </c>
      <c r="AS40" s="54">
        <v>0</v>
      </c>
      <c r="AT40" s="54">
        <f t="shared" si="0"/>
        <v>217507729</v>
      </c>
      <c r="AU40" s="51">
        <v>217356879</v>
      </c>
      <c r="AV40" s="243">
        <v>1315774539</v>
      </c>
      <c r="AW40" s="244"/>
      <c r="AX40" s="244"/>
      <c r="AY40" s="243">
        <v>1163862872</v>
      </c>
      <c r="AZ40" s="44">
        <f t="shared" si="55"/>
        <v>0.42437967703820401</v>
      </c>
      <c r="BA40" s="44">
        <v>6.8900000000000003E-2</v>
      </c>
      <c r="BB40" s="44">
        <v>2.1543000000000001</v>
      </c>
      <c r="BC40" s="44">
        <f t="shared" si="56"/>
        <v>0.27569909413154786</v>
      </c>
      <c r="BD40" s="44" cm="1">
        <f t="array" ref="BD40">_xlfn.IFS(AD40=0,"NA",AD40&gt;0,AH40/AD40)</f>
        <v>1.0007142857142857</v>
      </c>
      <c r="BE40" s="44">
        <f t="shared" si="57"/>
        <v>0.27569909413154786</v>
      </c>
      <c r="BF40" s="44">
        <v>0</v>
      </c>
      <c r="BG40" s="44">
        <f t="shared" si="58"/>
        <v>0.37967703820401733</v>
      </c>
      <c r="BH40" s="44">
        <v>0</v>
      </c>
      <c r="BI40" s="44">
        <f t="shared" si="59"/>
        <v>0</v>
      </c>
      <c r="BJ40" s="44" t="s">
        <v>115</v>
      </c>
      <c r="BK40" s="44">
        <f t="shared" si="1"/>
        <v>0.42437967703820401</v>
      </c>
      <c r="BL40" s="44">
        <v>1</v>
      </c>
      <c r="BM40" s="44" t="str" cm="1">
        <f t="array" ref="BM40">_xlfn.IFS(BD40="NA","NA",BD40&gt;100%,"100%",BD40&lt;100,BD40)</f>
        <v>100%</v>
      </c>
      <c r="BN40" s="44" cm="1">
        <f t="array" ref="BN40">_xlfn.IFS(BF40="NA","NA",BF40&gt;100%,"100%",BF40&lt;100,BF40)</f>
        <v>0</v>
      </c>
      <c r="BO40" s="44" cm="1">
        <f t="array" ref="BO40">_xlfn.IFS(BH40="NA","NA",BH40&gt;100%,"100%",BH40&lt;100,BH40)</f>
        <v>0</v>
      </c>
      <c r="BP40" s="44" t="str" cm="1">
        <f t="array" ref="BP40">_xlfn.IFS(BJ40="NA","NA",BJ40&gt;100%,"100%",BJ40&lt;100,BJ40)</f>
        <v>NA</v>
      </c>
      <c r="BQ40" s="45">
        <v>0.22500000000000001</v>
      </c>
      <c r="BR40" s="45">
        <f t="shared" si="2"/>
        <v>9.5485427333595899E-2</v>
      </c>
      <c r="BS40" s="45">
        <v>1.55E-2</v>
      </c>
      <c r="BT40" s="45">
        <v>1.55E-2</v>
      </c>
      <c r="BU40" s="45">
        <v>3.3399999999999999E-2</v>
      </c>
      <c r="BV40" s="45">
        <f t="shared" si="60"/>
        <v>6.2032296179598267E-2</v>
      </c>
      <c r="BW40" s="45">
        <f t="shared" si="61"/>
        <v>6.2032296179598267E-2</v>
      </c>
      <c r="BX40" s="45">
        <f t="shared" si="62"/>
        <v>6.2085427333595899E-2</v>
      </c>
      <c r="BY40" s="45">
        <f t="shared" si="63"/>
        <v>6.2032296179598267E-2</v>
      </c>
      <c r="BZ40" s="45">
        <f t="shared" si="64"/>
        <v>0</v>
      </c>
      <c r="CA40" s="45">
        <f t="shared" si="65"/>
        <v>0</v>
      </c>
      <c r="CB40" s="45">
        <f t="shared" si="66"/>
        <v>8.5427333595903904E-2</v>
      </c>
      <c r="CC40" s="45">
        <f t="shared" si="67"/>
        <v>0</v>
      </c>
      <c r="CD40" s="45">
        <v>0</v>
      </c>
      <c r="CE40" s="45">
        <f t="shared" si="68"/>
        <v>0</v>
      </c>
      <c r="CF40" s="45" t="str">
        <f t="shared" si="69"/>
        <v>NA</v>
      </c>
      <c r="CG40" s="45">
        <v>0</v>
      </c>
      <c r="CH40" s="244"/>
      <c r="CI40" s="244"/>
      <c r="CJ40" s="244"/>
      <c r="CK40" s="244"/>
      <c r="CM40" s="63">
        <v>1796</v>
      </c>
    </row>
    <row r="41" spans="1:91" ht="18" hidden="1" customHeight="1">
      <c r="A41" s="260" t="s">
        <v>98</v>
      </c>
      <c r="B41" s="260" t="s">
        <v>99</v>
      </c>
      <c r="C41" s="260" t="s">
        <v>100</v>
      </c>
      <c r="D41" s="260" t="s">
        <v>101</v>
      </c>
      <c r="E41" s="260" t="s">
        <v>294</v>
      </c>
      <c r="F41" s="260" t="s">
        <v>305</v>
      </c>
      <c r="G41" s="260" t="s">
        <v>306</v>
      </c>
      <c r="H41" s="260" t="s">
        <v>330</v>
      </c>
      <c r="I41" s="260" t="s">
        <v>106</v>
      </c>
      <c r="J41" s="260" t="s">
        <v>119</v>
      </c>
      <c r="K41" s="260" t="s">
        <v>331</v>
      </c>
      <c r="L41" s="260" t="s">
        <v>332</v>
      </c>
      <c r="M41" s="260" t="s">
        <v>333</v>
      </c>
      <c r="N41" s="260" t="s">
        <v>111</v>
      </c>
      <c r="O41" s="260" t="s">
        <v>112</v>
      </c>
      <c r="P41" s="10">
        <v>0</v>
      </c>
      <c r="Q41" s="11">
        <v>1</v>
      </c>
      <c r="R41" s="11">
        <f t="shared" si="53"/>
        <v>0.45</v>
      </c>
      <c r="S41" s="11" t="str">
        <f>VLOOKUP(K41,'1197 Salud'!$K$13:$AK$54,9,0)</f>
        <v>Se realizó la implementación de los procedimientos virtuales con ocasión de la pandemia COVID-19  lo que permitió la realización de vistas virtuales de los diferentes programas, tales como  farmacovigilancia, (2020: 32 - 2021: 44) visitas a IPS, Articulación Externa Por Medio De Mesas De Trabajo Con Las Diferentes Direcciones Y Entes De Control Para Priorizar Estrategias De Intervención Como Nodo Territorial por medio de  video conferencia con UPPSALA MONITORING CENTRE – INVIMA. Para el Fondo rotatorio de estupefacientes Se adelantaron reuniones de forma articulada con salud pública para la divulgación de políticas públicas y homologación de requisitos normativos y Se realizaron visitas de inspección vigilancia y control para el manejo de MCE a los prestadores de servicios de Salud en el Departamento. Se da continuidad a la verificación virtual de los programas de Reactivovigilancia y Tecnovigilancia. En cuanto al programa de Tecnovigilancia han ingresado a la plataforma (2020: 393- 2021:138) verificaciones de eventos adversos asociados a dispositivos médicos, de igual forma se realizó el encuentro de Tecnovigilancia, simposio de Farmacovigilancia y apoyo del programa de Reactivovigilancia de forma virtual, con una participación de (1119) asistentes, En cuanto a Reactivovigilancia se han realizado (2021: 43) visitas presenciales y virtuales, para el programa de Mantenimiento hospitalario se han realizado en la vigencia 2021:(117 visitas) Así mismo para el fondo local de salud Se realizaron visitas a secretarias de salud municipal con el fin de realizar seguimiento a la ejecución de los recursos asignados terminando el proceso de verificación para certificación vigencia 2020  logrado certificar 116 secretarias municipales e iniciando la verificación para la vigencia 2021. Para establecimientos farmacéuticos Se realizaron (2020: 350 – 2021:416) visitas, se realizó apoyo en implementación normativa a establecimientos farmacéuticos. En cuanto a habilitación Se realizaron lo que corresponde al 2020 (615visitas) y 2021 (615 visitas),  a prestadores de servicios de salud, Se logra certificar a (6) prestadores de servicio de salud Privados (7) Públicos (3) Unificación de conceptos e implementación de lineamientos normativos por parte de los entes Nacionales para ejercer acciones de IVC frente a prestadores de servicios de salud en Pandemia COVID-19, inclusión de personal de salud para el seguimiento de casos COVID- 19 priorización para servicios de vacunación en COVID-19, Unidades de Cuidado Intensivo, servicios de Expansión en el Marco de la Pandemia.</v>
      </c>
      <c r="T41" s="11">
        <v>0.25</v>
      </c>
      <c r="U41" s="11">
        <v>0</v>
      </c>
      <c r="V41" s="11">
        <v>0.25</v>
      </c>
      <c r="W41" s="11">
        <v>0</v>
      </c>
      <c r="X41" s="11">
        <v>0.25</v>
      </c>
      <c r="Y41" s="11">
        <v>0</v>
      </c>
      <c r="Z41" s="11">
        <v>0.25</v>
      </c>
      <c r="AA41" s="11" t="s">
        <v>334</v>
      </c>
      <c r="AB41" s="11" t="s">
        <v>335</v>
      </c>
      <c r="AC41" s="11" t="s">
        <v>336</v>
      </c>
      <c r="AD41" s="403">
        <v>0.25</v>
      </c>
      <c r="AE41" s="403">
        <v>0</v>
      </c>
      <c r="AF41" s="11">
        <f>VLOOKUP(K41,'1197 Salud'!$K$13:$AK$54,22,0)</f>
        <v>0.2</v>
      </c>
      <c r="AG41" s="11">
        <f>VLOOKUP(K41,'1197 Salud'!$K$13:$AK$54,23,0)</f>
        <v>0</v>
      </c>
      <c r="AH41" s="11">
        <f t="shared" si="54"/>
        <v>0.2</v>
      </c>
      <c r="AI41" s="11" t="str">
        <f>VLOOKUP(K41,'1197 Salud'!$K$13:$AK$54,25,0)</f>
        <v>FRECUN implementado</v>
      </c>
      <c r="AJ41" s="11" t="str">
        <f>VLOOKUP(K41,'1197 Salud'!$K$13:$AK$54,26,0)</f>
        <v>Se realizan (10) mesas de trabajo con el fin de homologar conceptos frente a los avances frente al fondo rotatorio de estupefacientes de Cundinamarca con DAF (Departamento administrativo financiera, (FNE) Fondo Nacional de Estupefacientes y con el grupo de auditores del subproceso de establecimientos farmacéuticos y tiendas naturistas. Se realiza (67) Visitas de Inspección, Vigilancia y Control para el manejo de Los Medicamentos de Control Especial a los prestadores de Servicios de salud y establecimientos farmacéuticos en el Departamento</v>
      </c>
      <c r="AK41" s="11" t="str">
        <f>VLOOKUP(K41,'1197 Salud'!$K$13:$AK$54,27,0)</f>
        <v>1.Declaración de la Pandemia por COVID 19
2.La realización de visitas virtuales no permiten evidenciar la gestión general de la Gestión de los Servcios Farmaceuticos</v>
      </c>
      <c r="AL41" s="11">
        <v>0.25</v>
      </c>
      <c r="AM41" s="11">
        <v>0</v>
      </c>
      <c r="AN41" s="11">
        <v>0.25</v>
      </c>
      <c r="AO41" s="11">
        <v>0</v>
      </c>
      <c r="AP41" s="11">
        <v>0</v>
      </c>
      <c r="AQ41" s="11">
        <v>0</v>
      </c>
      <c r="AR41" s="51">
        <v>21108249</v>
      </c>
      <c r="AS41" s="54">
        <v>0</v>
      </c>
      <c r="AT41" s="54">
        <f t="shared" si="0"/>
        <v>21108249</v>
      </c>
      <c r="AU41" s="51">
        <v>17199314</v>
      </c>
      <c r="AV41" s="243">
        <v>184447491</v>
      </c>
      <c r="AW41" s="244"/>
      <c r="AX41" s="244"/>
      <c r="AY41" s="243">
        <v>44604314</v>
      </c>
      <c r="AZ41" s="44">
        <f t="shared" si="55"/>
        <v>0.45</v>
      </c>
      <c r="BA41" s="44">
        <v>0.25</v>
      </c>
      <c r="BB41" s="44">
        <v>1</v>
      </c>
      <c r="BC41" s="44">
        <f t="shared" si="56"/>
        <v>0.25</v>
      </c>
      <c r="BD41" s="44" cm="1">
        <f t="array" ref="BD41">_xlfn.IFS(AD41=0,"NA",AD41&gt;0,AH41/AD41)</f>
        <v>0.8</v>
      </c>
      <c r="BE41" s="44">
        <f t="shared" si="57"/>
        <v>0.25</v>
      </c>
      <c r="BF41" s="44">
        <v>0</v>
      </c>
      <c r="BG41" s="44">
        <f t="shared" si="58"/>
        <v>0.25</v>
      </c>
      <c r="BH41" s="44">
        <v>0</v>
      </c>
      <c r="BI41" s="44">
        <f t="shared" si="59"/>
        <v>0</v>
      </c>
      <c r="BJ41" s="44" t="s">
        <v>115</v>
      </c>
      <c r="BK41" s="44">
        <f t="shared" si="1"/>
        <v>0.45</v>
      </c>
      <c r="BL41" s="44">
        <v>1</v>
      </c>
      <c r="BM41" s="44" cm="1">
        <f t="array" ref="BM41">_xlfn.IFS(BD41="NA","NA",BD41&gt;100%,"100%",BD41&lt;100,BD41)</f>
        <v>0.8</v>
      </c>
      <c r="BN41" s="44" cm="1">
        <f t="array" ref="BN41">_xlfn.IFS(BF41="NA","NA",BF41&gt;100%,"100%",BF41&lt;100,BF41)</f>
        <v>0</v>
      </c>
      <c r="BO41" s="44" cm="1">
        <f t="array" ref="BO41">_xlfn.IFS(BH41="NA","NA",BH41&gt;100%,"100%",BH41&lt;100,BH41)</f>
        <v>0</v>
      </c>
      <c r="BP41" s="44" t="str" cm="1">
        <f t="array" ref="BP41">_xlfn.IFS(BJ41="NA","NA",BJ41&gt;100%,"100%",BJ41&lt;100,BJ41)</f>
        <v>NA</v>
      </c>
      <c r="BQ41" s="45">
        <v>0.22500000000000001</v>
      </c>
      <c r="BR41" s="45">
        <f t="shared" si="2"/>
        <v>0.10125000000000001</v>
      </c>
      <c r="BS41" s="45">
        <v>5.6300000000000003E-2</v>
      </c>
      <c r="BT41" s="45">
        <v>5.6300000000000003E-2</v>
      </c>
      <c r="BU41" s="45">
        <v>5.6300000000000003E-2</v>
      </c>
      <c r="BV41" s="45">
        <f t="shared" si="60"/>
        <v>5.6250000000000001E-2</v>
      </c>
      <c r="BW41" s="45">
        <f t="shared" si="61"/>
        <v>4.5000000000000005E-2</v>
      </c>
      <c r="BX41" s="45">
        <f t="shared" si="62"/>
        <v>4.4950000000000004E-2</v>
      </c>
      <c r="BY41" s="45">
        <f t="shared" si="63"/>
        <v>5.6250000000000001E-2</v>
      </c>
      <c r="BZ41" s="45">
        <f t="shared" si="64"/>
        <v>0</v>
      </c>
      <c r="CA41" s="45">
        <f t="shared" si="65"/>
        <v>0</v>
      </c>
      <c r="CB41" s="45">
        <f t="shared" si="66"/>
        <v>5.6250000000000001E-2</v>
      </c>
      <c r="CC41" s="45">
        <f t="shared" si="67"/>
        <v>0</v>
      </c>
      <c r="CD41" s="45">
        <v>0</v>
      </c>
      <c r="CE41" s="45">
        <f t="shared" si="68"/>
        <v>0</v>
      </c>
      <c r="CF41" s="45" t="str">
        <f t="shared" si="69"/>
        <v>NA</v>
      </c>
      <c r="CG41" s="45">
        <v>0</v>
      </c>
      <c r="CH41" s="244"/>
      <c r="CI41" s="244"/>
      <c r="CJ41" s="244"/>
      <c r="CK41" s="244"/>
      <c r="CM41" s="63">
        <v>0.41000000000000003</v>
      </c>
    </row>
    <row r="42" spans="1:91" ht="18" hidden="1" customHeight="1">
      <c r="A42" s="260" t="s">
        <v>98</v>
      </c>
      <c r="B42" s="260" t="s">
        <v>99</v>
      </c>
      <c r="C42" s="260" t="s">
        <v>100</v>
      </c>
      <c r="D42" s="260" t="s">
        <v>101</v>
      </c>
      <c r="E42" s="260" t="s">
        <v>294</v>
      </c>
      <c r="F42" s="260" t="s">
        <v>305</v>
      </c>
      <c r="G42" s="260" t="s">
        <v>306</v>
      </c>
      <c r="H42" s="260" t="s">
        <v>337</v>
      </c>
      <c r="I42" s="260" t="s">
        <v>106</v>
      </c>
      <c r="J42" s="260" t="s">
        <v>338</v>
      </c>
      <c r="K42" s="260" t="s">
        <v>339</v>
      </c>
      <c r="L42" s="260" t="s">
        <v>340</v>
      </c>
      <c r="M42" s="260" t="s">
        <v>341</v>
      </c>
      <c r="N42" s="260" t="s">
        <v>123</v>
      </c>
      <c r="O42" s="260" t="s">
        <v>112</v>
      </c>
      <c r="P42" s="10">
        <v>85</v>
      </c>
      <c r="Q42" s="11">
        <v>10</v>
      </c>
      <c r="R42" s="11">
        <f t="shared" si="53"/>
        <v>3.83</v>
      </c>
      <c r="S42" s="11" t="str">
        <f>VLOOKUP(K42,'1197 Salud'!$K$13:$AK$54,9,0)</f>
        <v xml:space="preserve">Se a logrado el fortalecimiento de los lineamientos de los  eventos de interes en salud publica en  los 116 municipios del departamento, mendiante el seguimiento en promedio mensual de 30 a  35 eventos de los cuales se resalta los eventos de maternidad, nutricion, Infecciones respiratorias, zonoticos, enfermedad transmitidas por vectores  y COVID 19 entre otros logrando a  semana epidemiologica 46  un 100% en la notificacion de evento de interes en salud publica por las unidades notificadoras municpales, de igual manera se dio respuesta y acompañamiento a brote en los municipio de  Zipaquira, Fomeque y Subachoque </v>
      </c>
      <c r="T42" s="11">
        <v>2</v>
      </c>
      <c r="U42" s="11">
        <v>0</v>
      </c>
      <c r="V42" s="11">
        <v>2</v>
      </c>
      <c r="W42" s="11">
        <v>0</v>
      </c>
      <c r="X42" s="11">
        <v>2</v>
      </c>
      <c r="Y42" s="11">
        <v>0</v>
      </c>
      <c r="Z42" s="11">
        <v>2</v>
      </c>
      <c r="AA42" s="11" t="s">
        <v>342</v>
      </c>
      <c r="AB42" s="11" t="s">
        <v>343</v>
      </c>
      <c r="AC42" s="11">
        <v>0</v>
      </c>
      <c r="AD42" s="403">
        <v>2</v>
      </c>
      <c r="AE42" s="403">
        <v>0</v>
      </c>
      <c r="AF42" s="11">
        <f>VLOOKUP(K42,'1197 Salud'!$K$13:$AK$54,22,0)</f>
        <v>1.83</v>
      </c>
      <c r="AG42" s="11">
        <f>VLOOKUP(K42,'1197 Salud'!$K$13:$AK$54,23,0)</f>
        <v>0</v>
      </c>
      <c r="AH42" s="11">
        <f t="shared" si="54"/>
        <v>1.83</v>
      </c>
      <c r="AI42" s="11" t="str">
        <f>VLOOKUP(K42,'1197 Salud'!$K$13:$AK$54,25,0)</f>
        <v>linemaientos de vigilancia en salud publica</v>
      </c>
      <c r="AJ42" s="11" t="str">
        <f>VLOOKUP(K42,'1197 Salud'!$K$13:$AK$54,26,0)</f>
        <v xml:space="preserve">Se a logrado el fortalecimiento de los lineamientos de los  eventos de interes en salud publica en  los 116 municipios del departamento, mendiante el seguimiento en promedio mensual de 30 a  35 eventos de los cuales se resalta los eventos de maternidad, nutricion, Infecciones respiratorias, zonoticos, enfermedad transmitidas por vectores  y COVID 19 entre otros logrando a  semana epidemiologica 46  un 100% en la notificacion de evento de interes en salud publica por las unidades notificadoras municpales, de igual manera se dio respuesta y acompañamiento a brote en los municipio de  Zipaquira, Fomeque y Subachoque </v>
      </c>
      <c r="AK42" s="11" t="str">
        <f>VLOOKUP(K42,'1197 Salud'!$K$13:$AK$54,27,0)</f>
        <v xml:space="preserve">Demoras en la adquisicion del talento humano a nivel departarmental y municipal </v>
      </c>
      <c r="AL42" s="11">
        <v>2</v>
      </c>
      <c r="AM42" s="11">
        <v>0</v>
      </c>
      <c r="AN42" s="11">
        <v>4</v>
      </c>
      <c r="AO42" s="11">
        <v>0</v>
      </c>
      <c r="AP42" s="11">
        <v>0</v>
      </c>
      <c r="AQ42" s="11">
        <v>0</v>
      </c>
      <c r="AR42" s="51">
        <v>3681781313</v>
      </c>
      <c r="AS42" s="54">
        <v>0</v>
      </c>
      <c r="AT42" s="54">
        <f t="shared" si="0"/>
        <v>3681781313</v>
      </c>
      <c r="AU42" s="51">
        <v>2854479926</v>
      </c>
      <c r="AV42" s="243">
        <v>8470147894</v>
      </c>
      <c r="AW42" s="244"/>
      <c r="AX42" s="244"/>
      <c r="AY42" s="243">
        <v>8208145568</v>
      </c>
      <c r="AZ42" s="44">
        <f t="shared" si="55"/>
        <v>0.38300000000000001</v>
      </c>
      <c r="BA42" s="44">
        <v>0.2</v>
      </c>
      <c r="BB42" s="44">
        <v>1</v>
      </c>
      <c r="BC42" s="44">
        <f t="shared" si="56"/>
        <v>0.2</v>
      </c>
      <c r="BD42" s="44" cm="1">
        <f t="array" ref="BD42">_xlfn.IFS(AD42=0,"NA",AD42&gt;0,AH42/AD42)</f>
        <v>0.91500000000000004</v>
      </c>
      <c r="BE42" s="44">
        <f t="shared" si="57"/>
        <v>0.2</v>
      </c>
      <c r="BF42" s="44">
        <v>0</v>
      </c>
      <c r="BG42" s="44">
        <f t="shared" si="58"/>
        <v>0.4</v>
      </c>
      <c r="BH42" s="44">
        <v>0</v>
      </c>
      <c r="BI42" s="44">
        <f t="shared" si="59"/>
        <v>0</v>
      </c>
      <c r="BJ42" s="44" t="s">
        <v>115</v>
      </c>
      <c r="BK42" s="44">
        <f t="shared" si="1"/>
        <v>0.38300000000000001</v>
      </c>
      <c r="BL42" s="44">
        <v>1</v>
      </c>
      <c r="BM42" s="44" cm="1">
        <f t="array" ref="BM42">_xlfn.IFS(BD42="NA","NA",BD42&gt;100%,"100%",BD42&lt;100,BD42)</f>
        <v>0.91500000000000004</v>
      </c>
      <c r="BN42" s="44" cm="1">
        <f t="array" ref="BN42">_xlfn.IFS(BF42="NA","NA",BF42&gt;100%,"100%",BF42&lt;100,BF42)</f>
        <v>0</v>
      </c>
      <c r="BO42" s="44" cm="1">
        <f t="array" ref="BO42">_xlfn.IFS(BH42="NA","NA",BH42&gt;100%,"100%",BH42&lt;100,BH42)</f>
        <v>0</v>
      </c>
      <c r="BP42" s="44" t="str" cm="1">
        <f t="array" ref="BP42">_xlfn.IFS(BJ42="NA","NA",BJ42&gt;100%,"100%",BJ42&lt;100,BJ42)</f>
        <v>NA</v>
      </c>
      <c r="BQ42" s="45">
        <v>0.22500000000000001</v>
      </c>
      <c r="BR42" s="45">
        <f t="shared" si="2"/>
        <v>8.6175000000000002E-2</v>
      </c>
      <c r="BS42" s="45">
        <v>4.4999999999999998E-2</v>
      </c>
      <c r="BT42" s="45">
        <v>4.4999999999999998E-2</v>
      </c>
      <c r="BU42" s="45">
        <v>4.4999999999999998E-2</v>
      </c>
      <c r="BV42" s="45">
        <f t="shared" si="60"/>
        <v>4.4999999999999998E-2</v>
      </c>
      <c r="BW42" s="45">
        <f t="shared" si="61"/>
        <v>4.1175000000000003E-2</v>
      </c>
      <c r="BX42" s="45">
        <f t="shared" si="62"/>
        <v>4.1175000000000003E-2</v>
      </c>
      <c r="BY42" s="45">
        <f t="shared" si="63"/>
        <v>4.4999999999999998E-2</v>
      </c>
      <c r="BZ42" s="45">
        <f t="shared" si="64"/>
        <v>0</v>
      </c>
      <c r="CA42" s="45">
        <f t="shared" si="65"/>
        <v>0</v>
      </c>
      <c r="CB42" s="45">
        <f t="shared" si="66"/>
        <v>0.09</v>
      </c>
      <c r="CC42" s="45">
        <f t="shared" si="67"/>
        <v>0</v>
      </c>
      <c r="CD42" s="45">
        <v>0</v>
      </c>
      <c r="CE42" s="45">
        <f t="shared" si="68"/>
        <v>0</v>
      </c>
      <c r="CF42" s="45" t="str">
        <f t="shared" si="69"/>
        <v>NA</v>
      </c>
      <c r="CG42" s="45">
        <v>0</v>
      </c>
      <c r="CH42" s="244"/>
      <c r="CI42" s="244"/>
      <c r="CJ42" s="244"/>
      <c r="CK42" s="244"/>
      <c r="CM42" s="63">
        <v>3.33</v>
      </c>
    </row>
    <row r="43" spans="1:91" ht="18" hidden="1" customHeight="1">
      <c r="A43" s="260" t="s">
        <v>248</v>
      </c>
      <c r="B43" s="260" t="s">
        <v>249</v>
      </c>
      <c r="C43" s="260" t="s">
        <v>100</v>
      </c>
      <c r="D43" s="260" t="s">
        <v>101</v>
      </c>
      <c r="E43" s="260" t="s">
        <v>294</v>
      </c>
      <c r="F43" s="260" t="s">
        <v>190</v>
      </c>
      <c r="G43" s="260" t="s">
        <v>191</v>
      </c>
      <c r="H43" s="260" t="s">
        <v>344</v>
      </c>
      <c r="I43" s="260" t="s">
        <v>106</v>
      </c>
      <c r="J43" s="260"/>
      <c r="K43" s="260" t="s">
        <v>345</v>
      </c>
      <c r="L43" s="260" t="s">
        <v>346</v>
      </c>
      <c r="M43" s="260" t="s">
        <v>347</v>
      </c>
      <c r="N43" s="260" t="s">
        <v>111</v>
      </c>
      <c r="O43" s="260" t="s">
        <v>112</v>
      </c>
      <c r="P43" s="10">
        <v>0</v>
      </c>
      <c r="Q43" s="11">
        <v>1350</v>
      </c>
      <c r="R43" s="11">
        <f t="shared" si="53"/>
        <v>600</v>
      </c>
      <c r="S43" s="11" t="str">
        <f>VLOOKUP(K43,'1208 Indeportes'!$K$13:$AK$39,9,0)</f>
        <v>Esta meta se encuentra en ejecución y se han realizado las siguientes actividades: COFINANCIACIÓN CONVENIO PARA EL DESARROLLO DEL PROYECTO DE DEPORTE ESCOLAR -ESCUELAS DEPORTIVAS- , CON EL MINISTERIO DEL DEPORTE.GERENCIA INTEGRAL DE PROYECTOS PARA LA PLANEACIÓN, ADMINISTRACIÓN Y EJECUCIÓN DE ACCIONES TENDIENTES A MEJORAR LA CALIDAD, LA COMPETITIVIDAD Y LA PROMOCIÓN DEL DEPORTE EN CUNDINAMARCA, DE ACUERDO CON LOS LINEAMIENTOS DEL PLAN DE DESARROLLO “CUNDINAMARCA REGIÓN QUE PROGRESA.En el marco del convenio No. 257 de 2020 se adelanta la entrega de kits deportivos para 4 escuelas de cada uno de los 116 municipios que contiene, entre otras cosas, colchonetas, balones, bandas elásticas, balones medicinales, conos reflectivos, aros, lazos, etc.</v>
      </c>
      <c r="T43" s="11">
        <v>300</v>
      </c>
      <c r="U43" s="11">
        <v>0</v>
      </c>
      <c r="V43" s="11">
        <v>300</v>
      </c>
      <c r="W43" s="11">
        <v>0</v>
      </c>
      <c r="X43" s="11">
        <v>0</v>
      </c>
      <c r="Y43" s="11">
        <v>0</v>
      </c>
      <c r="Z43" s="11">
        <v>0</v>
      </c>
      <c r="AA43" s="11">
        <v>0</v>
      </c>
      <c r="AB43" s="11" t="s">
        <v>348</v>
      </c>
      <c r="AC43" s="11">
        <v>0</v>
      </c>
      <c r="AD43" s="403">
        <v>600</v>
      </c>
      <c r="AE43" s="403">
        <v>0</v>
      </c>
      <c r="AF43" s="11">
        <f>VLOOKUP(K43,'1208 Indeportes'!$K$13:$AH$39,22,0)</f>
        <v>600</v>
      </c>
      <c r="AG43" s="11">
        <f>VLOOKUP(K43,'1208 Indeportes'!$K$13:$AH$39,23,0)</f>
        <v>0</v>
      </c>
      <c r="AH43" s="11">
        <f t="shared" si="54"/>
        <v>600</v>
      </c>
      <c r="AI43" s="11">
        <f>VLOOKUP(K43,'1208 Indeportes'!$K$13:$AK$39,25,0)</f>
        <v>0</v>
      </c>
      <c r="AJ43" s="11" t="str">
        <f>VLOOKUP(K43,'1208 Indeportes'!$K$13:$AK$39,26,0)</f>
        <v>Cumplimos con la entrega de tulas deportivas y uniformes compuestos por camiseta y pantaloneta a más de 15.000 niños, niñas, jóvenes y adolescentes del departamento que se encuentran vinculados a las Escuelas de Formación deportiva, de igual forma, dotamos a los 116 Municipios del Departamento con Kits de elementos deportivos para las modalidades de futbol, futbol de salón, voleibol, baloncesto, natación, entre otros. La inversión realizada supero los tres mil quinientos millones de pesos ($3.500.000.000).</v>
      </c>
      <c r="AK43" s="11">
        <f>VLOOKUP(K43,'1208 Indeportes'!$K$13:$AK$39,27,0)</f>
        <v>0</v>
      </c>
      <c r="AL43" s="11">
        <v>300</v>
      </c>
      <c r="AM43" s="11">
        <v>0</v>
      </c>
      <c r="AN43" s="11">
        <v>300</v>
      </c>
      <c r="AO43" s="11">
        <v>0</v>
      </c>
      <c r="AP43" s="11">
        <v>0</v>
      </c>
      <c r="AQ43" s="11">
        <v>0</v>
      </c>
      <c r="AR43" s="51">
        <v>2698834333</v>
      </c>
      <c r="AS43" s="54">
        <v>0</v>
      </c>
      <c r="AT43" s="54">
        <f t="shared" si="0"/>
        <v>2698834333</v>
      </c>
      <c r="AU43" s="51">
        <v>2673152176</v>
      </c>
      <c r="AV43" s="243">
        <v>10642228593</v>
      </c>
      <c r="AW43" s="244"/>
      <c r="AX43" s="244"/>
      <c r="AY43" s="243">
        <v>9802228592</v>
      </c>
      <c r="AZ43" s="44">
        <f t="shared" si="55"/>
        <v>0.44444444444444442</v>
      </c>
      <c r="BA43" s="44">
        <v>0.25</v>
      </c>
      <c r="BB43" s="44">
        <v>0</v>
      </c>
      <c r="BC43" s="44">
        <f t="shared" si="56"/>
        <v>0.44444444444444442</v>
      </c>
      <c r="BD43" s="44" cm="1">
        <f t="array" ref="BD43">_xlfn.IFS(AD43=0,"NA",AD43&gt;0,AH43/AD43)</f>
        <v>1</v>
      </c>
      <c r="BE43" s="44">
        <f t="shared" si="57"/>
        <v>0.22222222222222221</v>
      </c>
      <c r="BF43" s="44">
        <v>0</v>
      </c>
      <c r="BG43" s="44">
        <f t="shared" si="58"/>
        <v>0.22222222222222221</v>
      </c>
      <c r="BH43" s="44">
        <v>0</v>
      </c>
      <c r="BI43" s="44">
        <f t="shared" si="59"/>
        <v>0</v>
      </c>
      <c r="BJ43" s="44" t="s">
        <v>115</v>
      </c>
      <c r="BK43" s="44">
        <f t="shared" si="1"/>
        <v>0.44444444444444442</v>
      </c>
      <c r="BL43" s="44">
        <v>0</v>
      </c>
      <c r="BM43" s="44" cm="1">
        <f t="array" ref="BM43">_xlfn.IFS(BD43="NA","NA",BD43&gt;100%,"100%",BD43&lt;100,BD43)</f>
        <v>1</v>
      </c>
      <c r="BN43" s="44" cm="1">
        <f t="array" ref="BN43">_xlfn.IFS(BF43="NA","NA",BF43&gt;100%,"100%",BF43&lt;100,BF43)</f>
        <v>0</v>
      </c>
      <c r="BO43" s="44" cm="1">
        <f t="array" ref="BO43">_xlfn.IFS(BH43="NA","NA",BH43&gt;100%,"100%",BH43&lt;100,BH43)</f>
        <v>0</v>
      </c>
      <c r="BP43" s="44" t="str" cm="1">
        <f t="array" ref="BP43">_xlfn.IFS(BJ43="NA","NA",BJ43&gt;100%,"100%",BJ43&lt;100,BJ43)</f>
        <v>NA</v>
      </c>
      <c r="BQ43" s="45">
        <v>0.22500000000000001</v>
      </c>
      <c r="BR43" s="45">
        <f t="shared" si="2"/>
        <v>9.9999999999999992E-2</v>
      </c>
      <c r="BS43" s="45">
        <v>5.6300000000000003E-2</v>
      </c>
      <c r="BT43" s="45">
        <v>0</v>
      </c>
      <c r="BU43" s="45">
        <v>0</v>
      </c>
      <c r="BV43" s="45">
        <f t="shared" si="60"/>
        <v>0.1</v>
      </c>
      <c r="BW43" s="45">
        <f t="shared" si="61"/>
        <v>0.1</v>
      </c>
      <c r="BX43" s="45">
        <f t="shared" si="62"/>
        <v>9.9999999999999992E-2</v>
      </c>
      <c r="BY43" s="45">
        <f t="shared" si="63"/>
        <v>0.05</v>
      </c>
      <c r="BZ43" s="45">
        <f t="shared" si="64"/>
        <v>0</v>
      </c>
      <c r="CA43" s="45">
        <f t="shared" si="65"/>
        <v>0</v>
      </c>
      <c r="CB43" s="45">
        <f t="shared" si="66"/>
        <v>0.05</v>
      </c>
      <c r="CC43" s="45">
        <f t="shared" si="67"/>
        <v>0</v>
      </c>
      <c r="CD43" s="45">
        <v>0</v>
      </c>
      <c r="CE43" s="45">
        <f t="shared" si="68"/>
        <v>0</v>
      </c>
      <c r="CF43" s="45" t="str">
        <f t="shared" si="69"/>
        <v>NA</v>
      </c>
      <c r="CG43" s="45">
        <v>0</v>
      </c>
      <c r="CH43" s="244"/>
      <c r="CI43" s="244"/>
      <c r="CJ43" s="244"/>
      <c r="CK43" s="244"/>
      <c r="CM43" s="63">
        <v>513</v>
      </c>
    </row>
    <row r="44" spans="1:91" ht="18" hidden="1" customHeight="1">
      <c r="A44" s="260" t="s">
        <v>248</v>
      </c>
      <c r="B44" s="260" t="s">
        <v>249</v>
      </c>
      <c r="C44" s="260" t="s">
        <v>100</v>
      </c>
      <c r="D44" s="260" t="s">
        <v>101</v>
      </c>
      <c r="E44" s="260" t="s">
        <v>294</v>
      </c>
      <c r="F44" s="260" t="s">
        <v>190</v>
      </c>
      <c r="G44" s="260" t="s">
        <v>191</v>
      </c>
      <c r="H44" s="260" t="s">
        <v>349</v>
      </c>
      <c r="I44" s="260" t="s">
        <v>106</v>
      </c>
      <c r="J44" s="260"/>
      <c r="K44" s="260" t="s">
        <v>350</v>
      </c>
      <c r="L44" s="260" t="s">
        <v>351</v>
      </c>
      <c r="M44" s="260" t="s">
        <v>352</v>
      </c>
      <c r="N44" s="260" t="s">
        <v>111</v>
      </c>
      <c r="O44" s="260" t="s">
        <v>112</v>
      </c>
      <c r="P44" s="10">
        <v>200</v>
      </c>
      <c r="Q44" s="11">
        <v>300</v>
      </c>
      <c r="R44" s="11">
        <f t="shared" si="53"/>
        <v>112</v>
      </c>
      <c r="S44" s="11" t="str">
        <f>VLOOKUP(K44,'1208 Indeportes'!$K$13:$AK$39,9,0)</f>
        <v>La meta se encuentra en ejecución: Se han recibido solicitudes de 18 municipios, que contemplan un total de 38 parques saludables, de las cuales 7 adjuntan documentos completos para el proceso. Se realizó el estudio del sector y del mercado para llevar a cabo la etapa pre contractual de la adquisición de parques saludables. Se inicia el proceso de contratación para la dotación de 15 parques saludables para los municipios del departamento.</v>
      </c>
      <c r="T44" s="11">
        <v>15</v>
      </c>
      <c r="U44" s="11">
        <v>0</v>
      </c>
      <c r="V44" s="11">
        <v>15</v>
      </c>
      <c r="W44" s="11">
        <v>0</v>
      </c>
      <c r="X44" s="11">
        <v>0</v>
      </c>
      <c r="Y44" s="11">
        <v>0</v>
      </c>
      <c r="Z44" s="11">
        <v>0</v>
      </c>
      <c r="AA44" s="11">
        <v>0</v>
      </c>
      <c r="AB44" s="11" t="s">
        <v>353</v>
      </c>
      <c r="AC44" s="11">
        <v>0</v>
      </c>
      <c r="AD44" s="403">
        <v>115</v>
      </c>
      <c r="AE44" s="403">
        <v>0</v>
      </c>
      <c r="AF44" s="11">
        <f>VLOOKUP(K44,'1208 Indeportes'!$K$13:$AH$39,22,0)</f>
        <v>112</v>
      </c>
      <c r="AG44" s="11">
        <f>VLOOKUP(K44,'1208 Indeportes'!$K$13:$AH$39,23,0)</f>
        <v>0</v>
      </c>
      <c r="AH44" s="11">
        <f t="shared" si="54"/>
        <v>112</v>
      </c>
      <c r="AI44" s="11">
        <f>VLOOKUP(K44,'1208 Indeportes'!$K$13:$AK$39,25,0)</f>
        <v>0</v>
      </c>
      <c r="AJ44" s="11" t="str">
        <f>VLOOKUP(K44,'1208 Indeportes'!$K$13:$AK$39,26,0)</f>
        <v>Se encuentran ejecución 14 convenios firmados en diciembre de 2020, en los cuales se estableció la dotación de módulos saludables (8 módulos por cada convenio), se tendría en total 112 módulos saludables (Gutiérrez, La Vega, Carmen de Carupa, Chía, Tocancipa, Nocaima, Ubalá,, Nilo, La mesa, Gachalá, Viotá, Ubaté, La Palma, Funza)</v>
      </c>
      <c r="AK44" s="11">
        <f>VLOOKUP(K44,'1208 Indeportes'!$K$13:$AK$39,27,0)</f>
        <v>0</v>
      </c>
      <c r="AL44" s="11">
        <v>100</v>
      </c>
      <c r="AM44" s="11">
        <v>0</v>
      </c>
      <c r="AN44" s="11">
        <v>85</v>
      </c>
      <c r="AO44" s="11">
        <v>0</v>
      </c>
      <c r="AP44" s="11">
        <v>0</v>
      </c>
      <c r="AQ44" s="11">
        <v>0</v>
      </c>
      <c r="AR44" s="51">
        <v>615333333</v>
      </c>
      <c r="AS44" s="54">
        <v>0</v>
      </c>
      <c r="AT44" s="54">
        <f t="shared" si="0"/>
        <v>615333333</v>
      </c>
      <c r="AU44" s="51">
        <v>450792000</v>
      </c>
      <c r="AV44" s="243">
        <v>300000000</v>
      </c>
      <c r="AW44" s="244"/>
      <c r="AX44" s="244"/>
      <c r="AY44" s="243">
        <v>0</v>
      </c>
      <c r="AZ44" s="44">
        <f t="shared" si="55"/>
        <v>0.37333333333333335</v>
      </c>
      <c r="BA44" s="44">
        <v>0.05</v>
      </c>
      <c r="BB44" s="44">
        <v>0</v>
      </c>
      <c r="BC44" s="44">
        <f t="shared" si="56"/>
        <v>0.38333333333333336</v>
      </c>
      <c r="BD44" s="44" cm="1">
        <f t="array" ref="BD44">_xlfn.IFS(AD44=0,"NA",AD44&gt;0,AH44/AD44)</f>
        <v>0.97391304347826091</v>
      </c>
      <c r="BE44" s="44">
        <f t="shared" si="57"/>
        <v>0.33333333333333331</v>
      </c>
      <c r="BF44" s="44">
        <v>0</v>
      </c>
      <c r="BG44" s="44">
        <f t="shared" si="58"/>
        <v>0.28333333333333333</v>
      </c>
      <c r="BH44" s="44">
        <v>0</v>
      </c>
      <c r="BI44" s="44">
        <f t="shared" si="59"/>
        <v>0</v>
      </c>
      <c r="BJ44" s="44" t="s">
        <v>115</v>
      </c>
      <c r="BK44" s="44">
        <f t="shared" si="1"/>
        <v>0.37333333333333335</v>
      </c>
      <c r="BL44" s="44">
        <v>0</v>
      </c>
      <c r="BM44" s="44" cm="1">
        <f t="array" ref="BM44">_xlfn.IFS(BD44="NA","NA",BD44&gt;100%,"100%",BD44&lt;100,BD44)</f>
        <v>0.97391304347826091</v>
      </c>
      <c r="BN44" s="44" cm="1">
        <f t="array" ref="BN44">_xlfn.IFS(BF44="NA","NA",BF44&gt;100%,"100%",BF44&lt;100,BF44)</f>
        <v>0</v>
      </c>
      <c r="BO44" s="44" cm="1">
        <f t="array" ref="BO44">_xlfn.IFS(BH44="NA","NA",BH44&gt;100%,"100%",BH44&lt;100,BH44)</f>
        <v>0</v>
      </c>
      <c r="BP44" s="44" t="str" cm="1">
        <f t="array" ref="BP44">_xlfn.IFS(BJ44="NA","NA",BJ44&gt;100%,"100%",BJ44&lt;100,BJ44)</f>
        <v>NA</v>
      </c>
      <c r="BQ44" s="45">
        <v>0.22500000000000001</v>
      </c>
      <c r="BR44" s="45">
        <f t="shared" si="2"/>
        <v>8.4000000000000005E-2</v>
      </c>
      <c r="BS44" s="45">
        <v>1.1299999999999999E-2</v>
      </c>
      <c r="BT44" s="45">
        <v>0</v>
      </c>
      <c r="BU44" s="45">
        <v>0</v>
      </c>
      <c r="BV44" s="45">
        <f t="shared" si="60"/>
        <v>8.6249999999999993E-2</v>
      </c>
      <c r="BW44" s="45">
        <f t="shared" si="61"/>
        <v>8.3999999999999991E-2</v>
      </c>
      <c r="BX44" s="45">
        <f t="shared" si="62"/>
        <v>8.4000000000000005E-2</v>
      </c>
      <c r="BY44" s="45">
        <f t="shared" si="63"/>
        <v>7.4999999999999997E-2</v>
      </c>
      <c r="BZ44" s="45">
        <f t="shared" si="64"/>
        <v>0</v>
      </c>
      <c r="CA44" s="45">
        <f t="shared" si="65"/>
        <v>0</v>
      </c>
      <c r="CB44" s="45">
        <f t="shared" si="66"/>
        <v>6.3750000000000001E-2</v>
      </c>
      <c r="CC44" s="45">
        <f t="shared" si="67"/>
        <v>0</v>
      </c>
      <c r="CD44" s="45">
        <v>0</v>
      </c>
      <c r="CE44" s="45">
        <f t="shared" si="68"/>
        <v>0</v>
      </c>
      <c r="CF44" s="45" t="str">
        <f t="shared" si="69"/>
        <v>NA</v>
      </c>
      <c r="CG44" s="45">
        <v>0</v>
      </c>
      <c r="CH44" s="244"/>
      <c r="CI44" s="244"/>
      <c r="CJ44" s="244"/>
      <c r="CK44" s="244"/>
      <c r="CM44" s="63">
        <v>112</v>
      </c>
    </row>
    <row r="45" spans="1:91" ht="18" hidden="1" customHeight="1">
      <c r="A45" s="260" t="s">
        <v>248</v>
      </c>
      <c r="B45" s="260" t="s">
        <v>249</v>
      </c>
      <c r="C45" s="260" t="s">
        <v>100</v>
      </c>
      <c r="D45" s="260" t="s">
        <v>101</v>
      </c>
      <c r="E45" s="260" t="s">
        <v>294</v>
      </c>
      <c r="F45" s="260" t="s">
        <v>190</v>
      </c>
      <c r="G45" s="260" t="s">
        <v>191</v>
      </c>
      <c r="H45" s="260" t="s">
        <v>354</v>
      </c>
      <c r="I45" s="260" t="s">
        <v>106</v>
      </c>
      <c r="J45" s="260"/>
      <c r="K45" s="260" t="s">
        <v>355</v>
      </c>
      <c r="L45" s="260" t="s">
        <v>356</v>
      </c>
      <c r="M45" s="260" t="s">
        <v>357</v>
      </c>
      <c r="N45" s="260" t="s">
        <v>111</v>
      </c>
      <c r="O45" s="260" t="s">
        <v>112</v>
      </c>
      <c r="P45" s="10">
        <v>58</v>
      </c>
      <c r="Q45" s="11">
        <v>103</v>
      </c>
      <c r="R45" s="11">
        <f t="shared" si="53"/>
        <v>0</v>
      </c>
      <c r="S45" s="11" t="str">
        <f>VLOOKUP(K45,'1208 Indeportes'!$K$13:$AK$39,9,0)</f>
        <v>Se realizaron capacitaciones sobre la formulación y estructuración de proyectos de inversión pública a todas las provincias y municipios del departamento, con el fin de acompañar el proceso de presentación de proyectos al instituto. Se está adelantando la revisión de los proyectos radicado en la plataforma BIZAGI. A la fecha tenemos radicados 103 proyectos, de los cuales se han devuelto 18 porque corresponden a escenarios dentro de las instituciones educativas (Secretaría de Educación), revisado 51 y 2 de ellos ya están viabilizados.</v>
      </c>
      <c r="T45" s="11">
        <v>10</v>
      </c>
      <c r="U45" s="11">
        <v>0</v>
      </c>
      <c r="V45" s="11">
        <v>10</v>
      </c>
      <c r="W45" s="11">
        <v>0</v>
      </c>
      <c r="X45" s="11">
        <v>0</v>
      </c>
      <c r="Y45" s="11">
        <v>0</v>
      </c>
      <c r="Z45" s="11">
        <v>0</v>
      </c>
      <c r="AA45" s="11">
        <v>0</v>
      </c>
      <c r="AB45" s="11" t="s">
        <v>358</v>
      </c>
      <c r="AC45" s="11">
        <v>0</v>
      </c>
      <c r="AD45" s="403">
        <v>65</v>
      </c>
      <c r="AE45" s="403">
        <v>0</v>
      </c>
      <c r="AF45" s="11">
        <f>VLOOKUP(K45,'1208 Indeportes'!$K$13:$AH$39,22,0)</f>
        <v>0</v>
      </c>
      <c r="AG45" s="11">
        <f>VLOOKUP(K45,'1208 Indeportes'!$K$13:$AH$39,23,0)</f>
        <v>0</v>
      </c>
      <c r="AH45" s="11">
        <f t="shared" si="54"/>
        <v>0</v>
      </c>
      <c r="AI45" s="11">
        <f>VLOOKUP(K45,'1208 Indeportes'!$K$13:$AK$39,25,0)</f>
        <v>0</v>
      </c>
      <c r="AJ45" s="11" t="str">
        <f>VLOOKUP(K45,'1208 Indeportes'!$K$13:$AK$39,26,0)</f>
        <v>Durante el último bimestre del año 2020 se suscribieron 68 convenios interadministrativos con los Municipios del Departamento relacionados con construcción y/o adecuación de la infraestructura deportiva, durante el primer trimestre del año los Municipios han venido adelantando los procesos contractuales y se espera que con corte al segundo semestre del año 2021 se tenga un avance superioor al 60% en la ejecución de los Convenios Interadministrativos.</v>
      </c>
      <c r="AK45" s="11">
        <f>VLOOKUP(K45,'1208 Indeportes'!$K$13:$AK$39,27,0)</f>
        <v>0</v>
      </c>
      <c r="AL45" s="11">
        <v>30</v>
      </c>
      <c r="AM45" s="11">
        <v>0</v>
      </c>
      <c r="AN45" s="11">
        <v>8</v>
      </c>
      <c r="AO45" s="11">
        <v>0</v>
      </c>
      <c r="AP45" s="11">
        <v>0</v>
      </c>
      <c r="AQ45" s="11">
        <v>0</v>
      </c>
      <c r="AR45" s="51">
        <v>51553968983</v>
      </c>
      <c r="AS45" s="54">
        <v>-26740438709</v>
      </c>
      <c r="AT45" s="54">
        <f t="shared" si="0"/>
        <v>24813530274</v>
      </c>
      <c r="AU45" s="51">
        <v>51553968983</v>
      </c>
      <c r="AV45" s="243">
        <v>62380440080</v>
      </c>
      <c r="AW45" s="244"/>
      <c r="AX45" s="244"/>
      <c r="AY45" s="243">
        <v>62374439042</v>
      </c>
      <c r="AZ45" s="44">
        <f t="shared" si="55"/>
        <v>0</v>
      </c>
      <c r="BA45" s="44">
        <v>0.15379999999999999</v>
      </c>
      <c r="BB45" s="44">
        <v>0</v>
      </c>
      <c r="BC45" s="44">
        <f t="shared" si="56"/>
        <v>0.6310679611650486</v>
      </c>
      <c r="BD45" s="44" cm="1">
        <f t="array" ref="BD45">_xlfn.IFS(AD45=0,"NA",AD45&gt;0,AH45/AD45)</f>
        <v>0</v>
      </c>
      <c r="BE45" s="44">
        <f t="shared" si="57"/>
        <v>0.29126213592233008</v>
      </c>
      <c r="BF45" s="44">
        <v>0</v>
      </c>
      <c r="BG45" s="44">
        <f t="shared" si="58"/>
        <v>7.7669902912621352E-2</v>
      </c>
      <c r="BH45" s="44">
        <v>0</v>
      </c>
      <c r="BI45" s="44">
        <f t="shared" si="59"/>
        <v>0</v>
      </c>
      <c r="BJ45" s="44" t="s">
        <v>115</v>
      </c>
      <c r="BK45" s="44">
        <f t="shared" si="1"/>
        <v>0</v>
      </c>
      <c r="BL45" s="44">
        <v>0</v>
      </c>
      <c r="BM45" s="44" cm="1">
        <f t="array" ref="BM45">_xlfn.IFS(BD45="NA","NA",BD45&gt;100%,"100%",BD45&lt;100,BD45)</f>
        <v>0</v>
      </c>
      <c r="BN45" s="44" cm="1">
        <f t="array" ref="BN45">_xlfn.IFS(BF45="NA","NA",BF45&gt;100%,"100%",BF45&lt;100,BF45)</f>
        <v>0</v>
      </c>
      <c r="BO45" s="44" cm="1">
        <f t="array" ref="BO45">_xlfn.IFS(BH45="NA","NA",BH45&gt;100%,"100%",BH45&lt;100,BH45)</f>
        <v>0</v>
      </c>
      <c r="BP45" s="44" t="str" cm="1">
        <f t="array" ref="BP45">_xlfn.IFS(BJ45="NA","NA",BJ45&gt;100%,"100%",BJ45&lt;100,BJ45)</f>
        <v>NA</v>
      </c>
      <c r="BQ45" s="45">
        <v>0.22500000000000001</v>
      </c>
      <c r="BR45" s="45">
        <f t="shared" si="2"/>
        <v>0</v>
      </c>
      <c r="BS45" s="45">
        <v>3.4599999999999999E-2</v>
      </c>
      <c r="BT45" s="45">
        <v>0</v>
      </c>
      <c r="BU45" s="45">
        <v>0</v>
      </c>
      <c r="BV45" s="45">
        <f t="shared" si="60"/>
        <v>0.14199029126213591</v>
      </c>
      <c r="BW45" s="45">
        <f t="shared" si="61"/>
        <v>0</v>
      </c>
      <c r="BX45" s="45">
        <f t="shared" si="62"/>
        <v>0</v>
      </c>
      <c r="BY45" s="45">
        <f t="shared" si="63"/>
        <v>6.553398058252427E-2</v>
      </c>
      <c r="BZ45" s="45">
        <f t="shared" si="64"/>
        <v>0</v>
      </c>
      <c r="CA45" s="45">
        <f t="shared" si="65"/>
        <v>0</v>
      </c>
      <c r="CB45" s="45">
        <f t="shared" si="66"/>
        <v>1.7475728155339806E-2</v>
      </c>
      <c r="CC45" s="45">
        <f t="shared" si="67"/>
        <v>0</v>
      </c>
      <c r="CD45" s="45">
        <v>0</v>
      </c>
      <c r="CE45" s="45">
        <f t="shared" si="68"/>
        <v>0</v>
      </c>
      <c r="CF45" s="45" t="str">
        <f t="shared" si="69"/>
        <v>NA</v>
      </c>
      <c r="CG45" s="45">
        <v>0</v>
      </c>
      <c r="CH45" s="244"/>
      <c r="CI45" s="244"/>
      <c r="CJ45" s="244"/>
      <c r="CK45" s="244"/>
      <c r="CM45" s="63">
        <v>0</v>
      </c>
    </row>
    <row r="46" spans="1:91" ht="18" hidden="1" customHeight="1">
      <c r="A46" s="260" t="s">
        <v>248</v>
      </c>
      <c r="B46" s="260" t="s">
        <v>249</v>
      </c>
      <c r="C46" s="260" t="s">
        <v>100</v>
      </c>
      <c r="D46" s="260" t="s">
        <v>101</v>
      </c>
      <c r="E46" s="260" t="s">
        <v>294</v>
      </c>
      <c r="F46" s="260" t="s">
        <v>190</v>
      </c>
      <c r="G46" s="260" t="s">
        <v>191</v>
      </c>
      <c r="H46" s="260" t="s">
        <v>359</v>
      </c>
      <c r="I46" s="260" t="s">
        <v>106</v>
      </c>
      <c r="J46" s="260"/>
      <c r="K46" s="260" t="s">
        <v>360</v>
      </c>
      <c r="L46" s="260" t="s">
        <v>361</v>
      </c>
      <c r="M46" s="260" t="s">
        <v>362</v>
      </c>
      <c r="N46" s="260" t="s">
        <v>111</v>
      </c>
      <c r="O46" s="260" t="s">
        <v>112</v>
      </c>
      <c r="P46" s="10">
        <v>0</v>
      </c>
      <c r="Q46" s="11">
        <v>1</v>
      </c>
      <c r="R46" s="11">
        <f t="shared" si="53"/>
        <v>0</v>
      </c>
      <c r="S46" s="11">
        <f>VLOOKUP(K46,'1208 Indeportes'!$K$13:$AK$39,9,0)</f>
        <v>0</v>
      </c>
      <c r="T46" s="11">
        <v>0.25</v>
      </c>
      <c r="U46" s="11">
        <v>0</v>
      </c>
      <c r="V46" s="11">
        <v>0.25</v>
      </c>
      <c r="W46" s="11">
        <v>0</v>
      </c>
      <c r="X46" s="11">
        <v>0</v>
      </c>
      <c r="Y46" s="11">
        <v>0</v>
      </c>
      <c r="Z46" s="11">
        <v>0</v>
      </c>
      <c r="AA46" s="11"/>
      <c r="AB46" s="11"/>
      <c r="AC46" s="11"/>
      <c r="AD46" s="403">
        <v>0.25</v>
      </c>
      <c r="AE46" s="403">
        <v>0</v>
      </c>
      <c r="AF46" s="11">
        <f>VLOOKUP(K46,'1208 Indeportes'!$K$13:$AH$39,22,0)</f>
        <v>0</v>
      </c>
      <c r="AG46" s="11">
        <f>VLOOKUP(K46,'1208 Indeportes'!$K$13:$AH$39,23,0)</f>
        <v>0</v>
      </c>
      <c r="AH46" s="11">
        <f t="shared" si="54"/>
        <v>0</v>
      </c>
      <c r="AI46" s="11">
        <f>VLOOKUP(K46,'1208 Indeportes'!$K$13:$AK$39,25,0)</f>
        <v>0</v>
      </c>
      <c r="AJ46" s="11" t="str">
        <f>VLOOKUP(K46,'1208 Indeportes'!$K$13:$AK$39,26,0)</f>
        <v>Se han adelantado diferentes reuniones con el Municipio de Soacha y el Municipio de Chía quienes han manifestado su interes para la construcción del Cnetro de Alto Rendimiento en sus Municipios, sin embargo, la Alcaldía de Soacha se comprometio a destinar los recursos necesarios para la fase de estudios y diseños.</v>
      </c>
      <c r="AK46" s="11">
        <f>VLOOKUP(K46,'1208 Indeportes'!$K$13:$AK$39,27,0)</f>
        <v>0</v>
      </c>
      <c r="AL46" s="11">
        <v>0.25</v>
      </c>
      <c r="AM46" s="11">
        <v>0</v>
      </c>
      <c r="AN46" s="11">
        <v>0.5</v>
      </c>
      <c r="AO46" s="11">
        <v>0</v>
      </c>
      <c r="AP46" s="11">
        <v>0</v>
      </c>
      <c r="AQ46" s="11">
        <v>0</v>
      </c>
      <c r="AR46" s="51">
        <v>500000000</v>
      </c>
      <c r="AS46" s="54">
        <v>0</v>
      </c>
      <c r="AT46" s="54">
        <f t="shared" si="0"/>
        <v>500000000</v>
      </c>
      <c r="AU46" s="52"/>
      <c r="AV46" s="243">
        <v>0</v>
      </c>
      <c r="AW46" s="244"/>
      <c r="AX46" s="244"/>
      <c r="AY46" s="243">
        <v>0</v>
      </c>
      <c r="AZ46" s="44">
        <f t="shared" si="55"/>
        <v>0</v>
      </c>
      <c r="BA46" s="44">
        <v>0.25</v>
      </c>
      <c r="BB46" s="44">
        <v>0</v>
      </c>
      <c r="BC46" s="44">
        <f t="shared" si="56"/>
        <v>0.25</v>
      </c>
      <c r="BD46" s="44" cm="1">
        <f t="array" ref="BD46">_xlfn.IFS(AD46=0,"NA",AD46&gt;0,AH46/AD46)</f>
        <v>0</v>
      </c>
      <c r="BE46" s="44">
        <f t="shared" si="57"/>
        <v>0.25</v>
      </c>
      <c r="BF46" s="44">
        <v>0</v>
      </c>
      <c r="BG46" s="44">
        <f t="shared" si="58"/>
        <v>0.5</v>
      </c>
      <c r="BH46" s="44">
        <v>0</v>
      </c>
      <c r="BI46" s="44">
        <f t="shared" si="59"/>
        <v>0</v>
      </c>
      <c r="BJ46" s="44" t="s">
        <v>115</v>
      </c>
      <c r="BK46" s="44">
        <f t="shared" si="1"/>
        <v>0</v>
      </c>
      <c r="BL46" s="44">
        <v>0</v>
      </c>
      <c r="BM46" s="44" cm="1">
        <f t="array" ref="BM46">_xlfn.IFS(BD46="NA","NA",BD46&gt;100%,"100%",BD46&lt;100,BD46)</f>
        <v>0</v>
      </c>
      <c r="BN46" s="44" cm="1">
        <f t="array" ref="BN46">_xlfn.IFS(BF46="NA","NA",BF46&gt;100%,"100%",BF46&lt;100,BF46)</f>
        <v>0</v>
      </c>
      <c r="BO46" s="44" cm="1">
        <f t="array" ref="BO46">_xlfn.IFS(BH46="NA","NA",BH46&gt;100%,"100%",BH46&lt;100,BH46)</f>
        <v>0</v>
      </c>
      <c r="BP46" s="44" t="str" cm="1">
        <f t="array" ref="BP46">_xlfn.IFS(BJ46="NA","NA",BJ46&gt;100%,"100%",BJ46&lt;100,BJ46)</f>
        <v>NA</v>
      </c>
      <c r="BQ46" s="45">
        <v>0.22500000000000001</v>
      </c>
      <c r="BR46" s="45">
        <f t="shared" si="2"/>
        <v>0</v>
      </c>
      <c r="BS46" s="45">
        <v>5.6300000000000003E-2</v>
      </c>
      <c r="BT46" s="45">
        <v>0</v>
      </c>
      <c r="BU46" s="45">
        <v>0</v>
      </c>
      <c r="BV46" s="45">
        <f t="shared" si="60"/>
        <v>5.6250000000000001E-2</v>
      </c>
      <c r="BW46" s="45">
        <f t="shared" si="61"/>
        <v>0</v>
      </c>
      <c r="BX46" s="45">
        <f t="shared" si="62"/>
        <v>0</v>
      </c>
      <c r="BY46" s="45">
        <f t="shared" si="63"/>
        <v>5.6250000000000001E-2</v>
      </c>
      <c r="BZ46" s="45">
        <f t="shared" si="64"/>
        <v>0</v>
      </c>
      <c r="CA46" s="45">
        <f t="shared" si="65"/>
        <v>0</v>
      </c>
      <c r="CB46" s="45">
        <f t="shared" si="66"/>
        <v>0.1125</v>
      </c>
      <c r="CC46" s="45">
        <f t="shared" si="67"/>
        <v>0</v>
      </c>
      <c r="CD46" s="45">
        <v>0</v>
      </c>
      <c r="CE46" s="45">
        <f t="shared" si="68"/>
        <v>0</v>
      </c>
      <c r="CF46" s="45" t="str">
        <f t="shared" si="69"/>
        <v>NA</v>
      </c>
      <c r="CG46" s="45">
        <v>0</v>
      </c>
      <c r="CH46" s="244"/>
      <c r="CI46" s="244"/>
      <c r="CJ46" s="244"/>
      <c r="CK46" s="244"/>
      <c r="CM46" s="63">
        <v>0</v>
      </c>
    </row>
    <row r="47" spans="1:91" ht="18" hidden="1" customHeight="1">
      <c r="A47" s="260" t="s">
        <v>292</v>
      </c>
      <c r="B47" s="260" t="s">
        <v>293</v>
      </c>
      <c r="C47" s="260" t="s">
        <v>100</v>
      </c>
      <c r="D47" s="260" t="s">
        <v>101</v>
      </c>
      <c r="E47" s="260" t="s">
        <v>294</v>
      </c>
      <c r="F47" s="260" t="s">
        <v>363</v>
      </c>
      <c r="G47" s="260" t="s">
        <v>364</v>
      </c>
      <c r="H47" s="260" t="s">
        <v>365</v>
      </c>
      <c r="I47" s="260" t="s">
        <v>255</v>
      </c>
      <c r="J47" s="260" t="s">
        <v>366</v>
      </c>
      <c r="K47" s="260" t="s">
        <v>367</v>
      </c>
      <c r="L47" s="260" t="s">
        <v>368</v>
      </c>
      <c r="M47" s="260" t="s">
        <v>369</v>
      </c>
      <c r="N47" s="260" t="s">
        <v>111</v>
      </c>
      <c r="O47" s="260" t="s">
        <v>124</v>
      </c>
      <c r="P47" s="10">
        <v>1</v>
      </c>
      <c r="Q47" s="11">
        <v>1</v>
      </c>
      <c r="R47" s="11">
        <f>(Z47+AH47)/CL47</f>
        <v>0.5</v>
      </c>
      <c r="S47" s="11" t="str">
        <f>VLOOKUP(K47,'1108 Educación'!$K$13:$AK$40,9,0)</f>
        <v xml:space="preserve">Durante la vigencia 2020 y 2021 se han realizado los giros de los recursos de apoyo financiero a la Universidad de Cundinamarca, dineros destinados al mejoramiento de la calidad del servicio educativo que presta la Institución, ubicada en 9 puntos estratégicos del Departamento que le permite impactar alrededor de 6 provincias.  </v>
      </c>
      <c r="T47" s="11">
        <v>0</v>
      </c>
      <c r="U47" s="11">
        <v>1</v>
      </c>
      <c r="V47" s="11">
        <v>0</v>
      </c>
      <c r="W47" s="11">
        <v>1</v>
      </c>
      <c r="X47" s="11" t="s">
        <v>115</v>
      </c>
      <c r="Y47" s="11">
        <v>1</v>
      </c>
      <c r="Z47" s="11">
        <v>1</v>
      </c>
      <c r="AA47" s="11">
        <v>0</v>
      </c>
      <c r="AB47" s="11" t="s">
        <v>370</v>
      </c>
      <c r="AC47" s="11" t="s">
        <v>371</v>
      </c>
      <c r="AD47" s="403">
        <v>0</v>
      </c>
      <c r="AE47" s="403">
        <v>1</v>
      </c>
      <c r="AF47" s="11">
        <f>VLOOKUP(K47,'1108 Educación'!$K$13:$AK$40,22,0)</f>
        <v>0</v>
      </c>
      <c r="AG47" s="11">
        <f>VLOOKUP(K47,'1108 Educación'!$K$13:$AK$40,23,0)</f>
        <v>1</v>
      </c>
      <c r="AH47" s="11">
        <f>AG47</f>
        <v>1</v>
      </c>
      <c r="AI47" s="11" t="str">
        <f>VLOOKUP(K47,'1108 Educación'!$K$13:$AK$40,25,0)</f>
        <v>Transferencia de Recursos a la Universidad de CUndinamarca.</v>
      </c>
      <c r="AJ47" s="11" t="str">
        <f>VLOOKUP(K47,'1108 Educación'!$K$13:$AK$40,26,0)</f>
        <v>A través de la Resolución No 001149 de fecha 25 de marzo de 2021, y  la resolucion 002036 se ordeno el giro No. 1 y No. 2  de los recursos de apoyo financiero a la Universidad de Cundinamarca, dineros destinados al mejoramiento de la calidad del servicio educativo que presta la Institución, ubicada en 9 puntos estratégicos del Departamento que le permite impactar alrededor de 6 provincias, Se esta avanzando en el proceso para la realización del segundo giro de la vigencia 2021.  Mediante Resolución No 03585 del 21 de Septiembre se realizó el tercer giro de recursos por valor de 43.852.405.465 a la Universidad de Cundinamarca con lo cual el Departamento de Cundinamarca continua con el apoyo para mejorar la  calidad educativa de los estudiantes de esta IE saliada. Durante el mes de Octubre se expide la Resolución No 003833 del 13 de octubre de 2021 con la cual se ordena el giro de recursos a la Universidad de Cundinamarca por valor de $18.512.990.039, resolución a la cual se le debió realizar una modificación por no contar presupuestalmente con el 100% de los valores de estampilla Pro-UDEC cobrados por la Universidad de Cundinamarca de acuerdo a lo certificado por Hacienda Departamental. El ajuste se realiza mediante resolución No 004000 del 28 de octubre de 2021 por valor de $18.349.934.140.</v>
      </c>
      <c r="AK47" s="11" t="str">
        <f>VLOOKUP(K47,'1108 Educación'!$K$13:$AK$40,27,0)</f>
        <v>Los valores apropiados en la meta 36 para la vigencia 2021 por el Fondo 3-0220 fueron superados por lo recaudado por Hacienda Departamental por concepto de Estampilla Pro-Universidad de Cundinamarca, sin embargo, la Universidad sigue realizando el cobro de los recursos y desde la Dirección de Educacion Superior no se va a poder realizar mas giros por no contar con recursos en el presupuesto.</v>
      </c>
      <c r="AL47" s="11">
        <v>0</v>
      </c>
      <c r="AM47" s="11">
        <v>1</v>
      </c>
      <c r="AN47" s="11">
        <v>0</v>
      </c>
      <c r="AO47" s="11">
        <v>1</v>
      </c>
      <c r="AP47" s="11">
        <v>0</v>
      </c>
      <c r="AQ47" s="11">
        <v>0</v>
      </c>
      <c r="AR47" s="51">
        <v>15701161061</v>
      </c>
      <c r="AS47" s="54">
        <v>0</v>
      </c>
      <c r="AT47" s="54">
        <f t="shared" si="0"/>
        <v>15701161061</v>
      </c>
      <c r="AU47" s="51">
        <v>15701161061</v>
      </c>
      <c r="AV47" s="243">
        <v>40774554928</v>
      </c>
      <c r="AW47" s="244"/>
      <c r="AX47" s="244"/>
      <c r="AY47" s="243">
        <v>30323647188</v>
      </c>
      <c r="AZ47" s="44" cm="1">
        <f t="array" ref="AZ47">_xlfn.IFS((BA47=0),(BD47/CL47),(BA47&gt;0),((BB47+BD47)/CL47),(BE47&gt;0),((BB47+BD47+BE47)/CL47),(BG47&gt;0),((BB47+BD47+BE47+G47)/CL47))</f>
        <v>0.5</v>
      </c>
      <c r="BA47" s="44">
        <v>0.25</v>
      </c>
      <c r="BB47" s="44">
        <v>1</v>
      </c>
      <c r="BC47" s="44">
        <f>IF(AE47&gt;0,(1/CL47),0)</f>
        <v>0.25</v>
      </c>
      <c r="BD47" s="44" cm="1">
        <f t="array" ref="BD47">_xlfn.IFS(AE47=0,"NA",AE47&gt;0,AH47/AE47)</f>
        <v>1</v>
      </c>
      <c r="BE47" s="44">
        <f>IF(AM47&gt;0,(1/CL47),0)</f>
        <v>0.25</v>
      </c>
      <c r="BF47" s="44">
        <v>0</v>
      </c>
      <c r="BG47" s="44">
        <f>IF(AO47&gt;0,(1/CL47),0)</f>
        <v>0.25</v>
      </c>
      <c r="BH47" s="44">
        <v>0</v>
      </c>
      <c r="BI47" s="44">
        <v>0</v>
      </c>
      <c r="BJ47" s="44" t="s">
        <v>115</v>
      </c>
      <c r="BK47" s="44">
        <f t="shared" si="1"/>
        <v>0.5</v>
      </c>
      <c r="BL47" s="44">
        <v>1</v>
      </c>
      <c r="BM47" s="44" cm="1">
        <f t="array" ref="BM47">_xlfn.IFS(BD47="NA","NA",BD47&gt;100%,"100%",BD47&lt;100,BD47)</f>
        <v>1</v>
      </c>
      <c r="BN47" s="44">
        <v>0</v>
      </c>
      <c r="BO47" s="44">
        <v>0</v>
      </c>
      <c r="BP47" s="44" t="s">
        <v>115</v>
      </c>
      <c r="BQ47" s="220">
        <v>0.22500000000000001</v>
      </c>
      <c r="BR47" s="45">
        <f t="shared" si="2"/>
        <v>0.1125</v>
      </c>
      <c r="BS47" s="45">
        <v>5.6300000000000003E-2</v>
      </c>
      <c r="BT47" s="45">
        <v>5.6300000000000003E-2</v>
      </c>
      <c r="BU47" s="45">
        <v>5.6300000000000003E-2</v>
      </c>
      <c r="BV47" s="45">
        <v>5.6300000000000003E-2</v>
      </c>
      <c r="BW47" s="45">
        <f t="shared" si="61"/>
        <v>5.6300000000000003E-2</v>
      </c>
      <c r="BX47" s="45">
        <f t="shared" si="62"/>
        <v>5.62E-2</v>
      </c>
      <c r="BY47" s="45">
        <v>5.6300000000000003E-2</v>
      </c>
      <c r="BZ47" s="45">
        <v>0</v>
      </c>
      <c r="CA47" s="45">
        <f t="shared" si="5"/>
        <v>0</v>
      </c>
      <c r="CB47" s="45">
        <v>5.6300000000000003E-2</v>
      </c>
      <c r="CC47" s="45">
        <v>0</v>
      </c>
      <c r="CD47" s="45">
        <v>0</v>
      </c>
      <c r="CE47" s="45">
        <v>0</v>
      </c>
      <c r="CF47" s="45" t="s">
        <v>115</v>
      </c>
      <c r="CG47" s="45">
        <v>0</v>
      </c>
      <c r="CH47" s="244">
        <f>IF(W47&gt;0,1,0)</f>
        <v>1</v>
      </c>
      <c r="CI47" s="244">
        <f>IF(AE47&gt;0,1,0)</f>
        <v>1</v>
      </c>
      <c r="CJ47" s="244">
        <f>IF(AM47&gt;0,1,0)</f>
        <v>1</v>
      </c>
      <c r="CK47" s="244">
        <f>IF(AO47&gt;0,1,0)</f>
        <v>1</v>
      </c>
      <c r="CL47">
        <f>CH47+CI47+CJ47+CK47</f>
        <v>4</v>
      </c>
      <c r="CM47" s="63">
        <f>AVERAGE(Z47,AH47)</f>
        <v>1</v>
      </c>
    </row>
    <row r="48" spans="1:91" ht="18" hidden="1" customHeight="1">
      <c r="A48" s="260" t="s">
        <v>292</v>
      </c>
      <c r="B48" s="260" t="s">
        <v>293</v>
      </c>
      <c r="C48" s="260" t="s">
        <v>100</v>
      </c>
      <c r="D48" s="260" t="s">
        <v>101</v>
      </c>
      <c r="E48" s="260" t="s">
        <v>294</v>
      </c>
      <c r="F48" s="260" t="s">
        <v>372</v>
      </c>
      <c r="G48" s="260" t="s">
        <v>373</v>
      </c>
      <c r="H48" s="260" t="s">
        <v>374</v>
      </c>
      <c r="I48" s="260" t="s">
        <v>255</v>
      </c>
      <c r="J48" s="260"/>
      <c r="K48" s="260" t="s">
        <v>375</v>
      </c>
      <c r="L48" s="260" t="s">
        <v>376</v>
      </c>
      <c r="M48" s="260" t="s">
        <v>377</v>
      </c>
      <c r="N48" s="260" t="s">
        <v>111</v>
      </c>
      <c r="O48" s="260" t="s">
        <v>112</v>
      </c>
      <c r="P48" s="10">
        <v>3000</v>
      </c>
      <c r="Q48" s="11">
        <v>6000</v>
      </c>
      <c r="R48" s="11">
        <f>Z48+AH48</f>
        <v>4221</v>
      </c>
      <c r="S48" s="11" t="str">
        <f>VLOOKUP(K48,'1108 Educación'!$K$13:$AK$40,9,0)</f>
        <v xml:space="preserve">A través de procesos  se formación de docentes y directivos docentes  con entidades como la universidad de la Salle, universidad pedagógica tecnológica de Colombia  la universidad Antonio Nariño y la DIAN se han actualizado  3.994 docentes  y directivos docentes del Departamento en temas de fortalecimiento de las competencias básicas y socioemocionales “desarrollo de habilidades, principios y valores para la vida y el trabajo”  cultura de la contribución en la escuela". y formación en liderazgo. </v>
      </c>
      <c r="T48" s="11">
        <v>3000</v>
      </c>
      <c r="U48" s="11">
        <v>0</v>
      </c>
      <c r="V48" s="11">
        <v>443</v>
      </c>
      <c r="W48" s="11">
        <v>0</v>
      </c>
      <c r="X48" s="11">
        <v>443</v>
      </c>
      <c r="Y48" s="11">
        <v>0</v>
      </c>
      <c r="Z48" s="11">
        <v>443</v>
      </c>
      <c r="AA48" s="11" t="s">
        <v>378</v>
      </c>
      <c r="AB48" s="11" t="s">
        <v>379</v>
      </c>
      <c r="AC48" s="11" t="s">
        <v>380</v>
      </c>
      <c r="AD48" s="403">
        <v>3778</v>
      </c>
      <c r="AE48" s="403">
        <v>0</v>
      </c>
      <c r="AF48" s="11">
        <f>VLOOKUP(K48,'1108 Educación'!$K$13:$AK$40,22,0)</f>
        <v>3778</v>
      </c>
      <c r="AG48" s="11">
        <f>VLOOKUP(K48,'1108 Educación'!$K$13:$AK$40,23,0)</f>
        <v>0</v>
      </c>
      <c r="AH48" s="11">
        <f>AF48</f>
        <v>3778</v>
      </c>
      <c r="AI48" s="11" t="str">
        <f>VLOOKUP(K48,'1108 Educación'!$K$13:$AK$40,25,0)</f>
        <v xml:space="preserve">Formación a Docentes </v>
      </c>
      <c r="AJ48" s="11" t="str">
        <f>VLOOKUP(K48,'1108 Educación'!$K$13:$AK$40,26,0)</f>
        <v>1. En el marco del convenio  entre la secretaria de educación y la Universidad de LA SALLE, UNIVERSIDAD PEDAGÓGICA TECNOLÓGICA DE COLOMBIA Y LA UNIVERSIDAD ANTONIO NARIÑO, llamado (fortalecimiento de las competencias básicas y socioemocionales Fondo FEm) se dio inicio al componente de formación por medio de un diplomado, dicho componente inicio el 03 de mayo del presente año. 
2. En el programa de la cultura de contribución en la escuela, el cual es liderado por la DIAN y la secretaria de educación, para este programa se implementó un componente de formación el cual comprendía un curso dictado por el SENA, el cual lleva por nombre “DESARROLLO DE HABILIDADES, PRINCIPIOS Y VALORES PARA LA VIDA Y EL TRABAJO”  dicho curso conto con la participación de 21 docentes de los municipios de Guaduas y Yacopi. 
Evidencia: Además se anexa el listado de docentes inscritos en el curso con sus respectivos datos.
3. Se finalizo el proceso de formación del proyecto MIMI "Micasa, mi escuela" Componente de formación "La ruta de formación y cualificación docente 2021", la cual estuvo dividida en cuatro ciclos planeación- flexibilización curricular - práctica pedagógica y evaluación. A través de este proceso se beneficiaron 3.778 docentes del Departamento. 
Para el mes de junio se continua con la formación por parte de la Universidad de la Salle.  En el mes de julio Se continuan desarrollando los procesos de formación con la Universidad de la Salle,  UNIVERSIDAD PEDAGÓGICA TECNOLÓGICA DE COLOMBIA Y LA UNIVERSIDAD ANTONIO NARIÑO, llamado (fortalecimiento de las competencias básicas y socioemocionales Fondo FEm) se dio inicio al componente de formación por medio de un diplomado,
 En el programa de la cultura de contribución en la escuela, el cual es liderado por la DIAN y la secretaria de educación, para este programa se implementó un componente de formación el cual comprendía un curso dictado por el SENA, el cual lleva por nombre “DESARROLLO DE HABILIDADES, PRINCIPIOS Y VALORES PARA LA VIDA Y EL TRABAJO”  dicho curso continua con la participación de los 21 docentes de los municipios de Guaduas y Yacopi
Durante el mes de agosto, a traves del memorando de entendiento firmado  entre la Secretaría de Educación y la Dirección de impuestos y Aduanas Nacionales DIAN, Se formaron 19 docentes en "Cultura de la Contribución en la Escuela".   Durante los meses de agosto y septiembre se ha consolidado el inicio del Proyecto de Mejoramiento de la Calidad Educativa de la Secretaría de Educación, a través del cual se desarrollaran procesos de formación a docentes.Durante el mes de octubre se  continua desarrollando el proceso de formacion a Rectores en el marco de la Escuela de Rectores, del Proyecto de Mejoramiento de la Calidad.</v>
      </c>
      <c r="AK48" s="11">
        <f>VLOOKUP(K48,'1108 Educación'!$K$13:$AK$40,27,0)</f>
        <v>0</v>
      </c>
      <c r="AL48" s="11">
        <v>1500</v>
      </c>
      <c r="AM48" s="11">
        <v>0</v>
      </c>
      <c r="AN48" s="11">
        <v>279</v>
      </c>
      <c r="AO48" s="11">
        <v>0</v>
      </c>
      <c r="AP48" s="11">
        <v>0</v>
      </c>
      <c r="AQ48" s="11">
        <v>0</v>
      </c>
      <c r="AR48" s="52"/>
      <c r="AS48" s="54">
        <v>19398663</v>
      </c>
      <c r="AT48" s="54">
        <f t="shared" si="0"/>
        <v>19398663</v>
      </c>
      <c r="AU48" s="52"/>
      <c r="AV48" s="243">
        <v>3068000000</v>
      </c>
      <c r="AW48" s="244"/>
      <c r="AX48" s="244"/>
      <c r="AY48" s="243">
        <v>2739000000</v>
      </c>
      <c r="AZ48" s="44">
        <f>R48/Q48</f>
        <v>0.70350000000000001</v>
      </c>
      <c r="BA48" s="44">
        <v>7.3800000000000004E-2</v>
      </c>
      <c r="BB48" s="44">
        <v>1</v>
      </c>
      <c r="BC48" s="44">
        <f>AD48/Q48</f>
        <v>0.62966666666666671</v>
      </c>
      <c r="BD48" s="44" cm="1">
        <f t="array" ref="BD48">_xlfn.IFS(AD48=0,"NA",AD48&gt;0,AH48/AD48)</f>
        <v>1</v>
      </c>
      <c r="BE48" s="44">
        <f>AL48/Q48</f>
        <v>0.25</v>
      </c>
      <c r="BF48" s="44">
        <v>0</v>
      </c>
      <c r="BG48" s="44">
        <f>AN48/Q48</f>
        <v>4.65E-2</v>
      </c>
      <c r="BH48" s="44">
        <v>0</v>
      </c>
      <c r="BI48" s="44">
        <f>AP48/Q48</f>
        <v>0</v>
      </c>
      <c r="BJ48" s="44" t="s">
        <v>115</v>
      </c>
      <c r="BK48" s="44">
        <f t="shared" si="1"/>
        <v>0.70350000000000001</v>
      </c>
      <c r="BL48" s="44">
        <v>1</v>
      </c>
      <c r="BM48" s="44" cm="1">
        <f t="array" ref="BM48">_xlfn.IFS(BD48="NA","NA",BD48&gt;100%,"100%",BD48&lt;100,BD48)</f>
        <v>1</v>
      </c>
      <c r="BN48" s="44" cm="1">
        <f t="array" ref="BN48">_xlfn.IFS(BF48="NA","NA",BF48&gt;100%,"100%",BF48&lt;100,BF48)</f>
        <v>0</v>
      </c>
      <c r="BO48" s="44" cm="1">
        <f t="array" ref="BO48">_xlfn.IFS(BH48="NA","NA",BH48&gt;100%,"100%",BH48&lt;100,BH48)</f>
        <v>0</v>
      </c>
      <c r="BP48" s="44" t="str" cm="1">
        <f t="array" ref="BP48">_xlfn.IFS(BJ48="NA","NA",BJ48&gt;100%,"100%",BJ48&lt;100,BJ48)</f>
        <v>NA</v>
      </c>
      <c r="BQ48" s="221">
        <v>0.67500000000000004</v>
      </c>
      <c r="BR48" s="45">
        <f t="shared" si="2"/>
        <v>0.47486250000000002</v>
      </c>
      <c r="BS48" s="45">
        <v>1.66E-2</v>
      </c>
      <c r="BT48" s="45">
        <v>1.66E-2</v>
      </c>
      <c r="BU48" s="45">
        <v>1.66E-2</v>
      </c>
      <c r="BV48" s="45">
        <f>(AD48*BQ48)/Q48</f>
        <v>0.42502500000000004</v>
      </c>
      <c r="BW48" s="45">
        <f t="shared" ref="BW48:BW49" si="70">IF(BM48="NA","NA",BM48*BV48)</f>
        <v>0.42502500000000004</v>
      </c>
      <c r="BX48" s="45">
        <f t="shared" ref="BX48:BX49" si="71">BR48-BU48</f>
        <v>0.45826250000000002</v>
      </c>
      <c r="BY48" s="45">
        <f>(AL48*BQ48)/Q48</f>
        <v>0.16875000000000001</v>
      </c>
      <c r="BZ48" s="45">
        <f>IF(BN48="NA","NA",BN48*BY48)</f>
        <v>0</v>
      </c>
      <c r="CA48" s="45">
        <f t="shared" ref="CA48" si="72">BR48-BU48-BX48</f>
        <v>0</v>
      </c>
      <c r="CB48" s="45">
        <f>(AN48*BQ48)/Q48</f>
        <v>3.1387500000000006E-2</v>
      </c>
      <c r="CC48" s="45">
        <f>IF(BO48="NA","NA",BO48*CB48)</f>
        <v>0</v>
      </c>
      <c r="CD48" s="45">
        <v>0</v>
      </c>
      <c r="CE48" s="45">
        <f>(AP48*BQ48)/Q48</f>
        <v>0</v>
      </c>
      <c r="CF48" s="45" t="str">
        <f>IF(BP48="NA","NA",BP48*CE48)</f>
        <v>NA</v>
      </c>
      <c r="CG48" s="45">
        <v>0</v>
      </c>
      <c r="CH48" s="244"/>
      <c r="CI48" s="244"/>
      <c r="CJ48" s="244"/>
      <c r="CK48" s="244"/>
      <c r="CM48" s="63">
        <v>3994</v>
      </c>
    </row>
    <row r="49" spans="1:91" ht="18" hidden="1" customHeight="1">
      <c r="A49" s="260" t="s">
        <v>292</v>
      </c>
      <c r="B49" s="260" t="s">
        <v>293</v>
      </c>
      <c r="C49" s="260" t="s">
        <v>100</v>
      </c>
      <c r="D49" s="260" t="s">
        <v>101</v>
      </c>
      <c r="E49" s="260" t="s">
        <v>294</v>
      </c>
      <c r="F49" s="260" t="s">
        <v>372</v>
      </c>
      <c r="G49" s="260" t="s">
        <v>373</v>
      </c>
      <c r="H49" s="260" t="s">
        <v>381</v>
      </c>
      <c r="I49" s="260" t="s">
        <v>106</v>
      </c>
      <c r="J49" s="12" t="s">
        <v>382</v>
      </c>
      <c r="K49" s="260" t="s">
        <v>383</v>
      </c>
      <c r="L49" s="260" t="s">
        <v>384</v>
      </c>
      <c r="M49" s="260" t="s">
        <v>385</v>
      </c>
      <c r="N49" s="260" t="s">
        <v>123</v>
      </c>
      <c r="O49" s="260" t="s">
        <v>124</v>
      </c>
      <c r="P49" s="10">
        <v>100</v>
      </c>
      <c r="Q49" s="11">
        <v>100</v>
      </c>
      <c r="R49" s="11">
        <f>(Z49+AH49)/CL49</f>
        <v>43.325000000000003</v>
      </c>
      <c r="S49" s="11" t="str">
        <f>VLOOKUP(K49,'1108 Educación'!$K$13:$AK$40,9,0)</f>
        <v xml:space="preserve">Se benefició al 100% de los docentes, directivos docentes y personal administrativo de las instituciones educativas que corresponde a un total de 12152 funcionarios  con las actividades desarrolladas incluidas en el programa de bienestar laboral 2020,  con  el  desarrollo de   estrategias que permiten mejorar  la calidad de vida,  el desempeño laboral, el desarrollo humano y profesional de los directivos docentes, docentes y el personal administrativo de las instituciones educativas de los municipios no certificados de cundinamarca. Tal como se planteó en el programa de bienestar laboral y de incentivos </v>
      </c>
      <c r="T49" s="11">
        <v>0</v>
      </c>
      <c r="U49" s="11">
        <v>100</v>
      </c>
      <c r="V49" s="11">
        <v>0</v>
      </c>
      <c r="W49" s="11">
        <v>100</v>
      </c>
      <c r="X49" s="11" t="s">
        <v>115</v>
      </c>
      <c r="Y49" s="11">
        <v>100</v>
      </c>
      <c r="Z49" s="11">
        <v>100</v>
      </c>
      <c r="AA49" s="11" t="s">
        <v>386</v>
      </c>
      <c r="AB49" s="11" t="s">
        <v>387</v>
      </c>
      <c r="AC49" s="11">
        <v>0</v>
      </c>
      <c r="AD49" s="403">
        <v>0</v>
      </c>
      <c r="AE49" s="403">
        <v>100</v>
      </c>
      <c r="AF49" s="11">
        <f>VLOOKUP(K49,'1108 Educación'!$K$13:$AK$40,22,0)</f>
        <v>0</v>
      </c>
      <c r="AG49" s="11">
        <f>VLOOKUP(K49,'1108 Educación'!$K$13:$AK$40,23,0)</f>
        <v>73.3</v>
      </c>
      <c r="AH49" s="11">
        <f>AG49</f>
        <v>73.3</v>
      </c>
      <c r="AI49" s="11">
        <f>VLOOKUP(K49,'1108 Educación'!$K$13:$AK$40,25,0)</f>
        <v>0</v>
      </c>
      <c r="AJ49" s="11" t="str">
        <f>VLOOKUP(K49,'1108 Educación'!$K$13:$AK$40,26,0)</f>
        <v>En el mes de febrero  se realizó el encuentro de orientadores educativos con la participación de Colsubsidio ,la Secretaría de Educación quiso destacar, exaltar y reconocer el trabajo comprometido de los orientadores , sobre todo, en esta época de la escuela no presencial, donde han sido un apoyo emocional fundamental para las familias, igualmente  se realizó la primera reunión del Comité Paritario de Seguridad y Salud en el trabajo Copasst , con el fin de establecer los lineamientos a seguir con el acompañamiento al desarrollo de actividades en beneficio de los docentes directivos docentes y administrativos de las instituciones educativas del Departamento de Cundinamarca. Por otra parte, se realizó la encuesta de síntomas osteomuscular orientada a los funcionarios administrativos y operativos, con el fin de evaluar su estado de salud. Con la colaboración de la ARL y la fisioterapeuta mediante acta de reunión del 11 de febrero,  se  adelantó la revisión de los casos de accidentes , enfermedad laboral y enfermedad común para mantener información actualizada y realizar seguimiento a quienes presentan enfermedades. En el mes de marzo  Se adelantaron actividades orientadas al cumplimiento del Plan de Bienestar para brindar a los funcionarios de las Instituciones Educativas conocimientos y destrezas  aplicadas a los funcionarios en el desarrollo de su desempeño en las labores que adelanta    con la realización  del curso de yoga por parte de Colsubsidio dirigido a funcionarios de las instituciones educativas, igualmente se realizaron actividades en desarrollo de la implementación del Sistema de Gestión de Seguridad y Salud en el Trabajo SGSST y orientación  hacia el cumplimiento de los estandares mínimos establecidos para adelantar todas las actividades del SGSST estipuladas por las normas. En el mes de mayo con apoyo de Colsubsidio se realizó el evento de día del maestro. En el mes de junio  Se realizo la inscripcion de vigias ocupacionales para el curso investigación de accidentes e incidentes de trabajo , sensibilización  a funcionarios administrativos de las ied , rectores sobre accidentes de trabajo  a través de piezas publicitarias con acompañamiento de la oficina de prensa de la Secretaría de Educación , curso asistencia técnica soporte logico para el manejo de información herramienta Humano  evaluaci´n resultados encuesta osteomuscular con fisioterapeuta y arl bolivar para determinar el plan de intervención  a los caso de enfermedades musculoesqueleticas seguimiento a casos reportados de covid 19 y acompañamiento a los funcionarios que lo padecieron  reuniones con vigias presentando los deberes y derechos del vigia conforme al decreto 1072 de 2015, Capacitación  a integrantes copasst sobre legislación vigente y cumplimiento de standares mínimos resolución 0312 de 2019 del ministerio del trabajo dictada por Correcol asesor de seguros. PAra el mes de julio se logró beneficiar 26.38% de los docentes,  directivos docentes y administrativos  del Departamento correspondientes a 2.876 funcionarios, igualmente se avanzo en Implementación del Sistema de Gestión de Seguridad y Salud en el Trabajo (SGSST) y se aprueba el plan de bienestar 2021 acta de fecha   julio 2 de 2021, se programa seguimiento mensual e informe final de ejecución en diciembre de 2021, actividades de capacitacion desarrolladas en el SGSST ( descritas en la actividad respectiva ) reunion Copasst julio 2021,  Se efectuo el evento del dia del Servidor Público mediante reunión virtual en plataforma   con orientador y presentador proporcionado por Colsubsidio. Para  el mes de septiembre se emitio la resolución Maestros que dejan huella 2021  y promulgación de cartilla categorias y concurso dirigido adocentes directivos docentes y administrativos.Durante el mes de octubre los docentes ganadores del encuentro folclorico y cultural Departamental  seleccionados participaran en el encuentro folclorico y cultural Nacional, convocado por el Ministerio de educación para la semana del 2 al 5 de noviembre de 2021 , en el municipio de melgar, Tolima . Se esta adelantando la  final Nacional de los juegos deportivos del magisterio  en el municipio de  Melgar, Tolima , convocada por el Ministerio de Educación , con la participación de Cundinamarca en tres disciplinas masculinas  Futbol sala  ,Voleibol y  Baloncesto  la resolucion respectiva da permiso a los docentes conformada por los  participantes clasificados para los juegos  nacionales. Se realiza ajuste del proyecto de resolución de maestros que dejan huella y revisión por parte de la Subsecretaría de Educación,definición de la plataforma para inscripción de los docentes de instituciones educativas que deseen participar en las diferentes categorías con su respectivo instructivo para registro.Se solicitó la disponibilidad presupuestal y se prerpapraron los estudios previos para tramite en la oficina jurídica  para la realización exámenes médicos ocupacionales al personal administrativo de las IED, se desarrollo el curso manejo de herramientas por parte de los funcionarios administrativos  mediante la plataforma PROFE a ARL Bolivar.</v>
      </c>
      <c r="AK49" s="11">
        <f>VLOOKUP(K49,'1108 Educación'!$K$13:$AK$40,27,0)</f>
        <v>0</v>
      </c>
      <c r="AL49" s="11">
        <v>0</v>
      </c>
      <c r="AM49" s="11">
        <v>100</v>
      </c>
      <c r="AN49" s="11">
        <v>0</v>
      </c>
      <c r="AO49" s="11">
        <v>100</v>
      </c>
      <c r="AP49" s="11">
        <v>0</v>
      </c>
      <c r="AQ49" s="11">
        <v>0</v>
      </c>
      <c r="AR49" s="52"/>
      <c r="AS49" s="54">
        <v>57000000</v>
      </c>
      <c r="AT49" s="54">
        <f t="shared" si="0"/>
        <v>57000000</v>
      </c>
      <c r="AU49" s="52"/>
      <c r="AV49" s="243">
        <v>201472018</v>
      </c>
      <c r="AW49" s="244"/>
      <c r="AX49" s="244"/>
      <c r="AY49" s="243">
        <v>0</v>
      </c>
      <c r="AZ49" s="44" cm="1">
        <f t="array" ref="AZ49">_xlfn.IFS((BA49=0),(BD49/CL49),(BA49&gt;0),((BB49+BD49)/CL49),(BE49&gt;0),((BB49+BD49+BE49)/CL49),(BG49&gt;0),((BB49+BD49+BE49+G49)/CL49))</f>
        <v>0.43325000000000002</v>
      </c>
      <c r="BA49" s="44">
        <v>0.25</v>
      </c>
      <c r="BB49" s="44">
        <v>1</v>
      </c>
      <c r="BC49" s="44">
        <f>IF(AE49&gt;0,(1/CL49),0)</f>
        <v>0.25</v>
      </c>
      <c r="BD49" s="44" cm="1">
        <f t="array" ref="BD49">_xlfn.IFS(AE49=0,"NA",AE49&gt;0,AH49/AE49)</f>
        <v>0.73299999999999998</v>
      </c>
      <c r="BE49" s="44">
        <f>IF(AM49&gt;0,(1/CL49),0)</f>
        <v>0.25</v>
      </c>
      <c r="BF49" s="44">
        <v>0</v>
      </c>
      <c r="BG49" s="44">
        <f>IF(AO49&gt;0,(1/CL49),0)</f>
        <v>0.25</v>
      </c>
      <c r="BH49" s="44">
        <v>0</v>
      </c>
      <c r="BI49" s="44">
        <v>0</v>
      </c>
      <c r="BJ49" s="44" t="s">
        <v>115</v>
      </c>
      <c r="BK49" s="44">
        <f t="shared" si="1"/>
        <v>0.43325000000000002</v>
      </c>
      <c r="BL49" s="44">
        <v>1</v>
      </c>
      <c r="BM49" s="44" cm="1">
        <f t="array" ref="BM49">_xlfn.IFS(BD49="NA","NA",BD49&gt;100%,"100%",BD49&lt;100,BD49)</f>
        <v>0.73299999999999998</v>
      </c>
      <c r="BN49" s="44">
        <v>0</v>
      </c>
      <c r="BO49" s="44">
        <v>0</v>
      </c>
      <c r="BP49" s="44" t="s">
        <v>115</v>
      </c>
      <c r="BQ49" s="220">
        <v>0.22500000000000001</v>
      </c>
      <c r="BR49" s="45">
        <f t="shared" si="2"/>
        <v>9.7481250000000005E-2</v>
      </c>
      <c r="BS49" s="45">
        <v>5.6300000000000003E-2</v>
      </c>
      <c r="BT49" s="45">
        <v>5.6300000000000003E-2</v>
      </c>
      <c r="BU49" s="45">
        <v>5.6300000000000003E-2</v>
      </c>
      <c r="BV49" s="45">
        <v>5.6300000000000003E-2</v>
      </c>
      <c r="BW49" s="45">
        <f t="shared" si="70"/>
        <v>4.1267900000000003E-2</v>
      </c>
      <c r="BX49" s="45">
        <f t="shared" si="71"/>
        <v>4.1181250000000003E-2</v>
      </c>
      <c r="BY49" s="45">
        <v>5.6300000000000003E-2</v>
      </c>
      <c r="BZ49" s="45">
        <v>0</v>
      </c>
      <c r="CA49" s="45">
        <f t="shared" si="5"/>
        <v>0</v>
      </c>
      <c r="CB49" s="45">
        <v>5.6300000000000003E-2</v>
      </c>
      <c r="CC49" s="45">
        <v>0</v>
      </c>
      <c r="CD49" s="45">
        <v>0</v>
      </c>
      <c r="CE49" s="45">
        <v>0</v>
      </c>
      <c r="CF49" s="45" t="s">
        <v>115</v>
      </c>
      <c r="CG49" s="45">
        <v>0</v>
      </c>
      <c r="CH49" s="244">
        <f>IF(W49&gt;0,1,0)</f>
        <v>1</v>
      </c>
      <c r="CI49" s="244">
        <f>IF(AE49&gt;0,1,0)</f>
        <v>1</v>
      </c>
      <c r="CJ49" s="244">
        <f>IF(AM49&gt;0,1,0)</f>
        <v>1</v>
      </c>
      <c r="CK49" s="244">
        <f>IF(AO49&gt;0,1,0)</f>
        <v>1</v>
      </c>
      <c r="CL49">
        <f>CH49+CI49+CJ49+CK49</f>
        <v>4</v>
      </c>
      <c r="CM49" s="63">
        <f>AVERAGE(Z49,AH49)</f>
        <v>86.65</v>
      </c>
    </row>
    <row r="50" spans="1:91" ht="18" hidden="1" customHeight="1">
      <c r="A50" s="260" t="s">
        <v>388</v>
      </c>
      <c r="B50" s="260" t="s">
        <v>389</v>
      </c>
      <c r="C50" s="260" t="s">
        <v>100</v>
      </c>
      <c r="D50" s="260" t="s">
        <v>101</v>
      </c>
      <c r="E50" s="260" t="s">
        <v>294</v>
      </c>
      <c r="F50" s="260" t="s">
        <v>390</v>
      </c>
      <c r="G50" s="260" t="s">
        <v>391</v>
      </c>
      <c r="H50" s="260" t="s">
        <v>392</v>
      </c>
      <c r="I50" s="260" t="s">
        <v>106</v>
      </c>
      <c r="J50" s="68" t="s">
        <v>393</v>
      </c>
      <c r="K50" s="260" t="s">
        <v>394</v>
      </c>
      <c r="L50" s="260" t="s">
        <v>395</v>
      </c>
      <c r="M50" s="260" t="s">
        <v>131</v>
      </c>
      <c r="N50" s="260" t="s">
        <v>111</v>
      </c>
      <c r="O50" s="260" t="s">
        <v>112</v>
      </c>
      <c r="P50" s="10">
        <v>1</v>
      </c>
      <c r="Q50" s="11">
        <v>1</v>
      </c>
      <c r="R50" s="11">
        <f t="shared" ref="R50:R52" si="73">Z50+AH50</f>
        <v>0.26</v>
      </c>
      <c r="S50" s="11" t="str">
        <f>VLOOKUP(K50,'1123 Transporte'!$K$13:$AK$23,9,0)</f>
        <v>Se creó el esquema funcional del Centro de Estudios (Ceis)  que es El centro de estudios e investigaciones de seguridad vial, desarrolló y organizó los informes provinciales y especiales de manera mensuales Envío a 36  municipios  ( Alcaldes) :*       Informes estadísticos especiales 10 productos*.Investigaciones especiales y boletines 102 productos*.Mapas de calor y tableros gráficos *.Monitoreo de Medios- Diario•       Plataforma en línea abierta con tablero de control, y descarga de datos para el consultante  para un total de 1044 informes especiales cualitativos de publicación online en el link https://www.ceiscundinamarca.com/Los resultados a la fecha son:a.-53,4% en fatalidades en Accidentes de tránsitob.-57,8% en lesiones en accidentes de tránsitoc.-29,9% hurto a Automotoresd.-39,1% hurto a Motocicletase.-168% en abigeatof.-47,4% en Piratería* COMPONENTE JORNADAS PEDAGÓGICAS EN SEGURIDAD VIAL LUDOEDUCADORES  11 Provincias atendidas24 Municipios beneficiados con Jornadas pedagógicas en seguridad vial.75 Instituciones atendidas en las cuales están: Instituciones Educativas, fundaciones, grupos de adulto mayor, instituciones educativas privadas, docentes, Juntas de Acción comunal, Servidores públicos,transportadores , peatones,bici usuarios,motociclistas .Apoyo a los operativos que realizan los municipios en seguridad vial, administraciones municipales de 24 municipios, según relación adjunta.55 bici-usuarios beneficiados con kit de protección5.170 personas sensibilizadas del  2 de junio  al 30 de septiembre  de 2020.</v>
      </c>
      <c r="T50" s="11">
        <v>0.1</v>
      </c>
      <c r="U50" s="11">
        <v>0</v>
      </c>
      <c r="V50" s="11">
        <v>0.1</v>
      </c>
      <c r="W50" s="11">
        <v>0</v>
      </c>
      <c r="X50" s="11">
        <v>0.1</v>
      </c>
      <c r="Y50" s="11">
        <v>0</v>
      </c>
      <c r="Z50" s="11">
        <v>0.1</v>
      </c>
      <c r="AA50" s="11" t="s">
        <v>396</v>
      </c>
      <c r="AB50" s="11" t="s">
        <v>397</v>
      </c>
      <c r="AC50" s="11">
        <v>0</v>
      </c>
      <c r="AD50" s="403">
        <v>0.2</v>
      </c>
      <c r="AE50" s="403">
        <v>0</v>
      </c>
      <c r="AF50" s="11">
        <f>VLOOKUP(K50,'1123 Transporte'!$K$13:$AK$23,22,0)</f>
        <v>0.16</v>
      </c>
      <c r="AG50" s="11">
        <f>VLOOKUP(K50,'1123 Transporte'!$K$13:$AK$23,23,0)</f>
        <v>0</v>
      </c>
      <c r="AH50" s="11">
        <f t="shared" ref="AH50:AH52" si="74">AF50</f>
        <v>0.16</v>
      </c>
      <c r="AI50" s="11" t="str">
        <f>VLOOKUP(K50,'1123 Transporte'!$K$13:$AK$23,25,0)</f>
        <v>INFORMES  ESTADISTICOS MENSUALES/JULIO/INFORMES SINIESTRALIDAD POR MUNICIPIO/464
INFORMES ESTADISTICOS ESPECIALES/JULIO/INFORMES SINIESTRALIDAD POR PROVINCIA/60
INVESTIGACIONES ES PECIALES Y BOLETINES /JULIO/BOLETINES MOVILIDAD PARO/197
MAPAS DE CALOR /JULIO/15
ENVIO MENSUAL DE ALCALDES/JULIO/464
MESAS DE TRABAJO/JULIO/12
PARTICIPACION DEL CEIS EN ESPACIOS EXTERNOS /JULIO/14
PARTICIPACION DEL CEIS EN ESPACIOS INTERNOS/JULIO/15
CREACION DE PROYECTOS ESPECIALES /JULIO/N/A 
CAPACITACIONES EXTERNAS/JULIO/N/A 
CAPACITACIONES INTERNAS/JULIO/7</v>
      </c>
      <c r="AJ50" s="11" t="str">
        <f>VLOOKUP(K50,'1123 Transporte'!$K$13:$AK$23,26,0)</f>
        <v>META 040
 Plataforma en línea abierta con tablero de control, y descarga de datos para el consultante   para un total de 1044 informes especiales cualitativos de publicación online en el link https://www.ceiscundinamarca.com/ con reportes actualizados para los 116 Municipios van 27 informes de siniestralidad vial,  5 de movilidad, 3 de seguimiento a siniestralidad en fechas especificas, 1 de investigación a terminales y centros de despacho, 1 de empresas del  sector transporte y 7 reuniones en las que se  han participado.
DISEÑO PARA REDES SOBRE EL PLAN CANDADO, DIAS ESPECIALES 
AVANCE DE META MES DE ABRIL 2021
DISEÑO PARA REDES SOBRE EL PLAN CANDADO, DIAS ESPECIALES  5           
VIDEO DE DECRETO DE MOVILIDAD 1
VIDEOS SECRETARIO  7
CONTENIDO INFORMATIVO EN EL CANAL DE MOVILIDAD  47 PUBLICACIONES EN TWITTER
040 AVANCES DE MAYO 
- 116-INFORMES ESTADISTICOS MENSUALES INFORMES SINIESTRALIDAD POR MUNICIPIO 
- 15 INFORMES ESTADISTICOS ESPECIALES SINIESTRALIDAD POR PROVINCIA
- 15 BOLETINES INVESTIGACIONES ESPECIALES MOVILIDAD PARO EN VIAS DEPARTAMENTALES 
- 15 MAPAS DE CALOR EN ACCIDENTALIDAD EN LOS MUNICIPIOS DE CUNDINAMMARCA EN  LA PAGINA  WEB DEL CEIS 
Los resultados estadísticos a la fecha son:
a. +48,54% en fatalidades en Accidentes de tránsito
b. +41,68% en lesiones en accidentes de tránsito
c. -3,82% hurto a Automotores
d. +24,7% hurto a Motocicletas
e. +4,55% en abigeato
f. -23,08% en Piratería
Avance mes de junio
De acuerdo con el objetivo de la meta 040 del plan de desarrollo de “Optimizar los mecanismos de recolección, tabulación y normalización para la consolidación de la información” Y “Crear mecanismos de recolección, tabulación y normalización para la consolidación de la información”
Desde el equipo de Centro de Estudios e Investigación en Seguridad Vial- CEIS dirigida por la Gerencia de Estudios sectoriales y de servicio de la secretaria de transporte y movilidad se ha desarrollado los siguientes productos:               
INFORMES  ESTADISTICOS MENSUALES 	JUNIO	INFORMES SINIESTRALIDAD POR MUNICIPIO	348
INFORMES ESTADISTICOS ESPECIALES 	JUNIO	INFORMES SINIESTRALIDAD POR PROVINCIA	45
INVESTIGACIONES ES PECIALES Y BOLETINES 	JUNIO	BOLETINES MOVILIDAD PARO	197
MAPAS DE CALOR 	JUNIO		15
ENVIO MENSUAL DE ALCALDES 	JUNIO		348
MESAS DE TRABAJO	JUNIO		9
PARTICIPACION DEL CEIS EN ESPACIOS EXTERNOS 	JUNIO		8
PARTICIPACION DEL CEIS EN ESPACIOS INTERNOS 	JUNIO		12
CREACION DE PROYECTOS ESPECIALES 	JUNIO	N/A	
CAPACITACIONES EXTERNAS	JUNIO	N/A	
CAPACITACIONES INTERNAS 	JUNIO		4
RESULTADO A LA FECHA 	MAYO	FATALIDADES DE ACCIDENTE  DE TRANSITO
AVANCE DE META MES DE JULIO  
INFORMES  ESTADISTICOS MENSUALES/JULIO/INFORMES SINIESTRALIDAD POR MUNICIPIO/464
INFORMES ESTADISTICOS ESPECIALES/JULIO/INFORMES SINIESTRALIDAD POR PROVINCIA/60
INVESTIGACIONES ES PECIALES Y BOLETINES /JULIO/BOLETINES MOVILIDAD PARO/197
MAPAS DE CALOR /JULIO/15
ENVIO MENSUAL DE ALCALDES/JULIO/464
MESAS DE TRABAJO/JULIO/12
PARTICIPACION DEL CEIS EN ESPACIOS EXTERNOS /JULIO/14
PARTICIPACION DEL CEIS EN ESPACIOS INTERNOS/JULIO/15
CREACION DE PROYECTOS ESPECIALES /JULIO/N/A 
CAPACITACIONES EXTERNAS/JULIO/N/A 
CAPACITACIONES INTERNAS/JULIO/7
RESULTADO A LA FECHA/JUNIO /FATALIDADES DE ACCIDENTE  DE TRANSITO/256
JUNIO LESIONADOS  957
JUNIO HURTO AUTOMOTORES  232
JUNIO HURTO MOTOCICLETAS  526
JUNIO ABIGEATO 109
JUNIO PIRATERIA  23
CONSOLIDADO COMPARATIVO DEL MES DE MAYO 2019 VS 2021  
JUNIO FATALIDADES DE ACCIDENTE  DE TRANSITO  59
JUNIO LESIONADOS  -151
JUNIO HURTO AUTOMOTORES  -1
JUNIO HURTO MOTOCICLETAS  85
JUNIO ABIGEATO -136
JUNIO PIRATERIA  0
Los resultados estadísticos acumulados del año son:
a. +29,9% en fatalidades en Accidentes de tránsito
b. -13,6% en lesiones en accidentes de tránsito
c. -0,4% hurto a Automotores
d. +19,3% hurto a Motocicletas
e. -55,5% en abigeato
f. 0% en Piratería
Avances mes de agosto 
Los resultados estadísticos acumulados del año 2021 con respecto a 2019, son:
a. +24,3% en fatalidades en Accidentes de tránsito
b. -20,2% en lesiones en accidentes de tránsito
c. +1,8% hurto a Automotores
d. +32,2% hurto a Motocicletas
e. -94,4% en abigeato
f. -16,7% en Piratería</v>
      </c>
      <c r="AK50" s="11">
        <f>VLOOKUP(K50,'1123 Transporte'!$K$13:$AK$23,27,0)</f>
        <v>0</v>
      </c>
      <c r="AL50" s="11">
        <v>0.2</v>
      </c>
      <c r="AM50" s="11">
        <v>0</v>
      </c>
      <c r="AN50" s="11">
        <v>0.5</v>
      </c>
      <c r="AO50" s="11">
        <v>0</v>
      </c>
      <c r="AP50" s="11">
        <v>0</v>
      </c>
      <c r="AQ50" s="11">
        <v>0</v>
      </c>
      <c r="AR50" s="51">
        <v>276368997</v>
      </c>
      <c r="AS50" s="54">
        <v>0</v>
      </c>
      <c r="AT50" s="54">
        <f t="shared" si="0"/>
        <v>276368997</v>
      </c>
      <c r="AU50" s="51">
        <v>0</v>
      </c>
      <c r="AV50" s="243">
        <v>4060249520</v>
      </c>
      <c r="AW50" s="244"/>
      <c r="AX50" s="244"/>
      <c r="AY50" s="243">
        <v>1108719920</v>
      </c>
      <c r="AZ50" s="44">
        <f>R50/Q50</f>
        <v>0.26</v>
      </c>
      <c r="BA50" s="44">
        <v>0.1</v>
      </c>
      <c r="BB50" s="44">
        <v>1</v>
      </c>
      <c r="BC50" s="44">
        <f t="shared" ref="BC50:BC52" si="75">AD50/Q50</f>
        <v>0.2</v>
      </c>
      <c r="BD50" s="44" cm="1">
        <f t="array" ref="BD50">_xlfn.IFS(AD50=0,"NA",AD50&gt;0,AH50/AD50)</f>
        <v>0.79999999999999993</v>
      </c>
      <c r="BE50" s="44">
        <f t="shared" ref="BE50:BE52" si="76">AL50/Q50</f>
        <v>0.2</v>
      </c>
      <c r="BF50" s="44">
        <v>0</v>
      </c>
      <c r="BG50" s="44">
        <f t="shared" ref="BG50:BG52" si="77">AN50/Q50</f>
        <v>0.5</v>
      </c>
      <c r="BH50" s="44">
        <v>0</v>
      </c>
      <c r="BI50" s="44">
        <f>AP50/Q50</f>
        <v>0</v>
      </c>
      <c r="BJ50" s="44" t="s">
        <v>115</v>
      </c>
      <c r="BK50" s="44">
        <f t="shared" si="1"/>
        <v>0.26</v>
      </c>
      <c r="BL50" s="44">
        <v>1</v>
      </c>
      <c r="BM50" s="44" cm="1">
        <f t="array" ref="BM50">_xlfn.IFS(BD50="NA","NA",BD50&gt;100%,"100%",BD50&lt;100,BD50)</f>
        <v>0.79999999999999993</v>
      </c>
      <c r="BN50" s="44" cm="1">
        <f t="array" ref="BN50">_xlfn.IFS(BF50="NA","NA",BF50&gt;100%,"100%",BF50&lt;100,BF50)</f>
        <v>0</v>
      </c>
      <c r="BO50" s="44" cm="1">
        <f t="array" ref="BO50">_xlfn.IFS(BH50="NA","NA",BH50&gt;100%,"100%",BH50&lt;100,BH50)</f>
        <v>0</v>
      </c>
      <c r="BP50" s="44" t="str" cm="1">
        <f t="array" ref="BP50">_xlfn.IFS(BJ50="NA","NA",BJ50&gt;100%,"100%",BJ50&lt;100,BJ50)</f>
        <v>NA</v>
      </c>
      <c r="BQ50" s="45">
        <v>0.22500000000000001</v>
      </c>
      <c r="BR50" s="45">
        <f t="shared" si="2"/>
        <v>5.8500000000000003E-2</v>
      </c>
      <c r="BS50" s="45">
        <v>2.2499999999999999E-2</v>
      </c>
      <c r="BT50" s="45">
        <v>2.2499999999999999E-2</v>
      </c>
      <c r="BU50" s="45">
        <v>2.2499999999999999E-2</v>
      </c>
      <c r="BV50" s="45">
        <f t="shared" ref="BV50:BV52" si="78">(AD50*BQ50)/Q50</f>
        <v>4.5000000000000005E-2</v>
      </c>
      <c r="BW50" s="45">
        <f t="shared" ref="BW50:BW53" si="79">IF(BM50="NA","NA",BM50*BV50)</f>
        <v>3.6000000000000004E-2</v>
      </c>
      <c r="BX50" s="45">
        <f t="shared" ref="BX50:BX53" si="80">BR50-BU50</f>
        <v>3.6000000000000004E-2</v>
      </c>
      <c r="BY50" s="45">
        <f t="shared" ref="BY50:BY52" si="81">(AL50*BQ50)/Q50</f>
        <v>4.5000000000000005E-2</v>
      </c>
      <c r="BZ50" s="45">
        <f t="shared" ref="BZ50:BZ52" si="82">IF(BN50="NA","NA",BN50*BY50)</f>
        <v>0</v>
      </c>
      <c r="CA50" s="45">
        <f t="shared" ref="CA50:CA52" si="83">BR50-BU50-BX50</f>
        <v>0</v>
      </c>
      <c r="CB50" s="45">
        <f t="shared" ref="CB50:CB52" si="84">(AN50*BQ50)/Q50</f>
        <v>0.1125</v>
      </c>
      <c r="CC50" s="45">
        <f t="shared" ref="CC50:CC52" si="85">IF(BO50="NA","NA",BO50*CB50)</f>
        <v>0</v>
      </c>
      <c r="CD50" s="45">
        <v>0</v>
      </c>
      <c r="CE50" s="45">
        <f>(AP50*BQ50)/Q50</f>
        <v>0</v>
      </c>
      <c r="CF50" s="45" t="str">
        <f>IF(BP50="NA","NA",BP50*CE50)</f>
        <v>NA</v>
      </c>
      <c r="CG50" s="45">
        <v>0</v>
      </c>
      <c r="CH50" s="244"/>
      <c r="CI50" s="244"/>
      <c r="CJ50" s="244"/>
      <c r="CK50" s="244"/>
      <c r="CM50" s="63">
        <v>0.25</v>
      </c>
    </row>
    <row r="51" spans="1:91" ht="18" hidden="1" customHeight="1">
      <c r="A51" s="260" t="s">
        <v>221</v>
      </c>
      <c r="B51" s="260" t="s">
        <v>222</v>
      </c>
      <c r="C51" s="260" t="s">
        <v>100</v>
      </c>
      <c r="D51" s="260" t="s">
        <v>101</v>
      </c>
      <c r="E51" s="260" t="s">
        <v>294</v>
      </c>
      <c r="F51" s="260" t="s">
        <v>398</v>
      </c>
      <c r="G51" s="260" t="s">
        <v>399</v>
      </c>
      <c r="H51" s="260" t="s">
        <v>400</v>
      </c>
      <c r="I51" s="260"/>
      <c r="J51" s="260"/>
      <c r="K51" s="260" t="s">
        <v>401</v>
      </c>
      <c r="L51" s="260" t="s">
        <v>402</v>
      </c>
      <c r="M51" s="260" t="s">
        <v>403</v>
      </c>
      <c r="N51" s="260" t="s">
        <v>111</v>
      </c>
      <c r="O51" s="260" t="s">
        <v>112</v>
      </c>
      <c r="P51" s="10">
        <v>30</v>
      </c>
      <c r="Q51" s="11">
        <v>30</v>
      </c>
      <c r="R51" s="11">
        <f t="shared" ca="1" si="73"/>
        <v>7</v>
      </c>
      <c r="S51" s="11" t="str">
        <f ca="1">VLOOKUP(K51,'1220 IDECUT'!$K$13:$AK$48,9,0)</f>
        <v xml:space="preserve">Durante 2021 se han aprobado los proyectos de intervención de infraestructura física cultural de los municipios de Supatá, Paratebueno, Sibaté, Une, </v>
      </c>
      <c r="T51" s="11">
        <v>0</v>
      </c>
      <c r="U51" s="11">
        <v>0</v>
      </c>
      <c r="V51" s="11">
        <v>0</v>
      </c>
      <c r="W51" s="11">
        <v>0</v>
      </c>
      <c r="X51" s="11">
        <v>0</v>
      </c>
      <c r="Y51" s="11">
        <v>0</v>
      </c>
      <c r="Z51" s="11">
        <v>0</v>
      </c>
      <c r="AA51" s="11"/>
      <c r="AB51" s="11"/>
      <c r="AC51" s="11"/>
      <c r="AD51" s="403">
        <v>10</v>
      </c>
      <c r="AE51" s="403">
        <v>0</v>
      </c>
      <c r="AF51" s="11">
        <f ca="1">VLOOKUP(K51,'1220 IDECUT'!$K$13:$AK$48,22,0)</f>
        <v>7</v>
      </c>
      <c r="AG51" s="11">
        <f ca="1">VLOOKUP(K51,'1220 IDECUT'!$K$13:$AK$48,23,0)</f>
        <v>0</v>
      </c>
      <c r="AH51" s="11">
        <f t="shared" ca="1" si="74"/>
        <v>7</v>
      </c>
      <c r="AI51" s="11" t="str">
        <f ca="1">VLOOKUP(K51,'1220 IDECUT'!$K$13:$AK$48,25,0)</f>
        <v>Convenios Iccu</v>
      </c>
      <c r="AJ51" s="11" t="str">
        <f ca="1">VLOOKUP(K51,'1220 IDECUT'!$K$13:$AK$48,26,0)</f>
        <v xml:space="preserve">Durante 2021 se han aprobado los proyectos de intervención de infraestructura física cultural de los municipios de Supatá, Paratebueno, Sibaté, Une, </v>
      </c>
      <c r="AK51" s="11">
        <f ca="1">VLOOKUP(K51,'1220 IDECUT'!$K$13:$AK$48,27,0)</f>
        <v>0</v>
      </c>
      <c r="AL51" s="11">
        <v>10</v>
      </c>
      <c r="AM51" s="11">
        <v>0</v>
      </c>
      <c r="AN51" s="11">
        <v>10</v>
      </c>
      <c r="AO51" s="11">
        <v>0</v>
      </c>
      <c r="AP51" s="11">
        <v>0</v>
      </c>
      <c r="AQ51" s="11">
        <v>0</v>
      </c>
      <c r="AR51" s="51">
        <v>12000000000</v>
      </c>
      <c r="AS51" s="54">
        <v>0</v>
      </c>
      <c r="AT51" s="54">
        <f t="shared" si="0"/>
        <v>12000000000</v>
      </c>
      <c r="AU51" s="51">
        <v>12000000000</v>
      </c>
      <c r="AV51" s="243">
        <v>4450000000</v>
      </c>
      <c r="AW51" s="244"/>
      <c r="AX51" s="244"/>
      <c r="AY51" s="243">
        <v>4449794523</v>
      </c>
      <c r="AZ51" s="44">
        <f ca="1">R51/Q51</f>
        <v>0.23333333333333334</v>
      </c>
      <c r="BA51" s="44">
        <v>0</v>
      </c>
      <c r="BB51" s="44" t="s">
        <v>115</v>
      </c>
      <c r="BC51" s="44">
        <f t="shared" si="75"/>
        <v>0.33333333333333331</v>
      </c>
      <c r="BD51" s="44" cm="1">
        <f t="array" aca="1" ref="BD51" ca="1">_xlfn.IFS(AD51=0,"NA",AD51&gt;0,AH51/AD51)</f>
        <v>0.7</v>
      </c>
      <c r="BE51" s="44">
        <f t="shared" si="76"/>
        <v>0.33333333333333331</v>
      </c>
      <c r="BF51" s="44">
        <v>0</v>
      </c>
      <c r="BG51" s="44">
        <f t="shared" si="77"/>
        <v>0.33333333333333331</v>
      </c>
      <c r="BH51" s="44">
        <v>0</v>
      </c>
      <c r="BI51" s="44">
        <f>AP51/Q51</f>
        <v>0</v>
      </c>
      <c r="BJ51" s="44" t="s">
        <v>115</v>
      </c>
      <c r="BK51" s="44">
        <f t="shared" ca="1" si="1"/>
        <v>0.23333333333333334</v>
      </c>
      <c r="BL51" s="44" t="s">
        <v>115</v>
      </c>
      <c r="BM51" s="44" cm="1">
        <f t="array" aca="1" ref="BM51" ca="1">_xlfn.IFS(BD51="NA","NA",BD51&gt;100%,"100%",BD51&lt;100,BD51)</f>
        <v>0.7</v>
      </c>
      <c r="BN51" s="44" cm="1">
        <f t="array" ref="BN51">_xlfn.IFS(BF51="NA","NA",BF51&gt;100%,"100%",BF51&lt;100,BF51)</f>
        <v>0</v>
      </c>
      <c r="BO51" s="44" cm="1">
        <f t="array" ref="BO51">_xlfn.IFS(BH51="NA","NA",BH51&gt;100%,"100%",BH51&lt;100,BH51)</f>
        <v>0</v>
      </c>
      <c r="BP51" s="44" t="str" cm="1">
        <f t="array" ref="BP51">_xlfn.IFS(BJ51="NA","NA",BJ51&gt;100%,"100%",BJ51&lt;100,BJ51)</f>
        <v>NA</v>
      </c>
      <c r="BQ51" s="45">
        <v>0.22500000000000001</v>
      </c>
      <c r="BR51" s="45">
        <f t="shared" ca="1" si="2"/>
        <v>5.2500000000000005E-2</v>
      </c>
      <c r="BS51" s="45">
        <v>0</v>
      </c>
      <c r="BT51" s="45" t="s">
        <v>115</v>
      </c>
      <c r="BU51" s="45">
        <v>0</v>
      </c>
      <c r="BV51" s="45">
        <f t="shared" si="78"/>
        <v>7.4999999999999997E-2</v>
      </c>
      <c r="BW51" s="45">
        <f t="shared" ca="1" si="79"/>
        <v>5.2499999999999998E-2</v>
      </c>
      <c r="BX51" s="45">
        <f t="shared" ca="1" si="80"/>
        <v>5.2500000000000005E-2</v>
      </c>
      <c r="BY51" s="45">
        <f t="shared" si="81"/>
        <v>7.4999999999999997E-2</v>
      </c>
      <c r="BZ51" s="45">
        <f t="shared" si="82"/>
        <v>0</v>
      </c>
      <c r="CA51" s="45">
        <f t="shared" ca="1" si="83"/>
        <v>0</v>
      </c>
      <c r="CB51" s="45">
        <f t="shared" si="84"/>
        <v>7.4999999999999997E-2</v>
      </c>
      <c r="CC51" s="45">
        <f t="shared" si="85"/>
        <v>0</v>
      </c>
      <c r="CD51" s="45">
        <v>0</v>
      </c>
      <c r="CE51" s="45">
        <f>(AP51*BQ51)/Q51</f>
        <v>0</v>
      </c>
      <c r="CF51" s="45" t="str">
        <f>IF(BP51="NA","NA",BP51*CE51)</f>
        <v>NA</v>
      </c>
      <c r="CG51" s="45">
        <v>0</v>
      </c>
      <c r="CH51" s="244"/>
      <c r="CI51" s="244"/>
      <c r="CJ51" s="244"/>
      <c r="CK51" s="244"/>
      <c r="CM51" s="63">
        <v>7</v>
      </c>
    </row>
    <row r="52" spans="1:91" ht="18" hidden="1" customHeight="1">
      <c r="A52" s="260" t="s">
        <v>221</v>
      </c>
      <c r="B52" s="260" t="s">
        <v>222</v>
      </c>
      <c r="C52" s="260" t="s">
        <v>100</v>
      </c>
      <c r="D52" s="260" t="s">
        <v>101</v>
      </c>
      <c r="E52" s="260" t="s">
        <v>294</v>
      </c>
      <c r="F52" s="260" t="s">
        <v>398</v>
      </c>
      <c r="G52" s="260" t="s">
        <v>399</v>
      </c>
      <c r="H52" s="260" t="s">
        <v>404</v>
      </c>
      <c r="I52" s="260"/>
      <c r="J52" s="260"/>
      <c r="K52" s="260" t="s">
        <v>405</v>
      </c>
      <c r="L52" s="260" t="s">
        <v>406</v>
      </c>
      <c r="M52" s="260" t="s">
        <v>407</v>
      </c>
      <c r="N52" s="260" t="s">
        <v>111</v>
      </c>
      <c r="O52" s="260" t="s">
        <v>112</v>
      </c>
      <c r="P52" s="10">
        <v>1</v>
      </c>
      <c r="Q52" s="11">
        <v>1</v>
      </c>
      <c r="R52" s="11">
        <f t="shared" ca="1" si="73"/>
        <v>0.45</v>
      </c>
      <c r="S52" s="11" t="str">
        <f ca="1">VLOOKUP(K52,'1220 IDECUT'!$K$13:$AK$48,9,0)</f>
        <v xml:space="preserve">En la vigencia 2020, se dió inicio a la implementación de la primera fase del modelo de gestión cultural en el departamento, a  través de estrategias que potencializaron las capacidades de participación cultural de las 116 administraciones municipales, donde a partir de la asistencia técnica territorial se diagnosticaron las principales necesidades y problemáticas de los entes permitiendo marcar una hoja de ruta que facilitó la toma de decisiones en favor del desarrollo cultural, estrategia que dio inicio durante el primer trimestre de 2020. 
-Adicionalmente, como parte de las estrategias que dieron inicio durante el primer semestre de 2020, se financió el Servicio Social Complementario de Beneficios Económico Periódicos BEPS en la modalidad vitalicia de 90 gestores y creadores culturales de 18 municipios de Cundinamarca, mediante transferencia de recursos por valor de $3.032.388.709 realizada a Colpensiones, por el Departamento a través IDECUT, en cumplimiento del decreto 2012 de 2017 el cual estableció la manera de invertir los recursos provenientes del 10% del recaudo de la Estampilla Procultura Ley 666/01. En la vigencia 2021. Asistencia tecnica y acompañamiento en  la implementación del modelo de gestion publica de la cultura en los 116 municipios del departamento. Dentro del modelo de gestión se han realizado los consejos departamentales de cultura y las sesiones del consejo departamental de cinematografía y medios audiovisules, brindando apoyo, asistencia técnica y acompañamiento en los espacios de participación y gobernanza culturañ. Asimismo, se llevó a cabo el encuentro con el Ministerio de Cultura y se ha desarrollado la estrategia de acompañamiento territorial mediante la cual se brinda asistencia técnica, asesoria y acompañamiento a los 116 municipios en la consolidación e implementación del modelo de gestión pública de la cultura con el objetivo de garantarizar el acceso a los derechos culturales de la población cundinamarquesa.                                                                                           9. fortalecimiento provincial en el primer encuentro de planeación y gestión pública de la cultura provincia de rio negro.                                                                                    10. realización de Encuentro departamental fortalecer las capacidades de la institución cultural de los gestores y actores culturales de las entidades territoriales en los componentes culturales del sistema nacional de cultura.                                                                  11. se realiza acompañamieto a evaluación y seguimiento a los procesos de formación artística por provincia en el departamento.                                                     12. Articulación implementación programa “por mi familia cuido mi vida” a cargo de la secretaria de minas y la agencia nacional de minas en las provincias del Guavio y Ubaté.  </v>
      </c>
      <c r="T52" s="11">
        <v>0.25</v>
      </c>
      <c r="U52" s="11">
        <v>0</v>
      </c>
      <c r="V52" s="11">
        <v>0.25</v>
      </c>
      <c r="W52" s="11">
        <v>0</v>
      </c>
      <c r="X52" s="11">
        <v>0.25</v>
      </c>
      <c r="Y52" s="11">
        <v>0</v>
      </c>
      <c r="Z52" s="11">
        <v>0.25</v>
      </c>
      <c r="AA52" s="11" t="s">
        <v>408</v>
      </c>
      <c r="AB52" s="11" t="s">
        <v>409</v>
      </c>
      <c r="AC52" s="11" t="s">
        <v>410</v>
      </c>
      <c r="AD52" s="403">
        <v>0.25</v>
      </c>
      <c r="AE52" s="403">
        <v>0</v>
      </c>
      <c r="AF52" s="11">
        <f ca="1">VLOOKUP(K52,'1220 IDECUT'!$K$13:$AK$48,22,0)</f>
        <v>0.2</v>
      </c>
      <c r="AG52" s="11">
        <f ca="1">VLOOKUP(K52,'1220 IDECUT'!$K$13:$AK$48,23,0)</f>
        <v>0</v>
      </c>
      <c r="AH52" s="11">
        <f t="shared" ca="1" si="74"/>
        <v>0.2</v>
      </c>
      <c r="AI52" s="11" t="str">
        <f ca="1">VLOOKUP(K52,'1220 IDECUT'!$K$13:$AK$48,25,0)</f>
        <v>Asistencias tecnicas</v>
      </c>
      <c r="AJ52" s="11" t="str">
        <f ca="1">VLOOKUP(K52,'1220 IDECUT'!$K$13:$AK$48,26,0)</f>
        <v>Asistencia tecnica y acompañamiento en  la implementación del modelo de gestion publica de la cultura en los 116 municipios del departamento. Dentro del modelo de gestión se han realizado los consejos departamentales de cultura y las sesiones del consejo departamental de cinematografía y medios audiovisules, brindando apoyo, asistencia técnica y acompañamiento en los espacios de participación y gobernanza culturañ. Asimismo, se llevó a cabo el encuentro con el Ministerio de Cultura y se ha desarrollado la estrategia de acompañamiento territorial mediante la cual se brinda asistencia técnica, asesoria y acompañamiento a los 116 municipios en la consolidación e implementación del modelo de gestión pública de la cultura con el objetivo de garantarizar el acceso a los derechos culturales de la población cundinamarquesa.</v>
      </c>
      <c r="AK52" s="11">
        <f ca="1">VLOOKUP(K52,'1220 IDECUT'!$K$13:$AK$48,27,0)</f>
        <v>0</v>
      </c>
      <c r="AL52" s="11">
        <v>0.25</v>
      </c>
      <c r="AM52" s="11">
        <v>0</v>
      </c>
      <c r="AN52" s="11">
        <v>0.25</v>
      </c>
      <c r="AO52" s="11">
        <v>0</v>
      </c>
      <c r="AP52" s="11">
        <v>0</v>
      </c>
      <c r="AQ52" s="11">
        <v>0</v>
      </c>
      <c r="AR52" s="51">
        <v>552823000</v>
      </c>
      <c r="AS52" s="54">
        <v>122382845</v>
      </c>
      <c r="AT52" s="54">
        <f t="shared" si="0"/>
        <v>675205845</v>
      </c>
      <c r="AU52" s="51">
        <v>552823000</v>
      </c>
      <c r="AV52" s="243">
        <v>2100026968</v>
      </c>
      <c r="AW52" s="244"/>
      <c r="AX52" s="244"/>
      <c r="AY52" s="243">
        <v>837546666</v>
      </c>
      <c r="AZ52" s="44">
        <f ca="1">R52/Q52</f>
        <v>0.45</v>
      </c>
      <c r="BA52" s="44">
        <v>0.25</v>
      </c>
      <c r="BB52" s="44">
        <v>1</v>
      </c>
      <c r="BC52" s="44">
        <f t="shared" si="75"/>
        <v>0.25</v>
      </c>
      <c r="BD52" s="44" cm="1">
        <f t="array" aca="1" ref="BD52" ca="1">_xlfn.IFS(AD52=0,"NA",AD52&gt;0,AH52/AD52)</f>
        <v>0.8</v>
      </c>
      <c r="BE52" s="44">
        <f t="shared" si="76"/>
        <v>0.25</v>
      </c>
      <c r="BF52" s="44">
        <v>0</v>
      </c>
      <c r="BG52" s="44">
        <f t="shared" si="77"/>
        <v>0.25</v>
      </c>
      <c r="BH52" s="44">
        <v>0</v>
      </c>
      <c r="BI52" s="44">
        <f>AP52/Q52</f>
        <v>0</v>
      </c>
      <c r="BJ52" s="44" t="s">
        <v>115</v>
      </c>
      <c r="BK52" s="44">
        <f t="shared" ca="1" si="1"/>
        <v>0.45</v>
      </c>
      <c r="BL52" s="44">
        <v>1</v>
      </c>
      <c r="BM52" s="44" cm="1">
        <f t="array" aca="1" ref="BM52" ca="1">_xlfn.IFS(BD52="NA","NA",BD52&gt;100%,"100%",BD52&lt;100,BD52)</f>
        <v>0.8</v>
      </c>
      <c r="BN52" s="44" cm="1">
        <f t="array" ref="BN52">_xlfn.IFS(BF52="NA","NA",BF52&gt;100%,"100%",BF52&lt;100,BF52)</f>
        <v>0</v>
      </c>
      <c r="BO52" s="44" cm="1">
        <f t="array" ref="BO52">_xlfn.IFS(BH52="NA","NA",BH52&gt;100%,"100%",BH52&lt;100,BH52)</f>
        <v>0</v>
      </c>
      <c r="BP52" s="44" t="str" cm="1">
        <f t="array" ref="BP52">_xlfn.IFS(BJ52="NA","NA",BJ52&gt;100%,"100%",BJ52&lt;100,BJ52)</f>
        <v>NA</v>
      </c>
      <c r="BQ52" s="45">
        <v>0.22500000000000001</v>
      </c>
      <c r="BR52" s="45">
        <f t="shared" ca="1" si="2"/>
        <v>0.10125000000000001</v>
      </c>
      <c r="BS52" s="45">
        <v>5.6300000000000003E-2</v>
      </c>
      <c r="BT52" s="45">
        <v>5.6300000000000003E-2</v>
      </c>
      <c r="BU52" s="45">
        <v>5.6300000000000003E-2</v>
      </c>
      <c r="BV52" s="45">
        <f t="shared" si="78"/>
        <v>5.6250000000000001E-2</v>
      </c>
      <c r="BW52" s="45">
        <f t="shared" ca="1" si="79"/>
        <v>4.5000000000000005E-2</v>
      </c>
      <c r="BX52" s="45">
        <f t="shared" ca="1" si="80"/>
        <v>4.4950000000000004E-2</v>
      </c>
      <c r="BY52" s="45">
        <f t="shared" si="81"/>
        <v>5.6250000000000001E-2</v>
      </c>
      <c r="BZ52" s="45">
        <f t="shared" si="82"/>
        <v>0</v>
      </c>
      <c r="CA52" s="45">
        <f t="shared" ca="1" si="83"/>
        <v>0</v>
      </c>
      <c r="CB52" s="45">
        <f t="shared" si="84"/>
        <v>5.6250000000000001E-2</v>
      </c>
      <c r="CC52" s="45">
        <f t="shared" si="85"/>
        <v>0</v>
      </c>
      <c r="CD52" s="45">
        <v>0</v>
      </c>
      <c r="CE52" s="45">
        <f>(AP52*BQ52)/Q52</f>
        <v>0</v>
      </c>
      <c r="CF52" s="45" t="str">
        <f>IF(BP52="NA","NA",BP52*CE52)</f>
        <v>NA</v>
      </c>
      <c r="CG52" s="45">
        <v>0</v>
      </c>
      <c r="CH52" s="244"/>
      <c r="CI52" s="244"/>
      <c r="CJ52" s="244"/>
      <c r="CK52" s="244"/>
      <c r="CM52" s="63">
        <v>0.41000000000000003</v>
      </c>
    </row>
    <row r="53" spans="1:91" ht="27.75" hidden="1" customHeight="1">
      <c r="A53" s="260" t="s">
        <v>221</v>
      </c>
      <c r="B53" s="260" t="s">
        <v>222</v>
      </c>
      <c r="C53" s="260" t="s">
        <v>100</v>
      </c>
      <c r="D53" s="260" t="s">
        <v>101</v>
      </c>
      <c r="E53" s="260" t="s">
        <v>294</v>
      </c>
      <c r="F53" s="260" t="s">
        <v>398</v>
      </c>
      <c r="G53" s="260" t="s">
        <v>399</v>
      </c>
      <c r="H53" s="260" t="s">
        <v>411</v>
      </c>
      <c r="I53" s="260"/>
      <c r="J53" s="260"/>
      <c r="K53" s="260" t="s">
        <v>412</v>
      </c>
      <c r="L53" s="260" t="s">
        <v>413</v>
      </c>
      <c r="M53" s="260" t="s">
        <v>414</v>
      </c>
      <c r="N53" s="260" t="s">
        <v>123</v>
      </c>
      <c r="O53" s="260" t="s">
        <v>124</v>
      </c>
      <c r="P53" s="10">
        <v>81</v>
      </c>
      <c r="Q53" s="11">
        <v>100</v>
      </c>
      <c r="R53" s="11">
        <f ca="1">(Z53+AH53)/CL53</f>
        <v>50</v>
      </c>
      <c r="S53" s="11" t="str">
        <f ca="1">VLOOKUP(K53,'1220 IDECUT'!$K$13:$AK$48,9,0)</f>
        <v>En la vigencia 2020 a cada una de las 158 bibliotecas que conforman la red departamental se le asignó un tutor. Adicionalmente, dentro de la convocatoria de estímulos "Corazonarte Cultura para Cuidarte" fueron adjudicados 30 para temas relacionados con bibliotecas públicas entre los cuales se encuentran: creación en conformación de club de lectura, fotografía y memoria en bibliotecas públicas y creación en laboratorios bibliotecarios.  Durante el año 2021 se continua con el acompañamiento in situ a las bibliotecas públicas municipales en un 100%, Se resalta que  al 31 de octubre se ha hecho acompañamiento técnico in situ a 113 bibliotecas públicas del departamento y al 100% de la red en modalidad virtual, por WhatsApp, Teams, Zoom y demás plataformas virtuales. Adicioalmente, se obtuvieron bibliotecas digitales makina editorial (Micro-servidores llamado “La Cajita” precargados con 330 libros pertenecientes a la Biblioteca Digital Offline de MakeMake), para entregar a cada una de las bibliotecas públicas del departamento.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
Durante el año 2021 se continua con el acompañamiento in situ a las bibliotecas públicas municipales, al 27 de septiembre se ha hecho acompañamiento técnico in situ a 83 bibliotecas públicas del departamento y al 10% de la red en modalidad virtual, por WhatsApp, Teams y Zoom.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
Durante el año 2021 se continua con el acompañamiento in situ a las bibliotecas públicas municipales, al 27 de septiembre se ha hecho acompañamiento técnico in situ a 83 bibliotecas públicas del departamento y al 10% de la red en modalidad virtual, por WhatsApp, Teams y Zoom.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v>
      </c>
      <c r="T53" s="11">
        <v>0</v>
      </c>
      <c r="U53" s="11">
        <v>100</v>
      </c>
      <c r="V53" s="11">
        <v>0</v>
      </c>
      <c r="W53" s="11">
        <v>100</v>
      </c>
      <c r="X53" s="11" t="s">
        <v>115</v>
      </c>
      <c r="Y53" s="11">
        <v>100</v>
      </c>
      <c r="Z53" s="11">
        <v>100</v>
      </c>
      <c r="AA53" s="11">
        <v>0</v>
      </c>
      <c r="AB53" s="11" t="s">
        <v>415</v>
      </c>
      <c r="AC53" s="11">
        <v>0</v>
      </c>
      <c r="AD53" s="403">
        <v>0</v>
      </c>
      <c r="AE53" s="403">
        <v>100</v>
      </c>
      <c r="AF53" s="11">
        <f ca="1">VLOOKUP(K53,'1220 IDECUT'!$K$13:$AK$48,22,0)</f>
        <v>0</v>
      </c>
      <c r="AG53" s="11">
        <f ca="1">VLOOKUP(K53,'1220 IDECUT'!$K$13:$AK$48,23,0)</f>
        <v>100</v>
      </c>
      <c r="AH53" s="11">
        <f ca="1">AG53</f>
        <v>100</v>
      </c>
      <c r="AI53" s="11" t="str">
        <f ca="1">VLOOKUP(K53,'1220 IDECUT'!$K$13:$AK$48,25,0)</f>
        <v>Asistencias tecnicas</v>
      </c>
      <c r="AJ53" s="11" t="str">
        <f ca="1">VLOOKUP(K53,'1220 IDECUT'!$K$13:$AK$48,26,0)</f>
        <v>Se realizo con el acompañamiento in situ a las bibliotecas públicas municipales, en acompañamiento técnico in situ a 158 bibliotecas públicas del departamento y al 100% de la red en modalidad virtual, por WhatsApp, Teams y Zoom. Se adquirieron bibliotecas digitales makina editorial (Micro-servidores llamado “La Cajita” precargados con 330 libros pertenecientes a la Biblioteca Digital Offline de MakeMake), para entregar a cada una de las bibliotecas públicas del departamento.</v>
      </c>
      <c r="AK53" s="11">
        <f ca="1">VLOOKUP(K53,'1220 IDECUT'!$K$13:$AK$48,27,0)</f>
        <v>0</v>
      </c>
      <c r="AL53" s="11">
        <v>0</v>
      </c>
      <c r="AM53" s="11">
        <v>100</v>
      </c>
      <c r="AN53" s="11">
        <v>0</v>
      </c>
      <c r="AO53" s="11">
        <v>100</v>
      </c>
      <c r="AP53" s="11">
        <v>0</v>
      </c>
      <c r="AQ53" s="11">
        <v>0</v>
      </c>
      <c r="AR53" s="51">
        <v>428528000</v>
      </c>
      <c r="AS53" s="54">
        <v>0</v>
      </c>
      <c r="AT53" s="54">
        <f t="shared" si="0"/>
        <v>428528000</v>
      </c>
      <c r="AU53" s="51">
        <v>428528000</v>
      </c>
      <c r="AV53" s="243">
        <v>866751874</v>
      </c>
      <c r="AW53" s="244"/>
      <c r="AX53" s="244"/>
      <c r="AY53" s="243">
        <v>553257921</v>
      </c>
      <c r="AZ53" s="44" cm="1">
        <f t="array" aca="1" ref="AZ53" ca="1">_xlfn.IFS((BA53=0),(BD53/CL53),(BA53&gt;0),((BB53+BD53)/CL53),(BE53&gt;0),((BB53+BD53+BE53)/CL53),(BG53&gt;0),((BB53+BD53+BE53+G53)/CL53))</f>
        <v>0.5</v>
      </c>
      <c r="BA53" s="44">
        <v>0.25</v>
      </c>
      <c r="BB53" s="44">
        <v>1</v>
      </c>
      <c r="BC53" s="44">
        <f>IF(AE53&gt;0,(1/CL53),0)</f>
        <v>0.25</v>
      </c>
      <c r="BD53" s="44" cm="1">
        <f t="array" aca="1" ref="BD53" ca="1">_xlfn.IFS(AE53=0,"NA",AE53&gt;0,AH53/AE53)</f>
        <v>1</v>
      </c>
      <c r="BE53" s="44">
        <f>IF(AM53&gt;0,(1/CL53),0)</f>
        <v>0.25</v>
      </c>
      <c r="BF53" s="44">
        <v>0</v>
      </c>
      <c r="BG53" s="44">
        <f>IF(AO53&gt;0,(1/CL53),0)</f>
        <v>0.25</v>
      </c>
      <c r="BH53" s="44">
        <v>0</v>
      </c>
      <c r="BI53" s="44">
        <v>0</v>
      </c>
      <c r="BJ53" s="44" t="s">
        <v>115</v>
      </c>
      <c r="BK53" s="44">
        <f t="shared" ca="1" si="1"/>
        <v>0.5</v>
      </c>
      <c r="BL53" s="44">
        <v>1</v>
      </c>
      <c r="BM53" s="44" cm="1">
        <f t="array" aca="1" ref="BM53" ca="1">_xlfn.IFS(BD53="NA","NA",BD53&gt;100%,"100%",BD53&lt;100,BD53)</f>
        <v>1</v>
      </c>
      <c r="BN53" s="44">
        <v>0</v>
      </c>
      <c r="BO53" s="44">
        <v>0</v>
      </c>
      <c r="BP53" s="44" t="s">
        <v>115</v>
      </c>
      <c r="BQ53" s="45">
        <v>0.22500000000000001</v>
      </c>
      <c r="BR53" s="45">
        <f t="shared" ca="1" si="2"/>
        <v>0.1125</v>
      </c>
      <c r="BS53" s="45">
        <v>5.6300000000000003E-2</v>
      </c>
      <c r="BT53" s="45">
        <v>5.6300000000000003E-2</v>
      </c>
      <c r="BU53" s="45">
        <v>5.6300000000000003E-2</v>
      </c>
      <c r="BV53" s="45">
        <v>5.6300000000000003E-2</v>
      </c>
      <c r="BW53" s="45">
        <f t="shared" ca="1" si="79"/>
        <v>5.6300000000000003E-2</v>
      </c>
      <c r="BX53" s="45">
        <f t="shared" ca="1" si="80"/>
        <v>5.62E-2</v>
      </c>
      <c r="BY53" s="45">
        <v>5.6300000000000003E-2</v>
      </c>
      <c r="BZ53" s="45">
        <v>0</v>
      </c>
      <c r="CA53" s="45">
        <f t="shared" ca="1" si="5"/>
        <v>0</v>
      </c>
      <c r="CB53" s="45">
        <v>5.6300000000000003E-2</v>
      </c>
      <c r="CC53" s="45">
        <v>0</v>
      </c>
      <c r="CD53" s="45">
        <v>0</v>
      </c>
      <c r="CE53" s="45">
        <v>0</v>
      </c>
      <c r="CF53" s="45" t="s">
        <v>115</v>
      </c>
      <c r="CG53" s="45">
        <v>0</v>
      </c>
      <c r="CH53" s="244">
        <f>IF(W53&gt;0,1,0)</f>
        <v>1</v>
      </c>
      <c r="CI53" s="244">
        <f>IF(AE53&gt;0,1,0)</f>
        <v>1</v>
      </c>
      <c r="CJ53" s="244">
        <f>IF(AM53&gt;0,1,0)</f>
        <v>1</v>
      </c>
      <c r="CK53" s="244">
        <f>IF(AO53&gt;0,1,0)</f>
        <v>1</v>
      </c>
      <c r="CL53">
        <f>CH53+CI53+CJ53+CK53</f>
        <v>4</v>
      </c>
      <c r="CM53" s="63">
        <f ca="1">AVERAGE(Z53,AH53)</f>
        <v>100</v>
      </c>
    </row>
    <row r="54" spans="1:91" ht="18" hidden="1" customHeight="1">
      <c r="A54" s="260" t="s">
        <v>221</v>
      </c>
      <c r="B54" s="260" t="s">
        <v>222</v>
      </c>
      <c r="C54" s="260" t="s">
        <v>100</v>
      </c>
      <c r="D54" s="260" t="s">
        <v>101</v>
      </c>
      <c r="E54" s="260" t="s">
        <v>294</v>
      </c>
      <c r="F54" s="260" t="s">
        <v>398</v>
      </c>
      <c r="G54" s="260" t="s">
        <v>399</v>
      </c>
      <c r="H54" s="260" t="s">
        <v>416</v>
      </c>
      <c r="I54" s="260"/>
      <c r="J54" s="260"/>
      <c r="K54" s="260" t="s">
        <v>417</v>
      </c>
      <c r="L54" s="260" t="s">
        <v>418</v>
      </c>
      <c r="M54" s="260" t="s">
        <v>419</v>
      </c>
      <c r="N54" s="260" t="s">
        <v>111</v>
      </c>
      <c r="O54" s="260" t="s">
        <v>112</v>
      </c>
      <c r="P54" s="10">
        <v>0</v>
      </c>
      <c r="Q54" s="11">
        <v>1</v>
      </c>
      <c r="R54" s="11">
        <f t="shared" ref="R54:R75" ca="1" si="86">Z54+AH54</f>
        <v>0</v>
      </c>
      <c r="S54" s="11">
        <f ca="1">VLOOKUP(K54,'1220 IDECUT'!$K$13:$AK$48,9,0)</f>
        <v>0</v>
      </c>
      <c r="T54" s="11">
        <v>0</v>
      </c>
      <c r="U54" s="11">
        <v>0</v>
      </c>
      <c r="V54" s="11">
        <v>0</v>
      </c>
      <c r="W54" s="11">
        <v>0</v>
      </c>
      <c r="X54" s="11">
        <v>0</v>
      </c>
      <c r="Y54" s="11">
        <v>0</v>
      </c>
      <c r="Z54" s="11">
        <v>0</v>
      </c>
      <c r="AA54" s="11"/>
      <c r="AB54" s="11"/>
      <c r="AC54" s="11"/>
      <c r="AD54" s="403">
        <v>0</v>
      </c>
      <c r="AE54" s="403">
        <v>0</v>
      </c>
      <c r="AF54" s="11">
        <f ca="1">VLOOKUP(K54,'1220 IDECUT'!$K$13:$AK$48,22,0)</f>
        <v>0</v>
      </c>
      <c r="AG54" s="11">
        <f ca="1">VLOOKUP(K54,'1220 IDECUT'!$K$13:$AK$48,23,0)</f>
        <v>0</v>
      </c>
      <c r="AH54" s="11">
        <f t="shared" ref="AH54:AH75" ca="1" si="87">AF54</f>
        <v>0</v>
      </c>
      <c r="AI54" s="11">
        <f ca="1">VLOOKUP(K54,'1220 IDECUT'!$K$13:$AK$48,25,0)</f>
        <v>0</v>
      </c>
      <c r="AJ54" s="11">
        <f ca="1">VLOOKUP(K54,'1220 IDECUT'!$K$13:$AK$48,26,0)</f>
        <v>0</v>
      </c>
      <c r="AK54" s="11">
        <f ca="1">VLOOKUP(K54,'1220 IDECUT'!$K$13:$AK$48,27,0)</f>
        <v>0</v>
      </c>
      <c r="AL54" s="11">
        <v>0.5</v>
      </c>
      <c r="AM54" s="11">
        <v>0</v>
      </c>
      <c r="AN54" s="11">
        <v>0.5</v>
      </c>
      <c r="AO54" s="11">
        <v>0</v>
      </c>
      <c r="AP54" s="11">
        <v>0</v>
      </c>
      <c r="AQ54" s="11">
        <v>0</v>
      </c>
      <c r="AR54" s="52"/>
      <c r="AS54" s="54">
        <v>0</v>
      </c>
      <c r="AT54" s="54">
        <f t="shared" si="0"/>
        <v>0</v>
      </c>
      <c r="AU54" s="52"/>
      <c r="AV54" s="243"/>
      <c r="AW54" s="244"/>
      <c r="AX54" s="244"/>
      <c r="AY54" s="243"/>
      <c r="AZ54" s="44">
        <f t="shared" ref="AZ54:AZ75" ca="1" si="88">R54/Q54</f>
        <v>0</v>
      </c>
      <c r="BA54" s="44">
        <v>0</v>
      </c>
      <c r="BB54" s="44" t="s">
        <v>115</v>
      </c>
      <c r="BC54" s="44">
        <f t="shared" ref="BC54:BC75" si="89">AD54/Q54</f>
        <v>0</v>
      </c>
      <c r="BD54" s="44" t="str" cm="1">
        <f t="array" aca="1" ref="BD54" ca="1">_xlfn.IFS(AD54=0,"NA",AD54&gt;0,AH54/AD54)</f>
        <v>NA</v>
      </c>
      <c r="BE54" s="44">
        <f t="shared" ref="BE54:BE75" si="90">AL54/Q54</f>
        <v>0.5</v>
      </c>
      <c r="BF54" s="44">
        <v>0</v>
      </c>
      <c r="BG54" s="44">
        <f t="shared" ref="BG54:BG75" si="91">AN54/Q54</f>
        <v>0.5</v>
      </c>
      <c r="BH54" s="44">
        <v>0</v>
      </c>
      <c r="BI54" s="44">
        <f t="shared" ref="BI54:BI75" si="92">AP54/Q54</f>
        <v>0</v>
      </c>
      <c r="BJ54" s="44" t="s">
        <v>115</v>
      </c>
      <c r="BK54" s="44">
        <f t="shared" ca="1" si="1"/>
        <v>0</v>
      </c>
      <c r="BL54" s="44" t="s">
        <v>115</v>
      </c>
      <c r="BM54" s="44" t="str" cm="1">
        <f t="array" aca="1" ref="BM54" ca="1">_xlfn.IFS(BD54="NA","NA",BD54&gt;100%,"100%",BD54&lt;100,BD54)</f>
        <v>NA</v>
      </c>
      <c r="BN54" s="44" cm="1">
        <f t="array" ref="BN54">_xlfn.IFS(BF54="NA","NA",BF54&gt;100%,"100%",BF54&lt;100,BF54)</f>
        <v>0</v>
      </c>
      <c r="BO54" s="44" cm="1">
        <f t="array" ref="BO54">_xlfn.IFS(BH54="NA","NA",BH54&gt;100%,"100%",BH54&lt;100,BH54)</f>
        <v>0</v>
      </c>
      <c r="BP54" s="44" t="str" cm="1">
        <f t="array" ref="BP54">_xlfn.IFS(BJ54="NA","NA",BJ54&gt;100%,"100%",BJ54&lt;100,BJ54)</f>
        <v>NA</v>
      </c>
      <c r="BQ54" s="45">
        <v>0.22500000000000001</v>
      </c>
      <c r="BR54" s="45">
        <f t="shared" ca="1" si="2"/>
        <v>0</v>
      </c>
      <c r="BS54" s="45">
        <v>0</v>
      </c>
      <c r="BT54" s="45" t="s">
        <v>115</v>
      </c>
      <c r="BU54" s="45">
        <v>0</v>
      </c>
      <c r="BV54" s="45">
        <f t="shared" ref="BV54:BV75" si="93">(AD54*BQ54)/Q54</f>
        <v>0</v>
      </c>
      <c r="BW54" s="45" t="str">
        <f t="shared" ref="BW54:BW76" ca="1" si="94">IF(BM54="NA","NA",BM54*BV54)</f>
        <v>NA</v>
      </c>
      <c r="BX54" s="45">
        <f t="shared" ref="BX54:BX76" ca="1" si="95">BR54-BU54</f>
        <v>0</v>
      </c>
      <c r="BY54" s="45">
        <f t="shared" ref="BY54:BY75" si="96">(AL54*BQ54)/Q54</f>
        <v>0.1125</v>
      </c>
      <c r="BZ54" s="45">
        <f t="shared" ref="BZ54:BZ75" si="97">IF(BN54="NA","NA",BN54*BY54)</f>
        <v>0</v>
      </c>
      <c r="CA54" s="45">
        <f t="shared" ref="CA54:CA75" ca="1" si="98">BR54-BU54-BX54</f>
        <v>0</v>
      </c>
      <c r="CB54" s="45">
        <f t="shared" ref="CB54:CB75" si="99">(AN54*BQ54)/Q54</f>
        <v>0.1125</v>
      </c>
      <c r="CC54" s="45">
        <f t="shared" ref="CC54:CC75" si="100">IF(BO54="NA","NA",BO54*CB54)</f>
        <v>0</v>
      </c>
      <c r="CD54" s="45">
        <v>0</v>
      </c>
      <c r="CE54" s="45">
        <f t="shared" ref="CE54:CE75" si="101">(AP54*BQ54)/Q54</f>
        <v>0</v>
      </c>
      <c r="CF54" s="45" t="str">
        <f t="shared" ref="CF54:CF75" si="102">IF(BP54="NA","NA",BP54*CE54)</f>
        <v>NA</v>
      </c>
      <c r="CG54" s="45">
        <v>0</v>
      </c>
      <c r="CH54" s="244"/>
      <c r="CI54" s="244"/>
      <c r="CJ54" s="244"/>
      <c r="CK54" s="244"/>
      <c r="CM54" s="63">
        <v>0</v>
      </c>
    </row>
    <row r="55" spans="1:91" ht="18" hidden="1" customHeight="1">
      <c r="A55" s="260" t="s">
        <v>221</v>
      </c>
      <c r="B55" s="260" t="s">
        <v>222</v>
      </c>
      <c r="C55" s="260" t="s">
        <v>100</v>
      </c>
      <c r="D55" s="260" t="s">
        <v>101</v>
      </c>
      <c r="E55" s="260" t="s">
        <v>294</v>
      </c>
      <c r="F55" s="260" t="s">
        <v>398</v>
      </c>
      <c r="G55" s="260" t="s">
        <v>399</v>
      </c>
      <c r="H55" s="260" t="s">
        <v>420</v>
      </c>
      <c r="I55" s="260"/>
      <c r="J55" s="260"/>
      <c r="K55" s="260" t="s">
        <v>421</v>
      </c>
      <c r="L55" s="260" t="s">
        <v>422</v>
      </c>
      <c r="M55" s="260" t="s">
        <v>423</v>
      </c>
      <c r="N55" s="260" t="s">
        <v>111</v>
      </c>
      <c r="O55" s="260" t="s">
        <v>112</v>
      </c>
      <c r="P55" s="10">
        <v>8</v>
      </c>
      <c r="Q55" s="11">
        <v>8</v>
      </c>
      <c r="R55" s="11">
        <f t="shared" ca="1" si="86"/>
        <v>5</v>
      </c>
      <c r="S55" s="11" t="str">
        <f ca="1">VLOOKUP(K55,'1220 IDECUT'!$K$13:$AK$48,9,0)</f>
        <v>Durante el año 2021. Se han cofinanciado cinco (5) proyectos que desarrollan actividades para la socialización y acceso al patrimonio cultural, a través de los cuales se ha beneficiado a la comunidad de los municipios de Facatativá, Albán, Sesquilé, Tena y Cota. Mediante las  actividades se socializacón se pretende incrementar el sentido de partenencia de los cundinamarqueses hacia su territorio.Para la consecución de los objetivos trazados en la identificacion, rescate y conservación del patrimonio cultural se  suscribieron  de cinco convenios interadministrativos con el fin de beneficiar a los municipios de Facatativá, Tena, Sesquilé, Cota y Albán.</v>
      </c>
      <c r="T55" s="11">
        <v>0</v>
      </c>
      <c r="U55" s="11">
        <v>0</v>
      </c>
      <c r="V55" s="11">
        <v>0</v>
      </c>
      <c r="W55" s="11">
        <v>0</v>
      </c>
      <c r="X55" s="11">
        <v>0</v>
      </c>
      <c r="Y55" s="11">
        <v>0</v>
      </c>
      <c r="Z55" s="11">
        <v>0</v>
      </c>
      <c r="AA55" s="11"/>
      <c r="AB55" s="11"/>
      <c r="AC55" s="11"/>
      <c r="AD55" s="403">
        <v>2</v>
      </c>
      <c r="AE55" s="403">
        <v>0</v>
      </c>
      <c r="AF55" s="11">
        <f ca="1">VLOOKUP(K55,'1220 IDECUT'!$K$13:$AK$48,22,0)</f>
        <v>5</v>
      </c>
      <c r="AG55" s="11">
        <f ca="1">VLOOKUP(K55,'1220 IDECUT'!$K$13:$AK$48,23,0)</f>
        <v>0</v>
      </c>
      <c r="AH55" s="11">
        <f t="shared" ca="1" si="87"/>
        <v>5</v>
      </c>
      <c r="AI55" s="11" t="str">
        <f ca="1">VLOOKUP(K55,'1220 IDECUT'!$K$13:$AK$48,25,0)</f>
        <v>Documentos tecnicos</v>
      </c>
      <c r="AJ55" s="11" t="str">
        <f ca="1">VLOOKUP(K55,'1220 IDECUT'!$K$13:$AK$48,26,0)</f>
        <v>Se han cofinanciado cinco (5) proyectos que desarrollan actividades para la socialización y acceso al patrimonio cultural, a través de los cuales se ha beneficiado a la comunidad de los municipios de Facatativá, Albán, Sesquilé, Tena y Cota. Mediante las  actividades se socializacón se pretende incrementar el sentido de partenencia de los cundinamarqueses hacia su territorio.Para la consecución de los objetivos trazados en la identificaci+on, rescate y conservación del patrimonio cultural se  suscribieron  de cinco convenios interadministrativos con el fin de beneficiar a los municipios de Facatativá, Tena, Sesquilé, Cota y Albán.</v>
      </c>
      <c r="AK55" s="11">
        <f ca="1">VLOOKUP(K55,'1220 IDECUT'!$K$13:$AK$48,27,0)</f>
        <v>0</v>
      </c>
      <c r="AL55" s="11">
        <v>3</v>
      </c>
      <c r="AM55" s="11">
        <v>0</v>
      </c>
      <c r="AN55" s="11">
        <v>3</v>
      </c>
      <c r="AO55" s="11">
        <v>0</v>
      </c>
      <c r="AP55" s="11">
        <v>0</v>
      </c>
      <c r="AQ55" s="11">
        <v>0</v>
      </c>
      <c r="AR55" s="52"/>
      <c r="AS55" s="54">
        <v>0</v>
      </c>
      <c r="AT55" s="54">
        <f t="shared" si="0"/>
        <v>0</v>
      </c>
      <c r="AU55" s="52"/>
      <c r="AV55" s="243">
        <v>313663894</v>
      </c>
      <c r="AW55" s="244"/>
      <c r="AX55" s="244"/>
      <c r="AY55" s="243">
        <v>88076770</v>
      </c>
      <c r="AZ55" s="44">
        <f t="shared" ca="1" si="88"/>
        <v>0.625</v>
      </c>
      <c r="BA55" s="44">
        <v>0</v>
      </c>
      <c r="BB55" s="44" t="s">
        <v>115</v>
      </c>
      <c r="BC55" s="44">
        <f t="shared" si="89"/>
        <v>0.25</v>
      </c>
      <c r="BD55" s="44" cm="1">
        <f t="array" aca="1" ref="BD55" ca="1">_xlfn.IFS(AD55=0,"NA",AD55&gt;0,AH55/AD55)</f>
        <v>2.5</v>
      </c>
      <c r="BE55" s="44">
        <f t="shared" si="90"/>
        <v>0.375</v>
      </c>
      <c r="BF55" s="44">
        <v>0</v>
      </c>
      <c r="BG55" s="44">
        <f t="shared" si="91"/>
        <v>0.375</v>
      </c>
      <c r="BH55" s="44">
        <v>0</v>
      </c>
      <c r="BI55" s="44">
        <f t="shared" si="92"/>
        <v>0</v>
      </c>
      <c r="BJ55" s="44" t="s">
        <v>115</v>
      </c>
      <c r="BK55" s="44">
        <f t="shared" ca="1" si="1"/>
        <v>0.625</v>
      </c>
      <c r="BL55" s="44" t="s">
        <v>115</v>
      </c>
      <c r="BM55" s="44" t="str" cm="1">
        <f t="array" aca="1" ref="BM55" ca="1">_xlfn.IFS(BD55="NA","NA",BD55&gt;100%,"100%",BD55&lt;100,BD55)</f>
        <v>100%</v>
      </c>
      <c r="BN55" s="44" cm="1">
        <f t="array" ref="BN55">_xlfn.IFS(BF55="NA","NA",BF55&gt;100%,"100%",BF55&lt;100,BF55)</f>
        <v>0</v>
      </c>
      <c r="BO55" s="44" cm="1">
        <f t="array" ref="BO55">_xlfn.IFS(BH55="NA","NA",BH55&gt;100%,"100%",BH55&lt;100,BH55)</f>
        <v>0</v>
      </c>
      <c r="BP55" s="44" t="str" cm="1">
        <f t="array" ref="BP55">_xlfn.IFS(BJ55="NA","NA",BJ55&gt;100%,"100%",BJ55&lt;100,BJ55)</f>
        <v>NA</v>
      </c>
      <c r="BQ55" s="45">
        <v>0.22500000000000001</v>
      </c>
      <c r="BR55" s="45">
        <f t="shared" ca="1" si="2"/>
        <v>0.140625</v>
      </c>
      <c r="BS55" s="45">
        <v>0</v>
      </c>
      <c r="BT55" s="45" t="s">
        <v>115</v>
      </c>
      <c r="BU55" s="45">
        <v>0</v>
      </c>
      <c r="BV55" s="45">
        <f t="shared" si="93"/>
        <v>5.6250000000000001E-2</v>
      </c>
      <c r="BW55" s="45">
        <f t="shared" ca="1" si="94"/>
        <v>5.6250000000000001E-2</v>
      </c>
      <c r="BX55" s="45">
        <f t="shared" ca="1" si="95"/>
        <v>0.140625</v>
      </c>
      <c r="BY55" s="45">
        <f t="shared" si="96"/>
        <v>8.4375000000000006E-2</v>
      </c>
      <c r="BZ55" s="45">
        <f t="shared" si="97"/>
        <v>0</v>
      </c>
      <c r="CA55" s="45">
        <f t="shared" ca="1" si="98"/>
        <v>0</v>
      </c>
      <c r="CB55" s="45">
        <f t="shared" si="99"/>
        <v>8.4375000000000006E-2</v>
      </c>
      <c r="CC55" s="45">
        <f t="shared" si="100"/>
        <v>0</v>
      </c>
      <c r="CD55" s="45">
        <v>0</v>
      </c>
      <c r="CE55" s="45">
        <f t="shared" si="101"/>
        <v>0</v>
      </c>
      <c r="CF55" s="45" t="str">
        <f t="shared" si="102"/>
        <v>NA</v>
      </c>
      <c r="CG55" s="45">
        <v>0</v>
      </c>
      <c r="CH55" s="244"/>
      <c r="CI55" s="244"/>
      <c r="CJ55" s="244"/>
      <c r="CK55" s="244"/>
      <c r="CM55" s="63">
        <v>0</v>
      </c>
    </row>
    <row r="56" spans="1:91" ht="18" hidden="1" customHeight="1">
      <c r="A56" s="260" t="s">
        <v>221</v>
      </c>
      <c r="B56" s="260" t="s">
        <v>222</v>
      </c>
      <c r="C56" s="260" t="s">
        <v>100</v>
      </c>
      <c r="D56" s="260" t="s">
        <v>101</v>
      </c>
      <c r="E56" s="260" t="s">
        <v>294</v>
      </c>
      <c r="F56" s="260" t="s">
        <v>398</v>
      </c>
      <c r="G56" s="260" t="s">
        <v>399</v>
      </c>
      <c r="H56" s="260" t="s">
        <v>424</v>
      </c>
      <c r="I56" s="260"/>
      <c r="J56" s="260"/>
      <c r="K56" s="260" t="s">
        <v>425</v>
      </c>
      <c r="L56" s="260" t="s">
        <v>426</v>
      </c>
      <c r="M56" s="260" t="s">
        <v>427</v>
      </c>
      <c r="N56" s="260" t="s">
        <v>111</v>
      </c>
      <c r="O56" s="260" t="s">
        <v>112</v>
      </c>
      <c r="P56" s="10">
        <v>12</v>
      </c>
      <c r="Q56" s="11">
        <v>8</v>
      </c>
      <c r="R56" s="11">
        <f t="shared" ca="1" si="86"/>
        <v>3</v>
      </c>
      <c r="S56" s="11" t="str">
        <f ca="1">VLOOKUP(K56,'1220 IDECUT'!$K$13:$AK$48,9,0)</f>
        <v>Durante 2021 se han cofinanciado tres( 3) proyectos para la realización de  actividades de preservación y conservación de patrimonio material, a través de los cuales se beneficia la población  de los municipios de Chaguaní, Suesca y Mosquera, ya que  con la intervención y restauración de este patrimonio cultural, se busca incrementar el sentido de partenencia del habitante cundinamarqueses.</v>
      </c>
      <c r="T56" s="11">
        <v>0</v>
      </c>
      <c r="U56" s="11">
        <v>0</v>
      </c>
      <c r="V56" s="11">
        <v>0</v>
      </c>
      <c r="W56" s="11">
        <v>0</v>
      </c>
      <c r="X56" s="11">
        <v>0</v>
      </c>
      <c r="Y56" s="11">
        <v>0</v>
      </c>
      <c r="Z56" s="11">
        <v>0</v>
      </c>
      <c r="AA56" s="11"/>
      <c r="AB56" s="11"/>
      <c r="AC56" s="11"/>
      <c r="AD56" s="403">
        <v>2</v>
      </c>
      <c r="AE56" s="403">
        <v>0</v>
      </c>
      <c r="AF56" s="11">
        <f ca="1">VLOOKUP(K56,'1220 IDECUT'!$K$13:$AK$48,22,0)</f>
        <v>3</v>
      </c>
      <c r="AG56" s="11">
        <f ca="1">VLOOKUP(K56,'1220 IDECUT'!$K$13:$AK$48,23,0)</f>
        <v>0</v>
      </c>
      <c r="AH56" s="11">
        <f t="shared" ca="1" si="87"/>
        <v>3</v>
      </c>
      <c r="AI56" s="11" t="str">
        <f ca="1">VLOOKUP(K56,'1220 IDECUT'!$K$13:$AK$48,25,0)</f>
        <v>Convenio</v>
      </c>
      <c r="AJ56" s="11" t="str">
        <f ca="1">VLOOKUP(K56,'1220 IDECUT'!$K$13:$AK$48,26,0)</f>
        <v>Se han cofinanciado tres( 3) proyectos para la realización de  actividades de preservación y conservación de patrimonio material, a través de los cuales se beneficia la población  de los municipios de Chaguaní, Suesca y Mosquera, ya que  con la intervención y restauración de este patrimonio cultural, se busca incrementar el sentido de partenencia del habitante cundinamarqueses.</v>
      </c>
      <c r="AK56" s="11">
        <f ca="1">VLOOKUP(K56,'1220 IDECUT'!$K$13:$AK$48,27,0)</f>
        <v>0</v>
      </c>
      <c r="AL56" s="11">
        <v>3</v>
      </c>
      <c r="AM56" s="11">
        <v>0</v>
      </c>
      <c r="AN56" s="11">
        <v>3</v>
      </c>
      <c r="AO56" s="11">
        <v>0</v>
      </c>
      <c r="AP56" s="11">
        <v>0</v>
      </c>
      <c r="AQ56" s="11">
        <v>0</v>
      </c>
      <c r="AR56" s="51">
        <v>2750000000</v>
      </c>
      <c r="AS56" s="54">
        <v>0</v>
      </c>
      <c r="AT56" s="54">
        <f t="shared" si="0"/>
        <v>2750000000</v>
      </c>
      <c r="AU56" s="51">
        <v>2750000000</v>
      </c>
      <c r="AV56" s="243">
        <v>3802091886</v>
      </c>
      <c r="AW56" s="244"/>
      <c r="AX56" s="244"/>
      <c r="AY56" s="243">
        <v>3095503476</v>
      </c>
      <c r="AZ56" s="44">
        <f t="shared" ca="1" si="88"/>
        <v>0.375</v>
      </c>
      <c r="BA56" s="44">
        <v>0</v>
      </c>
      <c r="BB56" s="44" t="s">
        <v>115</v>
      </c>
      <c r="BC56" s="44">
        <f t="shared" si="89"/>
        <v>0.25</v>
      </c>
      <c r="BD56" s="44" cm="1">
        <f t="array" aca="1" ref="BD56" ca="1">_xlfn.IFS(AD56=0,"NA",AD56&gt;0,AH56/AD56)</f>
        <v>1.5</v>
      </c>
      <c r="BE56" s="44">
        <f t="shared" si="90"/>
        <v>0.375</v>
      </c>
      <c r="BF56" s="44">
        <v>0</v>
      </c>
      <c r="BG56" s="44">
        <f t="shared" si="91"/>
        <v>0.375</v>
      </c>
      <c r="BH56" s="44">
        <v>0</v>
      </c>
      <c r="BI56" s="44">
        <f t="shared" si="92"/>
        <v>0</v>
      </c>
      <c r="BJ56" s="44" t="s">
        <v>115</v>
      </c>
      <c r="BK56" s="44">
        <f t="shared" ca="1" si="1"/>
        <v>0.375</v>
      </c>
      <c r="BL56" s="44" t="s">
        <v>115</v>
      </c>
      <c r="BM56" s="44" t="str" cm="1">
        <f t="array" aca="1" ref="BM56" ca="1">_xlfn.IFS(BD56="NA","NA",BD56&gt;100%,"100%",BD56&lt;100,BD56)</f>
        <v>100%</v>
      </c>
      <c r="BN56" s="44" cm="1">
        <f t="array" ref="BN56">_xlfn.IFS(BF56="NA","NA",BF56&gt;100%,"100%",BF56&lt;100,BF56)</f>
        <v>0</v>
      </c>
      <c r="BO56" s="44" cm="1">
        <f t="array" ref="BO56">_xlfn.IFS(BH56="NA","NA",BH56&gt;100%,"100%",BH56&lt;100,BH56)</f>
        <v>0</v>
      </c>
      <c r="BP56" s="44" t="str" cm="1">
        <f t="array" ref="BP56">_xlfn.IFS(BJ56="NA","NA",BJ56&gt;100%,"100%",BJ56&lt;100,BJ56)</f>
        <v>NA</v>
      </c>
      <c r="BQ56" s="45">
        <v>0.22500000000000001</v>
      </c>
      <c r="BR56" s="45">
        <f t="shared" ca="1" si="2"/>
        <v>8.4375000000000006E-2</v>
      </c>
      <c r="BS56" s="45">
        <v>0</v>
      </c>
      <c r="BT56" s="45" t="s">
        <v>115</v>
      </c>
      <c r="BU56" s="45">
        <v>0</v>
      </c>
      <c r="BV56" s="45">
        <f t="shared" si="93"/>
        <v>5.6250000000000001E-2</v>
      </c>
      <c r="BW56" s="45">
        <f t="shared" ca="1" si="94"/>
        <v>5.6250000000000001E-2</v>
      </c>
      <c r="BX56" s="45">
        <f t="shared" ca="1" si="95"/>
        <v>8.4375000000000006E-2</v>
      </c>
      <c r="BY56" s="45">
        <f t="shared" si="96"/>
        <v>8.4375000000000006E-2</v>
      </c>
      <c r="BZ56" s="45">
        <f t="shared" si="97"/>
        <v>0</v>
      </c>
      <c r="CA56" s="45">
        <f t="shared" ca="1" si="98"/>
        <v>0</v>
      </c>
      <c r="CB56" s="45">
        <f t="shared" si="99"/>
        <v>8.4375000000000006E-2</v>
      </c>
      <c r="CC56" s="45">
        <f t="shared" si="100"/>
        <v>0</v>
      </c>
      <c r="CD56" s="45">
        <v>0</v>
      </c>
      <c r="CE56" s="45">
        <f t="shared" si="101"/>
        <v>0</v>
      </c>
      <c r="CF56" s="45" t="str">
        <f t="shared" si="102"/>
        <v>NA</v>
      </c>
      <c r="CG56" s="45">
        <v>0</v>
      </c>
      <c r="CH56" s="244"/>
      <c r="CI56" s="244"/>
      <c r="CJ56" s="244"/>
      <c r="CK56" s="244"/>
      <c r="CM56" s="63">
        <v>0</v>
      </c>
    </row>
    <row r="57" spans="1:91" ht="18" hidden="1" customHeight="1">
      <c r="A57" s="260" t="s">
        <v>428</v>
      </c>
      <c r="B57" s="260" t="s">
        <v>429</v>
      </c>
      <c r="C57" s="260" t="s">
        <v>100</v>
      </c>
      <c r="D57" s="260" t="s">
        <v>101</v>
      </c>
      <c r="E57" s="260" t="s">
        <v>294</v>
      </c>
      <c r="F57" s="260" t="s">
        <v>430</v>
      </c>
      <c r="G57" s="260" t="s">
        <v>431</v>
      </c>
      <c r="H57" s="260" t="s">
        <v>432</v>
      </c>
      <c r="I57" s="260"/>
      <c r="J57" s="260"/>
      <c r="K57" s="260" t="s">
        <v>433</v>
      </c>
      <c r="L57" s="260" t="s">
        <v>434</v>
      </c>
      <c r="M57" s="260" t="s">
        <v>435</v>
      </c>
      <c r="N57" s="260" t="s">
        <v>123</v>
      </c>
      <c r="O57" s="260" t="s">
        <v>112</v>
      </c>
      <c r="P57" s="10">
        <v>0</v>
      </c>
      <c r="Q57" s="11">
        <v>100</v>
      </c>
      <c r="R57" s="11">
        <f t="shared" si="86"/>
        <v>0</v>
      </c>
      <c r="S57" s="11" t="str">
        <f>VLOOKUP(K57,'1223 ICCU'!$K$13:$AK$25,9,0)</f>
        <v> </v>
      </c>
      <c r="T57" s="11">
        <v>10</v>
      </c>
      <c r="U57" s="11">
        <v>0</v>
      </c>
      <c r="V57" s="11">
        <v>0</v>
      </c>
      <c r="W57" s="11">
        <v>0</v>
      </c>
      <c r="X57" s="11">
        <v>0</v>
      </c>
      <c r="Y57" s="11">
        <v>0</v>
      </c>
      <c r="Z57" s="11">
        <v>0</v>
      </c>
      <c r="AA57" s="11">
        <v>0</v>
      </c>
      <c r="AB57" s="11"/>
      <c r="AC57" s="11">
        <v>0</v>
      </c>
      <c r="AD57" s="403">
        <v>60</v>
      </c>
      <c r="AE57" s="403">
        <v>0</v>
      </c>
      <c r="AF57" s="11">
        <f>VLOOKUP(K57,'1223 ICCU'!$K$13:$AK$25,22,0)</f>
        <v>0</v>
      </c>
      <c r="AG57" s="11" t="str">
        <f>VLOOKUP(K57,'1223 ICCU'!$K$13:$AK$25,23,0)</f>
        <v> </v>
      </c>
      <c r="AH57" s="11">
        <f t="shared" si="87"/>
        <v>0</v>
      </c>
      <c r="AI57" s="11" t="str">
        <f>VLOOKUP(K57,'1223 ICCU'!$K$13:$AK$25,25,0)</f>
        <v> </v>
      </c>
      <c r="AJ57" s="11" t="str">
        <f>VLOOKUP(K57,'1223 ICCU'!$K$13:$AK$25,26,0)</f>
        <v> </v>
      </c>
      <c r="AK57" s="11" t="str">
        <f>VLOOKUP(K57,'1223 ICCU'!$K$13:$AK$25,27,0)</f>
        <v> </v>
      </c>
      <c r="AL57" s="11">
        <v>30</v>
      </c>
      <c r="AM57" s="11">
        <v>0</v>
      </c>
      <c r="AN57" s="11">
        <v>10</v>
      </c>
      <c r="AO57" s="11">
        <v>0</v>
      </c>
      <c r="AP57" s="11">
        <v>0</v>
      </c>
      <c r="AQ57" s="11">
        <v>0</v>
      </c>
      <c r="AR57" s="51">
        <v>3000000000</v>
      </c>
      <c r="AS57" s="54">
        <v>0</v>
      </c>
      <c r="AT57" s="54">
        <f t="shared" si="0"/>
        <v>3000000000</v>
      </c>
      <c r="AU57" s="51">
        <v>3000000000</v>
      </c>
      <c r="AV57" s="243"/>
      <c r="AW57" s="244"/>
      <c r="AX57" s="244"/>
      <c r="AY57" s="243">
        <v>0</v>
      </c>
      <c r="AZ57" s="44">
        <f t="shared" si="88"/>
        <v>0</v>
      </c>
      <c r="BA57" s="44">
        <v>0</v>
      </c>
      <c r="BB57" s="44" t="s">
        <v>115</v>
      </c>
      <c r="BC57" s="44">
        <f t="shared" si="89"/>
        <v>0.6</v>
      </c>
      <c r="BD57" s="44" cm="1">
        <f t="array" ref="BD57">_xlfn.IFS(AD57=0,"NA",AD57&gt;0,AH57/AD57)</f>
        <v>0</v>
      </c>
      <c r="BE57" s="44">
        <f t="shared" si="90"/>
        <v>0.3</v>
      </c>
      <c r="BF57" s="44">
        <v>0</v>
      </c>
      <c r="BG57" s="44">
        <f t="shared" si="91"/>
        <v>0.1</v>
      </c>
      <c r="BH57" s="44">
        <v>0</v>
      </c>
      <c r="BI57" s="44">
        <f t="shared" si="92"/>
        <v>0</v>
      </c>
      <c r="BJ57" s="44" t="s">
        <v>115</v>
      </c>
      <c r="BK57" s="44">
        <f t="shared" si="1"/>
        <v>0</v>
      </c>
      <c r="BL57" s="44" t="s">
        <v>115</v>
      </c>
      <c r="BM57" s="44" cm="1">
        <f t="array" ref="BM57">_xlfn.IFS(BD57="NA","NA",BD57&gt;100%,"100%",BD57&lt;100,BD57)</f>
        <v>0</v>
      </c>
      <c r="BN57" s="44" cm="1">
        <f t="array" ref="BN57">_xlfn.IFS(BF57="NA","NA",BF57&gt;100%,"100%",BF57&lt;100,BF57)</f>
        <v>0</v>
      </c>
      <c r="BO57" s="44" cm="1">
        <f t="array" ref="BO57">_xlfn.IFS(BH57="NA","NA",BH57&gt;100%,"100%",BH57&lt;100,BH57)</f>
        <v>0</v>
      </c>
      <c r="BP57" s="44" t="str" cm="1">
        <f t="array" ref="BP57">_xlfn.IFS(BJ57="NA","NA",BJ57&gt;100%,"100%",BJ57&lt;100,BJ57)</f>
        <v>NA</v>
      </c>
      <c r="BQ57" s="45">
        <v>0.22500000000000001</v>
      </c>
      <c r="BR57" s="45">
        <f t="shared" si="2"/>
        <v>0</v>
      </c>
      <c r="BS57" s="45">
        <v>0</v>
      </c>
      <c r="BT57" s="45" t="s">
        <v>115</v>
      </c>
      <c r="BU57" s="45">
        <v>0</v>
      </c>
      <c r="BV57" s="45">
        <f t="shared" si="93"/>
        <v>0.13500000000000001</v>
      </c>
      <c r="BW57" s="45">
        <f t="shared" si="94"/>
        <v>0</v>
      </c>
      <c r="BX57" s="45">
        <f t="shared" si="95"/>
        <v>0</v>
      </c>
      <c r="BY57" s="45">
        <f t="shared" si="96"/>
        <v>6.7500000000000004E-2</v>
      </c>
      <c r="BZ57" s="45">
        <f t="shared" si="97"/>
        <v>0</v>
      </c>
      <c r="CA57" s="45">
        <f t="shared" si="98"/>
        <v>0</v>
      </c>
      <c r="CB57" s="45">
        <f t="shared" si="99"/>
        <v>2.2499999999999999E-2</v>
      </c>
      <c r="CC57" s="45">
        <f t="shared" si="100"/>
        <v>0</v>
      </c>
      <c r="CD57" s="45">
        <v>0</v>
      </c>
      <c r="CE57" s="45">
        <f t="shared" si="101"/>
        <v>0</v>
      </c>
      <c r="CF57" s="45" t="str">
        <f t="shared" si="102"/>
        <v>NA</v>
      </c>
      <c r="CG57" s="45">
        <v>0</v>
      </c>
      <c r="CH57" s="244"/>
      <c r="CI57" s="244"/>
      <c r="CJ57" s="244"/>
      <c r="CK57" s="244"/>
      <c r="CM57" s="63">
        <v>0</v>
      </c>
    </row>
    <row r="58" spans="1:91" ht="18" hidden="1" customHeight="1">
      <c r="A58" s="260" t="s">
        <v>428</v>
      </c>
      <c r="B58" s="260" t="s">
        <v>429</v>
      </c>
      <c r="C58" s="260" t="s">
        <v>100</v>
      </c>
      <c r="D58" s="260" t="s">
        <v>101</v>
      </c>
      <c r="E58" s="260" t="s">
        <v>294</v>
      </c>
      <c r="F58" s="260" t="s">
        <v>430</v>
      </c>
      <c r="G58" s="260" t="s">
        <v>431</v>
      </c>
      <c r="H58" s="260" t="s">
        <v>436</v>
      </c>
      <c r="I58" s="260"/>
      <c r="J58" s="260"/>
      <c r="K58" s="260" t="s">
        <v>437</v>
      </c>
      <c r="L58" s="260" t="s">
        <v>438</v>
      </c>
      <c r="M58" s="260" t="s">
        <v>439</v>
      </c>
      <c r="N58" s="260" t="s">
        <v>111</v>
      </c>
      <c r="O58" s="260" t="s">
        <v>112</v>
      </c>
      <c r="P58" s="10">
        <v>65000</v>
      </c>
      <c r="Q58" s="11">
        <v>85000</v>
      </c>
      <c r="R58" s="11">
        <f t="shared" si="86"/>
        <v>47441.05</v>
      </c>
      <c r="S58" s="11" t="str">
        <f>VLOOKUP(K58,'1223 ICCU'!$K$13:$AK$25,9,0)</f>
        <v xml:space="preserve">Durante el cuatrienio se han intervenido 47.441,05 de espacios públicos y parques con obras de construcción, adecuación y mejoramiento, fomentando la constucción de tejido social y la apropiación del territorio. </v>
      </c>
      <c r="T58" s="11">
        <v>15000</v>
      </c>
      <c r="U58" s="11">
        <v>0</v>
      </c>
      <c r="V58" s="11">
        <v>15000</v>
      </c>
      <c r="W58" s="11">
        <v>0</v>
      </c>
      <c r="X58" s="11">
        <v>15276.48</v>
      </c>
      <c r="Y58" s="11">
        <v>0</v>
      </c>
      <c r="Z58" s="11">
        <v>15276.48</v>
      </c>
      <c r="AA58" s="11" t="s">
        <v>440</v>
      </c>
      <c r="AB58" s="11" t="s">
        <v>441</v>
      </c>
      <c r="AC58" s="11">
        <v>0</v>
      </c>
      <c r="AD58" s="403">
        <v>30000</v>
      </c>
      <c r="AE58" s="403">
        <v>0</v>
      </c>
      <c r="AF58" s="11">
        <f>VLOOKUP(K58,'1223 ICCU'!$K$13:$AK$25,22,0)</f>
        <v>32164.57</v>
      </c>
      <c r="AG58" s="11" t="str">
        <f>VLOOKUP(K58,'1223 ICCU'!$K$13:$AK$25,23,0)</f>
        <v> </v>
      </c>
      <c r="AH58" s="11">
        <f t="shared" si="87"/>
        <v>32164.57</v>
      </c>
      <c r="AI58" s="11" t="str">
        <f>VLOOKUP(K58,'1223 ICCU'!$K$13:$AK$25,25,0)</f>
        <v xml:space="preserve">32.164,57m2 de espacio público intervenidos </v>
      </c>
      <c r="AJ58" s="11" t="str">
        <f>VLOOKUP(K58,'1223 ICCU'!$K$13:$AK$25,26,0)</f>
        <v>Durante la vigencia 2021 se han ejecutado obras de construcción y adecuación en 32.164,57 m2 de espacio público beneficiando a los municipios de Albán, Apulo, El Rosal, Girardot, Funza, Mosquera, Nemocón, Pacho, Paime, Ricaurte, San Francisco, Tabio, Villeta, Zipacón, San Cayetano, Anapoima, Guatavita,  Bituima y La Peña.</v>
      </c>
      <c r="AK58" s="11" t="str">
        <f>VLOOKUP(K58,'1223 ICCU'!$K$13:$AK$25,27,0)</f>
        <v> </v>
      </c>
      <c r="AL58" s="11">
        <v>28000</v>
      </c>
      <c r="AM58" s="11">
        <v>0</v>
      </c>
      <c r="AN58" s="11">
        <v>11723.52</v>
      </c>
      <c r="AO58" s="11">
        <v>0</v>
      </c>
      <c r="AP58" s="11">
        <v>0</v>
      </c>
      <c r="AQ58" s="11">
        <v>0</v>
      </c>
      <c r="AR58" s="51">
        <v>21776603272</v>
      </c>
      <c r="AS58" s="54">
        <v>20000000</v>
      </c>
      <c r="AT58" s="54">
        <f t="shared" si="0"/>
        <v>21796603272</v>
      </c>
      <c r="AU58" s="51">
        <v>21776603272</v>
      </c>
      <c r="AV58" s="243">
        <v>4900000000</v>
      </c>
      <c r="AW58" s="244"/>
      <c r="AX58" s="244"/>
      <c r="AY58" s="243">
        <v>4900000000</v>
      </c>
      <c r="AZ58" s="44">
        <f t="shared" si="88"/>
        <v>0.55813000000000001</v>
      </c>
      <c r="BA58" s="44">
        <v>0.17649999999999999</v>
      </c>
      <c r="BB58" s="44">
        <v>1.0184</v>
      </c>
      <c r="BC58" s="44">
        <f t="shared" si="89"/>
        <v>0.35294117647058826</v>
      </c>
      <c r="BD58" s="44" cm="1">
        <f t="array" ref="BD58">_xlfn.IFS(AD58=0,"NA",AD58&gt;0,AH58/AD58)</f>
        <v>1.0721523333333334</v>
      </c>
      <c r="BE58" s="44">
        <f t="shared" si="90"/>
        <v>0.32941176470588235</v>
      </c>
      <c r="BF58" s="44">
        <v>0</v>
      </c>
      <c r="BG58" s="44">
        <f t="shared" si="91"/>
        <v>0.13792376470588236</v>
      </c>
      <c r="BH58" s="44">
        <v>0</v>
      </c>
      <c r="BI58" s="44">
        <f t="shared" si="92"/>
        <v>0</v>
      </c>
      <c r="BJ58" s="44" t="s">
        <v>115</v>
      </c>
      <c r="BK58" s="44">
        <f t="shared" si="1"/>
        <v>0.55813000000000001</v>
      </c>
      <c r="BL58" s="44">
        <v>1</v>
      </c>
      <c r="BM58" s="44" t="str" cm="1">
        <f t="array" ref="BM58">_xlfn.IFS(BD58="NA","NA",BD58&gt;100%,"100%",BD58&lt;100,BD58)</f>
        <v>100%</v>
      </c>
      <c r="BN58" s="44" cm="1">
        <f t="array" ref="BN58">_xlfn.IFS(BF58="NA","NA",BF58&gt;100%,"100%",BF58&lt;100,BF58)</f>
        <v>0</v>
      </c>
      <c r="BO58" s="44" cm="1">
        <f t="array" ref="BO58">_xlfn.IFS(BH58="NA","NA",BH58&gt;100%,"100%",BH58&lt;100,BH58)</f>
        <v>0</v>
      </c>
      <c r="BP58" s="44" t="str" cm="1">
        <f t="array" ref="BP58">_xlfn.IFS(BJ58="NA","NA",BJ58&gt;100%,"100%",BJ58&lt;100,BJ58)</f>
        <v>NA</v>
      </c>
      <c r="BQ58" s="45">
        <v>0.22500000000000001</v>
      </c>
      <c r="BR58" s="45">
        <f t="shared" si="2"/>
        <v>0.12557925</v>
      </c>
      <c r="BS58" s="45">
        <v>3.9699999999999999E-2</v>
      </c>
      <c r="BT58" s="45">
        <v>3.9699999999999999E-2</v>
      </c>
      <c r="BU58" s="45">
        <v>4.0399999999999998E-2</v>
      </c>
      <c r="BV58" s="45">
        <f t="shared" si="93"/>
        <v>7.9411764705882348E-2</v>
      </c>
      <c r="BW58" s="45">
        <f t="shared" si="94"/>
        <v>7.9411764705882348E-2</v>
      </c>
      <c r="BX58" s="45">
        <f t="shared" si="95"/>
        <v>8.5179250000000012E-2</v>
      </c>
      <c r="BY58" s="45">
        <f t="shared" si="96"/>
        <v>7.4117647058823524E-2</v>
      </c>
      <c r="BZ58" s="45">
        <f t="shared" si="97"/>
        <v>0</v>
      </c>
      <c r="CA58" s="45">
        <f t="shared" si="98"/>
        <v>0</v>
      </c>
      <c r="CB58" s="45">
        <f t="shared" si="99"/>
        <v>3.1032847058823535E-2</v>
      </c>
      <c r="CC58" s="45">
        <f t="shared" si="100"/>
        <v>0</v>
      </c>
      <c r="CD58" s="45">
        <v>0</v>
      </c>
      <c r="CE58" s="45">
        <f t="shared" si="101"/>
        <v>0</v>
      </c>
      <c r="CF58" s="45" t="str">
        <f t="shared" si="102"/>
        <v>NA</v>
      </c>
      <c r="CG58" s="45">
        <v>0</v>
      </c>
      <c r="CH58" s="244"/>
      <c r="CI58" s="244"/>
      <c r="CJ58" s="244"/>
      <c r="CK58" s="244"/>
      <c r="CM58" s="63">
        <v>45205.05</v>
      </c>
    </row>
    <row r="59" spans="1:91" ht="18" hidden="1" customHeight="1">
      <c r="A59" s="260" t="s">
        <v>442</v>
      </c>
      <c r="B59" s="260" t="s">
        <v>443</v>
      </c>
      <c r="C59" s="260" t="s">
        <v>100</v>
      </c>
      <c r="D59" s="260" t="s">
        <v>101</v>
      </c>
      <c r="E59" s="260" t="s">
        <v>294</v>
      </c>
      <c r="F59" s="260" t="s">
        <v>430</v>
      </c>
      <c r="G59" s="260" t="s">
        <v>431</v>
      </c>
      <c r="H59" s="260" t="s">
        <v>444</v>
      </c>
      <c r="I59" s="260" t="s">
        <v>445</v>
      </c>
      <c r="J59" s="260"/>
      <c r="K59" s="260" t="s">
        <v>446</v>
      </c>
      <c r="L59" s="260" t="s">
        <v>447</v>
      </c>
      <c r="M59" s="260" t="s">
        <v>448</v>
      </c>
      <c r="N59" s="260" t="s">
        <v>111</v>
      </c>
      <c r="O59" s="260" t="s">
        <v>112</v>
      </c>
      <c r="P59" s="10">
        <v>5963</v>
      </c>
      <c r="Q59" s="11">
        <v>4000</v>
      </c>
      <c r="R59" s="11">
        <f t="shared" si="86"/>
        <v>1235</v>
      </c>
      <c r="S59" s="11" t="str">
        <f>VLOOKUP(K59,'1131 Hábitat'!$K$13:$AK$24,9,0)</f>
        <v xml:space="preserve">Vigencia 2020: Se adelantó gestión ante el Ministerio de Vivienda, Ciudad y Territorio cuyo resultado en la asignación de recursos del orden nacional por la suma de $5.100.000.000 para tres (3) municipios, y una asignación de recursos del orden municipal por la suma de $4.500.000.000, para la ejecución de obras de mejoramientos de aproximadamente 900 viviendas urbanas en el marco del Programa “Casa digna, Vida Digna” que se ejecutarán en 2021.
61 hogares del Municipio de Funza se beneficiarán con la ejecución de obras de mejoramiento de viviendas urbanas, que se llevarán a cabo con una inversión departamental de $200 millones de pesos y de $200 millones de pesos del municipio.
ejecución de proyectos de mejoramiento de vivienda rural - construcción de pisos, que serán financiados en su totalidad por la Secretaría de Hábitat y Vivienda y beneficiarán a 608 hogares (20 hogares VCA y 588 hogares vulnerables) de las zonas rurales de 34 municipios del Departamento.
</v>
      </c>
      <c r="T59" s="11">
        <v>300</v>
      </c>
      <c r="U59" s="11">
        <v>0</v>
      </c>
      <c r="V59" s="11">
        <v>300</v>
      </c>
      <c r="W59" s="11">
        <v>0</v>
      </c>
      <c r="X59" s="11">
        <v>669</v>
      </c>
      <c r="Y59" s="11">
        <v>0</v>
      </c>
      <c r="Z59" s="11">
        <v>669</v>
      </c>
      <c r="AA59" s="11" t="s">
        <v>449</v>
      </c>
      <c r="AB59" s="11" t="s">
        <v>450</v>
      </c>
      <c r="AC59" s="11" t="s">
        <v>451</v>
      </c>
      <c r="AD59" s="403">
        <v>600</v>
      </c>
      <c r="AE59" s="403">
        <v>0</v>
      </c>
      <c r="AF59" s="11">
        <f>VLOOKUP(K59,'1131 Hábitat'!$K$13:$AK$24,22,0)</f>
        <v>566</v>
      </c>
      <c r="AG59" s="11">
        <f>VLOOKUP(K59,'1131 Hábitat'!$K$13:$AK$24,23,0)</f>
        <v>0</v>
      </c>
      <c r="AH59" s="11">
        <f t="shared" si="87"/>
        <v>566</v>
      </c>
      <c r="AI59" s="11">
        <f>VLOOKUP(K59,'1131 Hábitat'!$K$13:$AK$24,25,0)</f>
        <v>0</v>
      </c>
      <c r="AJ59" s="11" t="str">
        <f>VLOOKUP(K59,'1131 Hábitat'!$K$13:$AK$24,26,0)</f>
        <v>La Secretaría de Hábitat y Vivienda expidió la Circular 006 del 26 de abril, invitando a los municipios a participar en la ejecución de proyectos de mejoramiento de vivienda en la modalidad de pisos. En proceso de recepción de documentos para la presentación de proyectos. La meta no presenta avance a la fecha del presente reporte. La Secretaría de Hábitat y Vivienda adelanta la implementación de la estrategia de inversión de los recursos asignados en el presupuesto y los adicionados mediante decreto No. 062 del 04 de marzo, para definir la modalidad de proyectos a ser financiados para optimizar el alcance de los mismos. 
Durante el mes de mayo se adelantaron las acciones correspondientes al proceso de formulación de los proyectos de mejoramiento de pisos para dar inicio al proceso precontractual.
Durante el mes de junio se adelantaron procesos de verificación de los beneficiarios de los proyectos de mejoramiento de vivienda rural (construcción de pisos) con el fin de evitar cambios durante el proceso de ejecución. Terminado este proceso se continuará con el proceso precontractual para la suscripción de los convenios con los municipios de Quetame, Tausa, Yacopí, Subachoque, Apulo, Medina, Cachipay, Simijaca, Puerto Salgar, Útica, Sibaté, Villeta y Ubaté 
JULIO
Durante el mes de julio se celebró convenio interadministrativo con el municipio de Subachoque para el mejoramiento de 12 viviendas rurales con la construcción de pisos. Se encuentran en unidad de contratos los procesos que se adelantarán con los municipios de Quetame, Tausa, Yacopí, Apulo, Medina, Cachipay, Simijaca, Puerto Salgar, Útica, Sibaté, Villeta y Ubaté.
En cuanto al Programa “Casa digna, Vida digna” del MVCT, en el marco de la ejecución de los convenios interadministrativos FNV-011-2020, FNV-012-2020 Y FNV-013-2020, fueron aprobados los sectores de intervención en los municipios de Chía, Cajicá y Fusagasugá. Se adelantan los procesos de postulación de potenciales beneficiarios localizados en los sectores de intervención aprobados. Se presenta gran dificultad en la selección de 283 hogares urbanos que cumplan con los requisitos exigidos por el MVCT. La Secretaría de Hábitat y Vivienda dispuso de personal de apoyo técnico, para apoyar a los municipios de Chía y Cajicá en las visitas de campo puerta a puerta para lograr avanzar en la postulación y habilitación de hogares y dar inicio a la ejecución de las obras. Se espera que en el mes de Noviembre se tengan 849 hogares habilitados para el mejoramiento de igual número de viviendas.
Durante el mes de agosto se detuvieron los procesos precontractuales a la espera de la expedición de la Resolución 1394 de ajuste de los códigos presupuestarios solicitados por la Secretaría de Hacienda, y del Decreto No. 275 de Armonización Plan de Desarrollo. 
Se encuentra en proceso precontractual el proyecto de mejoramiento de vivienda urbana para Tocaima.
Se solicitaron conceptos para adelantar procesos precontractuales con los municipios de Quetame, Tausa, Yacopí, Apulo, Medina, Cachipay, Simijaca, Puerto Salgar, Útica, Sibaté, Villeta y Ubaté. En trámite la inscripción de proyectos de pisos para los municipios de Bojacá y Guataquí.
Se avanza en la postulación de beneficiarios del Programa “Casa digna, Vida digna” del MVCT, en el marco de la ejecución de los convenios interadministrativos FNV-011-2020, FNV-012-2020 y FNV-013-2020 en los municipios de Chía, Cajicá y Fusagasugá, pero se presentan dificultades en la habilitación de los hogares postulados por no cumplimiento de los requisitos exigidos por el MVCT (Valor de la vivienda superior al tope VIS, tener otra vivienda, y haber recibido subsidio del gobierno nacional).
Fusagasugá lleva el 84% de avance con 239 hogares habilitados, Cajicá: 26,5% con 75 hogares habilitados y 102 hogares en proceso de cruces, y Chía 4,9% con 14 hogares habilitados y 43 hogares en proceso de evaluación.
SEPTIEMBRE
Se celebraron los siguientes convenios:
SHVS-CDCVI-055-2021 Municipio de Sibaté (11 viviendas)
SHVS-CDCVI-056-2021 Municipio de Puerto Salgar (13 viviendas)
SHVS-CDCVI-059-2021 Municipio de Tausa (10 viviendas)
SHVS-CDCVI-060-2021 Municipio de Apulo (10 viviendas)
SHVS-CDCVI-061-2021 Municipio de Utica (17 viviendas)
SHVS-CDCVI-062-2021 Municipio de Villeta (9 viviendas)
SHVS-CDCVI-063-2021 Municipio de Quetame (15 viviendas)
SHVS-CDCVI-064-2021 Municipio de Cachipay (7 viviendas)
Se avanza en la postulación de beneficiarios del Programa “Casa digna, Vida digna” del MVCT, en el marco de la ejecución de los convenios interadministrativos FNV-011-2020, FNV-012-2020 y FNV-013-2020 en los municipios de Chía, Cajicá y Fusagasugá, pero se presentan dificultades en la habilitación de los hogares postulados por no cumplimiento de los requisitos exigidos por el MVCT (Valor de la vivienda superior al tope VIS, tener otra vivienda, y haber recibido subsidio del gobierno nacional).
Fusagasugá lleva el 95% de avance de hogares habilitados y ya se abrió proceso licitatorio para las obras y la interventoría Cajicá: 43% con 121 hogares habilitados, y Chía 7% con grandes dificultades en el proceso de postulación y habilitación de hogares.
OCTUBRE:
Se encuentran en proceso para celebración de convenios los proyectos de Pisos con los municipios de Medina, Simijaca, Guataquí, Bojacá y Yacopí.
Se avanza en la postulación de beneficiarios del Programa “Casa digna, Vida digna” del MVCT, en el marco de la ejecución de los convenios interadministrativos FNV-011-2020, FNV-012-2020 y FNV-013-2020 en los municipios de Chía, Cajicá y Fusagasugá.
Fusagasugá lleva el 100% de avance de hogares habilitados y en el mes de noviembre se adjudicarán los contratistas de obras y la interventoría. Cajicá: 57% con 165 hogares habilitados. El municipio de Chía 15% de avance en las postulaciones con grandes dificultades en el proceso de postulación y habilitación de hogares.
Se adelantan procesos precontractuales para la celebración de convenios con los municipios de Manta, Quipile, Sasaima y La Mesa los cuales beneficiarán a 28 hogares con mejoramiento de cubiertas.
De igual manera se adelantan procesos precontractuales para el mejoramiento de fachadas en los municipios de Villagómez y San Cayetano los cuales beneficiarán a 51 viviendas.</v>
      </c>
      <c r="AK59" s="11" t="str">
        <f>VLOOKUP(K59,'1131 Hábitat'!$K$13:$AK$24,27,0)</f>
        <v>El proceso de postulación de potenciales beneficiarios en los municipios de Chía, Cajicá y Fusagasugá, presenta dificultades en la habilitación de los hogares postulados por no cumplimiento de los requisitos exigidos por el MVCT (Valor de la vivienda superior al tope VIS, tener otra vivienda, y haber recibido subsidio del gobierno nacional).
El Gobierno Nacional no abrió convocatorias en la vigencia 2021 para proyectos de mejoramiento de vivienda lo que dificulta el acceso a recursos del orden nacional.</v>
      </c>
      <c r="AL59" s="11">
        <v>1200</v>
      </c>
      <c r="AM59" s="11">
        <v>0</v>
      </c>
      <c r="AN59" s="11">
        <v>1531</v>
      </c>
      <c r="AO59" s="11">
        <v>0</v>
      </c>
      <c r="AP59" s="11">
        <v>0</v>
      </c>
      <c r="AQ59" s="11">
        <v>0</v>
      </c>
      <c r="AR59" s="51">
        <v>2832658252</v>
      </c>
      <c r="AS59" s="54">
        <v>1470000000</v>
      </c>
      <c r="AT59" s="54">
        <f t="shared" si="0"/>
        <v>4302658252</v>
      </c>
      <c r="AU59" s="51">
        <v>2829943912</v>
      </c>
      <c r="AV59" s="243">
        <v>2500000000</v>
      </c>
      <c r="AW59" s="244"/>
      <c r="AX59" s="244"/>
      <c r="AY59" s="243">
        <v>2216792706</v>
      </c>
      <c r="AZ59" s="44">
        <f t="shared" si="88"/>
        <v>0.30875000000000002</v>
      </c>
      <c r="BA59" s="44">
        <v>0.05</v>
      </c>
      <c r="BB59" s="44">
        <v>2.23</v>
      </c>
      <c r="BC59" s="44">
        <f t="shared" si="89"/>
        <v>0.15</v>
      </c>
      <c r="BD59" s="44" cm="1">
        <f t="array" ref="BD59">_xlfn.IFS(AD59=0,"NA",AD59&gt;0,AH59/AD59)</f>
        <v>0.94333333333333336</v>
      </c>
      <c r="BE59" s="44">
        <f t="shared" si="90"/>
        <v>0.3</v>
      </c>
      <c r="BF59" s="44">
        <v>0</v>
      </c>
      <c r="BG59" s="44">
        <f t="shared" si="91"/>
        <v>0.38274999999999998</v>
      </c>
      <c r="BH59" s="44">
        <v>0</v>
      </c>
      <c r="BI59" s="44">
        <f t="shared" si="92"/>
        <v>0</v>
      </c>
      <c r="BJ59" s="44" t="s">
        <v>115</v>
      </c>
      <c r="BK59" s="44">
        <f t="shared" si="1"/>
        <v>0.30875000000000002</v>
      </c>
      <c r="BL59" s="44">
        <v>1</v>
      </c>
      <c r="BM59" s="44" cm="1">
        <f t="array" ref="BM59">_xlfn.IFS(BD59="NA","NA",BD59&gt;100%,"100%",BD59&lt;100,BD59)</f>
        <v>0.94333333333333336</v>
      </c>
      <c r="BN59" s="44" cm="1">
        <f t="array" ref="BN59">_xlfn.IFS(BF59="NA","NA",BF59&gt;100%,"100%",BF59&lt;100,BF59)</f>
        <v>0</v>
      </c>
      <c r="BO59" s="44" cm="1">
        <f t="array" ref="BO59">_xlfn.IFS(BH59="NA","NA",BH59&gt;100%,"100%",BH59&lt;100,BH59)</f>
        <v>0</v>
      </c>
      <c r="BP59" s="44" t="str" cm="1">
        <f t="array" ref="BP59">_xlfn.IFS(BJ59="NA","NA",BJ59&gt;100%,"100%",BJ59&lt;100,BJ59)</f>
        <v>NA</v>
      </c>
      <c r="BQ59" s="45">
        <v>0.22500000000000001</v>
      </c>
      <c r="BR59" s="45">
        <f t="shared" si="2"/>
        <v>6.946875000000001E-2</v>
      </c>
      <c r="BS59" s="45">
        <v>1.1299999999999999E-2</v>
      </c>
      <c r="BT59" s="45">
        <v>1.1299999999999999E-2</v>
      </c>
      <c r="BU59" s="45">
        <v>2.5100000000000001E-2</v>
      </c>
      <c r="BV59" s="45">
        <f t="shared" si="93"/>
        <v>3.3750000000000002E-2</v>
      </c>
      <c r="BW59" s="45">
        <f t="shared" si="94"/>
        <v>3.1837500000000005E-2</v>
      </c>
      <c r="BX59" s="45">
        <f t="shared" si="95"/>
        <v>4.4368750000000012E-2</v>
      </c>
      <c r="BY59" s="45">
        <f t="shared" si="96"/>
        <v>6.7500000000000004E-2</v>
      </c>
      <c r="BZ59" s="45">
        <f t="shared" si="97"/>
        <v>0</v>
      </c>
      <c r="CA59" s="45">
        <f t="shared" si="98"/>
        <v>0</v>
      </c>
      <c r="CB59" s="45">
        <f t="shared" si="99"/>
        <v>8.6118750000000008E-2</v>
      </c>
      <c r="CC59" s="45">
        <f t="shared" si="100"/>
        <v>0</v>
      </c>
      <c r="CD59" s="45">
        <v>0</v>
      </c>
      <c r="CE59" s="45">
        <f t="shared" si="101"/>
        <v>0</v>
      </c>
      <c r="CF59" s="45" t="str">
        <f t="shared" si="102"/>
        <v>NA</v>
      </c>
      <c r="CG59" s="45">
        <v>0</v>
      </c>
      <c r="CH59" s="244"/>
      <c r="CI59" s="244"/>
      <c r="CJ59" s="244"/>
      <c r="CK59" s="244"/>
      <c r="CM59" s="63">
        <v>681</v>
      </c>
    </row>
    <row r="60" spans="1:91" ht="18" hidden="1" customHeight="1">
      <c r="A60" s="260" t="s">
        <v>442</v>
      </c>
      <c r="B60" s="260" t="s">
        <v>443</v>
      </c>
      <c r="C60" s="260" t="s">
        <v>100</v>
      </c>
      <c r="D60" s="260" t="s">
        <v>101</v>
      </c>
      <c r="E60" s="260" t="s">
        <v>294</v>
      </c>
      <c r="F60" s="260" t="s">
        <v>430</v>
      </c>
      <c r="G60" s="260" t="s">
        <v>431</v>
      </c>
      <c r="H60" s="260" t="s">
        <v>452</v>
      </c>
      <c r="I60" s="260" t="s">
        <v>200</v>
      </c>
      <c r="J60" s="260"/>
      <c r="K60" s="260" t="s">
        <v>453</v>
      </c>
      <c r="L60" s="260" t="s">
        <v>454</v>
      </c>
      <c r="M60" s="260" t="s">
        <v>455</v>
      </c>
      <c r="N60" s="260" t="s">
        <v>111</v>
      </c>
      <c r="O60" s="260" t="s">
        <v>112</v>
      </c>
      <c r="P60" s="10">
        <v>0</v>
      </c>
      <c r="Q60" s="11">
        <v>30</v>
      </c>
      <c r="R60" s="11">
        <f t="shared" si="86"/>
        <v>33</v>
      </c>
      <c r="S60" s="11" t="str">
        <f>VLOOKUP(K60,'1131 Hábitat'!$K$13:$AK$24,9,0)</f>
        <v xml:space="preserve">Vigencia 2020: 842 hogares localizados en diferentes sectores de 20 municipios, embellecieron sus fachadas y adecuaron sus andenes para mejora movilidad y seguridad en el espacio público, con una inversión departamental por la suma de $1.000 millones de pesos y una gestión de recursos municipales por la suma de $210 millones de pesos. </v>
      </c>
      <c r="T60" s="11">
        <v>3</v>
      </c>
      <c r="U60" s="11">
        <v>0</v>
      </c>
      <c r="V60" s="11">
        <v>3</v>
      </c>
      <c r="W60" s="11">
        <v>0</v>
      </c>
      <c r="X60" s="11">
        <v>20</v>
      </c>
      <c r="Y60" s="11">
        <v>0</v>
      </c>
      <c r="Z60" s="11">
        <v>20</v>
      </c>
      <c r="AA60" s="11" t="s">
        <v>456</v>
      </c>
      <c r="AB60" s="11" t="s">
        <v>457</v>
      </c>
      <c r="AC60" s="11" t="s">
        <v>458</v>
      </c>
      <c r="AD60" s="403">
        <v>8</v>
      </c>
      <c r="AE60" s="403">
        <v>0</v>
      </c>
      <c r="AF60" s="11">
        <f>VLOOKUP(K60,'1131 Hábitat'!$K$13:$AK$24,22,0)</f>
        <v>13</v>
      </c>
      <c r="AG60" s="11">
        <f>VLOOKUP(K60,'1131 Hábitat'!$K$13:$AK$24,23,0)</f>
        <v>0</v>
      </c>
      <c r="AH60" s="11">
        <f t="shared" si="87"/>
        <v>13</v>
      </c>
      <c r="AI60" s="11">
        <f>VLOOKUP(K60,'1131 Hábitat'!$K$13:$AK$24,25,0)</f>
        <v>0</v>
      </c>
      <c r="AJ60" s="11" t="str">
        <f>VLOOKUP(K60,'1131 Hábitat'!$K$13:$AK$24,26,0)</f>
        <v>La meta no presenta avance a la fecha del presente reporte. La Secretaría de Hábitat y Vivienda adelanta la implementación de la estrategia de inversión de los recursos asignados en el presupuesto y los adicionados mediante decreto No. 062 del 04 de marzo, para definir la modalidad de proyectos a ser financiados para optimizar el alcance de los mismos.
Durante el mes de mayo se adelantaron las acciones correspondientes al proceso de formulación de los proyectos de mejoramiento de fachadas para dar inicio al proceso precontractual.
Durante el mes de junio se inscribió el proyecto específico, se expidió concepto precontractual y CDP para iniciar la suscripción de los convenios con los municipios beneficiados con mejoramiento de fachadas.
JULIO
Durante el mes de julio se celebraron los convenios para Aunar esfuerzos técnicos administrativos y financieros para el mejoramiento de barrios y entornos urbanos a través del embellecimiento de fachadas en los municipios de Caparrapí, Cogua, Fómeque, Fúquene, Lenguazaque, Ricaurte, Sasaima y Ubalá. La meta presenta un avance de 8 entornos urbanos atendidos y 278 viviendas beneficiadas con obras de mejoramiento de fachadas.
En el mes de agosto se celebraron 2 convenios en el marco del programa fachadas con los cuales se atenderán 88 viviendas en el municipio de La Mesa y 31 viviendas en el municipio de Sesquilé. 
SEPTIEMBRE
Se celebraron 2 convenios en el marco del programa fachadas con los cuales se atenderán 53 viviendas en el municipio de Ubaté SHVS-CDCVI-057-2021 y mediante el convenio SHVS-CDCVI-058-2021 se atenderán 52 viviendas en el municipio de Guasca. 
OCTUBRE
En el mes de octubre se celebró el convenio SHVS-CDCVI-072-2021 con el Municipio de Suesca en el marco del programa fachadas con el cual se atenderá 48 viviendas. Para esta meta se benefician en total 601 hogares en la Vigencia 2021.</v>
      </c>
      <c r="AK60" s="11">
        <f>VLOOKUP(K60,'1131 Hábitat'!$K$13:$AK$24,27,0)</f>
        <v>0</v>
      </c>
      <c r="AL60" s="11">
        <v>2</v>
      </c>
      <c r="AM60" s="11">
        <v>0</v>
      </c>
      <c r="AN60" s="11">
        <v>0</v>
      </c>
      <c r="AO60" s="11">
        <v>0</v>
      </c>
      <c r="AP60" s="11">
        <v>0</v>
      </c>
      <c r="AQ60" s="11">
        <v>0</v>
      </c>
      <c r="AR60" s="51">
        <v>1000000000</v>
      </c>
      <c r="AS60" s="54">
        <v>0</v>
      </c>
      <c r="AT60" s="54">
        <f t="shared" si="0"/>
        <v>1000000000</v>
      </c>
      <c r="AU60" s="51">
        <v>1000000000</v>
      </c>
      <c r="AV60" s="243">
        <v>650000000</v>
      </c>
      <c r="AW60" s="244"/>
      <c r="AX60" s="244"/>
      <c r="AY60" s="243">
        <v>650000000</v>
      </c>
      <c r="AZ60" s="44">
        <f t="shared" si="88"/>
        <v>1.1000000000000001</v>
      </c>
      <c r="BA60" s="44">
        <v>0.3</v>
      </c>
      <c r="BB60" s="44">
        <v>6.6666999999999996</v>
      </c>
      <c r="BC60" s="44">
        <f t="shared" si="89"/>
        <v>0.26666666666666666</v>
      </c>
      <c r="BD60" s="44" cm="1">
        <f t="array" ref="BD60">_xlfn.IFS(AD60=0,"NA",AD60&gt;0,AH60/AD60)</f>
        <v>1.625</v>
      </c>
      <c r="BE60" s="44">
        <f t="shared" si="90"/>
        <v>6.6666666666666666E-2</v>
      </c>
      <c r="BF60" s="44">
        <v>0</v>
      </c>
      <c r="BG60" s="44">
        <f t="shared" si="91"/>
        <v>0</v>
      </c>
      <c r="BH60" s="44">
        <v>0</v>
      </c>
      <c r="BI60" s="44">
        <f t="shared" si="92"/>
        <v>0</v>
      </c>
      <c r="BJ60" s="44" t="s">
        <v>115</v>
      </c>
      <c r="BK60" s="44" t="str">
        <f t="shared" si="1"/>
        <v>100%</v>
      </c>
      <c r="BL60" s="44">
        <v>1</v>
      </c>
      <c r="BM60" s="44" t="str" cm="1">
        <f t="array" ref="BM60">_xlfn.IFS(BD60="NA","NA",BD60&gt;100%,"100%",BD60&lt;100,BD60)</f>
        <v>100%</v>
      </c>
      <c r="BN60" s="44" cm="1">
        <f t="array" ref="BN60">_xlfn.IFS(BF60="NA","NA",BF60&gt;100%,"100%",BF60&lt;100,BF60)</f>
        <v>0</v>
      </c>
      <c r="BO60" s="44" cm="1">
        <f t="array" ref="BO60">_xlfn.IFS(BH60="NA","NA",BH60&gt;100%,"100%",BH60&lt;100,BH60)</f>
        <v>0</v>
      </c>
      <c r="BP60" s="44" t="str" cm="1">
        <f t="array" ref="BP60">_xlfn.IFS(BJ60="NA","NA",BJ60&gt;100%,"100%",BJ60&lt;100,BJ60)</f>
        <v>NA</v>
      </c>
      <c r="BQ60" s="45">
        <v>0.22500000000000001</v>
      </c>
      <c r="BR60" s="45">
        <f t="shared" si="2"/>
        <v>0.22500000000000001</v>
      </c>
      <c r="BS60" s="45">
        <v>6.7500000000000004E-2</v>
      </c>
      <c r="BT60" s="45">
        <v>6.7500000000000004E-2</v>
      </c>
      <c r="BU60" s="45">
        <v>0.22500000000000001</v>
      </c>
      <c r="BV60" s="45">
        <f t="shared" si="93"/>
        <v>6.0000000000000005E-2</v>
      </c>
      <c r="BW60" s="45">
        <f t="shared" si="94"/>
        <v>6.0000000000000005E-2</v>
      </c>
      <c r="BX60" s="45">
        <f t="shared" si="95"/>
        <v>0</v>
      </c>
      <c r="BY60" s="45">
        <f t="shared" si="96"/>
        <v>1.5000000000000001E-2</v>
      </c>
      <c r="BZ60" s="45">
        <f t="shared" si="97"/>
        <v>0</v>
      </c>
      <c r="CA60" s="45">
        <f t="shared" si="98"/>
        <v>0</v>
      </c>
      <c r="CB60" s="45">
        <f t="shared" si="99"/>
        <v>0</v>
      </c>
      <c r="CC60" s="45">
        <f t="shared" si="100"/>
        <v>0</v>
      </c>
      <c r="CD60" s="45">
        <v>0</v>
      </c>
      <c r="CE60" s="45">
        <f t="shared" si="101"/>
        <v>0</v>
      </c>
      <c r="CF60" s="45" t="str">
        <f t="shared" si="102"/>
        <v>NA</v>
      </c>
      <c r="CG60" s="45">
        <v>0</v>
      </c>
      <c r="CH60" s="244"/>
      <c r="CI60" s="244"/>
      <c r="CJ60" s="244"/>
      <c r="CK60" s="244"/>
      <c r="CM60" s="63">
        <v>30</v>
      </c>
    </row>
    <row r="61" spans="1:91" ht="18" hidden="1" customHeight="1">
      <c r="A61" s="260" t="s">
        <v>442</v>
      </c>
      <c r="B61" s="260" t="s">
        <v>443</v>
      </c>
      <c r="C61" s="260" t="s">
        <v>100</v>
      </c>
      <c r="D61" s="260" t="s">
        <v>101</v>
      </c>
      <c r="E61" s="260" t="s">
        <v>294</v>
      </c>
      <c r="F61" s="260" t="s">
        <v>430</v>
      </c>
      <c r="G61" s="260" t="s">
        <v>431</v>
      </c>
      <c r="H61" s="260" t="s">
        <v>459</v>
      </c>
      <c r="I61" s="260" t="s">
        <v>445</v>
      </c>
      <c r="J61" s="260"/>
      <c r="K61" s="260" t="s">
        <v>460</v>
      </c>
      <c r="L61" s="260" t="s">
        <v>461</v>
      </c>
      <c r="M61" s="260" t="s">
        <v>462</v>
      </c>
      <c r="N61" s="260" t="s">
        <v>111</v>
      </c>
      <c r="O61" s="260" t="s">
        <v>112</v>
      </c>
      <c r="P61" s="10">
        <v>0</v>
      </c>
      <c r="Q61" s="11">
        <v>20</v>
      </c>
      <c r="R61" s="11">
        <f t="shared" si="86"/>
        <v>6</v>
      </c>
      <c r="S61" s="11" t="str">
        <f>VLOOKUP(K61,'1131 Hábitat'!$K$13:$AK$24,9,0)</f>
        <v>Vigencia 2020. No hubo asignación de recursos
Vigencia 2021: Se han adelantado 5 procesos de acompañamiento social en proyectos habitacionales en los municipios de La Mesa, Villeta, Caparrapí, Cajicá, Chía</v>
      </c>
      <c r="T61" s="11">
        <v>3</v>
      </c>
      <c r="U61" s="11">
        <v>0</v>
      </c>
      <c r="V61" s="11">
        <v>0</v>
      </c>
      <c r="W61" s="11">
        <v>0</v>
      </c>
      <c r="X61" s="11">
        <v>0</v>
      </c>
      <c r="Y61" s="11">
        <v>0</v>
      </c>
      <c r="Z61" s="11">
        <v>0</v>
      </c>
      <c r="AA61" s="11"/>
      <c r="AB61" s="11"/>
      <c r="AC61" s="11"/>
      <c r="AD61" s="403">
        <v>6</v>
      </c>
      <c r="AE61" s="403">
        <v>0</v>
      </c>
      <c r="AF61" s="11">
        <f>VLOOKUP(K61,'1131 Hábitat'!$K$13:$AK$24,22,0)</f>
        <v>6</v>
      </c>
      <c r="AG61" s="11">
        <f>VLOOKUP(K61,'1131 Hábitat'!$K$13:$AK$24,23,0)</f>
        <v>0</v>
      </c>
      <c r="AH61" s="11">
        <f t="shared" si="87"/>
        <v>6</v>
      </c>
      <c r="AI61" s="11">
        <f>VLOOKUP(K61,'1131 Hábitat'!$K$13:$AK$24,25,0)</f>
        <v>6</v>
      </c>
      <c r="AJ61" s="11" t="str">
        <f>VLOOKUP(K61,'1131 Hábitat'!$K$13:$AK$24,26,0)</f>
        <v>Se suscribieron tres contratos de prestación de servicios para el fortalecimiento de la gestión de la SHV. Se adelantan gestiones de acompañamiento social para el desarrollo de los proyectos de mejoramiento de vivienda urbana en el marco del programa "Casa Digna, Vida Digna" y la selección de los beneficiarios de los mismos.
En el mes de abril se suscribieron cuatro contratos de prestación de servicios.
JULIO
En el Municipio de Cajicá, específicamente en los conjuntos residenciales Biblos, Candelaria 2 y Caminos de Cajicá 2, personal técnico de la Secretaría de Hábitat y Vivienda realizó visitas de campo puerta a puerta en viviendas focalizadas en el Programa “Casa digna, Vida digna” del MVCT, en el marco de la ejecución de los convenios interadministrativos FNV-011-2020, FNV-012-2020 Y FNV-013-2020, promocionando y divulgando el programa para incentivar a la comunidad a postularse, allegando los documentos técnicos y sociales requeridos para que el hogar sea habilitado y pueda acceder al subsidio de mejoramiento de vivienda urbana.
En el proceso se acompañó a 25 hogares en el proceso de registro en la Plataforma del MVCT, verificando el cumplimiento de los requisitos del programa, y apoyando a los hogares a subir la documentación completa. 
En el mes de agosto se llevó a cabo acompañamiento social en el Municipio de Caparrapí – Urbanización San Carlos, tratando temas de Resolución de Conflictos. Se brindaron herramientas para una sana convivencia, logrando que los asistentes reflexionaran sobre la importancia de vivir en armonía, establecer mecanismos de conciliación y generar acuerdos. El total de asistentes fue de 32 personas.
En el Municipio de Villeta Conjunto Residencial Villa Crisly que hace parte del programa “Podemos Casa”, se llevó a cabo acompañamiento social sobre el tema “Convivencia en Propiedad Horizontal”, para socializar la entrega de viviendas,  deberes y derechos al vivir en propiedad horizontal, normas reconocidas por los residentes, reglamento y manual de convivencia, límites a las acciones de las personas, protección de derechos de residentes en la copropiedad. Asistieron  28 personas.
SEPTIEMBRE
Este mes la meta no presenta avance.
OCTUBRE:
En el mes de octubre se llevaron a cabo las siguientes actividades: 
Se brindó acompañamiento social a 42 personas sobre el Programa de Vivienda Podemos Casa, el día viernes 29 de octubre de 2021 en el municipio de Tena Cundinamarca. 
Se realizó socialización del Programa Podemos Casa a 92 personas en el municipio de Sopó Cundinamarca. 
Se realizó socialización a la comunidad en el Municipio de San Juan de Rio Seco y Cambao con una asistencia de 86 personas. Se les dio a conocer el Programa Nacional de Titulación y se aclararon dudas al respecto; también se les entregó un folleto para complementar el tema.
NOVIEMBRE
Se llevaron a cabo talleres sobre manejo responsable del crédito y Convivencia en propiedad horizontal, Tenencia responsable de mascotas, Programa Podemos Casa, proceso de caracterización socioeconómica a familias población Resguardo Indígena Muisca de Sesquilé. Un total de 175 personas acompañadas en los municipios de Guasca, Villapinzón, Sesquilé y Ricaurte.</v>
      </c>
      <c r="AK61" s="11">
        <f>VLOOKUP(K61,'1131 Hábitat'!$K$13:$AK$24,27,0)</f>
        <v>0</v>
      </c>
      <c r="AL61" s="11">
        <v>6</v>
      </c>
      <c r="AM61" s="11">
        <v>0</v>
      </c>
      <c r="AN61" s="11">
        <v>8</v>
      </c>
      <c r="AO61" s="11">
        <v>0</v>
      </c>
      <c r="AP61" s="11">
        <v>0</v>
      </c>
      <c r="AQ61" s="11">
        <v>0</v>
      </c>
      <c r="AR61" s="52"/>
      <c r="AS61" s="54">
        <v>0</v>
      </c>
      <c r="AT61" s="54">
        <f t="shared" si="0"/>
        <v>0</v>
      </c>
      <c r="AU61" s="52"/>
      <c r="AV61" s="243">
        <v>180222380</v>
      </c>
      <c r="AW61" s="244"/>
      <c r="AX61" s="244"/>
      <c r="AY61" s="243">
        <v>179692870</v>
      </c>
      <c r="AZ61" s="44">
        <f t="shared" si="88"/>
        <v>0.3</v>
      </c>
      <c r="BA61" s="44">
        <v>0</v>
      </c>
      <c r="BB61" s="44" t="s">
        <v>115</v>
      </c>
      <c r="BC61" s="44">
        <f t="shared" si="89"/>
        <v>0.3</v>
      </c>
      <c r="BD61" s="44" cm="1">
        <f t="array" ref="BD61">_xlfn.IFS(AD61=0,"NA",AD61&gt;0,AH61/AD61)</f>
        <v>1</v>
      </c>
      <c r="BE61" s="44">
        <f t="shared" si="90"/>
        <v>0.3</v>
      </c>
      <c r="BF61" s="44">
        <v>0</v>
      </c>
      <c r="BG61" s="44">
        <f t="shared" si="91"/>
        <v>0.4</v>
      </c>
      <c r="BH61" s="44">
        <v>0</v>
      </c>
      <c r="BI61" s="44">
        <f t="shared" si="92"/>
        <v>0</v>
      </c>
      <c r="BJ61" s="44" t="s">
        <v>115</v>
      </c>
      <c r="BK61" s="44">
        <f t="shared" si="1"/>
        <v>0.3</v>
      </c>
      <c r="BL61" s="44" t="s">
        <v>115</v>
      </c>
      <c r="BM61" s="44" cm="1">
        <f t="array" ref="BM61">_xlfn.IFS(BD61="NA","NA",BD61&gt;100%,"100%",BD61&lt;100,BD61)</f>
        <v>1</v>
      </c>
      <c r="BN61" s="44" cm="1">
        <f t="array" ref="BN61">_xlfn.IFS(BF61="NA","NA",BF61&gt;100%,"100%",BF61&lt;100,BF61)</f>
        <v>0</v>
      </c>
      <c r="BO61" s="44" cm="1">
        <f t="array" ref="BO61">_xlfn.IFS(BH61="NA","NA",BH61&gt;100%,"100%",BH61&lt;100,BH61)</f>
        <v>0</v>
      </c>
      <c r="BP61" s="44" t="str" cm="1">
        <f t="array" ref="BP61">_xlfn.IFS(BJ61="NA","NA",BJ61&gt;100%,"100%",BJ61&lt;100,BJ61)</f>
        <v>NA</v>
      </c>
      <c r="BQ61" s="213">
        <v>0.45</v>
      </c>
      <c r="BR61" s="45">
        <f t="shared" si="2"/>
        <v>0.13500000000000001</v>
      </c>
      <c r="BS61" s="45">
        <v>0</v>
      </c>
      <c r="BT61" s="45" t="s">
        <v>115</v>
      </c>
      <c r="BU61" s="45">
        <v>0</v>
      </c>
      <c r="BV61" s="45">
        <f t="shared" si="93"/>
        <v>0.13500000000000001</v>
      </c>
      <c r="BW61" s="45">
        <f t="shared" si="94"/>
        <v>0.13500000000000001</v>
      </c>
      <c r="BX61" s="45">
        <f t="shared" si="95"/>
        <v>0.13500000000000001</v>
      </c>
      <c r="BY61" s="45">
        <f t="shared" si="96"/>
        <v>0.13500000000000001</v>
      </c>
      <c r="BZ61" s="45">
        <f t="shared" si="97"/>
        <v>0</v>
      </c>
      <c r="CA61" s="45">
        <f t="shared" si="98"/>
        <v>0</v>
      </c>
      <c r="CB61" s="45">
        <f t="shared" si="99"/>
        <v>0.18</v>
      </c>
      <c r="CC61" s="45">
        <f t="shared" si="100"/>
        <v>0</v>
      </c>
      <c r="CD61" s="45">
        <v>0</v>
      </c>
      <c r="CE61" s="45">
        <f t="shared" si="101"/>
        <v>0</v>
      </c>
      <c r="CF61" s="45" t="str">
        <f t="shared" si="102"/>
        <v>NA</v>
      </c>
      <c r="CG61" s="45">
        <v>0</v>
      </c>
      <c r="CH61" s="244"/>
      <c r="CI61" s="244"/>
      <c r="CJ61" s="244"/>
      <c r="CK61" s="244"/>
      <c r="CM61" s="63">
        <v>5</v>
      </c>
    </row>
    <row r="62" spans="1:91" ht="18" hidden="1" customHeight="1">
      <c r="A62" s="260" t="s">
        <v>442</v>
      </c>
      <c r="B62" s="260" t="s">
        <v>443</v>
      </c>
      <c r="C62" s="260" t="s">
        <v>100</v>
      </c>
      <c r="D62" s="260" t="s">
        <v>101</v>
      </c>
      <c r="E62" s="260" t="s">
        <v>294</v>
      </c>
      <c r="F62" s="260" t="s">
        <v>463</v>
      </c>
      <c r="G62" s="260" t="s">
        <v>464</v>
      </c>
      <c r="H62" s="260" t="s">
        <v>465</v>
      </c>
      <c r="I62" s="260" t="s">
        <v>200</v>
      </c>
      <c r="J62" s="260"/>
      <c r="K62" s="260" t="s">
        <v>466</v>
      </c>
      <c r="L62" s="260" t="s">
        <v>467</v>
      </c>
      <c r="M62" s="260" t="s">
        <v>468</v>
      </c>
      <c r="N62" s="260" t="s">
        <v>111</v>
      </c>
      <c r="O62" s="260" t="s">
        <v>112</v>
      </c>
      <c r="P62" s="10">
        <v>302</v>
      </c>
      <c r="Q62" s="11">
        <v>150</v>
      </c>
      <c r="R62" s="11">
        <f t="shared" si="86"/>
        <v>20</v>
      </c>
      <c r="S62" s="11" t="str">
        <f>VLOOKUP(K62,'1131 Hábitat'!$K$13:$AK$24,9,0)</f>
        <v>Vigencia 2020: Con una inversión departamental de $651.807.923 se cofinanció la ejecución de proyectos de construcción de vivienda rural en 7 municipios del departamento, los cuales beneficiarán a 13 hogares de víctimas del conflicto armado.</v>
      </c>
      <c r="T62" s="11">
        <v>10</v>
      </c>
      <c r="U62" s="11">
        <v>0</v>
      </c>
      <c r="V62" s="11">
        <v>10</v>
      </c>
      <c r="W62" s="11">
        <v>0</v>
      </c>
      <c r="X62" s="11">
        <v>13</v>
      </c>
      <c r="Y62" s="11">
        <v>0</v>
      </c>
      <c r="Z62" s="11">
        <v>13</v>
      </c>
      <c r="AA62" s="11" t="s">
        <v>469</v>
      </c>
      <c r="AB62" s="11" t="s">
        <v>470</v>
      </c>
      <c r="AC62" s="11" t="s">
        <v>471</v>
      </c>
      <c r="AD62" s="403">
        <v>15</v>
      </c>
      <c r="AE62" s="403">
        <v>0</v>
      </c>
      <c r="AF62" s="11">
        <f>VLOOKUP(K62,'1131 Hábitat'!$K$13:$AK$24,22,0)</f>
        <v>7</v>
      </c>
      <c r="AG62" s="11">
        <f>VLOOKUP(K62,'1131 Hábitat'!$K$13:$AK$24,23,0)</f>
        <v>0</v>
      </c>
      <c r="AH62" s="11">
        <f t="shared" si="87"/>
        <v>7</v>
      </c>
      <c r="AI62" s="11">
        <f>VLOOKUP(K62,'1131 Hábitat'!$K$13:$AK$24,25,0)</f>
        <v>0</v>
      </c>
      <c r="AJ62" s="11" t="str">
        <f>VLOOKUP(K62,'1131 Hábitat'!$K$13:$AK$24,26,0)</f>
        <v>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Durante el mes de junio la meta no presenta avance.
La meta no presenta avance a la fecha del presente reporte. 
JULIO
La Secretaría de Hábitat y Vivienda implementó la estrategia de unificar los recursos de la meta 052, 054, 055 y 057 para la modalidad de construcción de vivienda rural, para optimizar los recursos y obtener un mayor alcance de los mismos.
Se encuentran en proceso de formulación proyectos de construcción de vivienda rural para los municipios de Ubalá, Quetame, La Calera, Guataquí, La Vega y San Antonio del Tequendama.
En el mes de agosto se inscribió el proyecto construcción vivienda nueva para población víctima del conflicto armado en los municipios de Guataquí, El Peñón, La Vega, Quetame y Ubalá, en el marco de la estrategia de unificar los recursos de la meta 052, 054, 055 y 057 para la modalidad de construcción de vivienda rural, para optimizar los recursos y obtener un mayor alcance de los mismos. Se adelantan los procesos precontractuales para la celebración de los convenios.
SEPTIEMBRE
En el mes de septiembre se continúa con el proceso de estructuración del proyecto construcción vivienda nueva para población víctima del conflicto armado en los municipios de Guataquí, El Peñón, La Vega, Quetame y Ubalá, en el marco de la estrategia de unificar los recursos de la meta 052, 054, 055 y 057 para la modalidad de construcción de vivienda rural, para optimizar los recursos y obtener un mayor alcance de los mismos. Se adelantan los procesos precontractuales para la celebración de los convenios.
OCTUBRE:
En el mes de octubre se celebró el convenio interadministrativo SHVS-CDCVI-078-2021 con el Municipio de El Peñón con el cual se benefician 6 hogares de los cuales 5 son población VCA. El Dpto aporta $200 millones y el Mpio $166.997.470
Se celebró el convenio interadministrativo SHVS-CDCVI-075-2021 con el Municipio de Quetame con el cual se benefician 38 hogares de los cuales 2 son población VCA. El Dpto aporta $50 millones y el Municipio $60.462.825.
NOVIEMBRE
Durante este mes los convenios celebrados para el cumplimiento de la meta se encuentran en proceso precontractual para dar inicio a las obras.</v>
      </c>
      <c r="AK62" s="11" t="str">
        <f>VLOOKUP(K62,'1131 Hábitat'!$K$13:$AK$24,27,0)</f>
        <v>Falta de recursos municipales para cofinanciar proyectos de vivienda nueva. Los municipios no identifican y priorizan población VCA para ser beneficiados de los proyectos.
Demora de las administraciones municipales para la formulación de los proyectos, gestionar sus contrapartidas y verficar los potenciales beneficiarios.</v>
      </c>
      <c r="AL62" s="11">
        <v>50</v>
      </c>
      <c r="AM62" s="11">
        <v>0</v>
      </c>
      <c r="AN62" s="11">
        <v>72</v>
      </c>
      <c r="AO62" s="11">
        <v>0</v>
      </c>
      <c r="AP62" s="11">
        <v>0</v>
      </c>
      <c r="AQ62" s="11">
        <v>0</v>
      </c>
      <c r="AR62" s="51">
        <v>300000000</v>
      </c>
      <c r="AS62" s="54">
        <v>1314000000</v>
      </c>
      <c r="AT62" s="54">
        <f t="shared" si="0"/>
        <v>1614000000</v>
      </c>
      <c r="AU62" s="51">
        <v>300000000</v>
      </c>
      <c r="AV62" s="243">
        <v>250000000</v>
      </c>
      <c r="AW62" s="244"/>
      <c r="AX62" s="244"/>
      <c r="AY62" s="243">
        <v>250000000</v>
      </c>
      <c r="AZ62" s="44">
        <f t="shared" si="88"/>
        <v>0.13333333333333333</v>
      </c>
      <c r="BA62" s="44">
        <v>3.3300000000000003E-2</v>
      </c>
      <c r="BB62" s="44">
        <v>1.3</v>
      </c>
      <c r="BC62" s="44">
        <f t="shared" si="89"/>
        <v>0.1</v>
      </c>
      <c r="BD62" s="44" cm="1">
        <f t="array" ref="BD62">_xlfn.IFS(AD62=0,"NA",AD62&gt;0,AH62/AD62)</f>
        <v>0.46666666666666667</v>
      </c>
      <c r="BE62" s="44">
        <f t="shared" si="90"/>
        <v>0.33333333333333331</v>
      </c>
      <c r="BF62" s="44">
        <v>0</v>
      </c>
      <c r="BG62" s="44">
        <f t="shared" si="91"/>
        <v>0.48</v>
      </c>
      <c r="BH62" s="44">
        <v>0</v>
      </c>
      <c r="BI62" s="44">
        <f t="shared" si="92"/>
        <v>0</v>
      </c>
      <c r="BJ62" s="44" t="s">
        <v>115</v>
      </c>
      <c r="BK62" s="44">
        <f t="shared" si="1"/>
        <v>0.13333333333333333</v>
      </c>
      <c r="BL62" s="44">
        <v>1</v>
      </c>
      <c r="BM62" s="44" cm="1">
        <f t="array" ref="BM62">_xlfn.IFS(BD62="NA","NA",BD62&gt;100%,"100%",BD62&lt;100,BD62)</f>
        <v>0.46666666666666667</v>
      </c>
      <c r="BN62" s="44" cm="1">
        <f t="array" ref="BN62">_xlfn.IFS(BF62="NA","NA",BF62&gt;100%,"100%",BF62&lt;100,BF62)</f>
        <v>0</v>
      </c>
      <c r="BO62" s="44" cm="1">
        <f t="array" ref="BO62">_xlfn.IFS(BH62="NA","NA",BH62&gt;100%,"100%",BH62&lt;100,BH62)</f>
        <v>0</v>
      </c>
      <c r="BP62" s="44" t="str" cm="1">
        <f t="array" ref="BP62">_xlfn.IFS(BJ62="NA","NA",BJ62&gt;100%,"100%",BJ62&lt;100,BJ62)</f>
        <v>NA</v>
      </c>
      <c r="BQ62" s="45">
        <v>0.22500000000000001</v>
      </c>
      <c r="BR62" s="45">
        <f t="shared" si="2"/>
        <v>0.03</v>
      </c>
      <c r="BS62" s="45">
        <v>7.4999999999999997E-3</v>
      </c>
      <c r="BT62" s="45">
        <v>7.4999999999999997E-3</v>
      </c>
      <c r="BU62" s="45">
        <v>9.7000000000000003E-3</v>
      </c>
      <c r="BV62" s="45">
        <f t="shared" si="93"/>
        <v>2.2499999999999999E-2</v>
      </c>
      <c r="BW62" s="45">
        <f t="shared" si="94"/>
        <v>1.0499999999999999E-2</v>
      </c>
      <c r="BX62" s="45">
        <f t="shared" si="95"/>
        <v>2.0299999999999999E-2</v>
      </c>
      <c r="BY62" s="45">
        <f t="shared" si="96"/>
        <v>7.4999999999999997E-2</v>
      </c>
      <c r="BZ62" s="45">
        <f t="shared" si="97"/>
        <v>0</v>
      </c>
      <c r="CA62" s="45">
        <f t="shared" si="98"/>
        <v>0</v>
      </c>
      <c r="CB62" s="45">
        <f t="shared" si="99"/>
        <v>0.108</v>
      </c>
      <c r="CC62" s="45">
        <f t="shared" si="100"/>
        <v>0</v>
      </c>
      <c r="CD62" s="45">
        <v>0</v>
      </c>
      <c r="CE62" s="45">
        <f t="shared" si="101"/>
        <v>0</v>
      </c>
      <c r="CF62" s="45" t="str">
        <f t="shared" si="102"/>
        <v>NA</v>
      </c>
      <c r="CG62" s="45">
        <v>0</v>
      </c>
      <c r="CH62" s="244"/>
      <c r="CI62" s="244"/>
      <c r="CJ62" s="244"/>
      <c r="CK62" s="244"/>
      <c r="CM62" s="63">
        <v>13</v>
      </c>
    </row>
    <row r="63" spans="1:91" ht="18" hidden="1" customHeight="1">
      <c r="A63" s="260" t="s">
        <v>442</v>
      </c>
      <c r="B63" s="260" t="s">
        <v>443</v>
      </c>
      <c r="C63" s="260" t="s">
        <v>100</v>
      </c>
      <c r="D63" s="260" t="s">
        <v>101</v>
      </c>
      <c r="E63" s="260" t="s">
        <v>294</v>
      </c>
      <c r="F63" s="260" t="s">
        <v>463</v>
      </c>
      <c r="G63" s="260" t="s">
        <v>464</v>
      </c>
      <c r="H63" s="260" t="s">
        <v>472</v>
      </c>
      <c r="I63" s="260" t="s">
        <v>200</v>
      </c>
      <c r="J63" s="260"/>
      <c r="K63" s="260" t="s">
        <v>473</v>
      </c>
      <c r="L63" s="260" t="s">
        <v>474</v>
      </c>
      <c r="M63" s="260" t="s">
        <v>475</v>
      </c>
      <c r="N63" s="260" t="s">
        <v>111</v>
      </c>
      <c r="O63" s="260" t="s">
        <v>112</v>
      </c>
      <c r="P63" s="10">
        <v>5321</v>
      </c>
      <c r="Q63" s="11">
        <v>4000</v>
      </c>
      <c r="R63" s="11">
        <f t="shared" si="86"/>
        <v>8067</v>
      </c>
      <c r="S63" s="11" t="str">
        <f>VLOOKUP(K63,'1131 Hábitat'!$K$13:$AK$24,9,0)</f>
        <v>Vigencia 2020:
2.679 hogares cundinamarqueses que adquirieron viviendas de interés social y prioritario con subsidios familiares de vivienda, obtuvieron el beneficio de exención del pago del impuesto de registro establecido mediante la Ordenanza No. 003 de 2020 la cual fue gestionada por la Secretaría de Hábitat y Vivienda para aliviar la carga financiera de las familias de menores ingresos a la hora de comprar vivienda.
Como resultado de la estrategia Plan Semillero de Propietarios implementada por la Secretaría de Hábitat y Vivienda, durante la Vigencia 2020, 11.185 hogares se encuentran habilitados y se han asignado 396 subsidios de arriendo para hogares cundinamarqueses de ingresos entre 1 y 2 smlmv.
En el marco de ejecución del programa “Podemos Casa” se entregaron 32 viviendas del proyecto Villa Daniela del municipio de Mosquera y 21 viviendas el proyecto Villa Catalina del municipio de Guasca. Los proyectos de La Mesa, Villeta, Villapinzón y Guasca tienen un avance promedio del 80% y se tiene previsto entrega de las viviendas a 1.047 familias en el primer semestre de la vigencia 2021.
Se destinaron recursos departamentales por la suma de $1.473.542.705 para cofinanciar la ejecución de proyectos de construcción de vivienda rural en 12 municipios para beneficiar a 48 hogares del sector rural en condición de vulnerabilidad y pobreza.</v>
      </c>
      <c r="T63" s="11">
        <v>900</v>
      </c>
      <c r="U63" s="11">
        <v>0</v>
      </c>
      <c r="V63" s="11">
        <v>900</v>
      </c>
      <c r="W63" s="11">
        <v>0</v>
      </c>
      <c r="X63" s="11">
        <v>3123</v>
      </c>
      <c r="Y63" s="11">
        <v>0</v>
      </c>
      <c r="Z63" s="11">
        <v>3123</v>
      </c>
      <c r="AA63" s="11" t="s">
        <v>476</v>
      </c>
      <c r="AB63" s="11" t="s">
        <v>477</v>
      </c>
      <c r="AC63" s="11" t="s">
        <v>478</v>
      </c>
      <c r="AD63" s="403">
        <v>750</v>
      </c>
      <c r="AE63" s="403">
        <v>0</v>
      </c>
      <c r="AF63" s="11">
        <f>VLOOKUP(K63,'1131 Hábitat'!$K$13:$AK$24,22,0)</f>
        <v>4944</v>
      </c>
      <c r="AG63" s="11">
        <f>VLOOKUP(K63,'1131 Hábitat'!$K$13:$AK$24,23,0)</f>
        <v>0</v>
      </c>
      <c r="AH63" s="11">
        <f t="shared" si="87"/>
        <v>4944</v>
      </c>
      <c r="AI63" s="11">
        <f>VLOOKUP(K63,'1131 Hábitat'!$K$13:$AK$24,25,0)</f>
        <v>4889</v>
      </c>
      <c r="AJ63" s="11" t="str">
        <f>VLOOKUP(K63,'1131 Hábitat'!$K$13:$AK$24,26,0)</f>
        <v>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Se adelantan gestiones de acompañamiento social para el desarrollo de los proyectos de mejoramiento de vivienda urbana en el marco del programa "Podemos Casa".
Para el mes de mayo la meta presenta avance en su ejecución gracias a la estrategia implementada con la Exención del pago del impuesto de registro que a 31 de mayo es de 2.154 hogares que recibieron este beneficio.
JULIO
Con corte a 31 de julio la meta presenta avance en su ejecución gracias a la estrategia implementada con la Exención del pago del impuesto de registro de 3.911 hogares que recibieron este beneficio.
La Secretaría de Hábitat y Vivienda implementó la estrategia de unificar los recursos de la meta 052, 054, 055 y 057 para la modalidad de construcción de vivienda rural, para optimizar los recursos y obtener un mayor alcance de los mismos.
Con corte a 31 de agosto la meta presenta avance en su ejecución gracias a la estrategia implementada con la Exención del pago del impuesto de registro. Para el mes de agosto se realizaron 978 exenciones para un total en la vigencia de 4.889 hogares que recibieron este beneficio. La Secretaría de Hábitat y Vivienda implementó la estrategia de unificar los recursos de la meta 052, 054, 055 y 057 para la modalidad de construcción de vivienda rural, para optimizar los recursos y obtener un mayor alcance de los mismos. A corte 31 de agosto  se encuentran en proceso de formulación los proyectos de los municipios de Ubalá, Quetame, La Calera, La Vega, Guataquí, Fómeque, La Mesa y El Peñón, para su inscripción en el BDPP.
SEPTIEMBRE:
Con corte a 30 de septiembre la estrategia Exención del pago del impuesto de registro presenta un avance de exenciones para hogares que recibieron este beneficio. Se continúa con el proceso de  formulación los proyectos de los municipios de Ubalá, Quetame, La Calera, La Vega, Guataquí, Fómeque, La Mesa y El Peñón, para su inscripción en el BDPP.
OCTUBRE:
Durante el mes de octubre se celebró el Convenio Interadministrativo SHVS-CDCVI-075-2021 con el municipio de Quetame con el cual se construirán 38 viviendas de las cuales 31 viviendas se ejecutarán con recursos de la Meta 054 con un aporte del Dpto de $330 millones de pesos y del municipio de $1.382.173.791
Se celebró el convenio interadministrativo  SHVS-CDCVI-076-2021 con el municipio de La Calera para la construcción de 13 viviendas de las cuales 5 viviendas se ejecutarán con recursos de la Meta 054. El Dpto aporta $100.026.096 y el Municipio $171.896.163.
Para el mes de octubre se aplicaron 1.460 exenciones de impuesto de registro para un total a corte 31 de octubre de 6.349 en los municipios de Cajicá, Chía, Gachancipá, Girardot, Guasca. La Mesa, Madrid, Mosquera, Nemocón, Ricaurte, Sibaté, Soacha, Tabio, Tenjo, Tocancipá, Villapinzón, Villeta, Zipaquirá.
NOVIEMBRE
Durante este mes los convenios celebrados para el cumplimiento de la meta se encuentran en proceso precontractual para dar inicio a las obras.
Con la estrategia exención de pago de impuesto de registro en el mes de noviembre se avanzó con 856 hogares beneficiados para un total de 7.346 en la vigencia.
Se celebraron los convenios SHVS-CDCVI-089-2021 con el municipio de Ubalá para la construcción de 9 viviendas, y el convenio SHVS-CDCVI-081-2021 con el municipio de La Vega para la construcción de 10 viviendas</v>
      </c>
      <c r="AK63" s="11" t="str">
        <f>VLOOKUP(K63,'1131 Hábitat'!$K$13:$AK$24,27,0)</f>
        <v>Falta de recursos municipales para cofinanciar proyectos de vivienda nueva. Demora en el proceso de verificación y caracterización de los beneficiarios.
Demora de las administraciones municipales para la formulación de los proyectos, gestionar sus contrapartidas y verficar los potenciales beneficiarios.</v>
      </c>
      <c r="AL63" s="11">
        <v>50</v>
      </c>
      <c r="AM63" s="11">
        <v>0</v>
      </c>
      <c r="AN63" s="11">
        <v>77</v>
      </c>
      <c r="AO63" s="11">
        <v>0</v>
      </c>
      <c r="AP63" s="11">
        <v>0</v>
      </c>
      <c r="AQ63" s="11">
        <v>0</v>
      </c>
      <c r="AR63" s="51">
        <v>1500000000</v>
      </c>
      <c r="AS63" s="54">
        <v>20363226600</v>
      </c>
      <c r="AT63" s="54">
        <f t="shared" si="0"/>
        <v>21863226600</v>
      </c>
      <c r="AU63" s="51">
        <v>1473386651</v>
      </c>
      <c r="AV63" s="243">
        <v>1750000000</v>
      </c>
      <c r="AW63" s="244"/>
      <c r="AX63" s="244"/>
      <c r="AY63" s="243">
        <v>1380026096</v>
      </c>
      <c r="AZ63" s="44">
        <f t="shared" si="88"/>
        <v>2.01675</v>
      </c>
      <c r="BA63" s="44">
        <v>0.1915</v>
      </c>
      <c r="BB63" s="44">
        <v>3.47</v>
      </c>
      <c r="BC63" s="44">
        <f t="shared" si="89"/>
        <v>0.1875</v>
      </c>
      <c r="BD63" s="44" cm="1">
        <f t="array" ref="BD63">_xlfn.IFS(AD63=0,"NA",AD63&gt;0,AH63/AD63)</f>
        <v>6.5919999999999996</v>
      </c>
      <c r="BE63" s="44">
        <f t="shared" si="90"/>
        <v>1.2500000000000001E-2</v>
      </c>
      <c r="BF63" s="44">
        <v>0</v>
      </c>
      <c r="BG63" s="44">
        <f t="shared" si="91"/>
        <v>1.925E-2</v>
      </c>
      <c r="BH63" s="44">
        <v>0</v>
      </c>
      <c r="BI63" s="44">
        <f t="shared" si="92"/>
        <v>0</v>
      </c>
      <c r="BJ63" s="44" t="s">
        <v>115</v>
      </c>
      <c r="BK63" s="44" t="str">
        <f t="shared" si="1"/>
        <v>100%</v>
      </c>
      <c r="BL63" s="44">
        <v>1</v>
      </c>
      <c r="BM63" s="44" t="str" cm="1">
        <f t="array" ref="BM63">_xlfn.IFS(BD63="NA","NA",BD63&gt;100%,"100%",BD63&lt;100,BD63)</f>
        <v>100%</v>
      </c>
      <c r="BN63" s="44" cm="1">
        <f t="array" ref="BN63">_xlfn.IFS(BF63="NA","NA",BF63&gt;100%,"100%",BF63&lt;100,BF63)</f>
        <v>0</v>
      </c>
      <c r="BO63" s="44" cm="1">
        <f t="array" ref="BO63">_xlfn.IFS(BH63="NA","NA",BH63&gt;100%,"100%",BH63&lt;100,BH63)</f>
        <v>0</v>
      </c>
      <c r="BP63" s="44" t="str" cm="1">
        <f t="array" ref="BP63">_xlfn.IFS(BJ63="NA","NA",BJ63&gt;100%,"100%",BJ63&lt;100,BJ63)</f>
        <v>NA</v>
      </c>
      <c r="BQ63" s="45">
        <v>0.22500000000000001</v>
      </c>
      <c r="BR63" s="45">
        <f t="shared" si="2"/>
        <v>0.22500000000000001</v>
      </c>
      <c r="BS63" s="45">
        <v>4.3099999999999999E-2</v>
      </c>
      <c r="BT63" s="45">
        <v>4.3099999999999999E-2</v>
      </c>
      <c r="BU63" s="45">
        <v>0.14949999999999999</v>
      </c>
      <c r="BV63" s="45">
        <f t="shared" si="93"/>
        <v>4.2187500000000003E-2</v>
      </c>
      <c r="BW63" s="45">
        <f t="shared" si="94"/>
        <v>4.2187500000000003E-2</v>
      </c>
      <c r="BX63" s="45">
        <f t="shared" si="95"/>
        <v>7.5500000000000012E-2</v>
      </c>
      <c r="BY63" s="45">
        <f t="shared" si="96"/>
        <v>2.8124999999999999E-3</v>
      </c>
      <c r="BZ63" s="45">
        <f t="shared" si="97"/>
        <v>0</v>
      </c>
      <c r="CA63" s="45">
        <f t="shared" si="98"/>
        <v>0</v>
      </c>
      <c r="CB63" s="45">
        <f t="shared" si="99"/>
        <v>4.33125E-3</v>
      </c>
      <c r="CC63" s="45">
        <f t="shared" si="100"/>
        <v>0</v>
      </c>
      <c r="CD63" s="45">
        <v>0</v>
      </c>
      <c r="CE63" s="45">
        <f t="shared" si="101"/>
        <v>0</v>
      </c>
      <c r="CF63" s="45" t="str">
        <f t="shared" si="102"/>
        <v>NA</v>
      </c>
      <c r="CG63" s="45">
        <v>0</v>
      </c>
      <c r="CH63" s="244"/>
      <c r="CI63" s="244"/>
      <c r="CJ63" s="244"/>
      <c r="CK63" s="244"/>
      <c r="CM63" s="63">
        <v>8012</v>
      </c>
    </row>
    <row r="64" spans="1:91" ht="18" hidden="1" customHeight="1">
      <c r="A64" s="260" t="s">
        <v>442</v>
      </c>
      <c r="B64" s="260" t="s">
        <v>443</v>
      </c>
      <c r="C64" s="260" t="s">
        <v>100</v>
      </c>
      <c r="D64" s="260" t="s">
        <v>101</v>
      </c>
      <c r="E64" s="260" t="s">
        <v>294</v>
      </c>
      <c r="F64" s="260" t="s">
        <v>463</v>
      </c>
      <c r="G64" s="260" t="s">
        <v>464</v>
      </c>
      <c r="H64" s="260" t="s">
        <v>479</v>
      </c>
      <c r="I64" s="260" t="s">
        <v>200</v>
      </c>
      <c r="J64" s="260"/>
      <c r="K64" s="260" t="s">
        <v>480</v>
      </c>
      <c r="L64" s="260" t="s">
        <v>481</v>
      </c>
      <c r="M64" s="260" t="s">
        <v>482</v>
      </c>
      <c r="N64" s="260" t="s">
        <v>111</v>
      </c>
      <c r="O64" s="260" t="s">
        <v>112</v>
      </c>
      <c r="P64" s="10">
        <v>1090</v>
      </c>
      <c r="Q64" s="11">
        <v>300</v>
      </c>
      <c r="R64" s="11">
        <f t="shared" si="86"/>
        <v>81</v>
      </c>
      <c r="S64" s="11" t="str">
        <f>VLOOKUP(K64,'1131 Hábitat'!$K$13:$AK$24,9,0)</f>
        <v xml:space="preserve">Vigencia 2020: Se destinaron recursos departamentales por la suma de $1.533.287.073 para cofinanciar proyectos de construcción de vivienda rural en sitio propio en 8 municipios, los cuales beneficiarán a 64 hogares en situación de pobreza y condiciones de vulnerabilidad del sector rural. </v>
      </c>
      <c r="T64" s="11">
        <v>50</v>
      </c>
      <c r="U64" s="11">
        <v>0</v>
      </c>
      <c r="V64" s="11">
        <v>50</v>
      </c>
      <c r="W64" s="11">
        <v>0</v>
      </c>
      <c r="X64" s="11">
        <v>64</v>
      </c>
      <c r="Y64" s="11">
        <v>0</v>
      </c>
      <c r="Z64" s="11">
        <v>64</v>
      </c>
      <c r="AA64" s="11" t="s">
        <v>483</v>
      </c>
      <c r="AB64" s="11" t="s">
        <v>484</v>
      </c>
      <c r="AC64" s="11" t="s">
        <v>485</v>
      </c>
      <c r="AD64" s="403">
        <v>20</v>
      </c>
      <c r="AE64" s="403">
        <v>0</v>
      </c>
      <c r="AF64" s="11">
        <f>VLOOKUP(K64,'1131 Hábitat'!$K$13:$AK$24,22,0)</f>
        <v>17</v>
      </c>
      <c r="AG64" s="11">
        <f>VLOOKUP(K64,'1131 Hábitat'!$K$13:$AK$24,23,0)</f>
        <v>0</v>
      </c>
      <c r="AH64" s="11">
        <f t="shared" si="87"/>
        <v>17</v>
      </c>
      <c r="AI64" s="11">
        <f>VLOOKUP(K64,'1131 Hábitat'!$K$13:$AK$24,25,0)</f>
        <v>0</v>
      </c>
      <c r="AJ64" s="11" t="str">
        <f>VLOOKUP(K64,'1131 Hábitat'!$K$13:$AK$24,26,0)</f>
        <v>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Desde la Secretaría de Hábitat y Vivienda se apoya técnicamente a los municipios de San Juan de Rioseco, Beltrán, Chaguaní y Pulí, aprobados por el MVCT para ser beneficiados con 200 soluciones de vivienda del programa "Vivienda Social para el Campo". A la fecha el proceso se encuentra en definición de tipología de vivienda, procesos de acompañamiento social para selección de beneficiarios y estructuración técnica de los proyectos a financiarse con recursos del SGR.
Durante el mes de junio se inició el proceso precontractual para la ejecución del convenio de construcción de vivienda rural con el municipio de Jerusalén. Cuenta con CDP y se encuentra en Sec. Jurídica en revisión.
JULIO: La Secretaría de Hábitat y Vivienda implementó la estrategia de unificar los recursos de la meta 052, 054, 055 y 057 para la modalidad de construcción de vivienda rural, para optimizar los recursos y obtener un mayor alcance de los mismos.
Se celebró convenio interadministrativo con el Municipio de Jerusalén para la construcción de 7 viviendas rurales para beneficiar a igual número de hogares.
Se encuentran en proceso de formulación proyectos de construcción de vivienda rural para los municipios de Ubalá, Quetame, La Calera, Guataquí, La Vega y San Antonio del Tequendama.
En el mes de agosto se celebró convenio SHVS-CDCVI-043-2021 con el municipio de Jerusalén para la construcción de 7 viviendas rurales. Se adelanta el proceso de inscripción de proyectos con los municipios de Guataquí, El Peñón, La Vega.
SEPTIEMBRE
Continúa el proceso de estructuración y de inscripción de proyectos con los municipios de Guataquí, El Peñón, La Vega, Quetame, La Calera, Ubalá, La Mesa y Fómeque para la celebración de los convenios para construcción de vivienda en sitio propio.
OCTUBRE:
Se celebró el Convenio interadministrativo No. SHVS-CDCVI-077-2021 con el municipio de Guataquí para la construcción de 3 viviendas que corresponden a la Meta 055. El Dpto aporta la suma de $120 millones de pesos y el municipio aporta la suma de $82.827.822
Se celebró el convenio interadministrativo  SHVS-CDCVI-076-2021 con el municipio de La Calera para la construcción de 13 viviendas de las cuales 6 viviendas se ejecutarán con recursos de la Meta 055. El Dpto aporta $211.205.000 y el Municipio $115.101.711
Se celebró el convenio interadministrativo SHVS-CDCVI-078-2021 con el Municipio de El Peñón con el cual se construirán 6 viviendas de los cuales 1 se ejecutará con recursos de la Meta 055. El Dpto no aporta recursos para la construcción de esa vivienda y el Mpio aporta $73.399.494
NOVIEMBRE
Durante este mes los convenios celebrados para el cumplimiento de la meta se encuentran en proceso precontractual para dar inicio a las obras.</v>
      </c>
      <c r="AK64" s="11" t="str">
        <f>VLOOKUP(K64,'1131 Hábitat'!$K$13:$AK$24,27,0)</f>
        <v>Falta de recursos municipales para cofinanciar proyectos de vivienda nueva.
Demora de las administraciones municipales para la formulación de los proyectos, gestionar sus contrapartidas y verficar los potenciales beneficiarios.</v>
      </c>
      <c r="AL64" s="11">
        <v>100</v>
      </c>
      <c r="AM64" s="11">
        <v>0</v>
      </c>
      <c r="AN64" s="11">
        <v>116</v>
      </c>
      <c r="AO64" s="11">
        <v>0</v>
      </c>
      <c r="AP64" s="11">
        <v>0</v>
      </c>
      <c r="AQ64" s="11">
        <v>0</v>
      </c>
      <c r="AR64" s="51">
        <v>1608656350</v>
      </c>
      <c r="AS64" s="54">
        <v>900000000</v>
      </c>
      <c r="AT64" s="54">
        <f t="shared" si="0"/>
        <v>2508656350</v>
      </c>
      <c r="AU64" s="51">
        <v>1533287073</v>
      </c>
      <c r="AV64" s="243">
        <v>726205000</v>
      </c>
      <c r="AW64" s="244"/>
      <c r="AX64" s="244"/>
      <c r="AY64" s="243">
        <v>726205000</v>
      </c>
      <c r="AZ64" s="44">
        <f t="shared" si="88"/>
        <v>0.27</v>
      </c>
      <c r="BA64" s="44">
        <v>0.16669999999999999</v>
      </c>
      <c r="BB64" s="44">
        <v>1.28</v>
      </c>
      <c r="BC64" s="44">
        <f t="shared" si="89"/>
        <v>6.6666666666666666E-2</v>
      </c>
      <c r="BD64" s="44" cm="1">
        <f t="array" ref="BD64">_xlfn.IFS(AD64=0,"NA",AD64&gt;0,AH64/AD64)</f>
        <v>0.85</v>
      </c>
      <c r="BE64" s="44">
        <f t="shared" si="90"/>
        <v>0.33333333333333331</v>
      </c>
      <c r="BF64" s="44">
        <v>0</v>
      </c>
      <c r="BG64" s="44">
        <f t="shared" si="91"/>
        <v>0.38666666666666666</v>
      </c>
      <c r="BH64" s="44">
        <v>0</v>
      </c>
      <c r="BI64" s="44">
        <f t="shared" si="92"/>
        <v>0</v>
      </c>
      <c r="BJ64" s="44" t="s">
        <v>115</v>
      </c>
      <c r="BK64" s="44">
        <f t="shared" si="1"/>
        <v>0.27</v>
      </c>
      <c r="BL64" s="44">
        <v>1</v>
      </c>
      <c r="BM64" s="44" cm="1">
        <f t="array" ref="BM64">_xlfn.IFS(BD64="NA","NA",BD64&gt;100%,"100%",BD64&lt;100,BD64)</f>
        <v>0.85</v>
      </c>
      <c r="BN64" s="44" cm="1">
        <f t="array" ref="BN64">_xlfn.IFS(BF64="NA","NA",BF64&gt;100%,"100%",BF64&lt;100,BF64)</f>
        <v>0</v>
      </c>
      <c r="BO64" s="44" cm="1">
        <f t="array" ref="BO64">_xlfn.IFS(BH64="NA","NA",BH64&gt;100%,"100%",BH64&lt;100,BH64)</f>
        <v>0</v>
      </c>
      <c r="BP64" s="44" t="str" cm="1">
        <f t="array" ref="BP64">_xlfn.IFS(BJ64="NA","NA",BJ64&gt;100%,"100%",BJ64&lt;100,BJ64)</f>
        <v>NA</v>
      </c>
      <c r="BQ64" s="45">
        <v>0.22500000000000001</v>
      </c>
      <c r="BR64" s="45">
        <f t="shared" si="2"/>
        <v>6.0750000000000005E-2</v>
      </c>
      <c r="BS64" s="45">
        <v>3.7499999999999999E-2</v>
      </c>
      <c r="BT64" s="45">
        <v>3.7499999999999999E-2</v>
      </c>
      <c r="BU64" s="45">
        <v>4.8000000000000001E-2</v>
      </c>
      <c r="BV64" s="45">
        <f t="shared" si="93"/>
        <v>1.4999999999999999E-2</v>
      </c>
      <c r="BW64" s="45">
        <f t="shared" si="94"/>
        <v>1.2749999999999999E-2</v>
      </c>
      <c r="BX64" s="45">
        <f t="shared" si="95"/>
        <v>1.2750000000000004E-2</v>
      </c>
      <c r="BY64" s="45">
        <f t="shared" si="96"/>
        <v>7.4999999999999997E-2</v>
      </c>
      <c r="BZ64" s="45">
        <f t="shared" si="97"/>
        <v>0</v>
      </c>
      <c r="CA64" s="45">
        <f t="shared" si="98"/>
        <v>0</v>
      </c>
      <c r="CB64" s="45">
        <f t="shared" si="99"/>
        <v>8.7000000000000008E-2</v>
      </c>
      <c r="CC64" s="45">
        <f t="shared" si="100"/>
        <v>0</v>
      </c>
      <c r="CD64" s="45">
        <v>0</v>
      </c>
      <c r="CE64" s="45">
        <f t="shared" si="101"/>
        <v>0</v>
      </c>
      <c r="CF64" s="45" t="str">
        <f t="shared" si="102"/>
        <v>NA</v>
      </c>
      <c r="CG64" s="45">
        <v>0</v>
      </c>
      <c r="CH64" s="244"/>
      <c r="CI64" s="244"/>
      <c r="CJ64" s="244"/>
      <c r="CK64" s="244"/>
      <c r="CM64" s="63">
        <v>71</v>
      </c>
    </row>
    <row r="65" spans="1:91" ht="18" hidden="1" customHeight="1">
      <c r="A65" s="260" t="s">
        <v>442</v>
      </c>
      <c r="B65" s="260" t="s">
        <v>443</v>
      </c>
      <c r="C65" s="260" t="s">
        <v>100</v>
      </c>
      <c r="D65" s="260" t="s">
        <v>101</v>
      </c>
      <c r="E65" s="260" t="s">
        <v>294</v>
      </c>
      <c r="F65" s="260" t="s">
        <v>463</v>
      </c>
      <c r="G65" s="260" t="s">
        <v>464</v>
      </c>
      <c r="H65" s="260" t="s">
        <v>486</v>
      </c>
      <c r="I65" s="260" t="s">
        <v>200</v>
      </c>
      <c r="J65" s="260"/>
      <c r="K65" s="260" t="s">
        <v>487</v>
      </c>
      <c r="L65" s="260" t="s">
        <v>488</v>
      </c>
      <c r="M65" s="260" t="s">
        <v>489</v>
      </c>
      <c r="N65" s="260" t="s">
        <v>111</v>
      </c>
      <c r="O65" s="260" t="s">
        <v>112</v>
      </c>
      <c r="P65" s="10">
        <v>0</v>
      </c>
      <c r="Q65" s="11">
        <v>10</v>
      </c>
      <c r="R65" s="11">
        <f t="shared" si="86"/>
        <v>10</v>
      </c>
      <c r="S65" s="11" t="str">
        <f>VLOOKUP(K65,'1131 Hábitat'!$K$13:$AK$24,9,0)</f>
        <v>Vigencia 2020: Se gestionó con el Gobierno Nacional la suscripción de convenios tripartita con 15 municipios para procesos de saneamiento y cesión a título gratuito de predios fiscales ocupados con viviendas de interés social y prioritario. Los procesos contractuales cuentan con revisión de la Secretaría de Jurídica y del Ministerio de Vivienda, Ciudad y territorio para proceder a su celebración.</v>
      </c>
      <c r="T65" s="11">
        <v>1</v>
      </c>
      <c r="U65" s="11">
        <v>0</v>
      </c>
      <c r="V65" s="11">
        <v>1</v>
      </c>
      <c r="W65" s="11">
        <v>0</v>
      </c>
      <c r="X65" s="11">
        <v>1</v>
      </c>
      <c r="Y65" s="11">
        <v>0</v>
      </c>
      <c r="Z65" s="11">
        <v>1</v>
      </c>
      <c r="AA65" s="11" t="s">
        <v>490</v>
      </c>
      <c r="AB65" s="11" t="s">
        <v>491</v>
      </c>
      <c r="AC65" s="11">
        <v>0</v>
      </c>
      <c r="AD65" s="403">
        <v>9</v>
      </c>
      <c r="AE65" s="403">
        <v>0</v>
      </c>
      <c r="AF65" s="11">
        <f>VLOOKUP(K65,'1131 Hábitat'!$K$13:$AK$24,22,0)</f>
        <v>9</v>
      </c>
      <c r="AG65" s="11">
        <f>VLOOKUP(K65,'1131 Hábitat'!$K$13:$AK$24,23,0)</f>
        <v>0</v>
      </c>
      <c r="AH65" s="11">
        <f t="shared" si="87"/>
        <v>9</v>
      </c>
      <c r="AI65" s="11">
        <f>VLOOKUP(K65,'1131 Hábitat'!$K$13:$AK$24,25,0)</f>
        <v>0</v>
      </c>
      <c r="AJ65" s="11" t="str">
        <f>VLOOKUP(K65,'1131 Hábitat'!$K$13:$AK$24,26,0)</f>
        <v>Se suscribieron 2 contratos de prestación de servicios profesionales para la gestión de los procesos de titulación a cargo de la Secretaría de Hábitat y Vivienda. Del proceso adelantado en la Vigencia 2020, a corte 28 de febrero se encuentran en proceso precontractual 5 convenios para celebrarse con el MVCT, la SHV y los municipios de Bojacá, El Colegio, Cáqueza, Chipaque y Cabrera. 
A 30 de abril se han suscrito  los siguientes Convenios Tripartita (MVCT - Dpto - Mpio): Cáqueza (         712-2021)       Cabrera            713-2021
Chipaque          714-2021
Bojacá               715-2021
El Colegio       737-2021
Sasaima            738-2021
Ubaque             739-2021
 Gachancipá    740-2021
Gachalá           741-2021
El Ministerio junto con la Secretaria de Hábitat y Vivienda, han adelantado mesas de trabajo para organizar la socialización correspondiente al Programa Nacional de Titulación de los convenios tripartitas suscritos con los diferentes municipios del Departamento y conforme la reunión del 16 de abril del 2021 la distribución de fechas de convocatoria a los Municipios, se han socializado los siguientes:
Chipaque, El Peñón, Gachalá, Nemocón, Pulí, Quipile, Sasaima, Villagómez, Cáqueza, El Colegio y Villeta.
Se suscribió un contrato de prestación de servicios profesionales.
Para el mes de mayo se han venido realizando las socializaciones correspondientes al desarrollo de la primera etapa del convenio tripartita suscrito entre la Secretaría de Hábitat y Vivienda de la Gobernación de Cundinamarca y el Ministerio de Vivienda, Ciudad y Territorio y los siguientes municipios: Cáqueza, con No. de convenio 712; Chipaque  con No. Convenio 714; El Colegio, con No. de Convenio 737; Gachalá, con No. de Convenio 741; Sasaima, con No. de Convenio 738; Villeta, con No. de Convenio 825; El Peñón, con No. de Convenio 821; Nemocón, con No. de Convenio 822; Pulí, con No. de Convenio 823 y Villagomez, con No. de Convenio 824.
Esta etapa consiste en explicar detalladamente el proceso  que abarca el asesoramiento y acompañamiento al municipio por parte de la Secretaría y del Ministerio para los procesos de Saneaminto, Legalización y Titulación de Predios fiscales urbanos. Adicionalmente se han adelantado labores en cuanto al primer punto del proceso que tiene por objeto la identificación de predios que clasifican para el programa, por medio del cruce de información catastral.
En el mes de agosto se celebraron ocho (8) convenios tripartita entre el Ministerio de Vivienda, Ciudad y Territorio, la Secretaría de Hábitat y Vivienda y los Municipios de Villeta, Quipile, Guataquí, Gutiérrez, Une, Medina, Yacopí y Albán; y se encuentra en proceso precontractual el Convenio a celebrarse con San Juan de Rioseco.
De igual manera se adelantaron procesos de socialización del alcance de los convenios ya suscritos. De igual manera se brindó asistencia técnica a los municipios que ya tienen  convenios suscritos en el marco del proceso de titulación reportado en la vigencia 2020, en temas relacionados con tareas de topografía durante el proceso de cesión de predios fiscales urbanos, apoyo técnico a los municipios remitiendo Registros Catastrales para el cruce de información con la base catastral municipal, asistencia técnica y apoyo jurídico para la proyección de actos administrativos que permitan otorgar facultades a las administraciones municipales en la cesión a título gratuito, y revisión jurídica de expedientes de los predios a titular.
Se adelantó reunión con el Ministerio de Vivienda, Ciudad y Territorio, La Secretaría de Hábitat y Vivienda y la Agencia Catastral de Cundinamarca, para aunar esfuerzos y resolver dudas técnicas respecto al desenglobe de predios de mayor extensión. 
OCTUBRE:
En el mes de octubre y en el marco de la meta de titulación 056, conforme al procedimiento que tiene por objeto asesorar a los municipios en la titulación de bienes fiscales urbanos y según las etapas que deben ser agotadas para lograr titular los predios cuyas características cumplan con los requisitos que establece la normatividad vigente, se realizan las siguientes actividades contempladas en la ejecución de los convenios tripartitas suscritos para el cumplimiento de la meta:
Realización de cruce de información catastral de beneficiarios remitida por los municipios de Gutiérrez, Cáqueza, Gachalá, Pulí, Sasaima, San Juan de Rioseco y Chipaque.
Diagnóstico de información catastral de predios susceptibles de ser titulados en los municipios de Tena, Une, Medina y Yacopí.
Solicitudes a los municipios para la postulación de potenciales beneficiarios en los municipios de Albán, Guataquí
Revisión jurídica de resoluciones para titulación de predios en los municipios de Une y Cáqueza.
Informe definitivo de potenciales beneficiarios de titulación de predios en el marco de la ejecución de 23 convenios interadministrativos, con lo cual se titularían 1.407 predios.
NOVIEMBRE
Se continuó con actividades asistencia técnica y jurídica a los municipios,
Realización de cruce de información catastral de beneficiarios,
Diagnóstico de información catastral de predios susceptibles de ser titulados,
Solicitudes a los municipios para la postulación de potenciales beneficiarios,
Revisión jurídica de resoluciones para titulación de predios.
Informe de potenciales beneficiarios de titulación de predios en el marco de la ejecución de 23 convenios.</v>
      </c>
      <c r="AK65" s="11">
        <f>VLOOKUP(K65,'1131 Hábitat'!$K$13:$AK$24,27,0)</f>
        <v>0</v>
      </c>
      <c r="AL65" s="11">
        <v>0</v>
      </c>
      <c r="AM65" s="11">
        <v>0</v>
      </c>
      <c r="AN65" s="11">
        <v>0</v>
      </c>
      <c r="AO65" s="11">
        <v>0</v>
      </c>
      <c r="AP65" s="11">
        <v>0</v>
      </c>
      <c r="AQ65" s="11">
        <v>0</v>
      </c>
      <c r="AR65" s="51">
        <v>21987954</v>
      </c>
      <c r="AS65" s="54">
        <v>0</v>
      </c>
      <c r="AT65" s="54">
        <f t="shared" si="0"/>
        <v>21987954</v>
      </c>
      <c r="AU65" s="51">
        <v>21987954</v>
      </c>
      <c r="AV65" s="243">
        <v>140160000</v>
      </c>
      <c r="AW65" s="244"/>
      <c r="AX65" s="244"/>
      <c r="AY65" s="243">
        <v>136100647</v>
      </c>
      <c r="AZ65" s="44">
        <f t="shared" si="88"/>
        <v>1</v>
      </c>
      <c r="BA65" s="44">
        <v>0.1</v>
      </c>
      <c r="BB65" s="44">
        <v>1</v>
      </c>
      <c r="BC65" s="44">
        <f t="shared" si="89"/>
        <v>0.9</v>
      </c>
      <c r="BD65" s="44" cm="1">
        <f t="array" ref="BD65">_xlfn.IFS(AD65=0,"NA",AD65&gt;0,AH65/AD65)</f>
        <v>1</v>
      </c>
      <c r="BE65" s="44">
        <f t="shared" si="90"/>
        <v>0</v>
      </c>
      <c r="BF65" s="44">
        <v>0</v>
      </c>
      <c r="BG65" s="44">
        <f t="shared" si="91"/>
        <v>0</v>
      </c>
      <c r="BH65" s="44">
        <v>0</v>
      </c>
      <c r="BI65" s="44">
        <f t="shared" si="92"/>
        <v>0</v>
      </c>
      <c r="BJ65" s="44" t="s">
        <v>115</v>
      </c>
      <c r="BK65" s="44">
        <f t="shared" si="1"/>
        <v>1</v>
      </c>
      <c r="BL65" s="44">
        <v>1</v>
      </c>
      <c r="BM65" s="44" cm="1">
        <f t="array" ref="BM65">_xlfn.IFS(BD65="NA","NA",BD65&gt;100%,"100%",BD65&lt;100,BD65)</f>
        <v>1</v>
      </c>
      <c r="BN65" s="44" cm="1">
        <f t="array" ref="BN65">_xlfn.IFS(BF65="NA","NA",BF65&gt;100%,"100%",BF65&lt;100,BF65)</f>
        <v>0</v>
      </c>
      <c r="BO65" s="44" cm="1">
        <f t="array" ref="BO65">_xlfn.IFS(BH65="NA","NA",BH65&gt;100%,"100%",BH65&lt;100,BH65)</f>
        <v>0</v>
      </c>
      <c r="BP65" s="44" t="str" cm="1">
        <f t="array" ref="BP65">_xlfn.IFS(BJ65="NA","NA",BJ65&gt;100%,"100%",BJ65&lt;100,BJ65)</f>
        <v>NA</v>
      </c>
      <c r="BQ65" s="45">
        <v>0.22500000000000001</v>
      </c>
      <c r="BR65" s="45">
        <f t="shared" si="2"/>
        <v>0.22500000000000001</v>
      </c>
      <c r="BS65" s="45">
        <v>2.2499999999999999E-2</v>
      </c>
      <c r="BT65" s="45">
        <v>2.2499999999999999E-2</v>
      </c>
      <c r="BU65" s="45">
        <v>2.2499999999999999E-2</v>
      </c>
      <c r="BV65" s="45">
        <f t="shared" si="93"/>
        <v>0.20249999999999999</v>
      </c>
      <c r="BW65" s="45">
        <f t="shared" si="94"/>
        <v>0.20249999999999999</v>
      </c>
      <c r="BX65" s="45">
        <f t="shared" si="95"/>
        <v>0.20250000000000001</v>
      </c>
      <c r="BY65" s="45">
        <f t="shared" si="96"/>
        <v>0</v>
      </c>
      <c r="BZ65" s="45">
        <f t="shared" si="97"/>
        <v>0</v>
      </c>
      <c r="CA65" s="45">
        <f t="shared" si="98"/>
        <v>0</v>
      </c>
      <c r="CB65" s="45">
        <f t="shared" si="99"/>
        <v>0</v>
      </c>
      <c r="CC65" s="45">
        <f t="shared" si="100"/>
        <v>0</v>
      </c>
      <c r="CD65" s="45">
        <v>0</v>
      </c>
      <c r="CE65" s="45">
        <f t="shared" si="101"/>
        <v>0</v>
      </c>
      <c r="CF65" s="45" t="str">
        <f t="shared" si="102"/>
        <v>NA</v>
      </c>
      <c r="CG65" s="45">
        <v>0</v>
      </c>
      <c r="CH65" s="244"/>
      <c r="CI65" s="244"/>
      <c r="CJ65" s="244"/>
      <c r="CK65" s="244"/>
      <c r="CM65" s="63">
        <v>9</v>
      </c>
    </row>
    <row r="66" spans="1:91" ht="18" hidden="1" customHeight="1">
      <c r="A66" s="260" t="s">
        <v>442</v>
      </c>
      <c r="B66" s="260" t="s">
        <v>443</v>
      </c>
      <c r="C66" s="260" t="s">
        <v>100</v>
      </c>
      <c r="D66" s="260" t="s">
        <v>101</v>
      </c>
      <c r="E66" s="260" t="s">
        <v>294</v>
      </c>
      <c r="F66" s="260" t="s">
        <v>463</v>
      </c>
      <c r="G66" s="260" t="s">
        <v>464</v>
      </c>
      <c r="H66" s="260" t="s">
        <v>492</v>
      </c>
      <c r="I66" s="260" t="s">
        <v>200</v>
      </c>
      <c r="J66" s="260"/>
      <c r="K66" s="260" t="s">
        <v>493</v>
      </c>
      <c r="L66" s="260" t="s">
        <v>494</v>
      </c>
      <c r="M66" s="260" t="s">
        <v>495</v>
      </c>
      <c r="N66" s="260" t="s">
        <v>111</v>
      </c>
      <c r="O66" s="260" t="s">
        <v>112</v>
      </c>
      <c r="P66" s="10">
        <v>736</v>
      </c>
      <c r="Q66" s="11">
        <v>120</v>
      </c>
      <c r="R66" s="11">
        <f t="shared" si="86"/>
        <v>34</v>
      </c>
      <c r="S66" s="11" t="str">
        <f>VLOOKUP(K66,'1131 Hábitat'!$K$13:$AK$24,9,0)</f>
        <v>Vigencia 2020: Se destinaron recursos departamentales por la suma de $497.309.346 para cofinanciar proyectos de construcción de vivienda rural en 4 municipios, los cuales beneficiarán a 16 hogares localizados en zonas de alto riesgo del sector rural y en condiciones de vulnerabilidad y pobreza.</v>
      </c>
      <c r="T66" s="11">
        <v>20</v>
      </c>
      <c r="U66" s="11">
        <v>0</v>
      </c>
      <c r="V66" s="11">
        <v>20</v>
      </c>
      <c r="W66" s="11">
        <v>0</v>
      </c>
      <c r="X66" s="11">
        <v>17</v>
      </c>
      <c r="Y66" s="11">
        <v>0</v>
      </c>
      <c r="Z66" s="11">
        <v>17</v>
      </c>
      <c r="AA66" s="11" t="s">
        <v>496</v>
      </c>
      <c r="AB66" s="11" t="s">
        <v>497</v>
      </c>
      <c r="AC66" s="11" t="s">
        <v>478</v>
      </c>
      <c r="AD66" s="403">
        <v>20</v>
      </c>
      <c r="AE66" s="403">
        <v>0</v>
      </c>
      <c r="AF66" s="11">
        <f>VLOOKUP(K66,'1131 Hábitat'!$K$13:$AK$24,22,0)</f>
        <v>17</v>
      </c>
      <c r="AG66" s="11">
        <f>VLOOKUP(K66,'1131 Hábitat'!$K$13:$AK$24,23,0)</f>
        <v>0</v>
      </c>
      <c r="AH66" s="11">
        <f t="shared" si="87"/>
        <v>17</v>
      </c>
      <c r="AI66" s="11">
        <f>VLOOKUP(K66,'1131 Hábitat'!$K$13:$AK$24,25,0)</f>
        <v>0</v>
      </c>
      <c r="AJ66" s="11" t="str">
        <f>VLOOKUP(K66,'1131 Hábitat'!$K$13:$AK$24,26,0)</f>
        <v>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Durante el mes de junio la meta no presenta avance.
JULIO
La Secretaría de Hábitat y Vivienda implementó la estrategia de unificar los recursos de la meta 052, 054, 055 y 057 para la modalidad de construcción de vivienda rural, para optimizar los recursos y obtener un mayor alcance de los mismos.
Se encuentran en proceso de formulación proyectos de construcción de vivienda rural para los municipios de Ubalá, Quetame, La Calera, Guataquí, La Vega y San Antonio del Tequendama.
En el mes de agosto se celebró convenio SHVS-CDCVI-043-2021 con el municipio de Jerusalén para la construcción de 7 viviendas rurales. Se adelanta el proceso de inscripción de proyectos con los municipios de Guataquí, El Peñón, La Vega, Quetame, La Calera, Ubalá, La Mesa y Fómeque para la celebración de los convenios para construcción de vivienda en sitio propio.
En el mes de agosto se inscribieron los proyectos de construcción de viviendas urbanas para la reubicación de 8 hogares en el municipio de Pacho y construcción de vivienda rural para reubicación de 2 hogares en el municipio de San Antonio del T/dama, en situación de riesgo no mitigable. Se adelantan procesos precontractuales para la celebración de los convenios.
De igual manera se inscribió el proyecto para la construcción de Vivienda rural para  hogares con viviendas en alto riesgo en los municipios de Guataquí, El Peñón, La Vega, Quetame, La Calera y Ubalá. Se adelantan procesos precontractuales para la celebración de los convenios.
SEPTIEMBRE:
Se celebró el convenio:
SHVS-CDCVI—065-2021 Aunar esfuerzos técnicos administrativos y financieros para la construcción de Vivienda urbana en el Municipio de Pacho, Departamento de Cundinamarca” Valor: $681.600.579 Aporte Dpto: $400.000.000. Aporte Mpio: $281.600.579. Beneficiarios: Reubicación de 8 hogares.
En proceso precontractual para celebración del convenio interadministrativo el proyecto de reubicación de 2 viviendas en el municipio de San Antonio del T/dama, en situación de riesgo no mitigable. 
OCTUBRE:
En el mes de octubre se celebró el convenio interadministrativo SHVS-CDCVI-075-2021 con el Municipio de Quetame para la construcción de 38 viviendas de las cuales 5 son de reubicación. El Dpto aporta $220 millones y el municipio aporta $56.157.063
Se celebró el convenio interadministrativo  SHVS-CDCVI-066-2021 con el municipio de San Antonio del Tequendama para la construcción de 2 viviendas para reubicar a 2 hogares. El Dpto aporta $105 millones y el Municipio $39.425.082
Se celebró el convenio interadministrativo  SHVS-CDCVI-076-2021 con el municipio de La Calera para la construcción de 13 viviendas de las cuales 2 hogares se benefician con la reubicación de sus viviendas. El Dpto aporta $108.768.904 y el Municipio no aporta recursos.
NOVIEMBRE
Durante este mes los convenios celebrados para el cumplimiento de la meta se encuentran en proceso precontractual para dar inicio a las obras.</v>
      </c>
      <c r="AK66" s="11" t="str">
        <f>VLOOKUP(K66,'1131 Hábitat'!$K$13:$AK$24,27,0)</f>
        <v>Falta de recursos municipales para cofinanciar proyectos de vivienda nueva.
Demora de las administraciones municipales para la formulación de los proyectos, gestionar sus contrapartidas y verficar los potenciales beneficiarios.</v>
      </c>
      <c r="AL66" s="11">
        <v>40</v>
      </c>
      <c r="AM66" s="11">
        <v>0</v>
      </c>
      <c r="AN66" s="11">
        <v>43</v>
      </c>
      <c r="AO66" s="11">
        <v>0</v>
      </c>
      <c r="AP66" s="11">
        <v>0</v>
      </c>
      <c r="AQ66" s="11">
        <v>0</v>
      </c>
      <c r="AR66" s="51">
        <v>500000000</v>
      </c>
      <c r="AS66" s="54">
        <v>782122473</v>
      </c>
      <c r="AT66" s="54">
        <f t="shared" si="0"/>
        <v>1282122473</v>
      </c>
      <c r="AU66" s="51">
        <v>497309346</v>
      </c>
      <c r="AV66" s="243">
        <v>1000000000</v>
      </c>
      <c r="AW66" s="244"/>
      <c r="AX66" s="244"/>
      <c r="AY66" s="243">
        <v>833267622</v>
      </c>
      <c r="AZ66" s="44">
        <f t="shared" si="88"/>
        <v>0.28333333333333333</v>
      </c>
      <c r="BA66" s="44">
        <v>6.6699999999999995E-2</v>
      </c>
      <c r="BB66" s="44">
        <v>0.85</v>
      </c>
      <c r="BC66" s="44">
        <f t="shared" si="89"/>
        <v>0.16666666666666666</v>
      </c>
      <c r="BD66" s="44" cm="1">
        <f t="array" ref="BD66">_xlfn.IFS(AD66=0,"NA",AD66&gt;0,AH66/AD66)</f>
        <v>0.85</v>
      </c>
      <c r="BE66" s="44">
        <f t="shared" si="90"/>
        <v>0.33333333333333331</v>
      </c>
      <c r="BF66" s="44">
        <v>0</v>
      </c>
      <c r="BG66" s="44">
        <f t="shared" si="91"/>
        <v>0.35833333333333334</v>
      </c>
      <c r="BH66" s="44">
        <v>0</v>
      </c>
      <c r="BI66" s="44">
        <f t="shared" si="92"/>
        <v>0</v>
      </c>
      <c r="BJ66" s="44" t="s">
        <v>115</v>
      </c>
      <c r="BK66" s="44">
        <f t="shared" si="1"/>
        <v>0.28333333333333333</v>
      </c>
      <c r="BL66" s="44">
        <v>0.85</v>
      </c>
      <c r="BM66" s="44" cm="1">
        <f t="array" ref="BM66">_xlfn.IFS(BD66="NA","NA",BD66&gt;100%,"100%",BD66&lt;100,BD66)</f>
        <v>0.85</v>
      </c>
      <c r="BN66" s="44" cm="1">
        <f t="array" ref="BN66">_xlfn.IFS(BF66="NA","NA",BF66&gt;100%,"100%",BF66&lt;100,BF66)</f>
        <v>0</v>
      </c>
      <c r="BO66" s="44" cm="1">
        <f t="array" ref="BO66">_xlfn.IFS(BH66="NA","NA",BH66&gt;100%,"100%",BH66&lt;100,BH66)</f>
        <v>0</v>
      </c>
      <c r="BP66" s="44" t="str" cm="1">
        <f t="array" ref="BP66">_xlfn.IFS(BJ66="NA","NA",BJ66&gt;100%,"100%",BJ66&lt;100,BJ66)</f>
        <v>NA</v>
      </c>
      <c r="BQ66" s="45">
        <v>0.22500000000000001</v>
      </c>
      <c r="BR66" s="45">
        <f t="shared" si="2"/>
        <v>6.3750000000000001E-2</v>
      </c>
      <c r="BS66" s="45">
        <v>1.4999999999999999E-2</v>
      </c>
      <c r="BT66" s="45">
        <v>1.2800000000000001E-2</v>
      </c>
      <c r="BU66" s="45">
        <v>1.2800000000000001E-2</v>
      </c>
      <c r="BV66" s="45">
        <f t="shared" si="93"/>
        <v>3.7499999999999999E-2</v>
      </c>
      <c r="BW66" s="45">
        <f t="shared" si="94"/>
        <v>3.1875000000000001E-2</v>
      </c>
      <c r="BX66" s="45">
        <f t="shared" si="95"/>
        <v>5.0950000000000002E-2</v>
      </c>
      <c r="BY66" s="45">
        <f t="shared" si="96"/>
        <v>7.4999999999999997E-2</v>
      </c>
      <c r="BZ66" s="45">
        <f t="shared" si="97"/>
        <v>0</v>
      </c>
      <c r="CA66" s="45">
        <f t="shared" si="98"/>
        <v>0</v>
      </c>
      <c r="CB66" s="45">
        <f t="shared" si="99"/>
        <v>8.0625000000000002E-2</v>
      </c>
      <c r="CC66" s="45">
        <f t="shared" si="100"/>
        <v>0</v>
      </c>
      <c r="CD66" s="45">
        <v>0</v>
      </c>
      <c r="CE66" s="45">
        <f t="shared" si="101"/>
        <v>0</v>
      </c>
      <c r="CF66" s="45" t="str">
        <f t="shared" si="102"/>
        <v>NA</v>
      </c>
      <c r="CG66" s="45">
        <v>0</v>
      </c>
      <c r="CH66" s="244"/>
      <c r="CI66" s="244"/>
      <c r="CJ66" s="244"/>
      <c r="CK66" s="244"/>
      <c r="CM66" s="63">
        <v>17</v>
      </c>
    </row>
    <row r="67" spans="1:91" ht="18" hidden="1" customHeight="1">
      <c r="A67" s="260" t="s">
        <v>442</v>
      </c>
      <c r="B67" s="260" t="s">
        <v>443</v>
      </c>
      <c r="C67" s="260" t="s">
        <v>100</v>
      </c>
      <c r="D67" s="260" t="s">
        <v>101</v>
      </c>
      <c r="E67" s="260" t="s">
        <v>294</v>
      </c>
      <c r="F67" s="260" t="s">
        <v>463</v>
      </c>
      <c r="G67" s="260" t="s">
        <v>464</v>
      </c>
      <c r="H67" s="260" t="s">
        <v>498</v>
      </c>
      <c r="I67" s="260" t="s">
        <v>200</v>
      </c>
      <c r="J67" s="260"/>
      <c r="K67" s="260" t="s">
        <v>499</v>
      </c>
      <c r="L67" s="260" t="s">
        <v>500</v>
      </c>
      <c r="M67" s="260" t="s">
        <v>501</v>
      </c>
      <c r="N67" s="260" t="s">
        <v>111</v>
      </c>
      <c r="O67" s="260" t="s">
        <v>112</v>
      </c>
      <c r="P67" s="10">
        <v>5</v>
      </c>
      <c r="Q67" s="11">
        <v>5</v>
      </c>
      <c r="R67" s="11">
        <f t="shared" si="86"/>
        <v>1</v>
      </c>
      <c r="S67" s="11" t="str">
        <f>VLOOKUP(K67,'1131 Hábitat'!$K$13:$AK$24,9,0)</f>
        <v>Vigencia 2020: No hubo asignación de recursos</v>
      </c>
      <c r="T67" s="11">
        <v>0</v>
      </c>
      <c r="U67" s="11">
        <v>0</v>
      </c>
      <c r="V67" s="11">
        <v>0</v>
      </c>
      <c r="W67" s="11">
        <v>0</v>
      </c>
      <c r="X67" s="11">
        <v>0</v>
      </c>
      <c r="Y67" s="11">
        <v>0</v>
      </c>
      <c r="Z67" s="11">
        <v>0</v>
      </c>
      <c r="AA67" s="11"/>
      <c r="AB67" s="11"/>
      <c r="AC67" s="11"/>
      <c r="AD67" s="403">
        <v>1</v>
      </c>
      <c r="AE67" s="403">
        <v>0</v>
      </c>
      <c r="AF67" s="11">
        <f>VLOOKUP(K67,'1131 Hábitat'!$K$13:$AK$24,22,0)</f>
        <v>1</v>
      </c>
      <c r="AG67" s="11">
        <f>VLOOKUP(K67,'1131 Hábitat'!$K$13:$AK$24,23,0)</f>
        <v>0</v>
      </c>
      <c r="AH67" s="11">
        <f t="shared" si="87"/>
        <v>1</v>
      </c>
      <c r="AI67" s="11">
        <f>VLOOKUP(K67,'1131 Hábitat'!$K$13:$AK$24,25,0)</f>
        <v>0</v>
      </c>
      <c r="AJ67" s="11" t="str">
        <f>VLOOKUP(K67,'1131 Hábitat'!$K$13:$AK$24,26,0)</f>
        <v>Para el presente reporte de Plan Indicativo, la meta no presenta avance.
Durante el mes de junio la meta no presenta avance, sin embargo se adelantan gestiones con el municipio de Supatá para apoyar la continuidad del proyecto Urbanización San Antonio que se encuentra estancada por revisión de obras estructurales.
Durante el mes de agosto se encuentra en proceso de formulación del proyecto Terminación de muros colindantes, pisos y fachadas de viviendas en la urbanización Aposentos en el Municipio de Venecia. Está pendiente CDP de contrapartida municipal para iniciar proceso precontractual.
SEPTIEMBRE:
Durante el mes de septiembre se continúa con el proceso de estructuración y formulación del proyecto Terminación de muros colindantes, pisos y fachadas de viviendas en la urbanización Aposentos en el Municipio de Venecia. Está pendiente CDP de contrapartida municipal para iniciar proceso precontractual.
OCTUBRE
En proceso precontractual para la celebración del Convenio Interadministrativo con el municipio de Venecia para la ejecución del proyecto Terminación de muros colindantes, pisos y fachadas de viviendas en la urbanización Aposentos en el Municipio de Venecia. 
NOVIEMBRE
Se celebró el convenio SHVS-CDCVI-092-2021 con el municipio de Venecia para apoyar la terminación del proyecto Urbanización Porvenir, el cual beneficiará a 49 hogares.</v>
      </c>
      <c r="AK67" s="11">
        <f>VLOOKUP(K67,'1131 Hábitat'!$K$13:$AK$24,27,0)</f>
        <v>0</v>
      </c>
      <c r="AL67" s="11">
        <v>2</v>
      </c>
      <c r="AM67" s="11">
        <v>0</v>
      </c>
      <c r="AN67" s="11">
        <v>2</v>
      </c>
      <c r="AO67" s="11">
        <v>0</v>
      </c>
      <c r="AP67" s="11">
        <v>0</v>
      </c>
      <c r="AQ67" s="11">
        <v>0</v>
      </c>
      <c r="AR67" s="52"/>
      <c r="AS67" s="54">
        <v>0</v>
      </c>
      <c r="AT67" s="54">
        <f t="shared" si="0"/>
        <v>0</v>
      </c>
      <c r="AU67" s="52"/>
      <c r="AV67" s="243">
        <v>200000000</v>
      </c>
      <c r="AW67" s="244"/>
      <c r="AX67" s="244"/>
      <c r="AY67" s="243">
        <v>109380908</v>
      </c>
      <c r="AZ67" s="44">
        <f t="shared" si="88"/>
        <v>0.2</v>
      </c>
      <c r="BA67" s="44">
        <v>0</v>
      </c>
      <c r="BB67" s="44" t="s">
        <v>115</v>
      </c>
      <c r="BC67" s="44">
        <f t="shared" si="89"/>
        <v>0.2</v>
      </c>
      <c r="BD67" s="44" cm="1">
        <f t="array" ref="BD67">_xlfn.IFS(AD67=0,"NA",AD67&gt;0,AH67/AD67)</f>
        <v>1</v>
      </c>
      <c r="BE67" s="44">
        <f t="shared" si="90"/>
        <v>0.4</v>
      </c>
      <c r="BF67" s="44">
        <v>0</v>
      </c>
      <c r="BG67" s="44">
        <f t="shared" si="91"/>
        <v>0.4</v>
      </c>
      <c r="BH67" s="44">
        <v>0</v>
      </c>
      <c r="BI67" s="44">
        <f t="shared" si="92"/>
        <v>0</v>
      </c>
      <c r="BJ67" s="44" t="s">
        <v>115</v>
      </c>
      <c r="BK67" s="44">
        <f t="shared" si="1"/>
        <v>0.2</v>
      </c>
      <c r="BL67" s="44" t="s">
        <v>115</v>
      </c>
      <c r="BM67" s="44" cm="1">
        <f t="array" ref="BM67">_xlfn.IFS(BD67="NA","NA",BD67&gt;100%,"100%",BD67&lt;100,BD67)</f>
        <v>1</v>
      </c>
      <c r="BN67" s="44" cm="1">
        <f t="array" ref="BN67">_xlfn.IFS(BF67="NA","NA",BF67&gt;100%,"100%",BF67&lt;100,BF67)</f>
        <v>0</v>
      </c>
      <c r="BO67" s="44" cm="1">
        <f t="array" ref="BO67">_xlfn.IFS(BH67="NA","NA",BH67&gt;100%,"100%",BH67&lt;100,BH67)</f>
        <v>0</v>
      </c>
      <c r="BP67" s="44" t="str" cm="1">
        <f t="array" ref="BP67">_xlfn.IFS(BJ67="NA","NA",BJ67&gt;100%,"100%",BJ67&lt;100,BJ67)</f>
        <v>NA</v>
      </c>
      <c r="BQ67" s="45">
        <v>0.22500000000000001</v>
      </c>
      <c r="BR67" s="45">
        <f t="shared" si="2"/>
        <v>4.5000000000000005E-2</v>
      </c>
      <c r="BS67" s="45">
        <v>0</v>
      </c>
      <c r="BT67" s="45" t="s">
        <v>115</v>
      </c>
      <c r="BU67" s="45">
        <v>0</v>
      </c>
      <c r="BV67" s="45">
        <f t="shared" si="93"/>
        <v>4.4999999999999998E-2</v>
      </c>
      <c r="BW67" s="45">
        <f t="shared" si="94"/>
        <v>4.4999999999999998E-2</v>
      </c>
      <c r="BX67" s="45">
        <f t="shared" si="95"/>
        <v>4.5000000000000005E-2</v>
      </c>
      <c r="BY67" s="45">
        <f t="shared" si="96"/>
        <v>0.09</v>
      </c>
      <c r="BZ67" s="45">
        <f t="shared" si="97"/>
        <v>0</v>
      </c>
      <c r="CA67" s="45">
        <f t="shared" si="98"/>
        <v>0</v>
      </c>
      <c r="CB67" s="45">
        <f t="shared" si="99"/>
        <v>0.09</v>
      </c>
      <c r="CC67" s="45">
        <f t="shared" si="100"/>
        <v>0</v>
      </c>
      <c r="CD67" s="45">
        <v>0</v>
      </c>
      <c r="CE67" s="45">
        <f t="shared" si="101"/>
        <v>0</v>
      </c>
      <c r="CF67" s="45" t="str">
        <f t="shared" si="102"/>
        <v>NA</v>
      </c>
      <c r="CG67" s="45">
        <v>0</v>
      </c>
      <c r="CH67" s="244"/>
      <c r="CI67" s="244"/>
      <c r="CJ67" s="244"/>
      <c r="CK67" s="244"/>
      <c r="CM67" s="63">
        <v>0</v>
      </c>
    </row>
    <row r="68" spans="1:91" ht="18" hidden="1" customHeight="1">
      <c r="A68" s="260" t="s">
        <v>442</v>
      </c>
      <c r="B68" s="260" t="s">
        <v>443</v>
      </c>
      <c r="C68" s="260" t="s">
        <v>100</v>
      </c>
      <c r="D68" s="260" t="s">
        <v>101</v>
      </c>
      <c r="E68" s="260" t="s">
        <v>294</v>
      </c>
      <c r="F68" s="260" t="s">
        <v>463</v>
      </c>
      <c r="G68" s="260" t="s">
        <v>464</v>
      </c>
      <c r="H68" s="260" t="s">
        <v>502</v>
      </c>
      <c r="I68" s="260" t="s">
        <v>200</v>
      </c>
      <c r="J68" s="260"/>
      <c r="K68" s="260" t="s">
        <v>503</v>
      </c>
      <c r="L68" s="260" t="s">
        <v>504</v>
      </c>
      <c r="M68" s="260" t="s">
        <v>505</v>
      </c>
      <c r="N68" s="260" t="s">
        <v>123</v>
      </c>
      <c r="O68" s="260" t="s">
        <v>112</v>
      </c>
      <c r="P68" s="10">
        <v>0</v>
      </c>
      <c r="Q68" s="11">
        <v>100</v>
      </c>
      <c r="R68" s="11">
        <f t="shared" si="86"/>
        <v>35</v>
      </c>
      <c r="S68" s="11" t="str">
        <f>VLOOKUP(K68,'1131 Hábitat'!$K$13:$AK$24,9,0)</f>
        <v>Vigencia 2020: Se llevó a cabo la justificación de la Política Pública de Hábitat y Vivienda, la cual fue aprobada ante el CODEPS, se suscribió el Decreto de creación de la Mesa Departamental de Hábitat y Vivienda, Socialización de la Política Pública de Hábitat y Vivienda a las Administraciones Municipales, se definió el cronograma de aplicación de los instrumentos de recolección de información en el territorio, Planeación y coordinación logística para recolección de información, se identificaron los Ejes y Líneas de Acción, y se diseñaron los Indicadores para el cierre de brechas.</v>
      </c>
      <c r="T68" s="11">
        <v>10</v>
      </c>
      <c r="U68" s="11">
        <v>0</v>
      </c>
      <c r="V68" s="11">
        <v>10</v>
      </c>
      <c r="W68" s="11">
        <v>0</v>
      </c>
      <c r="X68" s="11">
        <v>10</v>
      </c>
      <c r="Y68" s="11">
        <v>0</v>
      </c>
      <c r="Z68" s="11">
        <v>10</v>
      </c>
      <c r="AA68" s="11" t="s">
        <v>506</v>
      </c>
      <c r="AB68" s="11" t="s">
        <v>507</v>
      </c>
      <c r="AC68" s="11">
        <v>0</v>
      </c>
      <c r="AD68" s="403">
        <v>25</v>
      </c>
      <c r="AE68" s="403">
        <v>0</v>
      </c>
      <c r="AF68" s="11">
        <f>VLOOKUP(K68,'1131 Hábitat'!$K$13:$AK$24,22,0)</f>
        <v>25</v>
      </c>
      <c r="AG68" s="11">
        <f>VLOOKUP(K68,'1131 Hábitat'!$K$13:$AK$24,23,0)</f>
        <v>0</v>
      </c>
      <c r="AH68" s="11">
        <f t="shared" si="87"/>
        <v>25</v>
      </c>
      <c r="AI68" s="11">
        <f>VLOOKUP(K68,'1131 Hábitat'!$K$13:$AK$24,25,0)</f>
        <v>25</v>
      </c>
      <c r="AJ68" s="11" t="str">
        <f>VLOOKUP(K68,'1131 Hábitat'!$K$13:$AK$24,26,0)</f>
        <v>Se suscribieron 20 contratos de prestación de servicios profesionales para el fortalecimiento de la capacidad técnica de la Secretaría, y para el apoyo a la gestión.
Se creó la instancia institucional, el Comité Departamental de Hábitat y Vivienda, que tiene como objetivo ser una instancia de participación para la coordinación interinstitucional e intersectorial en la formulación, implementación y ejecución de la Política Pública de Hábitat y Vivienda de Cundinamarca, orientada a mejorar la calidad de vida de los Cundinamarqueses. De igual manera, se activó la instancia de participación en el proceso de Diagnóstico de la Política Pública, donde se realizaron diferentes Focus Group, en los cuales tuvimos la participación de 9 provincias, abordando el 38% de los Municipios del Departamento, en esta etapa. Por otro lado, en coordinación con la Dirección de Sistemas de Información Geográfica, Análisis y Estadística se realizó un proceso de análisis cuantitativo que permitiera la identificación de necesidades habitacionales en el Departamento. Finalmente, el equipo de Política Pública de la Secretaría de Hábitat y Vivienda se encuentra en el proceso de sistematización de información, con el propósito de remitir a la Secretaría de Planeación los formatos correspondientes para la aprobación del Diagnóstico, y posteriormente dar inicio a la estructuración de la Política Pública.
En el mes de abril se suscribieron con cargo a esta meta 6 contratos de prestación de servicios profesionales.
para el mes de mayo basados en el diagnóstico se identificaron unas posibles soluciones de política, por lo que se implementó una evalucaión de alternativas de política pública, de acuerdo al método de evaluación multicriterio, el cual conjuga información cuantitativa y cualitativa e incorpora la ponderación de variables asociadas a la percepción, intuición y experiencia, permitiendo ordenarla y hacer comparable los diferentes factores asociados independientemente de la diversidad de su naturaleza. La anterior evalución se realizo a los Directores de la Secretaría de Hábitat y Vivienda.
En el proceso de la Política Pública enmarcado en el procedimiento de la Secretaría de Planeación, se plantea la necesidad en la etapa de Formulación, la evaluación de alternativas de política, la cual, se desarrolla de acuerdo al formato E-DEAG-FR - 90. Actividad realizada en este periodo.
A 31 de mayo el avance de la meta es de 6%.
A 31 de Julio del 2021 se ha logrado un avance acumulado del  36% de acuerdo al plan de seguimiento de la Dirección de Estudios Económicos y Políticas Públicas de la Secretaría de Planeación. Dicho avance, corresponde al cumplimiento en la estructuración de la política Pública, donde se plantearon los ejes que serán los pilares de  la política pública de Hábitat y Vivienda, estos son: Asequibilidad a la vivienda digna, Hábitat Seguro, Construcción de vivienda, Gestión social y Gestión del suelo.
Lo anterior permitió desarrollar los elementos que componen la Política Pública y así formular las alternativas de solución de acuerdo a las necesidades habitacionales identificadas en el proceso de diagnóstico. 
Estas alternativas fueron evaluadas por los funcionarios de la Secretaría de Hábitat y Vivienda de la Gobernación de Cundinamarca, de acuerdo a la matriz desarrollada por la Universidad de los Andes en el marco del convenio de asociación No. SHVS-CDCASO-028-2020.
Se identificaron los actores involucrados en la política reconociendo su nivel de interés y poder de acción. Finalmente, el equipo de la Dirección de Política Pública y titulación predial se encuentra en el proceso de desarrollo de la teoría del cambio de la alternativa seleccionada, estableciendo los insumos, las actividades, los productos, y los resultados esperados de la Implementación de la Política pública, midiéndolos con los indicadores seleccionados en el proceso de diagnóstico.
En el mes de agosto se presentó el documento final realizado por la Universidad de los Andes en el marco del Convenio de Asociación No. SHVS-CDCASO-028-2020 (Resultados finales del diagnóstico de la Política de Hábitat y Vivienda, las alternativas de solución a ser presentadas ante el Comité de Hábitat y Vivienda de Cundinamarca para su validación y puesta en marcha).
Se realizó mesa de trabajo con la Dirección de Sistemas de Información Geográfica, Análisis y Estadística, a cargo de Juan Ricardo Mozo, para presentar el análisis cuantitativo de la Política de Vivienda, con un panorama de las necesidades habitacionales. 
Se llevó a cabo reunión con la universidad Nacional para analizar el estudio de gestión del suelo en el Departamento, y usar ese insumo en la política de vivienda. 
Se remitió a la Dirección de Estudios Económicos y Políticas Públicas el Diagnóstico consolidado de la Política Pública, tanto el documento técnico desarrollado por la Universidad de los Andes y la Secretaría de Hábitat y Vivienda como el formato E-DEAG-FR–063.
Se remitieron las evidencias de la activación de la instancia de participación y el Plan de Trabajo de la Política pública.  
SEPTIEMBRE:
Durante el mes de septiembre se realizaron los siguientes avances: 
1.	Se realizó un encuentro con la Universidad Nacional de Colombia, con el objetivo de establecer una ayuda conjunta en el desarrollo del eje de gestión del suelo, la cual estará enmarcada en la investigación particular que está realizando la universidad, y donde se planteó que los resultados de la investigación fueran compartidos con la Secretaría de Hábitat y Vivienda para el desarrollo del componente “EJE GESTIÓN DEL SUELO”. 
2.	Se desarrolló junto con la Secretaría de Gobierno la estrategia de participación ciudadana en la gestión pública, donde se priorizó la instancia de participación de la Política Pública, Juntas de Acción Comunal, así como actores de los Entes territoriales que aportarán en la Formulación de la Política de Hábitat y Vivienda. 
3.	Se remitió a la Secretaría de Planeación el Diagnóstico de la Política Pública de Hábitat y Vivienda el día 23 de Septiembre del 2021. Para la revisión del documento, la Dirección de Estudios Económicos y Políticas Públicas  tiene un plazo de 10 días hábiles, posterior a esto lo remitirá a la Secretaría correspondiente y así avanzar en el proceso de la formulación de la Política Pública, razón por la cual, el porcentaje de avance se encuentra en un 33%. 
OCTUBRE:
Durante el mes de Octubre la Meta 059 no presenta avance.
NOVIEMBRE
Durante este mes se llevó a cabo la Instalación del Comité de Política Pública de Hábitat y Vivienda la cual contó con la participación de 14 dependencias.  Como evidencia de este evento se cuenta con el acta de reunión.</v>
      </c>
      <c r="AK68" s="11">
        <f>VLOOKUP(K68,'1131 Hábitat'!$K$13:$AK$24,27,0)</f>
        <v>0</v>
      </c>
      <c r="AL68" s="11">
        <v>35</v>
      </c>
      <c r="AM68" s="11">
        <v>0</v>
      </c>
      <c r="AN68" s="11">
        <v>30</v>
      </c>
      <c r="AO68" s="11">
        <v>0</v>
      </c>
      <c r="AP68" s="11">
        <v>0</v>
      </c>
      <c r="AQ68" s="11">
        <v>0</v>
      </c>
      <c r="AR68" s="51">
        <v>95353794</v>
      </c>
      <c r="AS68" s="54">
        <v>0</v>
      </c>
      <c r="AT68" s="54">
        <f t="shared" si="0"/>
        <v>95353794</v>
      </c>
      <c r="AU68" s="51">
        <v>95353794</v>
      </c>
      <c r="AV68" s="243">
        <v>1606727570</v>
      </c>
      <c r="AW68" s="244"/>
      <c r="AX68" s="244"/>
      <c r="AY68" s="243">
        <v>1422644437</v>
      </c>
      <c r="AZ68" s="44">
        <f t="shared" si="88"/>
        <v>0.35</v>
      </c>
      <c r="BA68" s="255">
        <v>0.1</v>
      </c>
      <c r="BB68" s="44">
        <v>1</v>
      </c>
      <c r="BC68" s="44">
        <f t="shared" si="89"/>
        <v>0.25</v>
      </c>
      <c r="BD68" s="44" cm="1">
        <f t="array" ref="BD68">_xlfn.IFS(AD68=0,"NA",AD68&gt;0,AH68/AD68)</f>
        <v>1</v>
      </c>
      <c r="BE68" s="44">
        <f t="shared" si="90"/>
        <v>0.35</v>
      </c>
      <c r="BF68" s="44">
        <v>0</v>
      </c>
      <c r="BG68" s="44">
        <f t="shared" si="91"/>
        <v>0.3</v>
      </c>
      <c r="BH68" s="44">
        <v>0</v>
      </c>
      <c r="BI68" s="44">
        <f t="shared" si="92"/>
        <v>0</v>
      </c>
      <c r="BJ68" s="44" t="s">
        <v>115</v>
      </c>
      <c r="BK68" s="44">
        <f t="shared" si="1"/>
        <v>0.35</v>
      </c>
      <c r="BL68" s="44">
        <v>1</v>
      </c>
      <c r="BM68" s="44" cm="1">
        <f t="array" ref="BM68">_xlfn.IFS(BD68="NA","NA",BD68&gt;100%,"100%",BD68&lt;100,BD68)</f>
        <v>1</v>
      </c>
      <c r="BN68" s="44" cm="1">
        <f t="array" ref="BN68">_xlfn.IFS(BF68="NA","NA",BF68&gt;100%,"100%",BF68&lt;100,BF68)</f>
        <v>0</v>
      </c>
      <c r="BO68" s="44" cm="1">
        <f t="array" ref="BO68">_xlfn.IFS(BH68="NA","NA",BH68&gt;100%,"100%",BH68&lt;100,BH68)</f>
        <v>0</v>
      </c>
      <c r="BP68" s="44" t="str" cm="1">
        <f t="array" ref="BP68">_xlfn.IFS(BJ68="NA","NA",BJ68&gt;100%,"100%",BJ68&lt;100,BJ68)</f>
        <v>NA</v>
      </c>
      <c r="BQ68" s="45">
        <v>0.22500000000000001</v>
      </c>
      <c r="BR68" s="45">
        <f t="shared" si="2"/>
        <v>7.8750000000000001E-2</v>
      </c>
      <c r="BS68" s="254">
        <v>4.4999999999999998E-2</v>
      </c>
      <c r="BT68" s="45">
        <v>4.4999999999999998E-2</v>
      </c>
      <c r="BU68" s="45">
        <v>4.4999999999999998E-2</v>
      </c>
      <c r="BV68" s="254">
        <v>0.05</v>
      </c>
      <c r="BW68" s="45">
        <f t="shared" si="94"/>
        <v>0.05</v>
      </c>
      <c r="BX68" s="45">
        <f t="shared" si="95"/>
        <v>3.3750000000000002E-2</v>
      </c>
      <c r="BY68" s="254">
        <v>7.0000000000000007E-2</v>
      </c>
      <c r="BZ68" s="45">
        <f t="shared" si="97"/>
        <v>0</v>
      </c>
      <c r="CA68" s="45">
        <f t="shared" si="98"/>
        <v>0</v>
      </c>
      <c r="CB68" s="254">
        <v>0.06</v>
      </c>
      <c r="CC68" s="45">
        <f t="shared" si="100"/>
        <v>0</v>
      </c>
      <c r="CD68" s="45">
        <v>0</v>
      </c>
      <c r="CE68" s="45">
        <f t="shared" si="101"/>
        <v>0</v>
      </c>
      <c r="CF68" s="45" t="str">
        <f t="shared" si="102"/>
        <v>NA</v>
      </c>
      <c r="CG68" s="45">
        <v>0</v>
      </c>
      <c r="CH68" s="244"/>
      <c r="CI68" s="244"/>
      <c r="CJ68" s="244"/>
      <c r="CK68" s="244"/>
      <c r="CM68" s="63">
        <v>31</v>
      </c>
    </row>
    <row r="69" spans="1:91" ht="18" hidden="1" customHeight="1">
      <c r="A69" s="260" t="s">
        <v>248</v>
      </c>
      <c r="B69" s="260" t="s">
        <v>249</v>
      </c>
      <c r="C69" s="260" t="s">
        <v>100</v>
      </c>
      <c r="D69" s="260" t="s">
        <v>508</v>
      </c>
      <c r="E69" s="260" t="s">
        <v>509</v>
      </c>
      <c r="F69" s="260" t="s">
        <v>190</v>
      </c>
      <c r="G69" s="260" t="s">
        <v>191</v>
      </c>
      <c r="H69" s="260" t="s">
        <v>510</v>
      </c>
      <c r="I69" s="260"/>
      <c r="J69" s="260"/>
      <c r="K69" s="260" t="s">
        <v>511</v>
      </c>
      <c r="L69" s="260" t="s">
        <v>512</v>
      </c>
      <c r="M69" s="260" t="s">
        <v>513</v>
      </c>
      <c r="N69" s="260" t="s">
        <v>514</v>
      </c>
      <c r="O69" s="260" t="s">
        <v>112</v>
      </c>
      <c r="P69" s="10">
        <v>0</v>
      </c>
      <c r="Q69" s="11">
        <v>4</v>
      </c>
      <c r="R69" s="11">
        <f t="shared" si="86"/>
        <v>2</v>
      </c>
      <c r="S69" s="11" t="str">
        <f>VLOOKUP(K69,'1208 Indeportes'!$K$13:$AK$39,9,0)</f>
        <v>A través del convenio No. 257 celebrado con FONDECUN,se contrató la realización de este evento para el mes de diciembre.</v>
      </c>
      <c r="T69" s="11">
        <v>1</v>
      </c>
      <c r="U69" s="11">
        <v>0</v>
      </c>
      <c r="V69" s="11">
        <v>1</v>
      </c>
      <c r="W69" s="11">
        <v>0</v>
      </c>
      <c r="X69" s="11">
        <v>1</v>
      </c>
      <c r="Y69" s="11">
        <v>0</v>
      </c>
      <c r="Z69" s="11">
        <v>1</v>
      </c>
      <c r="AA69" s="11">
        <v>0</v>
      </c>
      <c r="AB69" s="11" t="s">
        <v>515</v>
      </c>
      <c r="AC69" s="11">
        <v>0</v>
      </c>
      <c r="AD69" s="403">
        <v>1</v>
      </c>
      <c r="AE69" s="403">
        <v>0</v>
      </c>
      <c r="AF69" s="11">
        <f>VLOOKUP(K69,'1208 Indeportes'!$K$13:$AH$39,22,0)</f>
        <v>1</v>
      </c>
      <c r="AG69" s="11">
        <f>VLOOKUP(K69,'1208 Indeportes'!$K$13:$AH$39,23,0)</f>
        <v>0</v>
      </c>
      <c r="AH69" s="11">
        <f t="shared" si="87"/>
        <v>1</v>
      </c>
      <c r="AI69" s="11">
        <f>VLOOKUP(K69,'1208 Indeportes'!$K$13:$AK$39,25,0)</f>
        <v>0</v>
      </c>
      <c r="AJ69" s="11" t="str">
        <f>VLOOKUP(K69,'1208 Indeportes'!$K$13:$AK$39,26,0)</f>
        <v>Se desarollaron mesas técnicas con directores de deporte, coordinadores, formadores de EFD del Instituto, promocionando el evento. Se capacito a todo el personal por provincias, dando a connocer la temática, la planeación y la ejecución para el desarrollo del evento. Se logro desarrollar actividdaes relacionadas con las vacaciones recreativas en 103 municipios del departamento, beneficiando a mas de 4444 niños y niñas, brindando un espacio propicio para el desarrollo de habiliddaes lúdicas y recreativas.</v>
      </c>
      <c r="AK69" s="11">
        <f>VLOOKUP(K69,'1208 Indeportes'!$K$13:$AK$39,27,0)</f>
        <v>0</v>
      </c>
      <c r="AL69" s="11">
        <v>1</v>
      </c>
      <c r="AM69" s="11">
        <v>0</v>
      </c>
      <c r="AN69" s="11">
        <v>1</v>
      </c>
      <c r="AO69" s="11">
        <v>0</v>
      </c>
      <c r="AP69" s="11">
        <v>0</v>
      </c>
      <c r="AQ69" s="11">
        <v>0</v>
      </c>
      <c r="AR69" s="51">
        <v>212085085</v>
      </c>
      <c r="AS69" s="54">
        <v>0</v>
      </c>
      <c r="AT69" s="54">
        <f t="shared" si="0"/>
        <v>212085085</v>
      </c>
      <c r="AU69" s="51">
        <v>197978865</v>
      </c>
      <c r="AV69" s="243">
        <v>140000000</v>
      </c>
      <c r="AW69" s="244"/>
      <c r="AX69" s="244"/>
      <c r="AY69" s="243">
        <v>140000000</v>
      </c>
      <c r="AZ69" s="44">
        <f t="shared" si="88"/>
        <v>0.5</v>
      </c>
      <c r="BA69" s="44">
        <v>0.25</v>
      </c>
      <c r="BB69" s="44">
        <v>1</v>
      </c>
      <c r="BC69" s="44">
        <f t="shared" si="89"/>
        <v>0.25</v>
      </c>
      <c r="BD69" s="44" cm="1">
        <f t="array" ref="BD69">_xlfn.IFS(AD69=0,"NA",AD69&gt;0,AH69/AD69)</f>
        <v>1</v>
      </c>
      <c r="BE69" s="44">
        <f t="shared" si="90"/>
        <v>0.25</v>
      </c>
      <c r="BF69" s="44">
        <v>0</v>
      </c>
      <c r="BG69" s="44">
        <f t="shared" si="91"/>
        <v>0.25</v>
      </c>
      <c r="BH69" s="44">
        <v>0</v>
      </c>
      <c r="BI69" s="44">
        <f t="shared" si="92"/>
        <v>0</v>
      </c>
      <c r="BJ69" s="44" t="s">
        <v>115</v>
      </c>
      <c r="BK69" s="44">
        <f t="shared" si="1"/>
        <v>0.5</v>
      </c>
      <c r="BL69" s="44">
        <v>1</v>
      </c>
      <c r="BM69" s="44" cm="1">
        <f t="array" ref="BM69">_xlfn.IFS(BD69="NA","NA",BD69&gt;100%,"100%",BD69&lt;100,BD69)</f>
        <v>1</v>
      </c>
      <c r="BN69" s="44" cm="1">
        <f t="array" ref="BN69">_xlfn.IFS(BF69="NA","NA",BF69&gt;100%,"100%",BF69&lt;100,BF69)</f>
        <v>0</v>
      </c>
      <c r="BO69" s="44" cm="1">
        <f t="array" ref="BO69">_xlfn.IFS(BH69="NA","NA",BH69&gt;100%,"100%",BH69&lt;100,BH69)</f>
        <v>0</v>
      </c>
      <c r="BP69" s="44" t="str" cm="1">
        <f t="array" ref="BP69">_xlfn.IFS(BJ69="NA","NA",BJ69&gt;100%,"100%",BJ69&lt;100,BJ69)</f>
        <v>NA</v>
      </c>
      <c r="BQ69" s="45">
        <v>0.22500000000000001</v>
      </c>
      <c r="BR69" s="45">
        <f t="shared" si="2"/>
        <v>0.1125</v>
      </c>
      <c r="BS69" s="45">
        <v>5.6300000000000003E-2</v>
      </c>
      <c r="BT69" s="45">
        <v>5.6300000000000003E-2</v>
      </c>
      <c r="BU69" s="45">
        <v>5.6300000000000003E-2</v>
      </c>
      <c r="BV69" s="45">
        <f t="shared" si="93"/>
        <v>5.6250000000000001E-2</v>
      </c>
      <c r="BW69" s="45">
        <f t="shared" si="94"/>
        <v>5.6250000000000001E-2</v>
      </c>
      <c r="BX69" s="45">
        <f t="shared" si="95"/>
        <v>5.62E-2</v>
      </c>
      <c r="BY69" s="45">
        <f t="shared" si="96"/>
        <v>5.6250000000000001E-2</v>
      </c>
      <c r="BZ69" s="45">
        <f t="shared" si="97"/>
        <v>0</v>
      </c>
      <c r="CA69" s="45">
        <f t="shared" si="98"/>
        <v>0</v>
      </c>
      <c r="CB69" s="45">
        <f t="shared" si="99"/>
        <v>5.6250000000000001E-2</v>
      </c>
      <c r="CC69" s="45">
        <f t="shared" si="100"/>
        <v>0</v>
      </c>
      <c r="CD69" s="45">
        <v>0</v>
      </c>
      <c r="CE69" s="45">
        <f t="shared" si="101"/>
        <v>0</v>
      </c>
      <c r="CF69" s="45" t="str">
        <f t="shared" si="102"/>
        <v>NA</v>
      </c>
      <c r="CG69" s="45">
        <v>0</v>
      </c>
      <c r="CH69" s="244"/>
      <c r="CI69" s="244"/>
      <c r="CJ69" s="244"/>
      <c r="CK69" s="244"/>
      <c r="CM69" s="63">
        <v>2</v>
      </c>
    </row>
    <row r="70" spans="1:91" ht="18" hidden="1" customHeight="1">
      <c r="A70" s="260" t="s">
        <v>248</v>
      </c>
      <c r="B70" s="260" t="s">
        <v>249</v>
      </c>
      <c r="C70" s="260" t="s">
        <v>100</v>
      </c>
      <c r="D70" s="260" t="s">
        <v>508</v>
      </c>
      <c r="E70" s="260" t="s">
        <v>509</v>
      </c>
      <c r="F70" s="260" t="s">
        <v>190</v>
      </c>
      <c r="G70" s="260" t="s">
        <v>191</v>
      </c>
      <c r="H70" s="260" t="s">
        <v>516</v>
      </c>
      <c r="I70" s="260"/>
      <c r="J70" s="260"/>
      <c r="K70" s="260" t="s">
        <v>517</v>
      </c>
      <c r="L70" s="260" t="s">
        <v>518</v>
      </c>
      <c r="M70" s="260" t="s">
        <v>519</v>
      </c>
      <c r="N70" s="260" t="s">
        <v>111</v>
      </c>
      <c r="O70" s="260" t="s">
        <v>112</v>
      </c>
      <c r="P70" s="10">
        <v>200</v>
      </c>
      <c r="Q70" s="11">
        <v>200</v>
      </c>
      <c r="R70" s="11">
        <f t="shared" si="86"/>
        <v>0</v>
      </c>
      <c r="S70" s="11" t="str">
        <f>VLOOKUP(K70,'1208 Indeportes'!$K$13:$AK$39,9,0)</f>
        <v>La meta se encuentra en ejecución: Se han recibido solicitudes de 12 municipios, que contemplan un total de 34 parques saludables, de las cuales 6 adjuntan documentos completos para el proceso. Se realizó el estudio del sector y del mercado para llevar a cabo la etapa pre contractual de la adquisición de parques saludables. Se inicia el proceso de contratación para la dotación de 10 parques saludables para los municipios del departamento.</v>
      </c>
      <c r="T70" s="11">
        <v>10</v>
      </c>
      <c r="U70" s="11">
        <v>0</v>
      </c>
      <c r="V70" s="11">
        <v>0</v>
      </c>
      <c r="W70" s="11">
        <v>0</v>
      </c>
      <c r="X70" s="11">
        <v>0</v>
      </c>
      <c r="Y70" s="11">
        <v>0</v>
      </c>
      <c r="Z70" s="11">
        <v>0</v>
      </c>
      <c r="AA70" s="11">
        <v>0</v>
      </c>
      <c r="AB70" s="11"/>
      <c r="AC70" s="11">
        <v>0</v>
      </c>
      <c r="AD70" s="403">
        <v>70</v>
      </c>
      <c r="AE70" s="403">
        <v>0</v>
      </c>
      <c r="AF70" s="11">
        <f>VLOOKUP(K70,'1208 Indeportes'!$K$13:$AH$39,22,0)</f>
        <v>0</v>
      </c>
      <c r="AG70" s="11">
        <f>VLOOKUP(K70,'1208 Indeportes'!$K$13:$AH$39,23,0)</f>
        <v>0</v>
      </c>
      <c r="AH70" s="11">
        <f t="shared" si="87"/>
        <v>0</v>
      </c>
      <c r="AI70" s="11">
        <f>VLOOKUP(K70,'1208 Indeportes'!$K$13:$AK$39,25,0)</f>
        <v>0</v>
      </c>
      <c r="AJ70" s="11" t="str">
        <f>VLOOKUP(K70,'1208 Indeportes'!$K$13:$AK$39,26,0)</f>
        <v>La Licitación Pública cuyo objeto es: CONTRATAR EL SUMINISTRO E INSTALACIÓN DE PARQUES SALUDABLES Y PARQUES INFANTILES PARA EL CUMPLIMIENTO DE LAS METAS DEL PLAN DE DESARROLLO "CUNDINAMARCA REGIÓN QUE PROGRESA “, por valor de $2.628.000.000, se encuentra en proceso de adjudicación y ejecución programada partir del 06 de diciembre de 2021.</v>
      </c>
      <c r="AK70" s="11">
        <f>VLOOKUP(K70,'1208 Indeportes'!$K$13:$AK$39,27,0)</f>
        <v>0</v>
      </c>
      <c r="AL70" s="11">
        <v>60</v>
      </c>
      <c r="AM70" s="11">
        <v>0</v>
      </c>
      <c r="AN70" s="11">
        <v>70</v>
      </c>
      <c r="AO70" s="11">
        <v>0</v>
      </c>
      <c r="AP70" s="11">
        <v>0</v>
      </c>
      <c r="AQ70" s="11">
        <v>0</v>
      </c>
      <c r="AR70" s="51">
        <v>578643317</v>
      </c>
      <c r="AS70" s="54">
        <v>0</v>
      </c>
      <c r="AT70" s="54">
        <f t="shared" si="0"/>
        <v>578643317</v>
      </c>
      <c r="AU70" s="51">
        <v>0</v>
      </c>
      <c r="AV70" s="243">
        <v>1785000000</v>
      </c>
      <c r="AW70" s="244"/>
      <c r="AX70" s="244"/>
      <c r="AY70" s="243">
        <v>0</v>
      </c>
      <c r="AZ70" s="44">
        <f t="shared" si="88"/>
        <v>0</v>
      </c>
      <c r="BA70" s="44">
        <v>0</v>
      </c>
      <c r="BB70" s="44" t="s">
        <v>115</v>
      </c>
      <c r="BC70" s="44">
        <f t="shared" si="89"/>
        <v>0.35</v>
      </c>
      <c r="BD70" s="44" cm="1">
        <f t="array" ref="BD70">_xlfn.IFS(AD70=0,"NA",AD70&gt;0,AH70/AD70)</f>
        <v>0</v>
      </c>
      <c r="BE70" s="44">
        <f t="shared" si="90"/>
        <v>0.3</v>
      </c>
      <c r="BF70" s="44">
        <v>0</v>
      </c>
      <c r="BG70" s="44">
        <f t="shared" si="91"/>
        <v>0.35</v>
      </c>
      <c r="BH70" s="44">
        <v>0</v>
      </c>
      <c r="BI70" s="44">
        <f t="shared" si="92"/>
        <v>0</v>
      </c>
      <c r="BJ70" s="44" t="s">
        <v>115</v>
      </c>
      <c r="BK70" s="44">
        <f t="shared" si="1"/>
        <v>0</v>
      </c>
      <c r="BL70" s="44" t="s">
        <v>115</v>
      </c>
      <c r="BM70" s="44" cm="1">
        <f t="array" ref="BM70">_xlfn.IFS(BD70="NA","NA",BD70&gt;100%,"100%",BD70&lt;100,BD70)</f>
        <v>0</v>
      </c>
      <c r="BN70" s="44" cm="1">
        <f t="array" ref="BN70">_xlfn.IFS(BF70="NA","NA",BF70&gt;100%,"100%",BF70&lt;100,BF70)</f>
        <v>0</v>
      </c>
      <c r="BO70" s="44" cm="1">
        <f t="array" ref="BO70">_xlfn.IFS(BH70="NA","NA",BH70&gt;100%,"100%",BH70&lt;100,BH70)</f>
        <v>0</v>
      </c>
      <c r="BP70" s="44" t="str" cm="1">
        <f t="array" ref="BP70">_xlfn.IFS(BJ70="NA","NA",BJ70&gt;100%,"100%",BJ70&lt;100,BJ70)</f>
        <v>NA</v>
      </c>
      <c r="BQ70" s="45">
        <v>0.22500000000000001</v>
      </c>
      <c r="BR70" s="45">
        <f t="shared" si="2"/>
        <v>0</v>
      </c>
      <c r="BS70" s="45">
        <v>0</v>
      </c>
      <c r="BT70" s="45" t="s">
        <v>115</v>
      </c>
      <c r="BU70" s="45">
        <v>0</v>
      </c>
      <c r="BV70" s="45">
        <f t="shared" si="93"/>
        <v>7.8750000000000001E-2</v>
      </c>
      <c r="BW70" s="45">
        <f t="shared" si="94"/>
        <v>0</v>
      </c>
      <c r="BX70" s="45">
        <f t="shared" si="95"/>
        <v>0</v>
      </c>
      <c r="BY70" s="45">
        <f t="shared" si="96"/>
        <v>6.7500000000000004E-2</v>
      </c>
      <c r="BZ70" s="45">
        <f t="shared" si="97"/>
        <v>0</v>
      </c>
      <c r="CA70" s="45">
        <f t="shared" si="98"/>
        <v>0</v>
      </c>
      <c r="CB70" s="45">
        <f t="shared" si="99"/>
        <v>7.8750000000000001E-2</v>
      </c>
      <c r="CC70" s="45">
        <f t="shared" si="100"/>
        <v>0</v>
      </c>
      <c r="CD70" s="45">
        <v>0</v>
      </c>
      <c r="CE70" s="45">
        <f t="shared" si="101"/>
        <v>0</v>
      </c>
      <c r="CF70" s="45" t="str">
        <f t="shared" si="102"/>
        <v>NA</v>
      </c>
      <c r="CG70" s="45">
        <v>0</v>
      </c>
      <c r="CH70" s="244"/>
      <c r="CI70" s="244"/>
      <c r="CJ70" s="244"/>
      <c r="CK70" s="244"/>
      <c r="CM70" s="63">
        <v>0</v>
      </c>
    </row>
    <row r="71" spans="1:91" ht="18" hidden="1" customHeight="1">
      <c r="A71" s="260" t="s">
        <v>248</v>
      </c>
      <c r="B71" s="260" t="s">
        <v>249</v>
      </c>
      <c r="C71" s="260" t="s">
        <v>100</v>
      </c>
      <c r="D71" s="260" t="s">
        <v>508</v>
      </c>
      <c r="E71" s="260" t="s">
        <v>509</v>
      </c>
      <c r="F71" s="260" t="s">
        <v>190</v>
      </c>
      <c r="G71" s="260" t="s">
        <v>191</v>
      </c>
      <c r="H71" s="260" t="s">
        <v>520</v>
      </c>
      <c r="I71" s="260"/>
      <c r="J71" s="260"/>
      <c r="K71" s="260" t="s">
        <v>521</v>
      </c>
      <c r="L71" s="260" t="s">
        <v>522</v>
      </c>
      <c r="M71" s="260" t="s">
        <v>523</v>
      </c>
      <c r="N71" s="260" t="s">
        <v>111</v>
      </c>
      <c r="O71" s="260" t="s">
        <v>112</v>
      </c>
      <c r="P71" s="10">
        <v>160</v>
      </c>
      <c r="Q71" s="11">
        <v>160</v>
      </c>
      <c r="R71" s="11">
        <f t="shared" si="86"/>
        <v>0</v>
      </c>
      <c r="S71" s="11" t="str">
        <f>VLOOKUP(K71,'1208 Indeportes'!$K$13:$AK$39,9,0)</f>
        <v>La meta se encuentra en ejecución: Se han recibido solicitudes de 12 municipios, que contemplan un total de 34 parques saludables, de las cuales 6 adjuntan documentos completos para el proceso. Se realizó el estudio del sector y del mercado para llevar a cabo la etapa pre contractual de la adquisición de parques saludables. Se inicia el proceso de contratación para la dotación de 10 parques saludables para los municipios del departamento.</v>
      </c>
      <c r="T71" s="11">
        <v>10</v>
      </c>
      <c r="U71" s="11">
        <v>0</v>
      </c>
      <c r="V71" s="11">
        <v>0</v>
      </c>
      <c r="W71" s="11">
        <v>0</v>
      </c>
      <c r="X71" s="11">
        <v>0</v>
      </c>
      <c r="Y71" s="11">
        <v>0</v>
      </c>
      <c r="Z71" s="11">
        <v>0</v>
      </c>
      <c r="AA71" s="11">
        <v>0</v>
      </c>
      <c r="AB71" s="11"/>
      <c r="AC71" s="11">
        <v>0</v>
      </c>
      <c r="AD71" s="403">
        <v>60</v>
      </c>
      <c r="AE71" s="403">
        <v>0</v>
      </c>
      <c r="AF71" s="11">
        <f>VLOOKUP(K71,'1208 Indeportes'!$K$13:$AH$39,22,0)</f>
        <v>0</v>
      </c>
      <c r="AG71" s="11">
        <f>VLOOKUP(K71,'1208 Indeportes'!$K$13:$AH$39,23,0)</f>
        <v>0</v>
      </c>
      <c r="AH71" s="11">
        <f t="shared" si="87"/>
        <v>0</v>
      </c>
      <c r="AI71" s="11">
        <f>VLOOKUP(K71,'1208 Indeportes'!$K$13:$AK$39,25,0)</f>
        <v>0</v>
      </c>
      <c r="AJ71" s="11" t="str">
        <f>VLOOKUP(K71,'1208 Indeportes'!$K$13:$AK$39,26,0)</f>
        <v>La Licitación Pública cuyo objeto es: CONTRATAR EL SUMINISTRO E INSTALACIÓN DE PARQUES SALUDABLES Y PARQUES INFANTILES PARA EL CUMPLIMIENTO DE LAS METAS DEL PLAN DE DESARROLLO "CUNDINAMARCA REGIÓN QUE PROGRESA “, por valor de $2.628.000.000, se encuentra en proceso de adjudicación y ejecución programada partir del 06 de diciembre de 2021.</v>
      </c>
      <c r="AK71" s="11">
        <f>VLOOKUP(K71,'1208 Indeportes'!$K$13:$AK$39,27,0)</f>
        <v>0</v>
      </c>
      <c r="AL71" s="11">
        <v>50</v>
      </c>
      <c r="AM71" s="11">
        <v>0</v>
      </c>
      <c r="AN71" s="11">
        <v>50</v>
      </c>
      <c r="AO71" s="11">
        <v>0</v>
      </c>
      <c r="AP71" s="11">
        <v>0</v>
      </c>
      <c r="AQ71" s="11">
        <v>0</v>
      </c>
      <c r="AR71" s="51">
        <v>615333333</v>
      </c>
      <c r="AS71" s="54">
        <v>0</v>
      </c>
      <c r="AT71" s="54">
        <f t="shared" si="0"/>
        <v>615333333</v>
      </c>
      <c r="AU71" s="51">
        <v>0</v>
      </c>
      <c r="AV71" s="243">
        <v>835000000</v>
      </c>
      <c r="AW71" s="244"/>
      <c r="AX71" s="244"/>
      <c r="AY71" s="243">
        <v>0</v>
      </c>
      <c r="AZ71" s="44">
        <f t="shared" si="88"/>
        <v>0</v>
      </c>
      <c r="BA71" s="44">
        <v>0</v>
      </c>
      <c r="BB71" s="44" t="s">
        <v>115</v>
      </c>
      <c r="BC71" s="44">
        <f t="shared" si="89"/>
        <v>0.375</v>
      </c>
      <c r="BD71" s="44" cm="1">
        <f t="array" ref="BD71">_xlfn.IFS(AD71=0,"NA",AD71&gt;0,AH71/AD71)</f>
        <v>0</v>
      </c>
      <c r="BE71" s="44">
        <f t="shared" si="90"/>
        <v>0.3125</v>
      </c>
      <c r="BF71" s="44">
        <v>0</v>
      </c>
      <c r="BG71" s="44">
        <f t="shared" si="91"/>
        <v>0.3125</v>
      </c>
      <c r="BH71" s="44">
        <v>0</v>
      </c>
      <c r="BI71" s="44">
        <f t="shared" si="92"/>
        <v>0</v>
      </c>
      <c r="BJ71" s="44" t="s">
        <v>115</v>
      </c>
      <c r="BK71" s="44">
        <f t="shared" si="1"/>
        <v>0</v>
      </c>
      <c r="BL71" s="44" t="s">
        <v>115</v>
      </c>
      <c r="BM71" s="44" cm="1">
        <f t="array" ref="BM71">_xlfn.IFS(BD71="NA","NA",BD71&gt;100%,"100%",BD71&lt;100,BD71)</f>
        <v>0</v>
      </c>
      <c r="BN71" s="44" cm="1">
        <f t="array" ref="BN71">_xlfn.IFS(BF71="NA","NA",BF71&gt;100%,"100%",BF71&lt;100,BF71)</f>
        <v>0</v>
      </c>
      <c r="BO71" s="44" cm="1">
        <f t="array" ref="BO71">_xlfn.IFS(BH71="NA","NA",BH71&gt;100%,"100%",BH71&lt;100,BH71)</f>
        <v>0</v>
      </c>
      <c r="BP71" s="44" t="str" cm="1">
        <f t="array" ref="BP71">_xlfn.IFS(BJ71="NA","NA",BJ71&gt;100%,"100%",BJ71&lt;100,BJ71)</f>
        <v>NA</v>
      </c>
      <c r="BQ71" s="45">
        <v>0.22500000000000001</v>
      </c>
      <c r="BR71" s="45">
        <f t="shared" si="2"/>
        <v>0</v>
      </c>
      <c r="BS71" s="45">
        <v>0</v>
      </c>
      <c r="BT71" s="45" t="s">
        <v>115</v>
      </c>
      <c r="BU71" s="45">
        <v>0</v>
      </c>
      <c r="BV71" s="45">
        <f t="shared" si="93"/>
        <v>8.4375000000000006E-2</v>
      </c>
      <c r="BW71" s="45">
        <f t="shared" si="94"/>
        <v>0</v>
      </c>
      <c r="BX71" s="45">
        <f t="shared" si="95"/>
        <v>0</v>
      </c>
      <c r="BY71" s="45">
        <f t="shared" si="96"/>
        <v>7.03125E-2</v>
      </c>
      <c r="BZ71" s="45">
        <f t="shared" si="97"/>
        <v>0</v>
      </c>
      <c r="CA71" s="45">
        <f t="shared" si="98"/>
        <v>0</v>
      </c>
      <c r="CB71" s="45">
        <f t="shared" si="99"/>
        <v>7.03125E-2</v>
      </c>
      <c r="CC71" s="45">
        <f t="shared" si="100"/>
        <v>0</v>
      </c>
      <c r="CD71" s="45">
        <v>0</v>
      </c>
      <c r="CE71" s="45">
        <f t="shared" si="101"/>
        <v>0</v>
      </c>
      <c r="CF71" s="45" t="str">
        <f t="shared" si="102"/>
        <v>NA</v>
      </c>
      <c r="CG71" s="45">
        <v>0</v>
      </c>
      <c r="CH71" s="244"/>
      <c r="CI71" s="244"/>
      <c r="CJ71" s="244"/>
      <c r="CK71" s="244"/>
      <c r="CM71" s="63">
        <v>0</v>
      </c>
    </row>
    <row r="72" spans="1:91" s="394" customFormat="1" ht="18" hidden="1" customHeight="1">
      <c r="A72" s="386" t="s">
        <v>144</v>
      </c>
      <c r="B72" s="386" t="s">
        <v>145</v>
      </c>
      <c r="C72" s="386" t="s">
        <v>100</v>
      </c>
      <c r="D72" s="386" t="s">
        <v>508</v>
      </c>
      <c r="E72" s="386" t="s">
        <v>509</v>
      </c>
      <c r="F72" s="386" t="s">
        <v>524</v>
      </c>
      <c r="G72" s="386" t="s">
        <v>525</v>
      </c>
      <c r="H72" s="386" t="s">
        <v>526</v>
      </c>
      <c r="I72" s="386"/>
      <c r="J72" s="386"/>
      <c r="K72" s="386" t="s">
        <v>527</v>
      </c>
      <c r="L72" s="386" t="s">
        <v>528</v>
      </c>
      <c r="M72" s="386" t="s">
        <v>529</v>
      </c>
      <c r="N72" s="386" t="s">
        <v>111</v>
      </c>
      <c r="O72" s="386" t="s">
        <v>112</v>
      </c>
      <c r="P72" s="387">
        <v>12000</v>
      </c>
      <c r="Q72" s="388">
        <v>4686</v>
      </c>
      <c r="R72" s="388">
        <f t="shared" si="86"/>
        <v>0</v>
      </c>
      <c r="S72" s="388">
        <f>VLOOKUP(K72,'1126 Desarrollo Social'!$K$13:$S$58,9,0)</f>
        <v>0</v>
      </c>
      <c r="T72" s="388">
        <v>0</v>
      </c>
      <c r="U72" s="388">
        <v>0</v>
      </c>
      <c r="V72" s="388">
        <v>3000</v>
      </c>
      <c r="W72" s="388">
        <v>0</v>
      </c>
      <c r="X72" s="388">
        <v>0</v>
      </c>
      <c r="Y72" s="388">
        <v>0</v>
      </c>
      <c r="Z72" s="388">
        <v>0</v>
      </c>
      <c r="AA72" s="388"/>
      <c r="AB72" s="388"/>
      <c r="AC72" s="388"/>
      <c r="AD72" s="403">
        <v>3000</v>
      </c>
      <c r="AE72" s="403">
        <v>0</v>
      </c>
      <c r="AF72" s="388">
        <f>VLOOKUP(K72,'1126 Desarrollo Social'!$K$13:$AK$58,22,0)</f>
        <v>0</v>
      </c>
      <c r="AG72" s="388">
        <f>VLOOKUP(K72,'1126 Desarrollo Social'!$K$13:$AK$58,23,0)</f>
        <v>0</v>
      </c>
      <c r="AH72" s="388">
        <f t="shared" si="87"/>
        <v>0</v>
      </c>
      <c r="AI72" s="388">
        <f>VLOOKUP(K72,'1126 Desarrollo Social'!$K$13:$AK$58,25,0)</f>
        <v>0</v>
      </c>
      <c r="AJ72" s="388" t="str">
        <f>VLOOKUP(K72,'1126 Desarrollo Social'!$K$13:$AK$58,26,0)</f>
        <v xml:space="preserve">Junto con la Caja de COMPENSACION COMPENSAR  se pretende firmar un Convenio de Asociación a fin de beneficiar 188 niños de 0 a 5 años de edad a y así lograr regular su estado nutricional.   Inicialmente en los municipios de  Caparrapi Yacopi La Palma La Peña Guaduas y Villeta. Se encuentra en tramite precontractual
Se adelantaron acercamientos con Tecnoquimicas S.A., Nestle S.A y Caja de Compensaciòn Colsubsidio </v>
      </c>
      <c r="AK72" s="388">
        <f>VLOOKUP(K72,'1126 Desarrollo Social'!$K$13:$AK$58,27,0)</f>
        <v>0</v>
      </c>
      <c r="AL72" s="388">
        <v>3000</v>
      </c>
      <c r="AM72" s="388">
        <v>0</v>
      </c>
      <c r="AN72" s="388">
        <v>3000</v>
      </c>
      <c r="AO72" s="388">
        <v>0</v>
      </c>
      <c r="AP72" s="388">
        <v>0</v>
      </c>
      <c r="AQ72" s="388">
        <v>0</v>
      </c>
      <c r="AR72" s="389">
        <v>290729481</v>
      </c>
      <c r="AS72" s="390">
        <v>0</v>
      </c>
      <c r="AT72" s="390">
        <f t="shared" si="0"/>
        <v>290729481</v>
      </c>
      <c r="AU72" s="389">
        <v>0</v>
      </c>
      <c r="AV72" s="243">
        <v>0</v>
      </c>
      <c r="AW72" s="244"/>
      <c r="AX72" s="244"/>
      <c r="AY72" s="243">
        <v>0</v>
      </c>
      <c r="AZ72" s="392">
        <f t="shared" si="88"/>
        <v>0</v>
      </c>
      <c r="BA72" s="392">
        <v>0.25</v>
      </c>
      <c r="BB72" s="392">
        <v>0</v>
      </c>
      <c r="BC72" s="392">
        <f t="shared" si="89"/>
        <v>0.6402048655569782</v>
      </c>
      <c r="BD72" s="392" cm="1">
        <f t="array" ref="BD72">_xlfn.IFS(AD72=0,"NA",AD72&gt;0,AH72/AD72)</f>
        <v>0</v>
      </c>
      <c r="BE72" s="392">
        <f t="shared" si="90"/>
        <v>0.6402048655569782</v>
      </c>
      <c r="BF72" s="392">
        <v>0</v>
      </c>
      <c r="BG72" s="392">
        <f t="shared" si="91"/>
        <v>0.6402048655569782</v>
      </c>
      <c r="BH72" s="392">
        <v>0</v>
      </c>
      <c r="BI72" s="392">
        <f t="shared" si="92"/>
        <v>0</v>
      </c>
      <c r="BJ72" s="392" t="s">
        <v>115</v>
      </c>
      <c r="BK72" s="392">
        <f t="shared" si="1"/>
        <v>0</v>
      </c>
      <c r="BL72" s="392">
        <v>0</v>
      </c>
      <c r="BM72" s="392" cm="1">
        <f t="array" ref="BM72">_xlfn.IFS(BD72="NA","NA",BD72&gt;100%,"100%",BD72&lt;100,BD72)</f>
        <v>0</v>
      </c>
      <c r="BN72" s="392" cm="1">
        <f t="array" ref="BN72">_xlfn.IFS(BF72="NA","NA",BF72&gt;100%,"100%",BF72&lt;100,BF72)</f>
        <v>0</v>
      </c>
      <c r="BO72" s="392" cm="1">
        <f t="array" ref="BO72">_xlfn.IFS(BH72="NA","NA",BH72&gt;100%,"100%",BH72&lt;100,BH72)</f>
        <v>0</v>
      </c>
      <c r="BP72" s="392" t="str" cm="1">
        <f t="array" ref="BP72">_xlfn.IFS(BJ72="NA","NA",BJ72&gt;100%,"100%",BJ72&lt;100,BJ72)</f>
        <v>NA</v>
      </c>
      <c r="BQ72" s="393">
        <v>0.22500000000000001</v>
      </c>
      <c r="BR72" s="393">
        <f t="shared" si="2"/>
        <v>0</v>
      </c>
      <c r="BS72" s="393">
        <v>5.6300000000000003E-2</v>
      </c>
      <c r="BT72" s="393">
        <v>0</v>
      </c>
      <c r="BU72" s="393">
        <v>0</v>
      </c>
      <c r="BV72" s="393">
        <f t="shared" si="93"/>
        <v>0.1440460947503201</v>
      </c>
      <c r="BW72" s="393">
        <f t="shared" si="94"/>
        <v>0</v>
      </c>
      <c r="BX72" s="393">
        <f t="shared" si="95"/>
        <v>0</v>
      </c>
      <c r="BY72" s="393">
        <f t="shared" si="96"/>
        <v>0.1440460947503201</v>
      </c>
      <c r="BZ72" s="393">
        <f t="shared" si="97"/>
        <v>0</v>
      </c>
      <c r="CA72" s="393">
        <f t="shared" si="98"/>
        <v>0</v>
      </c>
      <c r="CB72" s="393">
        <f t="shared" si="99"/>
        <v>0.1440460947503201</v>
      </c>
      <c r="CC72" s="393">
        <f t="shared" si="100"/>
        <v>0</v>
      </c>
      <c r="CD72" s="393">
        <v>0</v>
      </c>
      <c r="CE72" s="393">
        <f t="shared" si="101"/>
        <v>0</v>
      </c>
      <c r="CF72" s="393" t="str">
        <f t="shared" si="102"/>
        <v>NA</v>
      </c>
      <c r="CG72" s="393">
        <v>0</v>
      </c>
      <c r="CH72" s="391"/>
      <c r="CI72" s="391"/>
      <c r="CJ72" s="391"/>
      <c r="CK72" s="391"/>
      <c r="CM72" s="395">
        <v>0</v>
      </c>
    </row>
    <row r="73" spans="1:91" ht="18" hidden="1" customHeight="1">
      <c r="A73" s="260" t="s">
        <v>98</v>
      </c>
      <c r="B73" s="260" t="s">
        <v>99</v>
      </c>
      <c r="C73" s="260" t="s">
        <v>100</v>
      </c>
      <c r="D73" s="260" t="s">
        <v>508</v>
      </c>
      <c r="E73" s="260" t="s">
        <v>509</v>
      </c>
      <c r="F73" s="260" t="s">
        <v>524</v>
      </c>
      <c r="G73" s="260" t="s">
        <v>525</v>
      </c>
      <c r="H73" s="260" t="s">
        <v>530</v>
      </c>
      <c r="I73" s="260"/>
      <c r="J73" s="260" t="s">
        <v>531</v>
      </c>
      <c r="K73" s="260" t="s">
        <v>532</v>
      </c>
      <c r="L73" s="260" t="s">
        <v>533</v>
      </c>
      <c r="M73" s="260" t="s">
        <v>534</v>
      </c>
      <c r="N73" s="260" t="s">
        <v>111</v>
      </c>
      <c r="O73" s="260" t="s">
        <v>112</v>
      </c>
      <c r="P73" s="10">
        <v>0</v>
      </c>
      <c r="Q73" s="11">
        <v>14</v>
      </c>
      <c r="R73" s="11">
        <f t="shared" si="86"/>
        <v>2</v>
      </c>
      <c r="S73" s="11" t="str">
        <f>VLOOKUP(K73,'1197 Salud'!$K$13:$AK$54,9,0)</f>
        <v>La estrategia se ha trabajado en 10 ESES priorizadas,  por su nivel de avance en la implementación de la Estrategia, han  logrado  obtener su certificación 6 ESES Arbelaez, Caqueza, El colegio, Choconta, La mesa, Fusagasuga.
6492 gestantes depuradas, con malnutrición y que se han subido con seguimiento al link, de las cuales 4634 tuvieron cita de nutrición</v>
      </c>
      <c r="T73" s="11">
        <v>1</v>
      </c>
      <c r="U73" s="11">
        <v>0</v>
      </c>
      <c r="V73" s="11">
        <v>1</v>
      </c>
      <c r="W73" s="11">
        <v>0</v>
      </c>
      <c r="X73" s="11">
        <v>0</v>
      </c>
      <c r="Y73" s="11">
        <v>0</v>
      </c>
      <c r="Z73" s="11">
        <v>0</v>
      </c>
      <c r="AA73" s="11" t="s">
        <v>534</v>
      </c>
      <c r="AB73" s="11" t="s">
        <v>535</v>
      </c>
      <c r="AC73" s="11" t="s">
        <v>536</v>
      </c>
      <c r="AD73" s="403">
        <v>6</v>
      </c>
      <c r="AE73" s="403">
        <v>0</v>
      </c>
      <c r="AF73" s="11">
        <f>VLOOKUP(K73,'1197 Salud'!$K$13:$AK$54,22,0)</f>
        <v>2</v>
      </c>
      <c r="AG73" s="11">
        <f>VLOOKUP(K73,'1197 Salud'!$K$13:$AK$54,23,0)</f>
        <v>0</v>
      </c>
      <c r="AH73" s="11">
        <f t="shared" si="87"/>
        <v>2</v>
      </c>
      <c r="AI73" s="11" t="str">
        <f>VLOOKUP(K73,'1197 Salud'!$K$13:$AK$54,25,0)</f>
        <v>ESEs acreditadas como IAMII</v>
      </c>
      <c r="AJ73" s="11" t="str">
        <f>VLOOKUP(K73,'1197 Salud'!$K$13:$AK$54,26,0)</f>
        <v>La estrategia se ha trabajado en 10 ESES priorizadas,  por su nivel de avance en la implementación de la Estrategia, han  logrado  obtener su certificación 6 ESES Arbelaez, Caqueza, El colegio, Choconta, La mesa, Fusagasuga.
6492 gestantes depuradas, con malnutrición y que se han subido con seguimiento al link, de las cuales 4634 tuvieron cita de nutrición</v>
      </c>
      <c r="AK73" s="11" t="str">
        <f>VLOOKUP(K73,'1197 Salud'!$K$13:$AK$54,27,0)</f>
        <v>La acreditación requiere el cumplimiento de fases, de un proceso que se da a lo largo del año. Los tiempos no se han cumplido y estamos atrasados frente a la planeación para lograr ceremonias de acreditación en el  mes de diciembre 2021. Por otro lado, se requiere del compromiso de las ESES, compromiso gerencial y un equipo fortalecido que se encargue de la implementación en la Institución</v>
      </c>
      <c r="AL73" s="11">
        <v>4</v>
      </c>
      <c r="AM73" s="11">
        <v>0</v>
      </c>
      <c r="AN73" s="11">
        <v>4</v>
      </c>
      <c r="AO73" s="11">
        <v>0</v>
      </c>
      <c r="AP73" s="11">
        <v>0</v>
      </c>
      <c r="AQ73" s="11">
        <v>0</v>
      </c>
      <c r="AR73" s="51">
        <v>639031240</v>
      </c>
      <c r="AS73" s="54">
        <v>0</v>
      </c>
      <c r="AT73" s="54">
        <f t="shared" si="0"/>
        <v>639031240</v>
      </c>
      <c r="AU73" s="51">
        <v>637760036</v>
      </c>
      <c r="AV73" s="243">
        <v>705897143</v>
      </c>
      <c r="AW73" s="244"/>
      <c r="AX73" s="244"/>
      <c r="AY73" s="243">
        <v>701897143</v>
      </c>
      <c r="AZ73" s="44">
        <f t="shared" si="88"/>
        <v>0.14285714285714285</v>
      </c>
      <c r="BA73" s="44">
        <v>7.1400000000000005E-2</v>
      </c>
      <c r="BB73" s="44">
        <v>0</v>
      </c>
      <c r="BC73" s="44">
        <f t="shared" si="89"/>
        <v>0.42857142857142855</v>
      </c>
      <c r="BD73" s="44" cm="1">
        <f t="array" ref="BD73">_xlfn.IFS(AD73=0,"NA",AD73&gt;0,AH73/AD73)</f>
        <v>0.33333333333333331</v>
      </c>
      <c r="BE73" s="44">
        <f t="shared" si="90"/>
        <v>0.2857142857142857</v>
      </c>
      <c r="BF73" s="44">
        <v>0</v>
      </c>
      <c r="BG73" s="44">
        <f t="shared" si="91"/>
        <v>0.2857142857142857</v>
      </c>
      <c r="BH73" s="44">
        <v>0</v>
      </c>
      <c r="BI73" s="44">
        <f t="shared" si="92"/>
        <v>0</v>
      </c>
      <c r="BJ73" s="44" t="s">
        <v>115</v>
      </c>
      <c r="BK73" s="44">
        <f t="shared" si="1"/>
        <v>0.14285714285714285</v>
      </c>
      <c r="BL73" s="44">
        <v>0</v>
      </c>
      <c r="BM73" s="44" cm="1">
        <f t="array" ref="BM73">_xlfn.IFS(BD73="NA","NA",BD73&gt;100%,"100%",BD73&lt;100,BD73)</f>
        <v>0.33333333333333331</v>
      </c>
      <c r="BN73" s="44" cm="1">
        <f t="array" ref="BN73">_xlfn.IFS(BF73="NA","NA",BF73&gt;100%,"100%",BF73&lt;100,BF73)</f>
        <v>0</v>
      </c>
      <c r="BO73" s="44" cm="1">
        <f t="array" ref="BO73">_xlfn.IFS(BH73="NA","NA",BH73&gt;100%,"100%",BH73&lt;100,BH73)</f>
        <v>0</v>
      </c>
      <c r="BP73" s="44" t="str" cm="1">
        <f t="array" ref="BP73">_xlfn.IFS(BJ73="NA","NA",BJ73&gt;100%,"100%",BJ73&lt;100,BJ73)</f>
        <v>NA</v>
      </c>
      <c r="BQ73" s="45">
        <v>0.22500000000000001</v>
      </c>
      <c r="BR73" s="45">
        <f t="shared" si="2"/>
        <v>3.214285714285714E-2</v>
      </c>
      <c r="BS73" s="45">
        <v>1.61E-2</v>
      </c>
      <c r="BT73" s="45">
        <v>0</v>
      </c>
      <c r="BU73" s="45">
        <v>0</v>
      </c>
      <c r="BV73" s="45">
        <f t="shared" si="93"/>
        <v>9.6428571428571433E-2</v>
      </c>
      <c r="BW73" s="45">
        <f t="shared" si="94"/>
        <v>3.214285714285714E-2</v>
      </c>
      <c r="BX73" s="45">
        <f t="shared" si="95"/>
        <v>3.214285714285714E-2</v>
      </c>
      <c r="BY73" s="45">
        <f t="shared" si="96"/>
        <v>6.4285714285714293E-2</v>
      </c>
      <c r="BZ73" s="45">
        <f t="shared" si="97"/>
        <v>0</v>
      </c>
      <c r="CA73" s="45">
        <f t="shared" si="98"/>
        <v>0</v>
      </c>
      <c r="CB73" s="45">
        <f t="shared" si="99"/>
        <v>6.4285714285714293E-2</v>
      </c>
      <c r="CC73" s="45">
        <f t="shared" si="100"/>
        <v>0</v>
      </c>
      <c r="CD73" s="45">
        <v>0</v>
      </c>
      <c r="CE73" s="45">
        <f t="shared" si="101"/>
        <v>0</v>
      </c>
      <c r="CF73" s="45" t="str">
        <f t="shared" si="102"/>
        <v>NA</v>
      </c>
      <c r="CG73" s="45">
        <v>0</v>
      </c>
      <c r="CH73" s="244"/>
      <c r="CI73" s="244"/>
      <c r="CJ73" s="244"/>
      <c r="CK73" s="244"/>
      <c r="CM73" s="63">
        <v>0</v>
      </c>
    </row>
    <row r="74" spans="1:91" ht="18" hidden="1" customHeight="1">
      <c r="A74" s="260" t="s">
        <v>98</v>
      </c>
      <c r="B74" s="260" t="s">
        <v>99</v>
      </c>
      <c r="C74" s="260" t="s">
        <v>100</v>
      </c>
      <c r="D74" s="260" t="s">
        <v>508</v>
      </c>
      <c r="E74" s="260" t="s">
        <v>509</v>
      </c>
      <c r="F74" s="260" t="s">
        <v>537</v>
      </c>
      <c r="G74" s="260" t="s">
        <v>538</v>
      </c>
      <c r="H74" s="260" t="s">
        <v>539</v>
      </c>
      <c r="I74" s="260"/>
      <c r="J74" s="260" t="s">
        <v>531</v>
      </c>
      <c r="K74" s="260" t="s">
        <v>540</v>
      </c>
      <c r="L74" s="260" t="s">
        <v>541</v>
      </c>
      <c r="M74" s="260" t="s">
        <v>542</v>
      </c>
      <c r="N74" s="260" t="s">
        <v>111</v>
      </c>
      <c r="O74" s="260" t="s">
        <v>112</v>
      </c>
      <c r="P74" s="10">
        <v>0</v>
      </c>
      <c r="Q74" s="11">
        <v>60</v>
      </c>
      <c r="R74" s="11">
        <f t="shared" si="86"/>
        <v>0</v>
      </c>
      <c r="S74" s="11" t="str">
        <f>VLOOKUP(K74,'1197 Salud'!$K$13:$AK$54,9,0)</f>
        <v>Elaboración de lineamientos Departamentales para la implementación de la estrategia Tiendas Escolares Saludables. Se contacta a los rectores de las Instituciones Educativas en donde se proyecta la implementación de la estrategia en el año 2021. Participación en el Comité PAE. Se inicia proceso de asistencia técnica dirigido a rectores y alcaldias municipales priorizados. Se realizan reuniones con Secretaria de Educación e INDEPORTES a fin de articular acciones de la estrategia. Socialización de los lineamientos Departamentales, coordinación con IED para dar inicio a la ejecución de las fases para la implementación de la Estrategia.</v>
      </c>
      <c r="T74" s="11">
        <v>10</v>
      </c>
      <c r="U74" s="11">
        <v>0</v>
      </c>
      <c r="V74" s="11">
        <v>10</v>
      </c>
      <c r="W74" s="11">
        <v>0</v>
      </c>
      <c r="X74" s="11">
        <v>0</v>
      </c>
      <c r="Y74" s="11">
        <v>0</v>
      </c>
      <c r="Z74" s="11">
        <v>0</v>
      </c>
      <c r="AA74" s="11" t="s">
        <v>542</v>
      </c>
      <c r="AB74" s="11" t="s">
        <v>543</v>
      </c>
      <c r="AC74" s="11" t="s">
        <v>544</v>
      </c>
      <c r="AD74" s="403">
        <v>30</v>
      </c>
      <c r="AE74" s="403">
        <v>0</v>
      </c>
      <c r="AF74" s="11">
        <f>VLOOKUP(K74,'1197 Salud'!$K$13:$AK$54,22,0)</f>
        <v>0</v>
      </c>
      <c r="AG74" s="11">
        <f>VLOOKUP(K74,'1197 Salud'!$K$13:$AK$54,23,0)</f>
        <v>0</v>
      </c>
      <c r="AH74" s="11">
        <f t="shared" si="87"/>
        <v>0</v>
      </c>
      <c r="AI74" s="11" t="str">
        <f>VLOOKUP(K74,'1197 Salud'!$K$13:$AK$54,25,0)</f>
        <v>IED con estrategia implementada</v>
      </c>
      <c r="AJ74" s="11" t="str">
        <f>VLOOKUP(K74,'1197 Salud'!$K$13:$AK$54,26,0)</f>
        <v>Acercamiento con las IED, y las Alcaldias municipales de los municipios priorizados, reuniones de articulación con Secretaria de Educación Departamental e INDEPORTES a fin de generar acciones articuladas frente a la estrategia de tiendas escolares saludables.  Ajuste del documento lineamiento técnico Departamental "Implementación de la estrategia tiendas escolares" . Socialización del lineamiento ajustado a las 30 IED y municipios priorizados. Asistencia técnica y seguimiento para el inicio de la ejecución de las fases de implementación de la estrategia. Acompañamiento a las IED en cuanto a conformación y funcionamiento de comités, Sensibilización a actoes de la comunidad educativa, Caracterización de las IED, Grupos focales y encuesta de frecuencia de consumo de alimentos</v>
      </c>
      <c r="AK74" s="11" t="str">
        <f>VLOOKUP(K74,'1197 Salud'!$K$13:$AK$54,27,0)</f>
        <v xml:space="preserve">Debido a la contigencia por COVID 19 las IED continuan funcionando de manera virtual y las tiendas escolares están cerradas lo cual limita el cumplimiento de la implementación de la estrategia, lo que nos llevo a ajustar los lineamientos Departamentales. No ha sido posible la articulación con Secretaria de Agricultura </v>
      </c>
      <c r="AL74" s="11">
        <v>15</v>
      </c>
      <c r="AM74" s="11">
        <v>0</v>
      </c>
      <c r="AN74" s="11">
        <v>15</v>
      </c>
      <c r="AO74" s="11">
        <v>0</v>
      </c>
      <c r="AP74" s="11">
        <v>0</v>
      </c>
      <c r="AQ74" s="11">
        <v>0</v>
      </c>
      <c r="AR74" s="51">
        <v>21112920</v>
      </c>
      <c r="AS74" s="54">
        <v>0</v>
      </c>
      <c r="AT74" s="54">
        <f t="shared" si="0"/>
        <v>21112920</v>
      </c>
      <c r="AU74" s="51">
        <v>17066277</v>
      </c>
      <c r="AV74" s="243">
        <v>365238923</v>
      </c>
      <c r="AW74" s="244"/>
      <c r="AX74" s="244"/>
      <c r="AY74" s="243">
        <v>361596944</v>
      </c>
      <c r="AZ74" s="44">
        <f t="shared" si="88"/>
        <v>0</v>
      </c>
      <c r="BA74" s="44">
        <v>0.16669999999999999</v>
      </c>
      <c r="BB74" s="44">
        <v>0</v>
      </c>
      <c r="BC74" s="44">
        <f t="shared" si="89"/>
        <v>0.5</v>
      </c>
      <c r="BD74" s="44" cm="1">
        <f t="array" ref="BD74">_xlfn.IFS(AD74=0,"NA",AD74&gt;0,AH74/AD74)</f>
        <v>0</v>
      </c>
      <c r="BE74" s="44">
        <f t="shared" si="90"/>
        <v>0.25</v>
      </c>
      <c r="BF74" s="44">
        <v>0</v>
      </c>
      <c r="BG74" s="44">
        <f t="shared" si="91"/>
        <v>0.25</v>
      </c>
      <c r="BH74" s="44">
        <v>0</v>
      </c>
      <c r="BI74" s="44">
        <f t="shared" si="92"/>
        <v>0</v>
      </c>
      <c r="BJ74" s="44" t="s">
        <v>115</v>
      </c>
      <c r="BK74" s="44">
        <f t="shared" si="1"/>
        <v>0</v>
      </c>
      <c r="BL74" s="44">
        <v>0</v>
      </c>
      <c r="BM74" s="44" cm="1">
        <f t="array" ref="BM74">_xlfn.IFS(BD74="NA","NA",BD74&gt;100%,"100%",BD74&lt;100,BD74)</f>
        <v>0</v>
      </c>
      <c r="BN74" s="44" cm="1">
        <f t="array" ref="BN74">_xlfn.IFS(BF74="NA","NA",BF74&gt;100%,"100%",BF74&lt;100,BF74)</f>
        <v>0</v>
      </c>
      <c r="BO74" s="44" cm="1">
        <f t="array" ref="BO74">_xlfn.IFS(BH74="NA","NA",BH74&gt;100%,"100%",BH74&lt;100,BH74)</f>
        <v>0</v>
      </c>
      <c r="BP74" s="44" t="str" cm="1">
        <f t="array" ref="BP74">_xlfn.IFS(BJ74="NA","NA",BJ74&gt;100%,"100%",BJ74&lt;100,BJ74)</f>
        <v>NA</v>
      </c>
      <c r="BQ74" s="45">
        <v>0.22500000000000001</v>
      </c>
      <c r="BR74" s="45">
        <f t="shared" si="2"/>
        <v>0</v>
      </c>
      <c r="BS74" s="45">
        <v>3.7499999999999999E-2</v>
      </c>
      <c r="BT74" s="45">
        <v>0</v>
      </c>
      <c r="BU74" s="45">
        <v>0</v>
      </c>
      <c r="BV74" s="45">
        <f t="shared" si="93"/>
        <v>0.1125</v>
      </c>
      <c r="BW74" s="45">
        <f t="shared" si="94"/>
        <v>0</v>
      </c>
      <c r="BX74" s="45">
        <f t="shared" si="95"/>
        <v>0</v>
      </c>
      <c r="BY74" s="45">
        <f t="shared" si="96"/>
        <v>5.6250000000000001E-2</v>
      </c>
      <c r="BZ74" s="45">
        <f t="shared" si="97"/>
        <v>0</v>
      </c>
      <c r="CA74" s="45">
        <f t="shared" si="98"/>
        <v>0</v>
      </c>
      <c r="CB74" s="45">
        <f t="shared" si="99"/>
        <v>5.6250000000000001E-2</v>
      </c>
      <c r="CC74" s="45">
        <f t="shared" si="100"/>
        <v>0</v>
      </c>
      <c r="CD74" s="45">
        <v>0</v>
      </c>
      <c r="CE74" s="45">
        <f t="shared" si="101"/>
        <v>0</v>
      </c>
      <c r="CF74" s="45" t="str">
        <f t="shared" si="102"/>
        <v>NA</v>
      </c>
      <c r="CG74" s="45">
        <v>0</v>
      </c>
      <c r="CH74" s="244"/>
      <c r="CI74" s="244"/>
      <c r="CJ74" s="244"/>
      <c r="CK74" s="244"/>
      <c r="CM74" s="63">
        <v>0</v>
      </c>
    </row>
    <row r="75" spans="1:91" ht="18" hidden="1" customHeight="1">
      <c r="A75" s="260" t="s">
        <v>98</v>
      </c>
      <c r="B75" s="260" t="s">
        <v>99</v>
      </c>
      <c r="C75" s="260" t="s">
        <v>100</v>
      </c>
      <c r="D75" s="260" t="s">
        <v>508</v>
      </c>
      <c r="E75" s="260" t="s">
        <v>509</v>
      </c>
      <c r="F75" s="260" t="s">
        <v>537</v>
      </c>
      <c r="G75" s="260" t="s">
        <v>538</v>
      </c>
      <c r="H75" s="260" t="s">
        <v>545</v>
      </c>
      <c r="I75" s="260"/>
      <c r="J75" s="12" t="s">
        <v>546</v>
      </c>
      <c r="K75" s="260" t="s">
        <v>547</v>
      </c>
      <c r="L75" s="260" t="s">
        <v>548</v>
      </c>
      <c r="M75" s="260" t="s">
        <v>549</v>
      </c>
      <c r="N75" s="260" t="s">
        <v>111</v>
      </c>
      <c r="O75" s="260" t="s">
        <v>112</v>
      </c>
      <c r="P75" s="10">
        <v>85</v>
      </c>
      <c r="Q75" s="11">
        <v>80</v>
      </c>
      <c r="R75" s="11">
        <f t="shared" si="86"/>
        <v>41</v>
      </c>
      <c r="S75" s="11" t="str">
        <f>VLOOKUP(K75,'1197 Salud'!$K$13:$AK$54,9,0)</f>
        <v>Se realizaron planes de acción intersectorial con las instituciones educativas de Susa 2 (I.E.D ​​Tisquesusa y Nuestra Señora del Carmen), Guachetá 3 (​I.E.D Niña, Ticha, Nuestra Señora del Transito), Lenguazaque 1. (I.E.D Nuestra Señora del Carmen), Ubaté 5 (I.E.D Santa María, El Volcán, Bruselas, Normal Superior, Bolivar), Paratebueno 3 (​I.E.D Josué Manrique, Agrícola, Santa Cecilia), Cucunuba 1 (I.E.D ​Divino Salvador), Cáqueza 3 (​I.E.D Girón de blancos, Rionegro sur, Urbana), Utica 2  (I.E.D Manuel Murillo Toro,​ I.E.D Gonzalo Jiménez de Quesada​), Sasaima 2 (I.E.D Nuestra Señora de Fátima y San Nicolas), Pacho 3 (I.E.D PIOXII, Aquileo Parra, técnico agrícola), Villeta 2 (I.E.D Cune y Promoción Social),​ Gacheta 2 (I.E.D Piloto y Abdón López), Guatavita 1 (​I.E.D José Gregorio Salas), San Juan de Rioseco 1 (I.E.D San Juan de Rioseco), La Calera 2 (​I.E.D Aurora, Salitre y Mundo Nuevo), Alban 1 (I.E.D Chimbe)
Y además se organizaron el día del cepillado en las instituciones de los municipios de Cucunuba 1 (Divino Salvador), Guachetá 4 (El Transito, Niña, Ticha, El Carmen), Lenguazaque 1 (El Carmen), Susa 1 (Tisquesusa), Ubaté 4 (Bruselas, Volcán , Normal superior, Santa María), Paratebueno 1 (Josué Manrique), Bojacá 1 (Barroblanco), Suesca 3 (I.ED Garcilasgo, San Juan apóstol, Gonzalo Jiménez de Quesada), Puerto Salgar 1 (I.ED departamental), El Colegio 1 (I.E.D El Triunfo), Funza 1 (I-E.D Bicentenario), Sopo 2 (Pablo sexto, La Victoria), Anolaima 1 (I:E:D La florida), Silvania 3 (Agua Bonita, Santa Inés y Subía), Sibaté 1 (Pablo Neruda), Nilo 3 (Oreste Sindice, Pueblo Nuevo, La esmeralda) y Ricaurte 1 (Antonio Ricaurte</v>
      </c>
      <c r="T75" s="11">
        <v>5</v>
      </c>
      <c r="U75" s="11">
        <v>0</v>
      </c>
      <c r="V75" s="11">
        <v>5</v>
      </c>
      <c r="W75" s="11">
        <v>0</v>
      </c>
      <c r="X75" s="11">
        <v>11</v>
      </c>
      <c r="Y75" s="11">
        <v>0</v>
      </c>
      <c r="Z75" s="11">
        <v>11</v>
      </c>
      <c r="AA75" s="11" t="s">
        <v>549</v>
      </c>
      <c r="AB75" s="11" t="s">
        <v>550</v>
      </c>
      <c r="AC75" s="11" t="s">
        <v>551</v>
      </c>
      <c r="AD75" s="403">
        <v>30</v>
      </c>
      <c r="AE75" s="403">
        <v>0</v>
      </c>
      <c r="AF75" s="11">
        <f>VLOOKUP(K75,'1197 Salud'!$K$13:$AK$54,22,0)</f>
        <v>30</v>
      </c>
      <c r="AG75" s="11">
        <f>VLOOKUP(K75,'1197 Salud'!$K$13:$AK$54,23,0)</f>
        <v>0</v>
      </c>
      <c r="AH75" s="11">
        <f t="shared" si="87"/>
        <v>30</v>
      </c>
      <c r="AI75" s="11" t="str">
        <f>VLOOKUP(K75,'1197 Salud'!$K$13:$AK$54,25,0)</f>
        <v>Instituciones educativas con planes de acción implementados</v>
      </c>
      <c r="AJ75" s="11" t="str">
        <f>VLOOKUP(K75,'1197 Salud'!$K$13:$AK$54,26,0)</f>
        <v>Se logra organizar con las instituciones educativas el día del cepillado como parte de las acciones intersectoriales de gestión de la salud pública en las instituciones de los municipios de Cucunuba 1 (divino salvador), Guachetá 4 (El transito, Niña, Ticha, El Carmen), Lenguazaque 1 (El Carmen), Susa 1 (Tisquesusa), Ubaté 4 (Bruselas, Volcán , Normal superior, Santa María), Paratebueno 1 (Josué Manrique), Bojacá 1 (Barroblanco), Suesca 3 (I.ED Garcilasgo, San Juan apóstol, Gonzalo Jiménez de Quesada), Puerto Salgar 1  (I.ED departamental), El Colegio 1 (I.E.D El Triunfo), Funza 1 (I-E.D Bicentenario), Sopo 2 (Pablo sexto, La Victoria), Anolaima 1 (I:E:D La florida), Silvania 3 (Agua Bonita, Santa Inés y Subía), Sibaté 1 (Pablo Neruda), Nilo 3 (Oreste Sindice, Pueblo Nuevo, La esmeralda) y Ricaurte 1 (Antonio Ricaurte).</v>
      </c>
      <c r="AK75" s="11" t="str">
        <f>VLOOKUP(K75,'1197 Salud'!$K$13:$AK$54,27,0)</f>
        <v>N/A</v>
      </c>
      <c r="AL75" s="11">
        <v>30</v>
      </c>
      <c r="AM75" s="11">
        <v>0</v>
      </c>
      <c r="AN75" s="11">
        <v>15</v>
      </c>
      <c r="AO75" s="11">
        <v>0</v>
      </c>
      <c r="AP75" s="11">
        <v>0</v>
      </c>
      <c r="AQ75" s="11">
        <v>0</v>
      </c>
      <c r="AR75" s="51">
        <v>243700000</v>
      </c>
      <c r="AS75" s="54">
        <v>0</v>
      </c>
      <c r="AT75" s="54">
        <f t="shared" si="0"/>
        <v>243700000</v>
      </c>
      <c r="AU75" s="51">
        <v>216740142</v>
      </c>
      <c r="AV75" s="243">
        <v>496234540</v>
      </c>
      <c r="AW75" s="244"/>
      <c r="AX75" s="244"/>
      <c r="AY75" s="243">
        <v>46930671</v>
      </c>
      <c r="AZ75" s="44">
        <f t="shared" si="88"/>
        <v>0.51249999999999996</v>
      </c>
      <c r="BA75" s="44">
        <v>6.25E-2</v>
      </c>
      <c r="BB75" s="44">
        <v>2.2000000000000002</v>
      </c>
      <c r="BC75" s="44">
        <f t="shared" si="89"/>
        <v>0.375</v>
      </c>
      <c r="BD75" s="44" cm="1">
        <f t="array" ref="BD75">_xlfn.IFS(AD75=0,"NA",AD75&gt;0,AH75/AD75)</f>
        <v>1</v>
      </c>
      <c r="BE75" s="44">
        <f t="shared" si="90"/>
        <v>0.375</v>
      </c>
      <c r="BF75" s="44">
        <v>0</v>
      </c>
      <c r="BG75" s="44">
        <f t="shared" si="91"/>
        <v>0.1875</v>
      </c>
      <c r="BH75" s="44">
        <v>0</v>
      </c>
      <c r="BI75" s="44">
        <f t="shared" si="92"/>
        <v>0</v>
      </c>
      <c r="BJ75" s="44" t="s">
        <v>115</v>
      </c>
      <c r="BK75" s="44">
        <f t="shared" si="1"/>
        <v>0.51249999999999996</v>
      </c>
      <c r="BL75" s="44">
        <v>1</v>
      </c>
      <c r="BM75" s="44" cm="1">
        <f t="array" ref="BM75">_xlfn.IFS(BD75="NA","NA",BD75&gt;100%,"100%",BD75&lt;100,BD75)</f>
        <v>1</v>
      </c>
      <c r="BN75" s="44" cm="1">
        <f t="array" ref="BN75">_xlfn.IFS(BF75="NA","NA",BF75&gt;100%,"100%",BF75&lt;100,BF75)</f>
        <v>0</v>
      </c>
      <c r="BO75" s="44" cm="1">
        <f t="array" ref="BO75">_xlfn.IFS(BH75="NA","NA",BH75&gt;100%,"100%",BH75&lt;100,BH75)</f>
        <v>0</v>
      </c>
      <c r="BP75" s="44" t="str" cm="1">
        <f t="array" ref="BP75">_xlfn.IFS(BJ75="NA","NA",BJ75&gt;100%,"100%",BJ75&lt;100,BJ75)</f>
        <v>NA</v>
      </c>
      <c r="BQ75" s="45">
        <v>0.22500000000000001</v>
      </c>
      <c r="BR75" s="45">
        <f t="shared" si="2"/>
        <v>0.1153125</v>
      </c>
      <c r="BS75" s="45">
        <v>1.41E-2</v>
      </c>
      <c r="BT75" s="45">
        <v>1.41E-2</v>
      </c>
      <c r="BU75" s="45">
        <v>3.09E-2</v>
      </c>
      <c r="BV75" s="45">
        <f t="shared" si="93"/>
        <v>8.4375000000000006E-2</v>
      </c>
      <c r="BW75" s="45">
        <f t="shared" si="94"/>
        <v>8.4375000000000006E-2</v>
      </c>
      <c r="BX75" s="45">
        <f t="shared" si="95"/>
        <v>8.4412500000000001E-2</v>
      </c>
      <c r="BY75" s="45">
        <f t="shared" si="96"/>
        <v>8.4375000000000006E-2</v>
      </c>
      <c r="BZ75" s="45">
        <f t="shared" si="97"/>
        <v>0</v>
      </c>
      <c r="CA75" s="45">
        <f t="shared" si="98"/>
        <v>0</v>
      </c>
      <c r="CB75" s="45">
        <f t="shared" si="99"/>
        <v>4.2187500000000003E-2</v>
      </c>
      <c r="CC75" s="45">
        <f t="shared" si="100"/>
        <v>0</v>
      </c>
      <c r="CD75" s="45">
        <v>0</v>
      </c>
      <c r="CE75" s="45">
        <f t="shared" si="101"/>
        <v>0</v>
      </c>
      <c r="CF75" s="45" t="str">
        <f t="shared" si="102"/>
        <v>NA</v>
      </c>
      <c r="CG75" s="45">
        <v>0</v>
      </c>
      <c r="CH75" s="244"/>
      <c r="CI75" s="244"/>
      <c r="CJ75" s="244"/>
      <c r="CK75" s="244"/>
      <c r="CM75" s="63">
        <v>40</v>
      </c>
    </row>
    <row r="76" spans="1:91" ht="18" hidden="1" customHeight="1">
      <c r="A76" s="260" t="s">
        <v>98</v>
      </c>
      <c r="B76" s="260" t="s">
        <v>99</v>
      </c>
      <c r="C76" s="260" t="s">
        <v>100</v>
      </c>
      <c r="D76" s="260" t="s">
        <v>508</v>
      </c>
      <c r="E76" s="260" t="s">
        <v>509</v>
      </c>
      <c r="F76" s="260" t="s">
        <v>552</v>
      </c>
      <c r="G76" s="260" t="s">
        <v>553</v>
      </c>
      <c r="H76" s="260" t="s">
        <v>554</v>
      </c>
      <c r="I76" s="260"/>
      <c r="J76" s="260" t="s">
        <v>531</v>
      </c>
      <c r="K76" s="260" t="s">
        <v>555</v>
      </c>
      <c r="L76" s="260" t="s">
        <v>556</v>
      </c>
      <c r="M76" s="260" t="s">
        <v>557</v>
      </c>
      <c r="N76" s="260" t="s">
        <v>123</v>
      </c>
      <c r="O76" s="260" t="s">
        <v>124</v>
      </c>
      <c r="P76" s="10">
        <v>0</v>
      </c>
      <c r="Q76" s="11">
        <v>100</v>
      </c>
      <c r="R76" s="11">
        <f>(Z76+AH76)/CL76</f>
        <v>25.324999999999999</v>
      </c>
      <c r="S76" s="11" t="str">
        <f>VLOOKUP(K76,'1197 Salud'!$K$13:$AK$54,9,0)</f>
        <v>Se logra consolidar la Mesa Departamental de seguimiento a la malnutrición de la gestante y el niño pequeño, intersectorial e interinstitucional. Se consolida el seguimiento semanal municipal a las gestantes con malnutrición y la gestión con las EAPB para la atención oportuna. Se consolida la mesa Departamental de trabajo con las EAPB para el seguimiento a la malnutrición</v>
      </c>
      <c r="T76" s="11">
        <v>0</v>
      </c>
      <c r="U76" s="11">
        <v>100</v>
      </c>
      <c r="V76" s="11">
        <v>0</v>
      </c>
      <c r="W76" s="11">
        <v>100</v>
      </c>
      <c r="X76" s="11" t="s">
        <v>115</v>
      </c>
      <c r="Y76" s="11">
        <v>30</v>
      </c>
      <c r="Z76" s="11">
        <v>30</v>
      </c>
      <c r="AA76" s="11" t="s">
        <v>558</v>
      </c>
      <c r="AB76" s="11" t="s">
        <v>559</v>
      </c>
      <c r="AC76" s="11" t="s">
        <v>560</v>
      </c>
      <c r="AD76" s="403">
        <v>0</v>
      </c>
      <c r="AE76" s="403">
        <v>100</v>
      </c>
      <c r="AF76" s="11">
        <f>VLOOKUP(K76,'1197 Salud'!$K$13:$AK$54,22,0)</f>
        <v>0</v>
      </c>
      <c r="AG76" s="11">
        <f>VLOOKUP(K76,'1197 Salud'!$K$13:$AK$54,23,0)</f>
        <v>71.3</v>
      </c>
      <c r="AH76" s="11">
        <f>AG76</f>
        <v>71.3</v>
      </c>
      <c r="AI76" s="11" t="str">
        <f>VLOOKUP(K76,'1197 Salud'!$K$13:$AK$54,25,0)</f>
        <v>Gestantes identificadas con malnutrición con garantia de valoración nutricional por parte del asegurador</v>
      </c>
      <c r="AJ76" s="11" t="str">
        <f>VLOOKUP(K76,'1197 Salud'!$K$13:$AK$54,26,0)</f>
        <v>Se logra consolidar la Mesa Departamental de seguimiento a la malnutrición de la gestante y el niño pequeño, intersectorial e interinstitucional. 
Se consolida el seguimiento semanal municipal a las gestantes con malnutrición y la gestión con las EAPB para la atención oportuna. 
Se consolida la mesa Departamental de trabajo con las EAPB para el seguimiento a la malnutrición</v>
      </c>
      <c r="AK76" s="11" t="str">
        <f>VLOOKUP(K76,'1197 Salud'!$K$13:$AK$54,27,0)</f>
        <v>Inoportunidad en la entrega de los seguimientos por parte de los municipios y de las EAPBS con el fin de verificar el cumplimiento frente a la valoración nutricional en las gestantes. Inasistencia a las reuniones Departamentales por parte de CONVIDA y Famisanar que son las EAPB con mayor cobertura en el Departamento.</v>
      </c>
      <c r="AL76" s="11">
        <v>0</v>
      </c>
      <c r="AM76" s="11">
        <v>100</v>
      </c>
      <c r="AN76" s="11">
        <v>0</v>
      </c>
      <c r="AO76" s="11">
        <v>100</v>
      </c>
      <c r="AP76" s="11">
        <v>0</v>
      </c>
      <c r="AQ76" s="11">
        <v>0</v>
      </c>
      <c r="AR76" s="51">
        <v>26971392</v>
      </c>
      <c r="AS76" s="54">
        <v>0</v>
      </c>
      <c r="AT76" s="54">
        <f t="shared" ref="AT76:AT139" si="103">AR76+AS76</f>
        <v>26971392</v>
      </c>
      <c r="AU76" s="51">
        <v>0</v>
      </c>
      <c r="AV76" s="243">
        <v>462970392</v>
      </c>
      <c r="AW76" s="244"/>
      <c r="AX76" s="244"/>
      <c r="AY76" s="243">
        <v>447264980</v>
      </c>
      <c r="AZ76" s="44" cm="1">
        <f t="array" ref="AZ76">_xlfn.IFS((BA76=0),(BD76/CL76),(BA76&gt;0),((BB76+BD76)/CL76),(BE76&gt;0),((BB76+BD76+BE76)/CL76),(BG76&gt;0),((BB76+BD76+BE76+G76)/CL76))</f>
        <v>0.25324999999999998</v>
      </c>
      <c r="BA76" s="44">
        <v>0.25</v>
      </c>
      <c r="BB76" s="44">
        <v>0.3</v>
      </c>
      <c r="BC76" s="44">
        <f>IF(AE76&gt;0,(1/CL76),0)</f>
        <v>0.25</v>
      </c>
      <c r="BD76" s="44" cm="1">
        <f t="array" ref="BD76">_xlfn.IFS(AE76=0,"NA",AE76&gt;0,AH76/AE76)</f>
        <v>0.71299999999999997</v>
      </c>
      <c r="BE76" s="44">
        <f>IF(AM76&gt;0,(1/CL76),0)</f>
        <v>0.25</v>
      </c>
      <c r="BF76" s="44">
        <v>0</v>
      </c>
      <c r="BG76" s="44">
        <f>IF(AO76&gt;0,(1/CL76),0)</f>
        <v>0.25</v>
      </c>
      <c r="BH76" s="44">
        <v>0</v>
      </c>
      <c r="BI76" s="44">
        <v>0</v>
      </c>
      <c r="BJ76" s="44" t="s">
        <v>115</v>
      </c>
      <c r="BK76" s="44">
        <f t="shared" ref="BK76:BK139" si="104">IF(AZ76&gt;100%,"100%",AZ76)</f>
        <v>0.25324999999999998</v>
      </c>
      <c r="BL76" s="44">
        <v>0.3</v>
      </c>
      <c r="BM76" s="44" cm="1">
        <f t="array" ref="BM76">_xlfn.IFS(BD76="NA","NA",BD76&gt;100%,"100%",BD76&lt;100,BD76)</f>
        <v>0.71299999999999997</v>
      </c>
      <c r="BN76" s="44">
        <v>0</v>
      </c>
      <c r="BO76" s="44">
        <v>0</v>
      </c>
      <c r="BP76" s="44" t="s">
        <v>115</v>
      </c>
      <c r="BQ76" s="45">
        <v>0.22500000000000001</v>
      </c>
      <c r="BR76" s="45">
        <f t="shared" ref="BR76:BR139" si="105">BQ76*BK76</f>
        <v>5.6981249999999997E-2</v>
      </c>
      <c r="BS76" s="45">
        <v>5.6300000000000003E-2</v>
      </c>
      <c r="BT76" s="45">
        <v>1.6899999999999998E-2</v>
      </c>
      <c r="BU76" s="45">
        <v>1.6899999999999998E-2</v>
      </c>
      <c r="BV76" s="45">
        <v>5.6300000000000003E-2</v>
      </c>
      <c r="BW76" s="45">
        <f t="shared" si="94"/>
        <v>4.0141900000000001E-2</v>
      </c>
      <c r="BX76" s="45">
        <f t="shared" si="95"/>
        <v>4.0081249999999999E-2</v>
      </c>
      <c r="BY76" s="45">
        <v>5.6300000000000003E-2</v>
      </c>
      <c r="BZ76" s="45">
        <v>0</v>
      </c>
      <c r="CA76" s="45">
        <f t="shared" ref="CA76:CA139" si="106">BR76-BU76-BX76</f>
        <v>0</v>
      </c>
      <c r="CB76" s="45">
        <v>5.6300000000000003E-2</v>
      </c>
      <c r="CC76" s="45">
        <v>0</v>
      </c>
      <c r="CD76" s="45">
        <v>0</v>
      </c>
      <c r="CE76" s="45">
        <v>0</v>
      </c>
      <c r="CF76" s="45" t="s">
        <v>115</v>
      </c>
      <c r="CG76" s="45">
        <v>0</v>
      </c>
      <c r="CH76" s="244">
        <f>IF(W76&gt;0,1,0)</f>
        <v>1</v>
      </c>
      <c r="CI76" s="244">
        <f>IF(AE76&gt;0,1,0)</f>
        <v>1</v>
      </c>
      <c r="CJ76" s="244">
        <f>IF(AM76&gt;0,1,0)</f>
        <v>1</v>
      </c>
      <c r="CK76" s="244">
        <f>IF(AO76&gt;0,1,0)</f>
        <v>1</v>
      </c>
      <c r="CL76">
        <f>CH76+CI76+CJ76+CK76</f>
        <v>4</v>
      </c>
      <c r="CM76" s="63">
        <f>AVERAGE(Z76,AH76)</f>
        <v>50.65</v>
      </c>
    </row>
    <row r="77" spans="1:91" ht="18" hidden="1" customHeight="1">
      <c r="A77" s="260" t="s">
        <v>98</v>
      </c>
      <c r="B77" s="260" t="s">
        <v>99</v>
      </c>
      <c r="C77" s="260" t="s">
        <v>100</v>
      </c>
      <c r="D77" s="260" t="s">
        <v>508</v>
      </c>
      <c r="E77" s="260" t="s">
        <v>509</v>
      </c>
      <c r="F77" s="260" t="s">
        <v>561</v>
      </c>
      <c r="G77" s="260" t="s">
        <v>562</v>
      </c>
      <c r="H77" s="260" t="s">
        <v>563</v>
      </c>
      <c r="I77" s="260"/>
      <c r="J77" s="12" t="s">
        <v>564</v>
      </c>
      <c r="K77" s="260" t="s">
        <v>565</v>
      </c>
      <c r="L77" s="260" t="s">
        <v>566</v>
      </c>
      <c r="M77" s="260" t="s">
        <v>567</v>
      </c>
      <c r="N77" s="260" t="s">
        <v>123</v>
      </c>
      <c r="O77" s="260" t="s">
        <v>112</v>
      </c>
      <c r="P77" s="10">
        <v>50</v>
      </c>
      <c r="Q77" s="11">
        <v>50</v>
      </c>
      <c r="R77" s="11">
        <f t="shared" ref="R77:R79" si="107">Z77+AH77</f>
        <v>8</v>
      </c>
      <c r="S77" s="11" t="str">
        <f>VLOOKUP(K77,'1197 Salud'!$K$13:$AK$54,9,0)</f>
        <v>se socializo propuesta para construcción y aprobación del plan de acción para la reducción de la morbilidad materna extrema en el departamento de Cundinamarca, una vez se consoliden las acciones propuestas por las diferentes direcciones se procederá a la aprobación y socialización del plan. La implementación se hará  por fases, nos encontramos en el alistamiento identificando barreras y facilitadores, como respaldo a la propuesta realizada por el Departamento.La implementación se hará  por fases, nos encontramos en el alistamiento identificando barreras y facilitadores, como respaldo a la propuesta realizada por el Departamento, con apoyo del desarrollo de mesas de trabajo con Ministerio de salud y proteccion social, municipios y EAPBSLa implementación se hará  por fases, nos encontramos en el alistamiento identificando barreras y facilitadores, como respaldo a la propuesta realizada por el Departamento, con apoyo del desarrollo de mesas de trabajo con Ministerio de salud y protección social, municipios y EAPBS
Desde la DSDSDR se realizan acciones concernientes al plan accion para la reduccion de la mme en base a las competencias propias como son los procesos de asitencias tecnicas a IPS, EAPBS, DTS, mesas de trabajo con DTS,IPS,EAPBS, Visitas de asistencia tecnica a las ESEs priorizadas de acuerdo al comportamiento del indicador de mortalidad materna
Se cuenta con documento firmado por secretario y aprobado por la diferentes direcciones el cual sera socializado e iniciara proceso de implemetacion para 4 trimestre de 2021</v>
      </c>
      <c r="T77" s="11">
        <v>5</v>
      </c>
      <c r="U77" s="11">
        <v>0</v>
      </c>
      <c r="V77" s="11">
        <v>5</v>
      </c>
      <c r="W77" s="11">
        <v>0</v>
      </c>
      <c r="X77" s="11">
        <v>5</v>
      </c>
      <c r="Y77" s="11">
        <v>0</v>
      </c>
      <c r="Z77" s="11">
        <v>5</v>
      </c>
      <c r="AA77" s="11" t="s">
        <v>568</v>
      </c>
      <c r="AB77" s="11" t="s">
        <v>569</v>
      </c>
      <c r="AC77" s="11" t="s">
        <v>570</v>
      </c>
      <c r="AD77" s="403">
        <v>15</v>
      </c>
      <c r="AE77" s="403">
        <v>0</v>
      </c>
      <c r="AF77" s="11">
        <f>VLOOKUP(K77,'1197 Salud'!$K$13:$AK$54,22,0)</f>
        <v>3</v>
      </c>
      <c r="AG77" s="11">
        <f>VLOOKUP(K77,'1197 Salud'!$K$13:$AK$54,23,0)</f>
        <v>0</v>
      </c>
      <c r="AH77" s="11">
        <f t="shared" ref="AH77:AH79" si="108">AF77</f>
        <v>3</v>
      </c>
      <c r="AI77" s="11" t="str">
        <f>VLOOKUP(K77,'1197 Salud'!$K$13:$AK$54,25,0)</f>
        <v>Avance en implementación del plan</v>
      </c>
      <c r="AJ77" s="11" t="str">
        <f>VLOOKUP(K77,'1197 Salud'!$K$13:$AK$54,26,0)</f>
        <v>se socializo propuesta para construcción y aprobación del plan de acción para la reducción de la morbilidad materna extrema en el departamento de Cundinamarca, una vez se consoliden las acciones propuestas por las diferentes direcciones se procederá a la aprobación y socialización del plan. La implementación se hará  por fases, nos encontramos en el alistamiento identificando barreras y facilitadores, como respaldo a la propuesta realizada por el Departamento.
La implementación se hará  por fases, nos encontramos en el alistamiento identificando barreras y facilitadores, como respaldo a la propuesta realizada por el Departamento, con apoyo del desarrollo de mesas de trabajo con Ministerio de salud y proteccion social, municipios y EAPBS
Se cuenta con documento firmado por secretario y aprobado por la diferentes direcciones el cual sera socializado e iniciara proceso de implemetacion para 4 trimestre de 2021</v>
      </c>
      <c r="AK77" s="11" t="str">
        <f>VLOOKUP(K77,'1197 Salud'!$K$13:$AK$54,27,0)</f>
        <v>Demoras en los tramites administrativos (DIRECCION DESARROLLO DE SERVICIOS)
Desde julio se estan desarrollando las acciones inmersas en el plan de accion de competencias de la DSDSDR, Aseguramiento dado que la direccion de desarrollo de servicios aun no define su responsabilidad en la ejecucion de este plan.</v>
      </c>
      <c r="AL77" s="11">
        <v>15</v>
      </c>
      <c r="AM77" s="11">
        <v>0</v>
      </c>
      <c r="AN77" s="11">
        <v>15</v>
      </c>
      <c r="AO77" s="11">
        <v>0</v>
      </c>
      <c r="AP77" s="11">
        <v>0</v>
      </c>
      <c r="AQ77" s="11">
        <v>0</v>
      </c>
      <c r="AR77" s="51">
        <v>437000000</v>
      </c>
      <c r="AS77" s="54">
        <v>0</v>
      </c>
      <c r="AT77" s="54">
        <f t="shared" si="103"/>
        <v>437000000</v>
      </c>
      <c r="AU77" s="51">
        <v>402723345</v>
      </c>
      <c r="AV77" s="243">
        <v>732358075</v>
      </c>
      <c r="AW77" s="244"/>
      <c r="AX77" s="244"/>
      <c r="AY77" s="243">
        <v>718026071</v>
      </c>
      <c r="AZ77" s="44">
        <f>R77/Q77</f>
        <v>0.16</v>
      </c>
      <c r="BA77" s="44">
        <v>0.1</v>
      </c>
      <c r="BB77" s="44">
        <v>1</v>
      </c>
      <c r="BC77" s="44">
        <f t="shared" ref="BC77:BC79" si="109">AD77/Q77</f>
        <v>0.3</v>
      </c>
      <c r="BD77" s="44" cm="1">
        <f t="array" ref="BD77">_xlfn.IFS(AD77=0,"NA",AD77&gt;0,AH77/AD77)</f>
        <v>0.2</v>
      </c>
      <c r="BE77" s="44">
        <f t="shared" ref="BE77:BE79" si="110">AL77/Q77</f>
        <v>0.3</v>
      </c>
      <c r="BF77" s="44">
        <v>0</v>
      </c>
      <c r="BG77" s="44">
        <f t="shared" ref="BG77:BG79" si="111">AN77/Q77</f>
        <v>0.3</v>
      </c>
      <c r="BH77" s="44">
        <v>0</v>
      </c>
      <c r="BI77" s="44">
        <f>AP77/Q77</f>
        <v>0</v>
      </c>
      <c r="BJ77" s="44" t="s">
        <v>115</v>
      </c>
      <c r="BK77" s="44">
        <f t="shared" si="104"/>
        <v>0.16</v>
      </c>
      <c r="BL77" s="44">
        <v>1</v>
      </c>
      <c r="BM77" s="44" cm="1">
        <f t="array" ref="BM77">_xlfn.IFS(BD77="NA","NA",BD77&gt;100%,"100%",BD77&lt;100,BD77)</f>
        <v>0.2</v>
      </c>
      <c r="BN77" s="44" cm="1">
        <f t="array" ref="BN77">_xlfn.IFS(BF77="NA","NA",BF77&gt;100%,"100%",BF77&lt;100,BF77)</f>
        <v>0</v>
      </c>
      <c r="BO77" s="44" cm="1">
        <f t="array" ref="BO77">_xlfn.IFS(BH77="NA","NA",BH77&gt;100%,"100%",BH77&lt;100,BH77)</f>
        <v>0</v>
      </c>
      <c r="BP77" s="44" t="str" cm="1">
        <f t="array" ref="BP77">_xlfn.IFS(BJ77="NA","NA",BJ77&gt;100%,"100%",BJ77&lt;100,BJ77)</f>
        <v>NA</v>
      </c>
      <c r="BQ77" s="45">
        <v>0.22500000000000001</v>
      </c>
      <c r="BR77" s="45">
        <f t="shared" si="2"/>
        <v>3.6000000000000004E-2</v>
      </c>
      <c r="BS77" s="45">
        <v>2.2499999999999999E-2</v>
      </c>
      <c r="BT77" s="45">
        <v>2.2499999999999999E-2</v>
      </c>
      <c r="BU77" s="45">
        <v>2.2499999999999999E-2</v>
      </c>
      <c r="BV77" s="45">
        <f t="shared" ref="BV77:BV79" si="112">(AD77*BQ77)/Q77</f>
        <v>6.7500000000000004E-2</v>
      </c>
      <c r="BW77" s="45">
        <f t="shared" ref="BW77:BW139" si="113">IF(BM77="NA","NA",BM77*BV77)</f>
        <v>1.3500000000000002E-2</v>
      </c>
      <c r="BX77" s="45">
        <f t="shared" ref="BX77:BX139" si="114">BR77-BU77</f>
        <v>1.3500000000000005E-2</v>
      </c>
      <c r="BY77" s="45">
        <f t="shared" ref="BY77:BY79" si="115">(AL77*BQ77)/Q77</f>
        <v>6.7500000000000004E-2</v>
      </c>
      <c r="BZ77" s="45">
        <f t="shared" ref="BZ77:BZ79" si="116">IF(BN77="NA","NA",BN77*BY77)</f>
        <v>0</v>
      </c>
      <c r="CA77" s="45">
        <f t="shared" si="106"/>
        <v>0</v>
      </c>
      <c r="CB77" s="45">
        <f t="shared" ref="CB77:CB79" si="117">(AN77*BQ77)/Q77</f>
        <v>6.7500000000000004E-2</v>
      </c>
      <c r="CC77" s="45">
        <f t="shared" ref="CC77:CC79" si="118">IF(BO77="NA","NA",BO77*CB77)</f>
        <v>0</v>
      </c>
      <c r="CD77" s="45">
        <v>0</v>
      </c>
      <c r="CE77" s="45">
        <f>(AP77*BQ77)/Q77</f>
        <v>0</v>
      </c>
      <c r="CF77" s="45" t="str">
        <f>IF(BP77="NA","NA",BP77*CE77)</f>
        <v>NA</v>
      </c>
      <c r="CG77" s="45">
        <v>0</v>
      </c>
      <c r="CH77" s="244"/>
      <c r="CI77" s="244"/>
      <c r="CJ77" s="244"/>
      <c r="CK77" s="244"/>
      <c r="CM77" s="63">
        <v>7</v>
      </c>
    </row>
    <row r="78" spans="1:91" ht="18" hidden="1" customHeight="1">
      <c r="A78" s="260" t="s">
        <v>98</v>
      </c>
      <c r="B78" s="260" t="s">
        <v>99</v>
      </c>
      <c r="C78" s="260" t="s">
        <v>100</v>
      </c>
      <c r="D78" s="260" t="s">
        <v>508</v>
      </c>
      <c r="E78" s="260" t="s">
        <v>509</v>
      </c>
      <c r="F78" s="260" t="s">
        <v>561</v>
      </c>
      <c r="G78" s="260" t="s">
        <v>562</v>
      </c>
      <c r="H78" s="260" t="s">
        <v>571</v>
      </c>
      <c r="I78" s="260"/>
      <c r="J78" s="12" t="s">
        <v>564</v>
      </c>
      <c r="K78" s="260" t="s">
        <v>572</v>
      </c>
      <c r="L78" s="260" t="s">
        <v>573</v>
      </c>
      <c r="M78" s="260" t="s">
        <v>574</v>
      </c>
      <c r="N78" s="260" t="s">
        <v>123</v>
      </c>
      <c r="O78" s="260" t="s">
        <v>112</v>
      </c>
      <c r="P78" s="10">
        <v>88</v>
      </c>
      <c r="Q78" s="11">
        <v>4</v>
      </c>
      <c r="R78" s="11">
        <f t="shared" si="107"/>
        <v>1.2</v>
      </c>
      <c r="S78" s="11" t="str">
        <f>VLOOKUP(K78,'1197 Salud'!$K$13:$AK$54,9,0)</f>
        <v>Se realizan procesos de asistencias tecnicas para IPS Publicas y privadas, EAPBS y direcciones territoriales de salud en la implementacion de la RIA MATERNO PERINATAL, GESTION DEL RIESGO OBSTETRICO, con el fin de garantizar la captación temprana de la gestante para así lograr la garantía a los controles prenatales completos durante el proceso de gestación</v>
      </c>
      <c r="T78" s="11">
        <v>0.4</v>
      </c>
      <c r="U78" s="11">
        <v>0</v>
      </c>
      <c r="V78" s="11">
        <v>0.4</v>
      </c>
      <c r="W78" s="11">
        <v>0</v>
      </c>
      <c r="X78" s="11">
        <v>1</v>
      </c>
      <c r="Y78" s="11">
        <v>0</v>
      </c>
      <c r="Z78" s="11">
        <v>1</v>
      </c>
      <c r="AA78" s="11" t="s">
        <v>575</v>
      </c>
      <c r="AB78" s="11" t="s">
        <v>576</v>
      </c>
      <c r="AC78" s="11">
        <v>0</v>
      </c>
      <c r="AD78" s="403">
        <v>1.2</v>
      </c>
      <c r="AE78" s="403">
        <v>0</v>
      </c>
      <c r="AF78" s="11">
        <f>VLOOKUP(K78,'1197 Salud'!$K$13:$AK$54,22,0)</f>
        <v>0.2</v>
      </c>
      <c r="AG78" s="11">
        <f>VLOOKUP(K78,'1197 Salud'!$K$13:$AK$54,23,0)</f>
        <v>0</v>
      </c>
      <c r="AH78" s="11">
        <f t="shared" si="108"/>
        <v>0.2</v>
      </c>
      <c r="AI78" s="11" t="str">
        <f>VLOOKUP(K78,'1197 Salud'!$K$13:$AK$54,25,0)</f>
        <v>Gestantes con 4 o más controles prenatales.</v>
      </c>
      <c r="AJ78" s="11" t="str">
        <f>VLOOKUP(K78,'1197 Salud'!$K$13:$AK$54,26,0)</f>
        <v>Se realizan procesos de asistencias tecnicas para IPS Publicas y privadas, EAPBS y direcciones territoriales de salud en la implementacion de la RIA MATERNO PERINATAL, GESTION DEL RIESGO OBSTETRICO, con el fin de garantizar la captación temprana de la gestante para así lograr la garantía a los controles prenatales completos durante el proceso de gestación</v>
      </c>
      <c r="AK78" s="11" t="str">
        <f>VLOOKUP(K78,'1197 Salud'!$K$13:$AK$54,27,0)</f>
        <v>N/A</v>
      </c>
      <c r="AL78" s="11">
        <v>1.2</v>
      </c>
      <c r="AM78" s="11">
        <v>0</v>
      </c>
      <c r="AN78" s="11">
        <v>1.2</v>
      </c>
      <c r="AO78" s="11">
        <v>0</v>
      </c>
      <c r="AP78" s="11">
        <v>0</v>
      </c>
      <c r="AQ78" s="11">
        <v>0</v>
      </c>
      <c r="AR78" s="51">
        <v>9000000</v>
      </c>
      <c r="AS78" s="54">
        <v>0</v>
      </c>
      <c r="AT78" s="54">
        <f t="shared" si="103"/>
        <v>9000000</v>
      </c>
      <c r="AU78" s="51">
        <v>7389522</v>
      </c>
      <c r="AV78" s="243">
        <v>161703852</v>
      </c>
      <c r="AW78" s="244"/>
      <c r="AX78" s="244"/>
      <c r="AY78" s="243">
        <v>160247061</v>
      </c>
      <c r="AZ78" s="44">
        <f>R78/Q78</f>
        <v>0.3</v>
      </c>
      <c r="BA78" s="44">
        <v>0.1</v>
      </c>
      <c r="BB78" s="44">
        <v>2.5</v>
      </c>
      <c r="BC78" s="44">
        <f t="shared" si="109"/>
        <v>0.3</v>
      </c>
      <c r="BD78" s="44" cm="1">
        <f t="array" ref="BD78">_xlfn.IFS(AD78=0,"NA",AD78&gt;0,AH78/AD78)</f>
        <v>0.16666666666666669</v>
      </c>
      <c r="BE78" s="44">
        <f t="shared" si="110"/>
        <v>0.3</v>
      </c>
      <c r="BF78" s="44">
        <v>0</v>
      </c>
      <c r="BG78" s="44">
        <f t="shared" si="111"/>
        <v>0.3</v>
      </c>
      <c r="BH78" s="44">
        <v>0</v>
      </c>
      <c r="BI78" s="44">
        <f>AP78/Q78</f>
        <v>0</v>
      </c>
      <c r="BJ78" s="44" t="s">
        <v>115</v>
      </c>
      <c r="BK78" s="44">
        <f t="shared" si="104"/>
        <v>0.3</v>
      </c>
      <c r="BL78" s="44">
        <v>1</v>
      </c>
      <c r="BM78" s="44" cm="1">
        <f t="array" ref="BM78">_xlfn.IFS(BD78="NA","NA",BD78&gt;100%,"100%",BD78&lt;100,BD78)</f>
        <v>0.16666666666666669</v>
      </c>
      <c r="BN78" s="44" cm="1">
        <f t="array" ref="BN78">_xlfn.IFS(BF78="NA","NA",BF78&gt;100%,"100%",BF78&lt;100,BF78)</f>
        <v>0</v>
      </c>
      <c r="BO78" s="44" cm="1">
        <f t="array" ref="BO78">_xlfn.IFS(BH78="NA","NA",BH78&gt;100%,"100%",BH78&lt;100,BH78)</f>
        <v>0</v>
      </c>
      <c r="BP78" s="44" t="str" cm="1">
        <f t="array" ref="BP78">_xlfn.IFS(BJ78="NA","NA",BJ78&gt;100%,"100%",BJ78&lt;100,BJ78)</f>
        <v>NA</v>
      </c>
      <c r="BQ78" s="45">
        <v>0.22500000000000001</v>
      </c>
      <c r="BR78" s="45">
        <f t="shared" ref="BR78:BR79" si="119">BQ78*BK78</f>
        <v>6.7500000000000004E-2</v>
      </c>
      <c r="BS78" s="45">
        <v>2.2499999999999999E-2</v>
      </c>
      <c r="BT78" s="45">
        <v>2.2499999999999999E-2</v>
      </c>
      <c r="BU78" s="45">
        <v>5.6300000000000003E-2</v>
      </c>
      <c r="BV78" s="45">
        <f t="shared" si="112"/>
        <v>6.7500000000000004E-2</v>
      </c>
      <c r="BW78" s="45">
        <f t="shared" si="113"/>
        <v>1.1250000000000001E-2</v>
      </c>
      <c r="BX78" s="45">
        <f t="shared" si="114"/>
        <v>1.1200000000000002E-2</v>
      </c>
      <c r="BY78" s="45">
        <f t="shared" si="115"/>
        <v>6.7500000000000004E-2</v>
      </c>
      <c r="BZ78" s="45">
        <f t="shared" si="116"/>
        <v>0</v>
      </c>
      <c r="CA78" s="45">
        <f t="shared" si="106"/>
        <v>0</v>
      </c>
      <c r="CB78" s="45">
        <f t="shared" si="117"/>
        <v>6.7500000000000004E-2</v>
      </c>
      <c r="CC78" s="45">
        <f t="shared" si="118"/>
        <v>0</v>
      </c>
      <c r="CD78" s="45">
        <v>0</v>
      </c>
      <c r="CE78" s="45">
        <f>(AP78*BQ78)/Q78</f>
        <v>0</v>
      </c>
      <c r="CF78" s="45" t="str">
        <f>IF(BP78="NA","NA",BP78*CE78)</f>
        <v>NA</v>
      </c>
      <c r="CG78" s="45">
        <v>0</v>
      </c>
      <c r="CH78" s="244"/>
      <c r="CI78" s="244"/>
      <c r="CJ78" s="244"/>
      <c r="CK78" s="244"/>
      <c r="CM78" s="63">
        <v>1.2</v>
      </c>
    </row>
    <row r="79" spans="1:91" ht="18" hidden="1" customHeight="1">
      <c r="A79" s="260" t="s">
        <v>144</v>
      </c>
      <c r="B79" s="260" t="s">
        <v>145</v>
      </c>
      <c r="C79" s="260" t="s">
        <v>100</v>
      </c>
      <c r="D79" s="260" t="s">
        <v>508</v>
      </c>
      <c r="E79" s="260" t="s">
        <v>509</v>
      </c>
      <c r="F79" s="260" t="s">
        <v>561</v>
      </c>
      <c r="G79" s="260" t="s">
        <v>562</v>
      </c>
      <c r="H79" s="260" t="s">
        <v>577</v>
      </c>
      <c r="I79" s="260"/>
      <c r="J79" s="260"/>
      <c r="K79" s="260" t="s">
        <v>578</v>
      </c>
      <c r="L79" s="260" t="s">
        <v>579</v>
      </c>
      <c r="M79" s="260" t="s">
        <v>580</v>
      </c>
      <c r="N79" s="260" t="s">
        <v>111</v>
      </c>
      <c r="O79" s="260" t="s">
        <v>112</v>
      </c>
      <c r="P79" s="10">
        <v>4200</v>
      </c>
      <c r="Q79" s="11">
        <v>4000</v>
      </c>
      <c r="R79" s="11">
        <f t="shared" si="107"/>
        <v>0</v>
      </c>
      <c r="S79" s="11">
        <f>VLOOKUP(K79,'1126 Desarrollo Social'!$K$13:$S$58,9,0)</f>
        <v>0</v>
      </c>
      <c r="T79" s="11">
        <v>0</v>
      </c>
      <c r="U79" s="11">
        <v>0</v>
      </c>
      <c r="V79" s="11">
        <v>0</v>
      </c>
      <c r="W79" s="11">
        <v>0</v>
      </c>
      <c r="X79" s="11">
        <v>0</v>
      </c>
      <c r="Y79" s="11">
        <v>0</v>
      </c>
      <c r="Z79" s="11">
        <v>0</v>
      </c>
      <c r="AA79" s="11"/>
      <c r="AB79" s="11"/>
      <c r="AC79" s="11"/>
      <c r="AD79" s="403">
        <v>2000</v>
      </c>
      <c r="AE79" s="403">
        <v>0</v>
      </c>
      <c r="AF79" s="11">
        <f>VLOOKUP(K79,'1126 Desarrollo Social'!$K$13:$AK$58,22,0)</f>
        <v>0</v>
      </c>
      <c r="AG79" s="11">
        <f>VLOOKUP(K79,'1126 Desarrollo Social'!$K$13:$AK$58,23,0)</f>
        <v>0</v>
      </c>
      <c r="AH79" s="11">
        <f t="shared" si="108"/>
        <v>0</v>
      </c>
      <c r="AI79" s="11">
        <f>VLOOKUP(K79,'1126 Desarrollo Social'!$K$13:$AK$58,25,0)</f>
        <v>0</v>
      </c>
      <c r="AJ79" s="11" t="str">
        <f>VLOOKUP(K79,'1126 Desarrollo Social'!$K$13:$AK$58,26,0)</f>
        <v>Junto con la Caja de COMPENSACION COMPENSAR  se pretende firmar un Convenio de Asociación a fin de beneficiar 152  madres gestantes y Lactantes y asi lograr regular su estado nutricional.   Inicialmente en los municipios de  Caparrapi Yacopi La Palma La Peña Guaduas y Villeta. Se encuentra en revisiòn por las partes</v>
      </c>
      <c r="AK79" s="11">
        <f>VLOOKUP(K79,'1126 Desarrollo Social'!$K$13:$AK$58,27,0)</f>
        <v>0</v>
      </c>
      <c r="AL79" s="11">
        <v>3000</v>
      </c>
      <c r="AM79" s="11">
        <v>0</v>
      </c>
      <c r="AN79" s="11">
        <v>3000</v>
      </c>
      <c r="AO79" s="11">
        <v>0</v>
      </c>
      <c r="AP79" s="11">
        <v>0</v>
      </c>
      <c r="AQ79" s="11">
        <v>0</v>
      </c>
      <c r="AR79" s="52"/>
      <c r="AS79" s="54">
        <v>0</v>
      </c>
      <c r="AT79" s="54">
        <f t="shared" si="103"/>
        <v>0</v>
      </c>
      <c r="AU79" s="52"/>
      <c r="AV79" s="243">
        <v>0</v>
      </c>
      <c r="AW79" s="244"/>
      <c r="AX79" s="244"/>
      <c r="AY79" s="243">
        <v>0</v>
      </c>
      <c r="AZ79" s="44">
        <f>R79/Q79</f>
        <v>0</v>
      </c>
      <c r="BA79" s="44">
        <v>0</v>
      </c>
      <c r="BB79" s="44" t="s">
        <v>115</v>
      </c>
      <c r="BC79" s="44">
        <f t="shared" si="109"/>
        <v>0.5</v>
      </c>
      <c r="BD79" s="44" cm="1">
        <f t="array" ref="BD79">_xlfn.IFS(AD79=0,"NA",AD79&gt;0,AH79/AD79)</f>
        <v>0</v>
      </c>
      <c r="BE79" s="44">
        <f t="shared" si="110"/>
        <v>0.75</v>
      </c>
      <c r="BF79" s="44">
        <v>0</v>
      </c>
      <c r="BG79" s="44">
        <f t="shared" si="111"/>
        <v>0.75</v>
      </c>
      <c r="BH79" s="44">
        <v>0</v>
      </c>
      <c r="BI79" s="44">
        <f>AP79/Q79</f>
        <v>0</v>
      </c>
      <c r="BJ79" s="44" t="s">
        <v>115</v>
      </c>
      <c r="BK79" s="44">
        <f t="shared" si="104"/>
        <v>0</v>
      </c>
      <c r="BL79" s="44" t="s">
        <v>115</v>
      </c>
      <c r="BM79" s="44" cm="1">
        <f t="array" ref="BM79">_xlfn.IFS(BD79="NA","NA",BD79&gt;100%,"100%",BD79&lt;100,BD79)</f>
        <v>0</v>
      </c>
      <c r="BN79" s="44" cm="1">
        <f t="array" ref="BN79">_xlfn.IFS(BF79="NA","NA",BF79&gt;100%,"100%",BF79&lt;100,BF79)</f>
        <v>0</v>
      </c>
      <c r="BO79" s="44" cm="1">
        <f t="array" ref="BO79">_xlfn.IFS(BH79="NA","NA",BH79&gt;100%,"100%",BH79&lt;100,BH79)</f>
        <v>0</v>
      </c>
      <c r="BP79" s="44" t="str" cm="1">
        <f t="array" ref="BP79">_xlfn.IFS(BJ79="NA","NA",BJ79&gt;100%,"100%",BJ79&lt;100,BJ79)</f>
        <v>NA</v>
      </c>
      <c r="BQ79" s="45">
        <v>0.22500000000000001</v>
      </c>
      <c r="BR79" s="45">
        <f t="shared" si="119"/>
        <v>0</v>
      </c>
      <c r="BS79" s="45">
        <v>0</v>
      </c>
      <c r="BT79" s="45" t="s">
        <v>115</v>
      </c>
      <c r="BU79" s="45">
        <v>0</v>
      </c>
      <c r="BV79" s="45">
        <f t="shared" si="112"/>
        <v>0.1125</v>
      </c>
      <c r="BW79" s="45">
        <f t="shared" si="113"/>
        <v>0</v>
      </c>
      <c r="BX79" s="45">
        <f t="shared" si="114"/>
        <v>0</v>
      </c>
      <c r="BY79" s="45">
        <f t="shared" si="115"/>
        <v>0.16875000000000001</v>
      </c>
      <c r="BZ79" s="45">
        <f t="shared" si="116"/>
        <v>0</v>
      </c>
      <c r="CA79" s="45">
        <f t="shared" si="106"/>
        <v>0</v>
      </c>
      <c r="CB79" s="45">
        <f t="shared" si="117"/>
        <v>0.16875000000000001</v>
      </c>
      <c r="CC79" s="45">
        <f t="shared" si="118"/>
        <v>0</v>
      </c>
      <c r="CD79" s="45">
        <v>0</v>
      </c>
      <c r="CE79" s="45">
        <f>(AP79*BQ79)/Q79</f>
        <v>0</v>
      </c>
      <c r="CF79" s="45" t="str">
        <f>IF(BP79="NA","NA",BP79*CE79)</f>
        <v>NA</v>
      </c>
      <c r="CG79" s="45">
        <v>0</v>
      </c>
      <c r="CH79" s="244"/>
      <c r="CI79" s="244"/>
      <c r="CJ79" s="244"/>
      <c r="CK79" s="244"/>
      <c r="CM79" s="63">
        <v>0</v>
      </c>
    </row>
    <row r="80" spans="1:91" ht="18" hidden="1" customHeight="1">
      <c r="A80" s="260" t="s">
        <v>98</v>
      </c>
      <c r="B80" s="260" t="s">
        <v>99</v>
      </c>
      <c r="C80" s="260" t="s">
        <v>100</v>
      </c>
      <c r="D80" s="260" t="s">
        <v>508</v>
      </c>
      <c r="E80" s="260" t="s">
        <v>509</v>
      </c>
      <c r="F80" s="260" t="s">
        <v>581</v>
      </c>
      <c r="G80" s="260" t="s">
        <v>582</v>
      </c>
      <c r="H80" s="260" t="s">
        <v>583</v>
      </c>
      <c r="I80" s="260"/>
      <c r="J80" s="12" t="s">
        <v>584</v>
      </c>
      <c r="K80" s="260" t="s">
        <v>585</v>
      </c>
      <c r="L80" s="260" t="s">
        <v>586</v>
      </c>
      <c r="M80" s="260" t="s">
        <v>587</v>
      </c>
      <c r="N80" s="260" t="s">
        <v>123</v>
      </c>
      <c r="O80" s="260" t="s">
        <v>124</v>
      </c>
      <c r="P80" s="10">
        <v>95</v>
      </c>
      <c r="Q80" s="11">
        <v>95</v>
      </c>
      <c r="R80" s="11">
        <f t="shared" ref="R80:R81" si="120">(Z80+AH80)/CL80</f>
        <v>47</v>
      </c>
      <c r="S80" s="11" t="str">
        <f>VLOOKUP(K80,'1197 Salud'!$K$13:$AK$54,9,0)</f>
        <v xml:space="preserve">Coberturas:
	Menor de un año 61,1 % con la tercera dosis del biológico de pentavalente; equivalente al 93%.
	Menor de año 60% con el biológico de triple viral; equivalente al 90,6% 
	Menor de cinco Años 63,9% para el trazador de cinco años con el biológicos de primer refuerzo de triple viral; equivalente al 96,2% 
El ideal para el periodo es de 63,2% para poder estar con coberturas del 95%, a la fecha el departamento lleva  coberturas  óptimas solo en menor de cinco años con el trazador de refuerzo de Triple viral, para un año y menor de  año estamos en coberturas  en riesgo por debajo del 95%, , sin empbaro estamos  por ecima del resultado de la nacion y de departametos como  boyaca y valle del cauca. </v>
      </c>
      <c r="T80" s="11">
        <v>0</v>
      </c>
      <c r="U80" s="11">
        <v>95</v>
      </c>
      <c r="V80" s="11">
        <v>0</v>
      </c>
      <c r="W80" s="11">
        <v>95</v>
      </c>
      <c r="X80" s="11" t="s">
        <v>115</v>
      </c>
      <c r="Y80" s="11">
        <v>95</v>
      </c>
      <c r="Z80" s="11">
        <v>95</v>
      </c>
      <c r="AA80" s="11" t="s">
        <v>588</v>
      </c>
      <c r="AB80" s="11" t="s">
        <v>589</v>
      </c>
      <c r="AC80" s="11" t="s">
        <v>590</v>
      </c>
      <c r="AD80" s="403">
        <v>0</v>
      </c>
      <c r="AE80" s="403">
        <v>95</v>
      </c>
      <c r="AF80" s="11">
        <f>VLOOKUP(K80,'1197 Salud'!$K$13:$AK$54,22,0)</f>
        <v>0</v>
      </c>
      <c r="AG80" s="11">
        <f>VLOOKUP(K80,'1197 Salud'!$K$13:$AK$54,23,0)</f>
        <v>93</v>
      </c>
      <c r="AH80" s="11">
        <f t="shared" ref="AH80:AH81" si="121">AG80</f>
        <v>93</v>
      </c>
      <c r="AI80" s="11" t="str">
        <f>VLOOKUP(K80,'1197 Salud'!$K$13:$AK$54,25,0)</f>
        <v>informe de coberturas de vacunación</v>
      </c>
      <c r="AJ80" s="11" t="str">
        <f>VLOOKUP(K80,'1197 Salud'!$K$13:$AK$54,26,0)</f>
        <v xml:space="preserve">Coberturas:
	Menor de un año 61,1 % con la tercera dosis del biológico de pentavalente; equivalente al 93%.
	Menor de año 60% con el biológico de triple viral; equivalente al 90,6% 
	Menor de cinco Años 63,9% para el trazador de cinco años con el biológicos de primer refuerzo de triple viral; equivalente al 96,2% 
El ideal para el periodo es de 63,2% para poder estar con coberturas del 95%, a la fecha el departamento lleva  coberturas  óptimas solo en menor de cinco años con el trazador de refuerzo de Triple viral, para un año y menor de  año estamos en coberturas  en riesgo por debajo del 95%, , sin empbaro estamos  por ecima del resultado de la nacion y de departametos como  boyaca y valle del cauca. </v>
      </c>
      <c r="AK80" s="11" t="str">
        <f>VLOOKUP(K80,'1197 Salud'!$K$13:$AK$54,27,0)</f>
        <v>Falta de personal exclusivo para el programa, al iguial incermeto de actividades en el talento humano, inasistencia oportuna de los menores causando una prologacion en la cohorte.</v>
      </c>
      <c r="AL80" s="11">
        <v>0</v>
      </c>
      <c r="AM80" s="11">
        <v>95</v>
      </c>
      <c r="AN80" s="11">
        <v>0</v>
      </c>
      <c r="AO80" s="11">
        <v>95</v>
      </c>
      <c r="AP80" s="11">
        <v>0</v>
      </c>
      <c r="AQ80" s="11">
        <v>0</v>
      </c>
      <c r="AR80" s="51">
        <v>193063879</v>
      </c>
      <c r="AS80" s="54">
        <v>0</v>
      </c>
      <c r="AT80" s="54">
        <f t="shared" si="103"/>
        <v>193063879</v>
      </c>
      <c r="AU80" s="51">
        <v>180293059</v>
      </c>
      <c r="AV80" s="243">
        <v>8064043443</v>
      </c>
      <c r="AW80" s="244"/>
      <c r="AX80" s="244"/>
      <c r="AY80" s="243">
        <v>4250779769</v>
      </c>
      <c r="AZ80" s="44" cm="1">
        <f t="array" ref="AZ80">_xlfn.IFS((BA80=0),(BD80/CL80),(BA80&gt;0),((BB80+BD80)/CL80),(BE80&gt;0),((BB80+BD80+BE80)/CL80),(BG80&gt;0),((BB80+BD80+BE80+G80)/CL80))</f>
        <v>0.49473684210526314</v>
      </c>
      <c r="BA80" s="44">
        <v>0.25</v>
      </c>
      <c r="BB80" s="44">
        <v>1</v>
      </c>
      <c r="BC80" s="44">
        <f t="shared" ref="BC80:BC81" si="122">IF(AE80&gt;0,(1/CL80),0)</f>
        <v>0.25</v>
      </c>
      <c r="BD80" s="44" cm="1">
        <f t="array" ref="BD80">_xlfn.IFS(AE80=0,"NA",AE80&gt;0,AH80/AE80)</f>
        <v>0.97894736842105268</v>
      </c>
      <c r="BE80" s="44">
        <f t="shared" ref="BE80:BE81" si="123">IF(AM80&gt;0,(1/CL80),0)</f>
        <v>0.25</v>
      </c>
      <c r="BF80" s="44">
        <v>0</v>
      </c>
      <c r="BG80" s="44">
        <f t="shared" ref="BG80:BG81" si="124">IF(AO80&gt;0,(1/CL80),0)</f>
        <v>0.25</v>
      </c>
      <c r="BH80" s="44">
        <v>0</v>
      </c>
      <c r="BI80" s="44">
        <v>0</v>
      </c>
      <c r="BJ80" s="44" t="s">
        <v>115</v>
      </c>
      <c r="BK80" s="44">
        <f t="shared" si="104"/>
        <v>0.49473684210526314</v>
      </c>
      <c r="BL80" s="44">
        <v>1</v>
      </c>
      <c r="BM80" s="44" cm="1">
        <f t="array" ref="BM80">_xlfn.IFS(BD80="NA","NA",BD80&gt;100%,"100%",BD80&lt;100,BD80)</f>
        <v>0.97894736842105268</v>
      </c>
      <c r="BN80" s="44">
        <v>0</v>
      </c>
      <c r="BO80" s="44">
        <v>0</v>
      </c>
      <c r="BP80" s="44" t="s">
        <v>115</v>
      </c>
      <c r="BQ80" s="45">
        <v>0.22500000000000001</v>
      </c>
      <c r="BR80" s="45">
        <f t="shared" si="105"/>
        <v>0.11131578947368422</v>
      </c>
      <c r="BS80" s="45">
        <v>5.6300000000000003E-2</v>
      </c>
      <c r="BT80" s="45">
        <v>5.6300000000000003E-2</v>
      </c>
      <c r="BU80" s="45">
        <v>5.6300000000000003E-2</v>
      </c>
      <c r="BV80" s="45">
        <v>5.6300000000000003E-2</v>
      </c>
      <c r="BW80" s="45">
        <f t="shared" si="113"/>
        <v>5.5114736842105272E-2</v>
      </c>
      <c r="BX80" s="45">
        <f t="shared" si="114"/>
        <v>5.5015789473684212E-2</v>
      </c>
      <c r="BY80" s="45">
        <v>5.6300000000000003E-2</v>
      </c>
      <c r="BZ80" s="45">
        <v>0</v>
      </c>
      <c r="CA80" s="45">
        <f t="shared" si="106"/>
        <v>0</v>
      </c>
      <c r="CB80" s="45">
        <v>5.6300000000000003E-2</v>
      </c>
      <c r="CC80" s="45">
        <v>0</v>
      </c>
      <c r="CD80" s="45">
        <v>0</v>
      </c>
      <c r="CE80" s="45">
        <v>0</v>
      </c>
      <c r="CF80" s="45" t="s">
        <v>115</v>
      </c>
      <c r="CG80" s="45">
        <v>0</v>
      </c>
      <c r="CH80" s="244">
        <f t="shared" ref="CH80:CH81" si="125">IF(W80&gt;0,1,0)</f>
        <v>1</v>
      </c>
      <c r="CI80" s="244">
        <f t="shared" ref="CI80:CI81" si="126">IF(AE80&gt;0,1,0)</f>
        <v>1</v>
      </c>
      <c r="CJ80" s="244">
        <f t="shared" ref="CJ80:CJ81" si="127">IF(AM80&gt;0,1,0)</f>
        <v>1</v>
      </c>
      <c r="CK80" s="244">
        <f t="shared" ref="CK80:CK81" si="128">IF(AO80&gt;0,1,0)</f>
        <v>1</v>
      </c>
      <c r="CL80">
        <f t="shared" ref="CL80:CL81" si="129">CH80+CI80+CJ80+CK80</f>
        <v>4</v>
      </c>
      <c r="CM80" s="63">
        <f t="shared" ref="CM80:CM81" si="130">AVERAGE(Z80,AH80)</f>
        <v>94</v>
      </c>
    </row>
    <row r="81" spans="1:91" ht="18" hidden="1" customHeight="1">
      <c r="A81" s="260" t="s">
        <v>98</v>
      </c>
      <c r="B81" s="260" t="s">
        <v>99</v>
      </c>
      <c r="C81" s="260" t="s">
        <v>100</v>
      </c>
      <c r="D81" s="260" t="s">
        <v>508</v>
      </c>
      <c r="E81" s="260" t="s">
        <v>509</v>
      </c>
      <c r="F81" s="260" t="s">
        <v>581</v>
      </c>
      <c r="G81" s="260" t="s">
        <v>582</v>
      </c>
      <c r="H81" s="260" t="s">
        <v>591</v>
      </c>
      <c r="I81" s="260" t="s">
        <v>106</v>
      </c>
      <c r="J81" s="260" t="s">
        <v>298</v>
      </c>
      <c r="K81" s="260" t="s">
        <v>592</v>
      </c>
      <c r="L81" s="260" t="s">
        <v>593</v>
      </c>
      <c r="M81" s="260" t="s">
        <v>594</v>
      </c>
      <c r="N81" s="260" t="s">
        <v>111</v>
      </c>
      <c r="O81" s="260" t="s">
        <v>124</v>
      </c>
      <c r="P81" s="10">
        <v>116</v>
      </c>
      <c r="Q81" s="11">
        <v>116</v>
      </c>
      <c r="R81" s="11">
        <f t="shared" si="120"/>
        <v>55</v>
      </c>
      <c r="S81" s="11" t="str">
        <f>VLOOKUP(K81,'1197 Salud'!$K$13:$AK$54,9,0)</f>
        <v>Se logra el mantenimiento de la estrategia AIEPI (Atención de las Enfermedades Prevalentes de la Infancia) en el departamento con seguimiento a los sistemas de información para orientar y fortalecer las acciones dirigidas a la primera infancia; dentro de lo que se ha socializado bases de datos, generado lineamientos, establecido comunicación a traves de correos electronicos y la generación de grupo WhatsApp Departamental donde se dan tips necesarios para generación de actividades dirigidas a la población de primera infancia e infancia; se realizo jornada de capacitación en articulación con el ICBF logrando capacitar a 227 personas responsables de la atención en los CDI de las 14 regionales del ICBF para Cundinamarca; igualmente se realizaron 3 jornadas de capacitación en donde se abordaron 2 temas principales Generalidades de AIEPI con la participación de 544 personas y aplicación y valoración del menor mediante la ficha AIEPI Comunitaria con la participación de 447 personas  de 106 municipios del departamento, igualmente se realiza programación de capacitaciones para el año 2021 la cual esta hasta diciembre para el fortalecimiento de capacidades del talento humano en salud del departamento en temas relacionados a la primera infancia en infancia de las cuales se lleva a la fecha 1336 personas; se inicia proceso de ejecución en 15 municipios del departamento mediante la contratación con 9 ESE´S;  se inicio con las asistencias técnicas Instituciones Prestadoras de Servicios y Entidades territoriales en los municipios de Agua de Dios, Albán, Anapoima, Anolaima, Apulo, Arbeláez, Beltrán, Bituima, Bojaca, Cachipay, Cajica, Caparrapi, Caqueza, Carmen de Carupa, Chaguani, Chía, Chipaque, Choachi, Chocontá, Cogua, Cota, El Colegio, El Peñón, El Rosal , Facatativá, Fomeque, Fosca, Funza, Fúquene, Fusagasugá, Gachala, Gachancipa, Gacheta, Gama, Girardot, Granada, Guachetá, Guaduas, Guasca, Guatavita, Guayabal de Siquima, Guayabetal, Gutiérrez, Jerusalén, Junín, La Calera, La Mesa, La Palma, La Peña, La Vega, Lenguazaque, Macheta, Madrid, Manta, Medina, Mosquera, Nemocón, Nilo, Nimaima, Nocaima, Pacho, Paime, Paratebueno, Pasca, Puerto salgar, Pulí, Quebrada Negra, Quetame, Quipile, Ricaurte, San Bernardo, San Francisco, San Juan de Rio Seco, Sasaima, Sesquile, Sibate, Silvania, Simijaca, Soacha, Sopo, Subachoque, Suesca, Supata, Susa, Tabio, Tenjo, Tibirita, Tocaima, Tocancipa, Topaipi, Ubala, Ubaque, Une, Utica, Vergara, Viani, Ubaté, Villagomez, Villapinzón, Villeta, Viota, Yacopi, Zipacon, Zipaquirá para desarrollar capacidades y adoptar, adaptar e implementar RPMS a Primera mediante la estrategia AIEPI,  igualmente se continua en proceso de contratación de 2 profesionales para dar cumplimiento a las actividades programadas.</v>
      </c>
      <c r="T81" s="11">
        <v>0</v>
      </c>
      <c r="U81" s="11">
        <v>116</v>
      </c>
      <c r="V81" s="11">
        <v>0</v>
      </c>
      <c r="W81" s="11">
        <v>116</v>
      </c>
      <c r="X81" s="11" t="s">
        <v>115</v>
      </c>
      <c r="Y81" s="11">
        <v>116</v>
      </c>
      <c r="Z81" s="11">
        <v>116</v>
      </c>
      <c r="AA81" s="11" t="s">
        <v>594</v>
      </c>
      <c r="AB81" s="11" t="s">
        <v>595</v>
      </c>
      <c r="AC81" s="11">
        <v>0</v>
      </c>
      <c r="AD81" s="403">
        <v>0</v>
      </c>
      <c r="AE81" s="403">
        <v>116</v>
      </c>
      <c r="AF81" s="11">
        <f>VLOOKUP(K81,'1197 Salud'!$K$13:$AK$54,22,0)</f>
        <v>0</v>
      </c>
      <c r="AG81" s="11">
        <f>VLOOKUP(K81,'1197 Salud'!$K$13:$AK$54,23,0)</f>
        <v>104</v>
      </c>
      <c r="AH81" s="11">
        <f t="shared" si="121"/>
        <v>104</v>
      </c>
      <c r="AI81" s="11" t="str">
        <f>VLOOKUP(K81,'1197 Salud'!$K$13:$AK$54,25,0)</f>
        <v>Municipios con la estrategia AIEPI implementada</v>
      </c>
      <c r="AJ81" s="11" t="str">
        <f>VLOOKUP(K81,'1197 Salud'!$K$13:$AK$54,26,0)</f>
        <v xml:space="preserve">Se logra el mantenimiento de la estrategia AIEPI (Atención de las Enfermedades Prevalentes de la Infancia) en el departamento con seguimiento a los sistemas de información para orientar y fortalecer las acciones dirigidas a la primera infancia; dentro de lo que se ha socializado bases de datos, generado lineamientos, establecido comunicación a traves de correos electronicos y la generación de grupo WhatsApp Departamental donde se dan tips necesarios para generación de actividades dirigidas a la población de primera infancia e infancia; se realizo jornada de capacitación en articulación con el ICBF logrando capacitar a 227 personas responsables de la atención en los CDI de las 14 regionales del ICBF para Cundinamarca; igualmente se realizaron 3 jornadas de capacitación en donde se abordaron 2 temas principales Generalidades de AIEPI con la participación de 544 personas y aplicación y valoración del menor mediante la ficha AIEPI Comunitaria con la participación de 447 personas  de 106 municipios del departamento, igualmente se realiza programación de capacitaciones para el año 2021 la cual esta hasta diciembre para el fortalecimiento de capacidades del talento humano en salud del departamento en temas relacionados a la primera infancia en infancia de las cuales se lleva a la fecha 1336 personas; se inicia proceso de ejecución en 15 municipios del departamento mediante la contratación con 9 ESE´S;  se inicio con las asistencias técnicas Instituciones Prestadoras de Servicios y Entidades territoriales en los municipios de Agua de Dios, Albán, Anapoima, Anolaima, Apulo, Arbeláez, Beltrán, Bituima, Bojaca, Cachipay, Cajica, Caparrapi, Caqueza, Carmen de Carupa, Chaguani, Chía, Chipaque, Choachi, Chocontá, Cogua, Cota, El Colegio, El Peñón, El Rosal , Facatativá, Fomeque, Fosca, Funza, Fúquene, Fusagasugá, Gachala, Gachancipa, Gacheta, Gama, Girardot, Granada, Guachetá, Guaduas, Guasca, Guatavita, Guayabal de Siquima, Guayabetal, Gutiérrez, Jerusalén, Junín, La Calera, La Mesa, La Palma, La Peña, La Vega, Lenguazaque, Macheta, Madrid, Manta, Medina, Mosquera, Nemocón, Nilo, Nimaima, Nocaima, Pacho, Paime, Paratebueno, Pasca, Puerto salgar, Pulí, Quebrada Negra, Quetame, Quipile, Ricaurte, San Bernardo, San Francisco, San Juan de Rio Seco, Sasaima, Sesquile, Sibate, Silvania, Simijaca, Soacha, Sopo, Subachoque, Suesca, Supata, Susa, Tabio, Tenjo, Tibirita, Tocaima, Tocancipa, Topaipi, Ubala, Ubaque, Une, Utica, Vergara, Viani, Ubaté, Villagomez, Villapinzón, Villeta, Viota, Yacopi, Zipacon, Zipaquirá para desarrollar capacidades y adoptar, adaptar e implementar RPMS a Primera mediante la estrategia AIEPI,  igualmente se continua en proceso de contratación de 2 profesionales para dar cumplimiento a las actividades programadas. </v>
      </c>
      <c r="AK81" s="11" t="str">
        <f>VLOOKUP(K81,'1197 Salud'!$K$13:$AK$54,27,0)</f>
        <v>En la mayoria de municipios el talento humano como gestoras, promotoras y ejecutores de actividades dirigidas a la población de primera infancia e infancia, se encuentran dificultades de contratación (tardia o incompleta) y alta rotación de los profesionales. Igualmente se evidencia baja ejecución de las actividades incorparadas en los municipios dentro de los PAS (Planesd de acción en salud) para la población de primera infancia e infancia.</v>
      </c>
      <c r="AL81" s="11">
        <v>0</v>
      </c>
      <c r="AM81" s="11">
        <v>116</v>
      </c>
      <c r="AN81" s="11">
        <v>0</v>
      </c>
      <c r="AO81" s="11">
        <v>116</v>
      </c>
      <c r="AP81" s="11">
        <v>0</v>
      </c>
      <c r="AQ81" s="11">
        <v>0</v>
      </c>
      <c r="AR81" s="51">
        <v>124500000</v>
      </c>
      <c r="AS81" s="54">
        <v>0</v>
      </c>
      <c r="AT81" s="54">
        <f t="shared" si="103"/>
        <v>124500000</v>
      </c>
      <c r="AU81" s="51">
        <v>58759623</v>
      </c>
      <c r="AV81" s="243">
        <v>1084596335</v>
      </c>
      <c r="AW81" s="244"/>
      <c r="AX81" s="244"/>
      <c r="AY81" s="243">
        <v>861140712</v>
      </c>
      <c r="AZ81" s="44" cm="1">
        <f t="array" ref="AZ81">_xlfn.IFS((BA81=0),(BD81/CL81),(BA81&gt;0),((BB81+BD81)/CL81),(BE81&gt;0),((BB81+BD81+BE81)/CL81),(BG81&gt;0),((BB81+BD81+BE81+G81)/CL81))</f>
        <v>0.47413793103448276</v>
      </c>
      <c r="BA81" s="44">
        <v>0.25</v>
      </c>
      <c r="BB81" s="44">
        <v>1</v>
      </c>
      <c r="BC81" s="44">
        <f t="shared" si="122"/>
        <v>0.25</v>
      </c>
      <c r="BD81" s="44" cm="1">
        <f t="array" ref="BD81">_xlfn.IFS(AE81=0,"NA",AE81&gt;0,AH81/AE81)</f>
        <v>0.89655172413793105</v>
      </c>
      <c r="BE81" s="44">
        <f t="shared" si="123"/>
        <v>0.25</v>
      </c>
      <c r="BF81" s="44">
        <v>0</v>
      </c>
      <c r="BG81" s="44">
        <f t="shared" si="124"/>
        <v>0.25</v>
      </c>
      <c r="BH81" s="44">
        <v>0</v>
      </c>
      <c r="BI81" s="44">
        <v>0</v>
      </c>
      <c r="BJ81" s="44" t="s">
        <v>115</v>
      </c>
      <c r="BK81" s="44">
        <f t="shared" si="104"/>
        <v>0.47413793103448276</v>
      </c>
      <c r="BL81" s="44">
        <v>1</v>
      </c>
      <c r="BM81" s="44" cm="1">
        <f t="array" ref="BM81">_xlfn.IFS(BD81="NA","NA",BD81&gt;100%,"100%",BD81&lt;100,BD81)</f>
        <v>0.89655172413793105</v>
      </c>
      <c r="BN81" s="44">
        <v>0</v>
      </c>
      <c r="BO81" s="44">
        <v>0</v>
      </c>
      <c r="BP81" s="44" t="s">
        <v>115</v>
      </c>
      <c r="BQ81" s="45">
        <v>0.22500000000000001</v>
      </c>
      <c r="BR81" s="45">
        <f t="shared" si="105"/>
        <v>0.10668103448275862</v>
      </c>
      <c r="BS81" s="45">
        <v>5.6300000000000003E-2</v>
      </c>
      <c r="BT81" s="45">
        <v>5.6300000000000003E-2</v>
      </c>
      <c r="BU81" s="45">
        <v>5.6300000000000003E-2</v>
      </c>
      <c r="BV81" s="45">
        <v>5.6300000000000003E-2</v>
      </c>
      <c r="BW81" s="45">
        <f t="shared" si="113"/>
        <v>5.0475862068965524E-2</v>
      </c>
      <c r="BX81" s="45">
        <f t="shared" si="114"/>
        <v>5.0381034482758616E-2</v>
      </c>
      <c r="BY81" s="45">
        <v>5.6300000000000003E-2</v>
      </c>
      <c r="BZ81" s="45">
        <v>0</v>
      </c>
      <c r="CA81" s="45">
        <f t="shared" si="106"/>
        <v>0</v>
      </c>
      <c r="CB81" s="45">
        <v>5.6300000000000003E-2</v>
      </c>
      <c r="CC81" s="45">
        <v>0</v>
      </c>
      <c r="CD81" s="45">
        <v>0</v>
      </c>
      <c r="CE81" s="45">
        <v>0</v>
      </c>
      <c r="CF81" s="45" t="s">
        <v>115</v>
      </c>
      <c r="CG81" s="45">
        <v>0</v>
      </c>
      <c r="CH81" s="244">
        <f t="shared" si="125"/>
        <v>1</v>
      </c>
      <c r="CI81" s="244">
        <f t="shared" si="126"/>
        <v>1</v>
      </c>
      <c r="CJ81" s="244">
        <f t="shared" si="127"/>
        <v>1</v>
      </c>
      <c r="CK81" s="244">
        <f t="shared" si="128"/>
        <v>1</v>
      </c>
      <c r="CL81">
        <f t="shared" si="129"/>
        <v>4</v>
      </c>
      <c r="CM81" s="63">
        <f t="shared" si="130"/>
        <v>110</v>
      </c>
    </row>
    <row r="82" spans="1:91" ht="18" hidden="1" customHeight="1">
      <c r="A82" s="260" t="s">
        <v>98</v>
      </c>
      <c r="B82" s="260" t="s">
        <v>99</v>
      </c>
      <c r="C82" s="260" t="s">
        <v>100</v>
      </c>
      <c r="D82" s="260" t="s">
        <v>508</v>
      </c>
      <c r="E82" s="260" t="s">
        <v>509</v>
      </c>
      <c r="F82" s="260" t="s">
        <v>596</v>
      </c>
      <c r="G82" s="260" t="s">
        <v>597</v>
      </c>
      <c r="H82" s="260" t="s">
        <v>598</v>
      </c>
      <c r="I82" s="260" t="s">
        <v>165</v>
      </c>
      <c r="J82" s="260" t="s">
        <v>531</v>
      </c>
      <c r="K82" s="260" t="s">
        <v>599</v>
      </c>
      <c r="L82" s="260" t="s">
        <v>600</v>
      </c>
      <c r="M82" s="260" t="s">
        <v>601</v>
      </c>
      <c r="N82" s="260" t="s">
        <v>111</v>
      </c>
      <c r="O82" s="260" t="s">
        <v>112</v>
      </c>
      <c r="P82" s="10">
        <v>0</v>
      </c>
      <c r="Q82" s="11">
        <v>4</v>
      </c>
      <c r="R82" s="11">
        <f t="shared" ref="R82:R86" si="131">Z82+AH82</f>
        <v>0</v>
      </c>
      <c r="S82" s="11" t="str">
        <f>VLOOKUP(K82,'1197 Salud'!$K$13:$AK$54,9,0)</f>
        <v>Se logra consolidar la Mesa Departamental de seguimiento a la malnutrición de la gestante y el niño pequeño, intersectorial e interinstitucional. 
Se consolida el seguimiento semanal municipal a los menores de 5 años con desnutrición aguda y la gestión con las EAPB para la atención y tratamiento oportuno. 
Se consolida la mesa Departamental de trabajo con las EAPB para el seguimiento a la desnutrición. Se avanza en la capacitación en la Resolución 2350/20 dirigida a los profesionales de la salud que atienden menores de 5 años. 
Se genero recursos adicionales para el fortalecimiento del proceso de Centros de Manejo Integral de la DNT Aguda en los Hospitales Mario Gaitan Yanguas de Soacha y San Rafael de Fusagasuga</v>
      </c>
      <c r="T82" s="11">
        <v>1</v>
      </c>
      <c r="U82" s="11">
        <v>0</v>
      </c>
      <c r="V82" s="11">
        <v>1</v>
      </c>
      <c r="W82" s="11">
        <v>0</v>
      </c>
      <c r="X82" s="11">
        <v>0</v>
      </c>
      <c r="Y82" s="11">
        <v>0</v>
      </c>
      <c r="Z82" s="11">
        <v>0</v>
      </c>
      <c r="AA82" s="11" t="s">
        <v>601</v>
      </c>
      <c r="AB82" s="11" t="s">
        <v>602</v>
      </c>
      <c r="AC82" s="11" t="s">
        <v>603</v>
      </c>
      <c r="AD82" s="403">
        <v>2</v>
      </c>
      <c r="AE82" s="403">
        <v>0</v>
      </c>
      <c r="AF82" s="11">
        <f>VLOOKUP(K82,'1197 Salud'!$K$13:$AK$54,22,0)</f>
        <v>0</v>
      </c>
      <c r="AG82" s="11">
        <f>VLOOKUP(K82,'1197 Salud'!$K$13:$AK$54,23,0)</f>
        <v>0</v>
      </c>
      <c r="AH82" s="11">
        <f t="shared" ref="AH82:AH86" si="132">AF82</f>
        <v>0</v>
      </c>
      <c r="AI82" s="11" t="str">
        <f>VLOOKUP(K82,'1197 Salud'!$K$13:$AK$54,25,0)</f>
        <v>ESEs certificadas como Centros Regionales de atención integral a la Desnutrición aguda en menores de 5 años</v>
      </c>
      <c r="AJ82" s="11" t="str">
        <f>VLOOKUP(K82,'1197 Salud'!$K$13:$AK$54,26,0)</f>
        <v>Se logra consolidar la Mesa Departamental de seguimiento a la malnutrición de la gestante y el niño pequeño, intersectorial e interinstitucional. 
Se consolida el seguimiento semanal municipal a los menores de 5 años con desnutrición aguda y la gestión con las EAPB para la atención y tratamiento oportuno. 
Se consolida la mesa Departamental de trabajo con las EAPB para el seguimiento a la desnutrición. Se avanza en la capacitación en la Resolución 2350/20 dirigida a los profesionales de la salud que atienden menores de 5 años. 
Se genero recursos adicionales para el fortalecimiento del proceso de Centros de Manejo Integral de la DNT Aguda en los Hospitales Mario Gaitan Yanguas de Soacha y San Rafael de Fusagasuga</v>
      </c>
      <c r="AK82" s="11" t="str">
        <f>VLOOKUP(K82,'1197 Salud'!$K$13:$AK$54,27,0)</f>
        <v>La contingencia por COVID 19 ha afectado a los profesionales de la salud, disminuyendo la posibilidad de cobertura en la formación de capacidades y habilidades en el manejo de la DNT aguda. Algunas EAPB generar barreras al momento de entregar la fórmula terapeutica para manejo de la DNT.  La alta rotación de personal dificulta los procesos</v>
      </c>
      <c r="AL82" s="11">
        <v>1</v>
      </c>
      <c r="AM82" s="11">
        <v>0</v>
      </c>
      <c r="AN82" s="11">
        <v>1</v>
      </c>
      <c r="AO82" s="11">
        <v>0</v>
      </c>
      <c r="AP82" s="11">
        <v>0</v>
      </c>
      <c r="AQ82" s="11">
        <v>0</v>
      </c>
      <c r="AR82" s="51">
        <v>311565089</v>
      </c>
      <c r="AS82" s="54">
        <v>0</v>
      </c>
      <c r="AT82" s="54">
        <f t="shared" si="103"/>
        <v>311565089</v>
      </c>
      <c r="AU82" s="51">
        <v>311565089</v>
      </c>
      <c r="AV82" s="243">
        <v>518577481</v>
      </c>
      <c r="AW82" s="244"/>
      <c r="AX82" s="244"/>
      <c r="AY82" s="243">
        <v>403777481</v>
      </c>
      <c r="AZ82" s="44">
        <f>R82/Q82</f>
        <v>0</v>
      </c>
      <c r="BA82" s="44">
        <v>0.25</v>
      </c>
      <c r="BB82" s="44">
        <v>0</v>
      </c>
      <c r="BC82" s="44">
        <f t="shared" ref="BC82:BC86" si="133">AD82/Q82</f>
        <v>0.5</v>
      </c>
      <c r="BD82" s="44" cm="1">
        <f t="array" ref="BD82">_xlfn.IFS(AD82=0,"NA",AD82&gt;0,AH82/AD82)</f>
        <v>0</v>
      </c>
      <c r="BE82" s="44">
        <f t="shared" ref="BE82:BE86" si="134">AL82/Q82</f>
        <v>0.25</v>
      </c>
      <c r="BF82" s="44">
        <v>0</v>
      </c>
      <c r="BG82" s="44">
        <f t="shared" ref="BG82:BG86" si="135">AN82/Q82</f>
        <v>0.25</v>
      </c>
      <c r="BH82" s="44">
        <v>0</v>
      </c>
      <c r="BI82" s="44">
        <f>AP82/Q82</f>
        <v>0</v>
      </c>
      <c r="BJ82" s="44" t="s">
        <v>115</v>
      </c>
      <c r="BK82" s="44">
        <f t="shared" si="104"/>
        <v>0</v>
      </c>
      <c r="BL82" s="44">
        <v>0</v>
      </c>
      <c r="BM82" s="44" cm="1">
        <f t="array" ref="BM82">_xlfn.IFS(BD82="NA","NA",BD82&gt;100%,"100%",BD82&lt;100,BD82)</f>
        <v>0</v>
      </c>
      <c r="BN82" s="44" cm="1">
        <f t="array" ref="BN82">_xlfn.IFS(BF82="NA","NA",BF82&gt;100%,"100%",BF82&lt;100,BF82)</f>
        <v>0</v>
      </c>
      <c r="BO82" s="44" cm="1">
        <f t="array" ref="BO82">_xlfn.IFS(BH82="NA","NA",BH82&gt;100%,"100%",BH82&lt;100,BH82)</f>
        <v>0</v>
      </c>
      <c r="BP82" s="44" t="str" cm="1">
        <f t="array" ref="BP82">_xlfn.IFS(BJ82="NA","NA",BJ82&gt;100%,"100%",BJ82&lt;100,BJ82)</f>
        <v>NA</v>
      </c>
      <c r="BQ82" s="45">
        <v>0.22500000000000001</v>
      </c>
      <c r="BR82" s="45">
        <f t="shared" si="105"/>
        <v>0</v>
      </c>
      <c r="BS82" s="45">
        <v>5.6300000000000003E-2</v>
      </c>
      <c r="BT82" s="45">
        <v>0</v>
      </c>
      <c r="BU82" s="45">
        <v>0</v>
      </c>
      <c r="BV82" s="45">
        <f t="shared" ref="BV82:BV86" si="136">(AD82*BQ82)/Q82</f>
        <v>0.1125</v>
      </c>
      <c r="BW82" s="45">
        <f t="shared" si="113"/>
        <v>0</v>
      </c>
      <c r="BX82" s="45">
        <f t="shared" si="114"/>
        <v>0</v>
      </c>
      <c r="BY82" s="45">
        <f t="shared" ref="BY82:BY86" si="137">(AL82*BQ82)/Q82</f>
        <v>5.6250000000000001E-2</v>
      </c>
      <c r="BZ82" s="45">
        <f t="shared" ref="BZ82:BZ86" si="138">IF(BN82="NA","NA",BN82*BY82)</f>
        <v>0</v>
      </c>
      <c r="CA82" s="45">
        <f t="shared" si="106"/>
        <v>0</v>
      </c>
      <c r="CB82" s="45">
        <f t="shared" ref="CB82:CB86" si="139">(AN82*BQ82)/Q82</f>
        <v>5.6250000000000001E-2</v>
      </c>
      <c r="CC82" s="45">
        <f t="shared" ref="CC82:CC86" si="140">IF(BO82="NA","NA",BO82*CB82)</f>
        <v>0</v>
      </c>
      <c r="CD82" s="45">
        <v>0</v>
      </c>
      <c r="CE82" s="45">
        <f>(AP82*BQ82)/Q82</f>
        <v>0</v>
      </c>
      <c r="CF82" s="45" t="str">
        <f>IF(BP82="NA","NA",BP82*CE82)</f>
        <v>NA</v>
      </c>
      <c r="CG82" s="45">
        <v>0</v>
      </c>
      <c r="CH82" s="244"/>
      <c r="CI82" s="244"/>
      <c r="CJ82" s="244"/>
      <c r="CK82" s="244"/>
      <c r="CM82" s="63">
        <v>0</v>
      </c>
    </row>
    <row r="83" spans="1:91" ht="18" hidden="1" customHeight="1">
      <c r="A83" s="260" t="s">
        <v>292</v>
      </c>
      <c r="B83" s="260" t="s">
        <v>293</v>
      </c>
      <c r="C83" s="260" t="s">
        <v>100</v>
      </c>
      <c r="D83" s="260" t="s">
        <v>508</v>
      </c>
      <c r="E83" s="260" t="s">
        <v>509</v>
      </c>
      <c r="F83" s="260" t="s">
        <v>604</v>
      </c>
      <c r="G83" s="260" t="s">
        <v>605</v>
      </c>
      <c r="H83" s="260" t="s">
        <v>606</v>
      </c>
      <c r="I83" s="260" t="s">
        <v>255</v>
      </c>
      <c r="J83" s="260" t="s">
        <v>607</v>
      </c>
      <c r="K83" s="260" t="s">
        <v>608</v>
      </c>
      <c r="L83" s="260" t="s">
        <v>609</v>
      </c>
      <c r="M83" s="260" t="s">
        <v>610</v>
      </c>
      <c r="N83" s="260" t="s">
        <v>123</v>
      </c>
      <c r="O83" s="260" t="s">
        <v>112</v>
      </c>
      <c r="P83" s="10">
        <v>0</v>
      </c>
      <c r="Q83" s="11">
        <v>100</v>
      </c>
      <c r="R83" s="11">
        <f t="shared" si="131"/>
        <v>68</v>
      </c>
      <c r="S83" s="11" t="str">
        <f>VLOOKUP(K83,'1108 Educación'!$K$13:$AK$40,9,0)</f>
        <v xml:space="preserve">Con el proyecto MIMI "Mi casa, Mi escuela" a través de los componentes Pedagógico y psicosocial, se trabajaron las acciones para el fortalecimiento de los Proyectos Educativos Institucionales del 68% de las IED programadas, correspondiente a 174 Instituciones Educativas del Departamento. 
A través de la Ruta de Acompañamiento Pedagógico se apoyan y fortalecen
los aspectos pedagógicos relacionados con la planeación educativa,
la flexibilización curricular y la práctica pedagógica articulado con
el proceso de formación y cualificación, esenciales en la Gestión académica y componente pedagógico del PEI. Para el mes de junio, se integro al equipo de la Dirección de Calidad una OPS para el acompañamiento a las IED en la revisión y retroalimentación de los proyectos Educativos Istitucionales.  Para el mes de junio, se integro al equipo de la Dirección de Calidad una OPS para el acompañamiento a las IED en la revisión y retroalimentación de los proyectos Educativos Istitucionales. </v>
      </c>
      <c r="T83" s="11">
        <v>5</v>
      </c>
      <c r="U83" s="11">
        <v>0</v>
      </c>
      <c r="V83" s="11">
        <v>5</v>
      </c>
      <c r="W83" s="11">
        <v>0</v>
      </c>
      <c r="X83" s="11">
        <v>5</v>
      </c>
      <c r="Y83" s="11">
        <v>0</v>
      </c>
      <c r="Z83" s="11">
        <v>5</v>
      </c>
      <c r="AA83" s="11" t="s">
        <v>611</v>
      </c>
      <c r="AB83" s="11" t="s">
        <v>612</v>
      </c>
      <c r="AC83" s="11">
        <v>0</v>
      </c>
      <c r="AD83" s="403">
        <v>63</v>
      </c>
      <c r="AE83" s="403">
        <v>0</v>
      </c>
      <c r="AF83" s="11">
        <f>VLOOKUP(K83,'1108 Educación'!$K$13:$AK$40,22,0)</f>
        <v>63</v>
      </c>
      <c r="AG83" s="11">
        <f>VLOOKUP(K83,'1108 Educación'!$K$13:$AK$40,23,0)</f>
        <v>0</v>
      </c>
      <c r="AH83" s="11">
        <f t="shared" si="132"/>
        <v>63</v>
      </c>
      <c r="AI83" s="11">
        <f>VLOOKUP(K83,'1108 Educación'!$K$13:$AK$40,25,0)</f>
        <v>0</v>
      </c>
      <c r="AJ83" s="11" t="str">
        <f>VLOOKUP(K83,'1108 Educación'!$K$13:$AK$40,26,0)</f>
        <v>Con el proyecto MIMI "Mi casa, Mi escuela" a través de los componentes Pedagógico y psicosocial, se trabajaron las acciones para el fortalecimiento de los Proyectos Educativos Institucionales del 63% de las IED programadas, correspondiente a 174 Instituciones Educativas del Departamento. 
A través de la Ruta de Acompañamiento Pedagógico se apoyan y fortalecen
los aspectos pedagógicos relacionados con la planeación educativa,
la flexibilización curricular y la práctica pedagógica articulado con
el proceso de formación y cualificación, esenciales en la Gestión académica y componente pedagógico del PEI. Para el mes de junio, se integro al equipo de la Dirección de Calidad una OPS para el acompañamiento a las IED en la revisión y retroalimentación de los proyectos Educativos Istitucionales.  Para el mes de junio, se integro al equipo de la Dirección de Calidad una OPS para el acompañamiento a las IED en la revisión y retroalimentación de los proyectos Educativos Istitucionales.  En el marco de la actualización de los Proyectos Educativos Institucionales, durante el mes deSeptiembre  se continua con la revisión de los PEI de las IED focalizadas para el año 2021 y remitiendo la retroalimentación a las IED (8 de las 174 focalizadas) , adicionalmente, se ha continuado apoyando, en la revisión y actualización de  los Proyectos Pedagógicos Transversales PEGR y PRAE, durante el mes de agosto se revisaron 15 Instituciones Educativas, de las 174 focalizadas. En el marco de la actualización de los Proyectos Educativos Institucionales, Durante el mes de Octubre  se continua con la revisión de los PEI de las IED focalizadas para el año 2021 y remitiendo la retroalimentación a las IED (9 de las 174 focalizadas) , adicionalmente, se ha continuado apoyando, en la revisión y actualización de  los Proyectos Pedagógicos Transversales PEGR y PRAE, Durante el mes de Octubre se revisaron 15 Instituciones Educativas, de las 174 focalizadas.</v>
      </c>
      <c r="AK83" s="11">
        <f>VLOOKUP(K83,'1108 Educación'!$K$13:$AK$40,27,0)</f>
        <v>0</v>
      </c>
      <c r="AL83" s="11">
        <v>20</v>
      </c>
      <c r="AM83" s="11">
        <v>0</v>
      </c>
      <c r="AN83" s="11">
        <v>12</v>
      </c>
      <c r="AO83" s="11">
        <v>0</v>
      </c>
      <c r="AP83" s="11">
        <v>0</v>
      </c>
      <c r="AQ83" s="11">
        <v>0</v>
      </c>
      <c r="AR83" s="52"/>
      <c r="AS83" s="54">
        <v>36000000</v>
      </c>
      <c r="AT83" s="54">
        <f t="shared" si="103"/>
        <v>36000000</v>
      </c>
      <c r="AU83" s="52"/>
      <c r="AV83" s="243">
        <v>377674318</v>
      </c>
      <c r="AW83" s="244"/>
      <c r="AX83" s="244"/>
      <c r="AY83" s="243">
        <v>0</v>
      </c>
      <c r="AZ83" s="44">
        <f>R83/Q83</f>
        <v>0.68</v>
      </c>
      <c r="BA83" s="44">
        <v>0.05</v>
      </c>
      <c r="BB83" s="44">
        <v>1</v>
      </c>
      <c r="BC83" s="44">
        <f t="shared" si="133"/>
        <v>0.63</v>
      </c>
      <c r="BD83" s="44" cm="1">
        <f t="array" ref="BD83">_xlfn.IFS(AD83=0,"NA",AD83&gt;0,AH83/AD83)</f>
        <v>1</v>
      </c>
      <c r="BE83" s="44">
        <f t="shared" si="134"/>
        <v>0.2</v>
      </c>
      <c r="BF83" s="44">
        <v>0</v>
      </c>
      <c r="BG83" s="44">
        <f t="shared" si="135"/>
        <v>0.12</v>
      </c>
      <c r="BH83" s="44">
        <v>0</v>
      </c>
      <c r="BI83" s="44">
        <f>AP83/Q83</f>
        <v>0</v>
      </c>
      <c r="BJ83" s="44" t="s">
        <v>115</v>
      </c>
      <c r="BK83" s="44">
        <f t="shared" si="104"/>
        <v>0.68</v>
      </c>
      <c r="BL83" s="44">
        <v>1</v>
      </c>
      <c r="BM83" s="44" cm="1">
        <f t="array" ref="BM83">_xlfn.IFS(BD83="NA","NA",BD83&gt;100%,"100%",BD83&lt;100,BD83)</f>
        <v>1</v>
      </c>
      <c r="BN83" s="44" cm="1">
        <f t="array" ref="BN83">_xlfn.IFS(BF83="NA","NA",BF83&gt;100%,"100%",BF83&lt;100,BF83)</f>
        <v>0</v>
      </c>
      <c r="BO83" s="44" cm="1">
        <f t="array" ref="BO83">_xlfn.IFS(BH83="NA","NA",BH83&gt;100%,"100%",BH83&lt;100,BH83)</f>
        <v>0</v>
      </c>
      <c r="BP83" s="44" t="str" cm="1">
        <f t="array" ref="BP83">_xlfn.IFS(BJ83="NA","NA",BJ83&gt;100%,"100%",BJ83&lt;100,BJ83)</f>
        <v>NA</v>
      </c>
      <c r="BQ83" s="222">
        <v>0.45</v>
      </c>
      <c r="BR83" s="45">
        <f t="shared" si="105"/>
        <v>0.30600000000000005</v>
      </c>
      <c r="BS83" s="45">
        <v>1.1299999999999999E-2</v>
      </c>
      <c r="BT83" s="45">
        <v>1.1299999999999999E-2</v>
      </c>
      <c r="BU83" s="45">
        <v>1.1299999999999999E-2</v>
      </c>
      <c r="BV83" s="45">
        <f t="shared" si="136"/>
        <v>0.28350000000000003</v>
      </c>
      <c r="BW83" s="45">
        <f t="shared" si="113"/>
        <v>0.28350000000000003</v>
      </c>
      <c r="BX83" s="45">
        <f t="shared" si="114"/>
        <v>0.29470000000000007</v>
      </c>
      <c r="BY83" s="45">
        <f t="shared" si="137"/>
        <v>0.09</v>
      </c>
      <c r="BZ83" s="45">
        <f t="shared" si="138"/>
        <v>0</v>
      </c>
      <c r="CA83" s="45">
        <f t="shared" si="106"/>
        <v>0</v>
      </c>
      <c r="CB83" s="45">
        <f t="shared" si="139"/>
        <v>5.4000000000000006E-2</v>
      </c>
      <c r="CC83" s="45">
        <f t="shared" si="140"/>
        <v>0</v>
      </c>
      <c r="CD83" s="45">
        <v>0</v>
      </c>
      <c r="CE83" s="45">
        <f>(AP83*BQ83)/Q83</f>
        <v>0</v>
      </c>
      <c r="CF83" s="45" t="str">
        <f>IF(BP83="NA","NA",BP83*CE83)</f>
        <v>NA</v>
      </c>
      <c r="CG83" s="45">
        <v>0</v>
      </c>
      <c r="CH83" s="244"/>
      <c r="CI83" s="244"/>
      <c r="CJ83" s="244"/>
      <c r="CK83" s="244"/>
      <c r="CM83" s="63">
        <v>68</v>
      </c>
    </row>
    <row r="84" spans="1:91" ht="18" hidden="1" customHeight="1">
      <c r="A84" s="260" t="s">
        <v>292</v>
      </c>
      <c r="B84" s="260" t="s">
        <v>293</v>
      </c>
      <c r="C84" s="260" t="s">
        <v>100</v>
      </c>
      <c r="D84" s="260" t="s">
        <v>508</v>
      </c>
      <c r="E84" s="260" t="s">
        <v>509</v>
      </c>
      <c r="F84" s="260" t="s">
        <v>604</v>
      </c>
      <c r="G84" s="260" t="s">
        <v>605</v>
      </c>
      <c r="H84" s="260" t="s">
        <v>613</v>
      </c>
      <c r="I84" s="260" t="s">
        <v>255</v>
      </c>
      <c r="J84" s="260" t="s">
        <v>298</v>
      </c>
      <c r="K84" s="260" t="s">
        <v>614</v>
      </c>
      <c r="L84" s="260" t="s">
        <v>615</v>
      </c>
      <c r="M84" s="260" t="s">
        <v>616</v>
      </c>
      <c r="N84" s="260" t="s">
        <v>111</v>
      </c>
      <c r="O84" s="260" t="s">
        <v>112</v>
      </c>
      <c r="P84" s="10">
        <v>30000</v>
      </c>
      <c r="Q84" s="11">
        <v>20000</v>
      </c>
      <c r="R84" s="11">
        <f t="shared" si="131"/>
        <v>2885</v>
      </c>
      <c r="S84" s="11">
        <f>VLOOKUP(K84,'1108 Educación'!$K$13:$AK$40,9,0)</f>
        <v>0</v>
      </c>
      <c r="T84" s="11">
        <v>0</v>
      </c>
      <c r="U84" s="11">
        <v>0</v>
      </c>
      <c r="V84" s="11">
        <v>0</v>
      </c>
      <c r="W84" s="11">
        <v>0</v>
      </c>
      <c r="X84" s="11">
        <v>0</v>
      </c>
      <c r="Y84" s="11">
        <v>0</v>
      </c>
      <c r="Z84" s="11">
        <v>0</v>
      </c>
      <c r="AA84" s="11"/>
      <c r="AB84" s="11"/>
      <c r="AC84" s="11"/>
      <c r="AD84" s="403">
        <v>2885</v>
      </c>
      <c r="AE84" s="403">
        <v>0</v>
      </c>
      <c r="AF84" s="11">
        <f>VLOOKUP(K84,'1108 Educación'!$K$13:$AK$40,22,0)</f>
        <v>2885</v>
      </c>
      <c r="AG84" s="11">
        <f>VLOOKUP(K84,'1108 Educación'!$K$13:$AK$40,23,0)</f>
        <v>0</v>
      </c>
      <c r="AH84" s="11">
        <f t="shared" si="132"/>
        <v>2885</v>
      </c>
      <c r="AI84" s="11">
        <f>VLOOKUP(K84,'1108 Educación'!$K$13:$AK$40,25,0)</f>
        <v>0</v>
      </c>
      <c r="AJ84" s="11" t="str">
        <f>VLOOKUP(K84,'1108 Educación'!$K$13:$AK$40,26,0)</f>
        <v>Durante el mes de mayo, se realizó la firma del Convenio SE-CD-CASO-118-2021-COLSUBSIDIO-Jornada Esoclar Complementaria, entre la SEC de Educación, la Secretaria de Desarrollo Social y la Caja de compensación familiar, Colsubsidio,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En este momento se han adelantado las siguientes acciones:
1. Firma del convenio Marco 
2. Recepción carta de intención de los municipios
3. En este momento se estan realizando la firma de los convenios en los municipios y la focalización de los estudiantes.  Durante el mes de junio se ha avanzado a través de la Caja de Compensació familiar Colsubsidio, en la firma de los convenios con los municipios focalizados, con la finalidad de dar inicio en el mes de julio con este proceso en ejecución. 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Se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en la vigenncia 2021 se han beneficiado 2.885 estudiantes.  Durante el mes de septiembre se ha avanzado con la firma de los Convenios municipales, que se encontraban pendientes para garantizar los procesos de atención a Nivel Municipal, en el marco del convenio de Colsubsidio. Durante el mes de octubre se continua con el desarrollo de los convenios con los municipios para la atencion de los estudiantes en el proyecto CILAB con la caja de compensacion colsubsidio.</v>
      </c>
      <c r="AK84" s="11">
        <f>VLOOKUP(K84,'1108 Educación'!$K$13:$AK$40,27,0)</f>
        <v>0</v>
      </c>
      <c r="AL84" s="11">
        <v>9000</v>
      </c>
      <c r="AM84" s="11">
        <v>0</v>
      </c>
      <c r="AN84" s="11">
        <v>8115</v>
      </c>
      <c r="AO84" s="11">
        <v>0</v>
      </c>
      <c r="AP84" s="11">
        <v>0</v>
      </c>
      <c r="AQ84" s="11">
        <v>0</v>
      </c>
      <c r="AR84" s="52"/>
      <c r="AS84" s="54">
        <v>0</v>
      </c>
      <c r="AT84" s="54">
        <f t="shared" si="103"/>
        <v>0</v>
      </c>
      <c r="AU84" s="52"/>
      <c r="AV84" s="243"/>
      <c r="AW84" s="244"/>
      <c r="AX84" s="244"/>
      <c r="AY84" s="243"/>
      <c r="AZ84" s="44">
        <f>R84/Q84</f>
        <v>0.14424999999999999</v>
      </c>
      <c r="BA84" s="44">
        <v>0</v>
      </c>
      <c r="BB84" s="44" t="s">
        <v>115</v>
      </c>
      <c r="BC84" s="44">
        <f t="shared" si="133"/>
        <v>0.14424999999999999</v>
      </c>
      <c r="BD84" s="44" cm="1">
        <f t="array" ref="BD84">_xlfn.IFS(AD84=0,"NA",AD84&gt;0,AH84/AD84)</f>
        <v>1</v>
      </c>
      <c r="BE84" s="44">
        <f t="shared" si="134"/>
        <v>0.45</v>
      </c>
      <c r="BF84" s="44">
        <v>0</v>
      </c>
      <c r="BG84" s="44">
        <f t="shared" si="135"/>
        <v>0.40575</v>
      </c>
      <c r="BH84" s="44">
        <v>0</v>
      </c>
      <c r="BI84" s="44">
        <f>AP84/Q84</f>
        <v>0</v>
      </c>
      <c r="BJ84" s="44" t="s">
        <v>115</v>
      </c>
      <c r="BK84" s="44">
        <f t="shared" si="104"/>
        <v>0.14424999999999999</v>
      </c>
      <c r="BL84" s="44" t="s">
        <v>115</v>
      </c>
      <c r="BM84" s="44" cm="1">
        <f t="array" ref="BM84">_xlfn.IFS(BD84="NA","NA",BD84&gt;100%,"100%",BD84&lt;100,BD84)</f>
        <v>1</v>
      </c>
      <c r="BN84" s="44" cm="1">
        <f t="array" ref="BN84">_xlfn.IFS(BF84="NA","NA",BF84&gt;100%,"100%",BF84&lt;100,BF84)</f>
        <v>0</v>
      </c>
      <c r="BO84" s="44" cm="1">
        <f t="array" ref="BO84">_xlfn.IFS(BH84="NA","NA",BH84&gt;100%,"100%",BH84&lt;100,BH84)</f>
        <v>0</v>
      </c>
      <c r="BP84" s="44" t="str" cm="1">
        <f t="array" ref="BP84">_xlfn.IFS(BJ84="NA","NA",BJ84&gt;100%,"100%",BJ84&lt;100,BJ84)</f>
        <v>NA</v>
      </c>
      <c r="BQ84" s="220">
        <v>0.22500000000000001</v>
      </c>
      <c r="BR84" s="45">
        <f t="shared" si="105"/>
        <v>3.2456249999999999E-2</v>
      </c>
      <c r="BS84" s="45">
        <v>0</v>
      </c>
      <c r="BT84" s="45" t="s">
        <v>115</v>
      </c>
      <c r="BU84" s="45">
        <v>0</v>
      </c>
      <c r="BV84" s="45">
        <f t="shared" si="136"/>
        <v>3.2456249999999999E-2</v>
      </c>
      <c r="BW84" s="45">
        <f t="shared" si="113"/>
        <v>3.2456249999999999E-2</v>
      </c>
      <c r="BX84" s="45">
        <f t="shared" si="114"/>
        <v>3.2456249999999999E-2</v>
      </c>
      <c r="BY84" s="45">
        <f t="shared" si="137"/>
        <v>0.10125000000000001</v>
      </c>
      <c r="BZ84" s="45">
        <f t="shared" si="138"/>
        <v>0</v>
      </c>
      <c r="CA84" s="45">
        <f t="shared" si="106"/>
        <v>0</v>
      </c>
      <c r="CB84" s="45">
        <f t="shared" si="139"/>
        <v>9.1293750000000007E-2</v>
      </c>
      <c r="CC84" s="45">
        <f t="shared" si="140"/>
        <v>0</v>
      </c>
      <c r="CD84" s="45">
        <v>0</v>
      </c>
      <c r="CE84" s="45">
        <f>(AP84*BQ84)/Q84</f>
        <v>0</v>
      </c>
      <c r="CF84" s="45" t="str">
        <f>IF(BP84="NA","NA",BP84*CE84)</f>
        <v>NA</v>
      </c>
      <c r="CG84" s="45">
        <v>0</v>
      </c>
      <c r="CH84" s="244"/>
      <c r="CI84" s="244"/>
      <c r="CJ84" s="244"/>
      <c r="CK84" s="244"/>
      <c r="CM84" s="63">
        <v>1007</v>
      </c>
    </row>
    <row r="85" spans="1:91" ht="18" hidden="1" customHeight="1">
      <c r="A85" s="260" t="s">
        <v>292</v>
      </c>
      <c r="B85" s="260" t="s">
        <v>293</v>
      </c>
      <c r="C85" s="260" t="s">
        <v>100</v>
      </c>
      <c r="D85" s="260" t="s">
        <v>508</v>
      </c>
      <c r="E85" s="260" t="s">
        <v>509</v>
      </c>
      <c r="F85" s="260" t="s">
        <v>604</v>
      </c>
      <c r="G85" s="260" t="s">
        <v>605</v>
      </c>
      <c r="H85" s="260" t="s">
        <v>617</v>
      </c>
      <c r="I85" s="260" t="s">
        <v>255</v>
      </c>
      <c r="J85" s="260"/>
      <c r="K85" s="260" t="s">
        <v>618</v>
      </c>
      <c r="L85" s="260" t="s">
        <v>619</v>
      </c>
      <c r="M85" s="260" t="s">
        <v>620</v>
      </c>
      <c r="N85" s="260" t="s">
        <v>111</v>
      </c>
      <c r="O85" s="260" t="s">
        <v>112</v>
      </c>
      <c r="P85" s="10">
        <v>0</v>
      </c>
      <c r="Q85" s="11">
        <v>1</v>
      </c>
      <c r="R85" s="11">
        <f t="shared" si="131"/>
        <v>0.05</v>
      </c>
      <c r="S85" s="11" t="str">
        <f>VLOOKUP(K85,'1108 Educación'!$K$13:$AK$40,9,0)</f>
        <v xml:space="preserve">En la vigencia 2021, se  esta adelantando el proceso de contratación de una profesional, para apoyar en la Dirección, en la Construcción del Plan de Educación Rural, dentro de las acciones establecidas en su contrato se encuentran: 
1. Apoyar en la construcción del Plan de Educación Rural de la Secretaría de Educación - Dirección de Calidad          
2. Apoyar en la socialización del Plan de Educación Rural de la Secretaría de Educación - Dirección de Calidad . </v>
      </c>
      <c r="T85" s="11">
        <v>0</v>
      </c>
      <c r="U85" s="11">
        <v>0</v>
      </c>
      <c r="V85" s="11">
        <v>0</v>
      </c>
      <c r="W85" s="11">
        <v>0</v>
      </c>
      <c r="X85" s="11">
        <v>0</v>
      </c>
      <c r="Y85" s="11">
        <v>0</v>
      </c>
      <c r="Z85" s="11">
        <v>0</v>
      </c>
      <c r="AA85" s="11"/>
      <c r="AB85" s="11"/>
      <c r="AC85" s="11"/>
      <c r="AD85" s="403">
        <v>0.2</v>
      </c>
      <c r="AE85" s="403">
        <v>0</v>
      </c>
      <c r="AF85" s="11">
        <f>VLOOKUP(K85,'1108 Educación'!$K$13:$AK$40,22,0)</f>
        <v>0.05</v>
      </c>
      <c r="AG85" s="11">
        <f>VLOOKUP(K85,'1108 Educación'!$K$13:$AK$40,23,0)</f>
        <v>0</v>
      </c>
      <c r="AH85" s="11">
        <f t="shared" si="132"/>
        <v>0.05</v>
      </c>
      <c r="AI85" s="11">
        <f>VLOOKUP(K85,'1108 Educación'!$K$13:$AK$40,25,0)</f>
        <v>0</v>
      </c>
      <c r="AJ85" s="11" t="str">
        <f>VLOOKUP(K85,'1108 Educación'!$K$13:$AK$40,26,0)</f>
        <v>Se esta estructurando el Plan de Trabajo para la construcción del Plan de Educación Rural. Durante el mes de agosto, se realizó el proceso de contratación de una profesional, para apoyar en la Dirección, en la Construcción del Plan de Educación Rural, dentro de las acciones establecidas en su contrato se encuentran: 
1. Apoyar en la construcción del Plan de Educación Rural de la Secretaría de Educación - Dirección de Calidad          
2. Apoyar en la socialización del Plan de Educación Rural de la Secretaría de Educación - Dirección de Calidad . Durante el mes de septiembre se ha desarrollado el proceso de Caracterización Departamental, con el apoyo de la profesional OPS, que se encuentra a cargo de este proceso. Durante el  mes de octubre se continua con la estructuracion del plan de educacion rural.</v>
      </c>
      <c r="AK85" s="11">
        <f>VLOOKUP(K85,'1108 Educación'!$K$13:$AK$40,27,0)</f>
        <v>0</v>
      </c>
      <c r="AL85" s="11">
        <v>0.4</v>
      </c>
      <c r="AM85" s="11">
        <v>0</v>
      </c>
      <c r="AN85" s="11">
        <v>0.4</v>
      </c>
      <c r="AO85" s="11">
        <v>0</v>
      </c>
      <c r="AP85" s="11">
        <v>0</v>
      </c>
      <c r="AQ85" s="11">
        <v>0</v>
      </c>
      <c r="AR85" s="52"/>
      <c r="AS85" s="54">
        <v>0</v>
      </c>
      <c r="AT85" s="54">
        <f t="shared" si="103"/>
        <v>0</v>
      </c>
      <c r="AU85" s="52"/>
      <c r="AV85" s="243"/>
      <c r="AW85" s="244"/>
      <c r="AX85" s="244"/>
      <c r="AY85" s="243"/>
      <c r="AZ85" s="44">
        <f>R85/Q85</f>
        <v>0.05</v>
      </c>
      <c r="BA85" s="44">
        <v>0</v>
      </c>
      <c r="BB85" s="44" t="s">
        <v>115</v>
      </c>
      <c r="BC85" s="44">
        <f t="shared" si="133"/>
        <v>0.2</v>
      </c>
      <c r="BD85" s="44" cm="1">
        <f t="array" ref="BD85">_xlfn.IFS(AD85=0,"NA",AD85&gt;0,AH85/AD85)</f>
        <v>0.25</v>
      </c>
      <c r="BE85" s="44">
        <f t="shared" si="134"/>
        <v>0.4</v>
      </c>
      <c r="BF85" s="44">
        <v>0</v>
      </c>
      <c r="BG85" s="44">
        <f t="shared" si="135"/>
        <v>0.4</v>
      </c>
      <c r="BH85" s="44">
        <v>0</v>
      </c>
      <c r="BI85" s="44">
        <f>AP85/Q85</f>
        <v>0</v>
      </c>
      <c r="BJ85" s="44" t="s">
        <v>115</v>
      </c>
      <c r="BK85" s="44">
        <f t="shared" si="104"/>
        <v>0.05</v>
      </c>
      <c r="BL85" s="44" t="s">
        <v>115</v>
      </c>
      <c r="BM85" s="44" cm="1">
        <f t="array" ref="BM85">_xlfn.IFS(BD85="NA","NA",BD85&gt;100%,"100%",BD85&lt;100,BD85)</f>
        <v>0.25</v>
      </c>
      <c r="BN85" s="44" cm="1">
        <f t="array" ref="BN85">_xlfn.IFS(BF85="NA","NA",BF85&gt;100%,"100%",BF85&lt;100,BF85)</f>
        <v>0</v>
      </c>
      <c r="BO85" s="44" cm="1">
        <f t="array" ref="BO85">_xlfn.IFS(BH85="NA","NA",BH85&gt;100%,"100%",BH85&lt;100,BH85)</f>
        <v>0</v>
      </c>
      <c r="BP85" s="44" t="str" cm="1">
        <f t="array" ref="BP85">_xlfn.IFS(BJ85="NA","NA",BJ85&gt;100%,"100%",BJ85&lt;100,BJ85)</f>
        <v>NA</v>
      </c>
      <c r="BQ85" s="220">
        <v>0.22500000000000001</v>
      </c>
      <c r="BR85" s="45">
        <f t="shared" si="105"/>
        <v>1.1250000000000001E-2</v>
      </c>
      <c r="BS85" s="45">
        <v>0</v>
      </c>
      <c r="BT85" s="45" t="s">
        <v>115</v>
      </c>
      <c r="BU85" s="45">
        <v>0</v>
      </c>
      <c r="BV85" s="45">
        <f t="shared" si="136"/>
        <v>4.5000000000000005E-2</v>
      </c>
      <c r="BW85" s="45">
        <f t="shared" si="113"/>
        <v>1.1250000000000001E-2</v>
      </c>
      <c r="BX85" s="45">
        <f t="shared" si="114"/>
        <v>1.1250000000000001E-2</v>
      </c>
      <c r="BY85" s="45">
        <f t="shared" si="137"/>
        <v>9.0000000000000011E-2</v>
      </c>
      <c r="BZ85" s="45">
        <f t="shared" si="138"/>
        <v>0</v>
      </c>
      <c r="CA85" s="45">
        <f t="shared" si="106"/>
        <v>0</v>
      </c>
      <c r="CB85" s="45">
        <f t="shared" si="139"/>
        <v>9.0000000000000011E-2</v>
      </c>
      <c r="CC85" s="45">
        <f t="shared" si="140"/>
        <v>0</v>
      </c>
      <c r="CD85" s="45">
        <v>0</v>
      </c>
      <c r="CE85" s="45">
        <f>(AP85*BQ85)/Q85</f>
        <v>0</v>
      </c>
      <c r="CF85" s="45" t="str">
        <f>IF(BP85="NA","NA",BP85*CE85)</f>
        <v>NA</v>
      </c>
      <c r="CG85" s="45">
        <v>0</v>
      </c>
      <c r="CH85" s="244"/>
      <c r="CI85" s="244"/>
      <c r="CJ85" s="244"/>
      <c r="CK85" s="244"/>
      <c r="CM85" s="63">
        <v>0</v>
      </c>
    </row>
    <row r="86" spans="1:91" ht="18" hidden="1" customHeight="1">
      <c r="A86" s="260" t="s">
        <v>292</v>
      </c>
      <c r="B86" s="260" t="s">
        <v>293</v>
      </c>
      <c r="C86" s="260" t="s">
        <v>100</v>
      </c>
      <c r="D86" s="260" t="s">
        <v>508</v>
      </c>
      <c r="E86" s="260" t="s">
        <v>509</v>
      </c>
      <c r="F86" s="260" t="s">
        <v>604</v>
      </c>
      <c r="G86" s="260" t="s">
        <v>605</v>
      </c>
      <c r="H86" s="260" t="s">
        <v>621</v>
      </c>
      <c r="I86" s="260" t="s">
        <v>255</v>
      </c>
      <c r="J86" s="260" t="s">
        <v>622</v>
      </c>
      <c r="K86" s="260" t="s">
        <v>623</v>
      </c>
      <c r="L86" s="260" t="s">
        <v>624</v>
      </c>
      <c r="M86" s="260" t="s">
        <v>625</v>
      </c>
      <c r="N86" s="260" t="s">
        <v>123</v>
      </c>
      <c r="O86" s="260" t="s">
        <v>112</v>
      </c>
      <c r="P86" s="10">
        <v>0</v>
      </c>
      <c r="Q86" s="11">
        <v>100</v>
      </c>
      <c r="R86" s="11">
        <f t="shared" si="131"/>
        <v>79</v>
      </c>
      <c r="S86" s="11">
        <f>VLOOKUP(K86,'1108 Educación'!$K$13:$AK$40,9,0)</f>
        <v>0</v>
      </c>
      <c r="T86" s="11">
        <v>0</v>
      </c>
      <c r="U86" s="11">
        <v>0</v>
      </c>
      <c r="V86" s="11">
        <v>0</v>
      </c>
      <c r="W86" s="11">
        <v>0</v>
      </c>
      <c r="X86" s="11">
        <v>0</v>
      </c>
      <c r="Y86" s="11">
        <v>0</v>
      </c>
      <c r="Z86" s="11">
        <v>0</v>
      </c>
      <c r="AA86" s="11"/>
      <c r="AB86" s="11"/>
      <c r="AC86" s="11"/>
      <c r="AD86" s="403">
        <v>79</v>
      </c>
      <c r="AE86" s="403">
        <v>0</v>
      </c>
      <c r="AF86" s="11">
        <f>VLOOKUP(K86,'1108 Educación'!$K$13:$AK$40,22,0)</f>
        <v>79</v>
      </c>
      <c r="AG86" s="11">
        <f>VLOOKUP(K86,'1108 Educación'!$K$13:$AK$40,23,0)</f>
        <v>0</v>
      </c>
      <c r="AH86" s="11">
        <f t="shared" si="132"/>
        <v>79</v>
      </c>
      <c r="AI86" s="11">
        <f>VLOOKUP(K86,'1108 Educación'!$K$13:$AK$40,25,0)</f>
        <v>0</v>
      </c>
      <c r="AJ86" s="11" t="str">
        <f>VLOOKUP(K86,'1108 Educación'!$K$13:$AK$40,26,0)</f>
        <v>Se estan vinculando dos psicologas al equipo de Calidad,  para crear la Red de convivencia escolar y fortalecer los procesos de acompañamiento para la actualización de los manuales de convivencia escolar.  Se logra estructurar la guía metodologica para la  actualizacion de los manuales de convivencia  en las IED. Se consolida la Guia de revisión de manuales de convivencia, se hace capacitación a los profesionales de apoyo frente a la revisión de manuales  de convivencia y se  logró la revisión 218 manuales de convivencia en el mismo número de IED correspondientes al 79%. Durante el mes de octubre se dio incio a la estructuracion de la red de convivencia escolar partiendo de la redaccion del documento tecnico donde se establece la justificacion, caracteristicas, objetivos , el alcance , los actores y los roles de todas la generalidades de la red.Se establecen soluciones de manera conjunta con el  Ministerio de Educación para la implementación del SIUCE en todas las IED, logrando nuevos procesos de capacitación virtuales.</v>
      </c>
      <c r="AK86" s="11" t="str">
        <f>VLOOKUP(K86,'1108 Educación'!$K$13:$AK$40,27,0)</f>
        <v xml:space="preserve"> la dificultad para el mes de octubre es que muchas de las IED por falta de conectividad no han  podido lograr accder a la capacitaciones del Ministerio de Educacion Nacional por lo cual no han podido acceder a la plataforma para reportar las situaciones a través de este mecanismo.</v>
      </c>
      <c r="AL86" s="11">
        <v>11</v>
      </c>
      <c r="AM86" s="11">
        <v>0</v>
      </c>
      <c r="AN86" s="11">
        <v>10</v>
      </c>
      <c r="AO86" s="11">
        <v>0</v>
      </c>
      <c r="AP86" s="11">
        <v>0</v>
      </c>
      <c r="AQ86" s="11">
        <v>0</v>
      </c>
      <c r="AR86" s="52"/>
      <c r="AS86" s="54">
        <v>0</v>
      </c>
      <c r="AT86" s="54">
        <f t="shared" si="103"/>
        <v>0</v>
      </c>
      <c r="AU86" s="52"/>
      <c r="AV86" s="243">
        <v>465530682</v>
      </c>
      <c r="AW86" s="244"/>
      <c r="AX86" s="244"/>
      <c r="AY86" s="243">
        <v>0</v>
      </c>
      <c r="AZ86" s="44">
        <f>R86/Q86</f>
        <v>0.79</v>
      </c>
      <c r="BA86" s="44">
        <v>0</v>
      </c>
      <c r="BB86" s="44" t="s">
        <v>115</v>
      </c>
      <c r="BC86" s="44">
        <f t="shared" si="133"/>
        <v>0.79</v>
      </c>
      <c r="BD86" s="44" cm="1">
        <f t="array" ref="BD86">_xlfn.IFS(AD86=0,"NA",AD86&gt;0,AH86/AD86)</f>
        <v>1</v>
      </c>
      <c r="BE86" s="44">
        <f t="shared" si="134"/>
        <v>0.11</v>
      </c>
      <c r="BF86" s="44">
        <v>0</v>
      </c>
      <c r="BG86" s="44">
        <f t="shared" si="135"/>
        <v>0.1</v>
      </c>
      <c r="BH86" s="44">
        <v>0</v>
      </c>
      <c r="BI86" s="44">
        <f>AP86/Q86</f>
        <v>0</v>
      </c>
      <c r="BJ86" s="44" t="s">
        <v>115</v>
      </c>
      <c r="BK86" s="44">
        <f t="shared" si="104"/>
        <v>0.79</v>
      </c>
      <c r="BL86" s="44" t="s">
        <v>115</v>
      </c>
      <c r="BM86" s="44" cm="1">
        <f t="array" ref="BM86">_xlfn.IFS(BD86="NA","NA",BD86&gt;100%,"100%",BD86&lt;100,BD86)</f>
        <v>1</v>
      </c>
      <c r="BN86" s="44" cm="1">
        <f t="array" ref="BN86">_xlfn.IFS(BF86="NA","NA",BF86&gt;100%,"100%",BF86&lt;100,BF86)</f>
        <v>0</v>
      </c>
      <c r="BO86" s="44" cm="1">
        <f t="array" ref="BO86">_xlfn.IFS(BH86="NA","NA",BH86&gt;100%,"100%",BH86&lt;100,BH86)</f>
        <v>0</v>
      </c>
      <c r="BP86" s="44" t="str" cm="1">
        <f t="array" ref="BP86">_xlfn.IFS(BJ86="NA","NA",BJ86&gt;100%,"100%",BJ86&lt;100,BJ86)</f>
        <v>NA</v>
      </c>
      <c r="BQ86" s="223">
        <v>0.45</v>
      </c>
      <c r="BR86" s="45">
        <f t="shared" si="105"/>
        <v>0.35550000000000004</v>
      </c>
      <c r="BS86" s="45">
        <v>0</v>
      </c>
      <c r="BT86" s="45" t="s">
        <v>115</v>
      </c>
      <c r="BU86" s="45">
        <v>0</v>
      </c>
      <c r="BV86" s="45">
        <f t="shared" si="136"/>
        <v>0.35550000000000004</v>
      </c>
      <c r="BW86" s="45">
        <f t="shared" si="113"/>
        <v>0.35550000000000004</v>
      </c>
      <c r="BX86" s="45">
        <f t="shared" si="114"/>
        <v>0.35550000000000004</v>
      </c>
      <c r="BY86" s="45">
        <f t="shared" si="137"/>
        <v>4.9500000000000002E-2</v>
      </c>
      <c r="BZ86" s="45">
        <f t="shared" si="138"/>
        <v>0</v>
      </c>
      <c r="CA86" s="45">
        <f t="shared" si="106"/>
        <v>0</v>
      </c>
      <c r="CB86" s="45">
        <f t="shared" si="139"/>
        <v>4.4999999999999998E-2</v>
      </c>
      <c r="CC86" s="45">
        <f t="shared" si="140"/>
        <v>0</v>
      </c>
      <c r="CD86" s="45">
        <v>0</v>
      </c>
      <c r="CE86" s="45">
        <f>(AP86*BQ86)/Q86</f>
        <v>0</v>
      </c>
      <c r="CF86" s="45" t="str">
        <f>IF(BP86="NA","NA",BP86*CE86)</f>
        <v>NA</v>
      </c>
      <c r="CG86" s="45">
        <v>0</v>
      </c>
      <c r="CH86" s="244"/>
      <c r="CI86" s="244"/>
      <c r="CJ86" s="244"/>
      <c r="CK86" s="244"/>
      <c r="CM86" s="63">
        <v>79</v>
      </c>
    </row>
    <row r="87" spans="1:91" ht="18" hidden="1" customHeight="1">
      <c r="A87" s="260" t="s">
        <v>292</v>
      </c>
      <c r="B87" s="260" t="s">
        <v>293</v>
      </c>
      <c r="C87" s="260" t="s">
        <v>100</v>
      </c>
      <c r="D87" s="260" t="s">
        <v>508</v>
      </c>
      <c r="E87" s="260" t="s">
        <v>509</v>
      </c>
      <c r="F87" s="260" t="s">
        <v>604</v>
      </c>
      <c r="G87" s="260" t="s">
        <v>605</v>
      </c>
      <c r="H87" s="260" t="s">
        <v>626</v>
      </c>
      <c r="I87" s="260" t="s">
        <v>255</v>
      </c>
      <c r="J87" s="260"/>
      <c r="K87" s="260" t="s">
        <v>627</v>
      </c>
      <c r="L87" s="260" t="s">
        <v>628</v>
      </c>
      <c r="M87" s="260" t="s">
        <v>629</v>
      </c>
      <c r="N87" s="260" t="s">
        <v>111</v>
      </c>
      <c r="O87" s="260" t="s">
        <v>124</v>
      </c>
      <c r="P87" s="10">
        <v>0</v>
      </c>
      <c r="Q87" s="11">
        <v>9</v>
      </c>
      <c r="R87" s="11">
        <f>(Z87+AH87)/CL87</f>
        <v>4.5</v>
      </c>
      <c r="S87" s="11">
        <f>VLOOKUP(K87,'1108 Educación'!$K$13:$AK$40,9,0)</f>
        <v>0</v>
      </c>
      <c r="T87" s="11">
        <v>0</v>
      </c>
      <c r="U87" s="11">
        <v>9</v>
      </c>
      <c r="V87" s="11">
        <v>0</v>
      </c>
      <c r="W87" s="11">
        <v>9</v>
      </c>
      <c r="X87" s="11" t="s">
        <v>115</v>
      </c>
      <c r="Y87" s="11">
        <v>9</v>
      </c>
      <c r="Z87" s="11">
        <v>9</v>
      </c>
      <c r="AA87" s="11">
        <v>0</v>
      </c>
      <c r="AB87" s="11" t="s">
        <v>630</v>
      </c>
      <c r="AC87" s="11">
        <v>0</v>
      </c>
      <c r="AD87" s="403">
        <v>0</v>
      </c>
      <c r="AE87" s="403">
        <v>9</v>
      </c>
      <c r="AF87" s="11">
        <f>VLOOKUP(K87,'1108 Educación'!$K$13:$AK$40,22,0)</f>
        <v>0</v>
      </c>
      <c r="AG87" s="11">
        <f>VLOOKUP(K87,'1108 Educación'!$K$13:$AK$40,23,0)</f>
        <v>9</v>
      </c>
      <c r="AH87" s="11">
        <f>AG87</f>
        <v>9</v>
      </c>
      <c r="AI87" s="11">
        <f>VLOOKUP(K87,'1108 Educación'!$K$13:$AK$40,25,0)</f>
        <v>0</v>
      </c>
      <c r="AJ87" s="11" t="str">
        <f>VLOOKUP(K87,'1108 Educación'!$K$13:$AK$40,26,0)</f>
        <v xml:space="preserve">En el mes de julio se realizó reunión con los Rectores de las IED Escuelas Normales. Durante el mes de septiembre, se llevo a cabo el comité de seguimiento a las Escuelas Normales Superiores. En este proceso participan las Nueve Escuelas Normales. Para el  mes de octubre se llevo a cabo la revisión de Planes de estudios y asignaciones academicas, para la verificación de perfiles, en el marco de la Gestión Academica. 
En el marco de las gestiones Directiva, academica y administrativa, se avanzo Rectores de las Nueve Escuelas Normales con el acompañamiento del Doctor Carlos Hipólito, asesor de la Secretaría de Educación sobre el alcance y contexto de la resolución 17614 de 16 de septiembre de 2021,  sobre el proceso de traslados preferentes de las escuelas normales superiores y las incidencias de estas en cada una de las gestiones de las Escuelas Normales Superiores. Se constituyo el comité de las Escuelas Normales para realizarse todos los jueves a las 10.00 am con la finalidad de continuar avanzando en los procesos de construcción colectiva. Durante la primera semana de octubre, se proyecto el avance en la revisión de Planes de estudios y asignaciones academicas, para la verificación de perfiles, en el marco de la Gestión Academica. </v>
      </c>
      <c r="AK87" s="11">
        <f>VLOOKUP(K87,'1108 Educación'!$K$13:$AK$40,27,0)</f>
        <v>0</v>
      </c>
      <c r="AL87" s="11">
        <v>0</v>
      </c>
      <c r="AM87" s="11">
        <v>9</v>
      </c>
      <c r="AN87" s="11">
        <v>0</v>
      </c>
      <c r="AO87" s="11">
        <v>9</v>
      </c>
      <c r="AP87" s="11">
        <v>0</v>
      </c>
      <c r="AQ87" s="11">
        <v>0</v>
      </c>
      <c r="AR87" s="52"/>
      <c r="AS87" s="54">
        <v>4000000</v>
      </c>
      <c r="AT87" s="54">
        <f t="shared" si="103"/>
        <v>4000000</v>
      </c>
      <c r="AU87" s="52"/>
      <c r="AV87" s="243"/>
      <c r="AW87" s="244"/>
      <c r="AX87" s="244"/>
      <c r="AY87" s="243"/>
      <c r="AZ87" s="44" cm="1">
        <f t="array" ref="AZ87">_xlfn.IFS((BA87=0),(BD87/CL87),(BA87&gt;0),((BB87+BD87)/CL87),(BE87&gt;0),((BB87+BD87+BE87)/CL87),(BG87&gt;0),((BB87+BD87+BE87+G87)/CL87))</f>
        <v>0.5</v>
      </c>
      <c r="BA87" s="44">
        <v>0.25</v>
      </c>
      <c r="BB87" s="44">
        <v>1</v>
      </c>
      <c r="BC87" s="44">
        <f>IF(AE87&gt;0,(1/CL87),0)</f>
        <v>0.25</v>
      </c>
      <c r="BD87" s="44" cm="1">
        <f t="array" ref="BD87">_xlfn.IFS(AE87=0,"NA",AE87&gt;0,AH87/AE87)</f>
        <v>1</v>
      </c>
      <c r="BE87" s="44">
        <f>IF(AM87&gt;0,(1/CL87),0)</f>
        <v>0.25</v>
      </c>
      <c r="BF87" s="44">
        <v>0</v>
      </c>
      <c r="BG87" s="44">
        <f>IF(AO87&gt;0,(1/CL87),0)</f>
        <v>0.25</v>
      </c>
      <c r="BH87" s="44">
        <v>0</v>
      </c>
      <c r="BI87" s="44">
        <v>0</v>
      </c>
      <c r="BJ87" s="44" t="s">
        <v>115</v>
      </c>
      <c r="BK87" s="44">
        <f t="shared" si="104"/>
        <v>0.5</v>
      </c>
      <c r="BL87" s="44">
        <v>1</v>
      </c>
      <c r="BM87" s="44" cm="1">
        <f t="array" ref="BM87">_xlfn.IFS(BD87="NA","NA",BD87&gt;100%,"100%",BD87&lt;100,BD87)</f>
        <v>1</v>
      </c>
      <c r="BN87" s="44">
        <v>0</v>
      </c>
      <c r="BO87" s="44">
        <v>0</v>
      </c>
      <c r="BP87" s="44" t="s">
        <v>115</v>
      </c>
      <c r="BQ87" s="220">
        <v>0.22500000000000001</v>
      </c>
      <c r="BR87" s="45">
        <f t="shared" si="105"/>
        <v>0.1125</v>
      </c>
      <c r="BS87" s="45">
        <v>5.6300000000000003E-2</v>
      </c>
      <c r="BT87" s="45">
        <v>5.6300000000000003E-2</v>
      </c>
      <c r="BU87" s="45">
        <v>5.6300000000000003E-2</v>
      </c>
      <c r="BV87" s="45">
        <v>5.6300000000000003E-2</v>
      </c>
      <c r="BW87" s="45">
        <f t="shared" si="113"/>
        <v>5.6300000000000003E-2</v>
      </c>
      <c r="BX87" s="45">
        <f t="shared" si="114"/>
        <v>5.62E-2</v>
      </c>
      <c r="BY87" s="45">
        <v>5.6300000000000003E-2</v>
      </c>
      <c r="BZ87" s="45">
        <v>0</v>
      </c>
      <c r="CA87" s="45">
        <f t="shared" si="106"/>
        <v>0</v>
      </c>
      <c r="CB87" s="45">
        <v>5.6300000000000003E-2</v>
      </c>
      <c r="CC87" s="45">
        <v>0</v>
      </c>
      <c r="CD87" s="45">
        <v>0</v>
      </c>
      <c r="CE87" s="45">
        <v>0</v>
      </c>
      <c r="CF87" s="45" t="s">
        <v>115</v>
      </c>
      <c r="CG87" s="45">
        <v>0</v>
      </c>
      <c r="CH87" s="244">
        <f>IF(W87&gt;0,1,0)</f>
        <v>1</v>
      </c>
      <c r="CI87" s="244">
        <f>IF(AE87&gt;0,1,0)</f>
        <v>1</v>
      </c>
      <c r="CJ87" s="244">
        <f>IF(AM87&gt;0,1,0)</f>
        <v>1</v>
      </c>
      <c r="CK87" s="244">
        <f>IF(AO87&gt;0,1,0)</f>
        <v>1</v>
      </c>
      <c r="CL87">
        <f>CH87+CI87+CJ87+CK87</f>
        <v>4</v>
      </c>
      <c r="CM87" s="63">
        <f>AVERAGE(Z87,AH87)</f>
        <v>9</v>
      </c>
    </row>
    <row r="88" spans="1:91" ht="18" hidden="1" customHeight="1">
      <c r="A88" s="260" t="s">
        <v>292</v>
      </c>
      <c r="B88" s="260" t="s">
        <v>293</v>
      </c>
      <c r="C88" s="260" t="s">
        <v>100</v>
      </c>
      <c r="D88" s="260" t="s">
        <v>508</v>
      </c>
      <c r="E88" s="260" t="s">
        <v>509</v>
      </c>
      <c r="F88" s="260" t="s">
        <v>604</v>
      </c>
      <c r="G88" s="260" t="s">
        <v>605</v>
      </c>
      <c r="H88" s="260" t="s">
        <v>631</v>
      </c>
      <c r="I88" s="260" t="s">
        <v>255</v>
      </c>
      <c r="J88" s="260" t="s">
        <v>632</v>
      </c>
      <c r="K88" s="260" t="s">
        <v>633</v>
      </c>
      <c r="L88" s="260" t="s">
        <v>634</v>
      </c>
      <c r="M88" s="260" t="s">
        <v>635</v>
      </c>
      <c r="N88" s="260" t="s">
        <v>111</v>
      </c>
      <c r="O88" s="260" t="s">
        <v>112</v>
      </c>
      <c r="P88" s="10">
        <v>1245</v>
      </c>
      <c r="Q88" s="11">
        <v>1450</v>
      </c>
      <c r="R88" s="11">
        <f>Z88+AH88</f>
        <v>1450</v>
      </c>
      <c r="S88" s="11" t="str">
        <f>VLOOKUP(K88,'1108 Educación'!$K$13:$AK$40,9,0)</f>
        <v>Se logró mantener el servicio de  conectividad a internet de 1294 sedes educativas, a través de la Autopista Digital de Cundinamarca, permitiendo mejor conectividad y apropiación de las Tic  estas sedes han podido cumplir con procesos administrativos y académicos exigidos  por la secretarìa de Educaciòn, por el MEN y otro procesos educativos en los que están vinculados.</v>
      </c>
      <c r="T88" s="11">
        <v>0</v>
      </c>
      <c r="U88" s="11">
        <v>1400</v>
      </c>
      <c r="V88" s="11">
        <v>0</v>
      </c>
      <c r="W88" s="11">
        <v>1400</v>
      </c>
      <c r="X88" s="11" t="s">
        <v>115</v>
      </c>
      <c r="Y88" s="11">
        <v>412</v>
      </c>
      <c r="Z88" s="11">
        <v>412</v>
      </c>
      <c r="AA88" s="11" t="s">
        <v>636</v>
      </c>
      <c r="AB88" s="11" t="s">
        <v>637</v>
      </c>
      <c r="AC88" s="11">
        <v>0</v>
      </c>
      <c r="AD88" s="403">
        <v>1038</v>
      </c>
      <c r="AE88" s="403">
        <v>0</v>
      </c>
      <c r="AF88" s="11">
        <f>VLOOKUP(K88,'1108 Educación'!$K$13:$AK$40,22,0)</f>
        <v>1038</v>
      </c>
      <c r="AG88" s="11">
        <f>VLOOKUP(K88,'1108 Educación'!$K$13:$AK$40,23,0)</f>
        <v>0</v>
      </c>
      <c r="AH88" s="11">
        <f>AF88</f>
        <v>1038</v>
      </c>
      <c r="AI88" s="11" t="str">
        <f>VLOOKUP(K88,'1108 Educación'!$K$13:$AK$40,25,0)</f>
        <v xml:space="preserve">Conexión  Internet </v>
      </c>
      <c r="AJ88" s="11" t="str">
        <f>VLOOKUP(K88,'1108 Educación'!$K$13:$AK$40,26,0)</f>
        <v>Con  estrategias de conectividad como transferencias, autopista Digital, y estrategia de Mintic Cundinamarca se han conectado 985 sedes educativas donde el servicio de internet es vital para los estudiantes, de esta forma ir cerrando la brecha digital. Durante el mes de Octubre se realizaron transferencias con recursos SGP segun resolucion 3818 del 12 de octubre del 2021.</v>
      </c>
      <c r="AK88" s="11">
        <f>VLOOKUP(K88,'1108 Educación'!$K$13:$AK$40,27,0)</f>
        <v>0</v>
      </c>
      <c r="AL88" s="11">
        <v>0</v>
      </c>
      <c r="AM88" s="11">
        <v>1450</v>
      </c>
      <c r="AN88" s="11">
        <v>0</v>
      </c>
      <c r="AO88" s="11">
        <v>1450</v>
      </c>
      <c r="AP88" s="11">
        <v>0</v>
      </c>
      <c r="AQ88" s="11">
        <v>0</v>
      </c>
      <c r="AR88" s="52"/>
      <c r="AS88" s="54">
        <v>0</v>
      </c>
      <c r="AT88" s="54">
        <f t="shared" si="103"/>
        <v>0</v>
      </c>
      <c r="AU88" s="52"/>
      <c r="AV88" s="243">
        <v>2152944360</v>
      </c>
      <c r="AW88" s="244"/>
      <c r="AX88" s="244"/>
      <c r="AY88" s="243">
        <v>2151800000</v>
      </c>
      <c r="AZ88" s="44">
        <f>R88/Q88</f>
        <v>1</v>
      </c>
      <c r="BA88" s="44">
        <v>0.25</v>
      </c>
      <c r="BB88" s="44">
        <v>0.29430000000000001</v>
      </c>
      <c r="BC88" s="44">
        <f>AD88/Q88</f>
        <v>0.7158620689655173</v>
      </c>
      <c r="BD88" s="44" cm="1">
        <f t="array" ref="BD88">_xlfn.IFS(AD88=0,"NA",AD88&gt;0,AH88/AD88)</f>
        <v>1</v>
      </c>
      <c r="BE88" s="44">
        <f>AL88/Q88</f>
        <v>0</v>
      </c>
      <c r="BF88" s="44">
        <v>0</v>
      </c>
      <c r="BG88" s="44">
        <f>AN88/Q88</f>
        <v>0</v>
      </c>
      <c r="BH88" s="44">
        <v>0</v>
      </c>
      <c r="BI88" s="44">
        <v>0</v>
      </c>
      <c r="BJ88" s="44" t="s">
        <v>115</v>
      </c>
      <c r="BK88" s="44">
        <f t="shared" si="104"/>
        <v>1</v>
      </c>
      <c r="BL88" s="44">
        <v>0.29430000000000001</v>
      </c>
      <c r="BM88" s="44" cm="1">
        <f t="array" ref="BM88">_xlfn.IFS(BD88="NA","NA",BD88&gt;100%,"100%",BD88&lt;100,BD88)</f>
        <v>1</v>
      </c>
      <c r="BN88" s="44">
        <v>0</v>
      </c>
      <c r="BO88" s="44">
        <v>0</v>
      </c>
      <c r="BP88" s="44" t="s">
        <v>115</v>
      </c>
      <c r="BQ88" s="220">
        <v>0.22500000000000001</v>
      </c>
      <c r="BR88" s="45">
        <f>BQ88*BK88</f>
        <v>0.22500000000000001</v>
      </c>
      <c r="BS88" s="45">
        <v>5.6300000000000003E-2</v>
      </c>
      <c r="BT88" s="45">
        <v>1.66E-2</v>
      </c>
      <c r="BU88" s="45">
        <v>1.66E-2</v>
      </c>
      <c r="BV88" s="262">
        <v>0.16869999999999999</v>
      </c>
      <c r="BW88" s="45">
        <f>IF(BM88="NA","NA",BM88*BV88)</f>
        <v>0.16869999999999999</v>
      </c>
      <c r="BX88" s="262">
        <f>BR88-BU88</f>
        <v>0.2084</v>
      </c>
      <c r="BY88" s="45">
        <f>(AL88*BQ88)/Q88</f>
        <v>0</v>
      </c>
      <c r="BZ88" s="45">
        <f>IF(BN88="NA","NA",BN88*BY88)</f>
        <v>0</v>
      </c>
      <c r="CA88" s="45">
        <f t="shared" si="106"/>
        <v>0</v>
      </c>
      <c r="CB88" s="45">
        <f>(AN88*BQ88)/Q88</f>
        <v>0</v>
      </c>
      <c r="CC88" s="45">
        <f>IF(BO88="NA","NA",BO88*CB88)</f>
        <v>0</v>
      </c>
      <c r="CD88" s="45">
        <v>0</v>
      </c>
      <c r="CE88" s="45">
        <v>0</v>
      </c>
      <c r="CF88" s="45" t="s">
        <v>115</v>
      </c>
      <c r="CG88" s="45">
        <v>0</v>
      </c>
      <c r="CH88" s="244">
        <f>IF(W88&gt;0,1,0)</f>
        <v>1</v>
      </c>
      <c r="CI88" s="244">
        <f>IF(AE88&gt;0,1,0)</f>
        <v>0</v>
      </c>
      <c r="CJ88" s="244">
        <f>IF(AM88&gt;0,1,0)</f>
        <v>1</v>
      </c>
      <c r="CK88" s="244">
        <f>IF(AO88&gt;0,1,0)</f>
        <v>1</v>
      </c>
      <c r="CL88">
        <f>CH88+CI88+CJ88+CK88</f>
        <v>3</v>
      </c>
      <c r="CM88" s="63">
        <v>1294</v>
      </c>
    </row>
    <row r="89" spans="1:91" ht="18" hidden="1" customHeight="1">
      <c r="A89" s="260" t="s">
        <v>292</v>
      </c>
      <c r="B89" s="260" t="s">
        <v>293</v>
      </c>
      <c r="C89" s="260" t="s">
        <v>100</v>
      </c>
      <c r="D89" s="260" t="s">
        <v>508</v>
      </c>
      <c r="E89" s="260" t="s">
        <v>509</v>
      </c>
      <c r="F89" s="260" t="s">
        <v>604</v>
      </c>
      <c r="G89" s="260" t="s">
        <v>605</v>
      </c>
      <c r="H89" s="260" t="s">
        <v>638</v>
      </c>
      <c r="I89" s="260" t="s">
        <v>255</v>
      </c>
      <c r="J89" s="260" t="s">
        <v>298</v>
      </c>
      <c r="K89" s="260" t="s">
        <v>639</v>
      </c>
      <c r="L89" s="260" t="s">
        <v>640</v>
      </c>
      <c r="M89" s="260" t="s">
        <v>641</v>
      </c>
      <c r="N89" s="260" t="s">
        <v>111</v>
      </c>
      <c r="O89" s="260" t="s">
        <v>124</v>
      </c>
      <c r="P89" s="10">
        <v>230</v>
      </c>
      <c r="Q89" s="11">
        <v>230</v>
      </c>
      <c r="R89" s="11">
        <f t="shared" ref="R89:R90" si="141">(Z89+AH89)/CL89</f>
        <v>112.25</v>
      </c>
      <c r="S89" s="11" t="str">
        <f>VLOOKUP(K89,'1108 Educación'!$K$13:$AK$40,9,0)</f>
        <v>223 Instituciones Educativas Departamentales avanzan en la implementación de la Jornada Única, desde la Secretaría de Educación se han brindado las condiciones necesarias para que su ejecución se desarrolle conforme a lo establecido en los lineamientos del Ministerio de Educación Nacional, se han priorizado los estudiantes de jornada unica en la focalización de PAE, de acuerdo a los criterios indicados en la resolución 24952 de 2017, así mismo, se han entregado a las instituciones educativas con jornada única 6.500 horas extras para su implementación, se cuenta igualmente con 21 docentes de jornada única, adicionalmente los rectores que tienen más del 60% de la matrícula en jornada única reciben el incentivo del 30% adicional en pago de sus honorarios; frente al componente pedagógico se esta verificando a través de entrevista con cada uno de los rectores el proceso de implementación del proyecto de jornada única, en su PEI, así como en su malla curricular.  De esta manera se estan beneficiando 67.873 estudiantes conforme al reporte de SIMAT.  El Ministerio de Educación Nacional ha continuado apoyando el proceso de formación, mediante los webinar dirijido a rectores y funcionarios dde la Secretaría de Educación encargados de jornada única.  En el mes de julio se mantiene porcentaje de Instituciones Educativas Departamentale en Jornada Única, se realiza publicación de resolución de las horas extras  por parte de la Dirección de personal,, PAE se mantiene sin contratiempo, el Ministerio de Educación apoya e incentiva mediante los webinar dirijido a rectores y funcionarios de la Secretaría de Educación encargados de jornada única, se crea drive para que las I.E.D que quieran ampliar y solicitar JU, suban allí la documentación requerida para la vigenca 2022</v>
      </c>
      <c r="T89" s="11">
        <v>0</v>
      </c>
      <c r="U89" s="11">
        <v>230</v>
      </c>
      <c r="V89" s="11">
        <v>0</v>
      </c>
      <c r="W89" s="11">
        <v>230</v>
      </c>
      <c r="X89" s="11" t="s">
        <v>115</v>
      </c>
      <c r="Y89" s="11">
        <v>224</v>
      </c>
      <c r="Z89" s="11">
        <v>224</v>
      </c>
      <c r="AA89" s="11" t="s">
        <v>642</v>
      </c>
      <c r="AB89" s="11" t="s">
        <v>643</v>
      </c>
      <c r="AC89" s="11">
        <v>0</v>
      </c>
      <c r="AD89" s="403">
        <v>0</v>
      </c>
      <c r="AE89" s="403">
        <v>230</v>
      </c>
      <c r="AF89" s="11">
        <f>VLOOKUP(K89,'1108 Educación'!$K$13:$AK$40,22,0)</f>
        <v>0</v>
      </c>
      <c r="AG89" s="11">
        <f>VLOOKUP(K89,'1108 Educación'!$K$13:$AK$40,23,0)</f>
        <v>225</v>
      </c>
      <c r="AH89" s="11">
        <f t="shared" ref="AH89:AH90" si="142">AG89</f>
        <v>225</v>
      </c>
      <c r="AI89" s="11">
        <f>VLOOKUP(K89,'1108 Educación'!$K$13:$AK$40,25,0)</f>
        <v>0</v>
      </c>
      <c r="AJ89" s="11" t="str">
        <f>VLOOKUP(K89,'1108 Educación'!$K$13:$AK$40,26,0)</f>
        <v>225 Instituciones Educativas Departamentale avanzan en la implementación de la Jornada Única, desde la Secretaría de Educación se han brindado las condiciones necesarias para que su ejecución se desarrolle conforme a lo establecido en los lineamientos del Ministerio de Educación Nacional, se han priorizado los estudiantes de jornada unica en la focalización de PAE, de acuerdo a los criterios indicados en la resolución 24952 de 2017, así mismo, se han entregado a las instituciones educativas con jornada única 6.500 horas extras para su implementación, se cuenta igualmente con 21 docentes de jornada única, adicionalmente los rectores que tienen más del 60% de la matrícula en jornada única reciben el incentivo del 30% adicional en pago de sus honorarios; frente al componente pedagógico se esta verificando a través de entrevista con cada uno de los rectores el proceso de implementación del proyecto de jornada única, en su PEI, así como en su malla curricular.  De esta manera se estan beneficiando 67.001 estudiantes conforme al reporte de SIMAT de 27 de septiembre de 2021 cabe resaltar que tomamos este mismo dato del informe pasado ya que la plataforma SIMAT no funciona en el momento. El Ministerio de Educación Nacional ha continuado apoyando el proceso de formación, mediante los webinar dirijido a rectores y funcionarios de la Secretaría de Educación encargados de jornada única.  se cuenta con el apoyo de en 26 instituciones educativas  de los facilidores  del Ministerio de Educacion Nacional  Andres pedraza, Julian Salazar , Eliana Mateus. La Dirección de Cobertura con el equipo lider de jornada unica ha conformado el comité tecnico de jornada única, atendiendo las directrices del Ministerio de Educación Nacional, dicho comité hace acompañamiento en los procesos de verificación de los componentes para el fortalecimiento de la implementación de la jornada única. Se reporta en el  plan de implementación de jornada única las I.E.D  intervenidas y construidas con recursos del FFIE amparadas por Ley 21, dichas instituciones ingresas a jornada única a partir de 2022 una vez se expidad el acto administrativo correspondiente.</v>
      </c>
      <c r="AK89" s="11">
        <f>VLOOKUP(K89,'1108 Educación'!$K$13:$AK$40,27,0)</f>
        <v>0</v>
      </c>
      <c r="AL89" s="11">
        <v>0</v>
      </c>
      <c r="AM89" s="11">
        <v>230</v>
      </c>
      <c r="AN89" s="11">
        <v>0</v>
      </c>
      <c r="AO89" s="11">
        <v>230</v>
      </c>
      <c r="AP89" s="11">
        <v>0</v>
      </c>
      <c r="AQ89" s="11">
        <v>0</v>
      </c>
      <c r="AR89" s="52"/>
      <c r="AS89" s="54">
        <v>24600600</v>
      </c>
      <c r="AT89" s="54">
        <f t="shared" si="103"/>
        <v>24600600</v>
      </c>
      <c r="AU89" s="52"/>
      <c r="AV89" s="243"/>
      <c r="AW89" s="244"/>
      <c r="AX89" s="244"/>
      <c r="AY89" s="243"/>
      <c r="AZ89" s="44" cm="1">
        <f t="array" ref="AZ89">_xlfn.IFS((BA89=0),(BD89/CL89),(BA89&gt;0),((BB89+BD89)/CL89),(BE89&gt;0),((BB89+BD89+BE89)/CL89),(BG89&gt;0),((BB89+BD89+BE89+G89)/CL89))</f>
        <v>0.48804021739130432</v>
      </c>
      <c r="BA89" s="44">
        <v>0.25</v>
      </c>
      <c r="BB89" s="44">
        <v>0.97389999999999999</v>
      </c>
      <c r="BC89" s="44">
        <f t="shared" ref="BC89:BC90" si="143">IF(AE89&gt;0,(1/CL89),0)</f>
        <v>0.25</v>
      </c>
      <c r="BD89" s="44" cm="1">
        <f t="array" ref="BD89">_xlfn.IFS(AE89=0,"NA",AE89&gt;0,AH89/AE89)</f>
        <v>0.97826086956521741</v>
      </c>
      <c r="BE89" s="44">
        <f t="shared" ref="BE89:BE90" si="144">IF(AM89&gt;0,(1/CL89),0)</f>
        <v>0.25</v>
      </c>
      <c r="BF89" s="44">
        <v>0</v>
      </c>
      <c r="BG89" s="44">
        <f t="shared" ref="BG89:BG90" si="145">IF(AO89&gt;0,(1/CL89),0)</f>
        <v>0.25</v>
      </c>
      <c r="BH89" s="44">
        <v>0</v>
      </c>
      <c r="BI89" s="44">
        <v>0</v>
      </c>
      <c r="BJ89" s="44" t="s">
        <v>115</v>
      </c>
      <c r="BK89" s="44">
        <f t="shared" si="104"/>
        <v>0.48804021739130432</v>
      </c>
      <c r="BL89" s="44">
        <v>0.97389999999999999</v>
      </c>
      <c r="BM89" s="44" cm="1">
        <f t="array" ref="BM89">_xlfn.IFS(BD89="NA","NA",BD89&gt;100%,"100%",BD89&lt;100,BD89)</f>
        <v>0.97826086956521741</v>
      </c>
      <c r="BN89" s="44">
        <v>0</v>
      </c>
      <c r="BO89" s="44">
        <v>0</v>
      </c>
      <c r="BP89" s="44" t="s">
        <v>115</v>
      </c>
      <c r="BQ89" s="220">
        <v>0.22500000000000001</v>
      </c>
      <c r="BR89" s="45">
        <f t="shared" si="105"/>
        <v>0.10980904891304348</v>
      </c>
      <c r="BS89" s="45">
        <v>5.6300000000000003E-2</v>
      </c>
      <c r="BT89" s="45">
        <v>5.4800000000000001E-2</v>
      </c>
      <c r="BU89" s="45">
        <v>5.4800000000000001E-2</v>
      </c>
      <c r="BV89" s="45">
        <v>5.6300000000000003E-2</v>
      </c>
      <c r="BW89" s="45">
        <f t="shared" si="113"/>
        <v>5.507608695652174E-2</v>
      </c>
      <c r="BX89" s="45">
        <f t="shared" si="114"/>
        <v>5.5009048913043479E-2</v>
      </c>
      <c r="BY89" s="45">
        <v>5.6300000000000003E-2</v>
      </c>
      <c r="BZ89" s="45">
        <v>0</v>
      </c>
      <c r="CA89" s="45">
        <f t="shared" si="106"/>
        <v>0</v>
      </c>
      <c r="CB89" s="45">
        <v>5.6300000000000003E-2</v>
      </c>
      <c r="CC89" s="45">
        <v>0</v>
      </c>
      <c r="CD89" s="45">
        <v>0</v>
      </c>
      <c r="CE89" s="45">
        <v>0</v>
      </c>
      <c r="CF89" s="45" t="s">
        <v>115</v>
      </c>
      <c r="CG89" s="45">
        <v>0</v>
      </c>
      <c r="CH89" s="244">
        <f t="shared" ref="CH89:CH90" si="146">IF(W89&gt;0,1,0)</f>
        <v>1</v>
      </c>
      <c r="CI89" s="244">
        <f t="shared" ref="CI89:CI90" si="147">IF(AE89&gt;0,1,0)</f>
        <v>1</v>
      </c>
      <c r="CJ89" s="244">
        <f t="shared" ref="CJ89:CJ90" si="148">IF(AM89&gt;0,1,0)</f>
        <v>1</v>
      </c>
      <c r="CK89" s="244">
        <f t="shared" ref="CK89:CK90" si="149">IF(AO89&gt;0,1,0)</f>
        <v>1</v>
      </c>
      <c r="CL89">
        <f t="shared" ref="CL89:CL90" si="150">CH89+CI89+CJ89+CK89</f>
        <v>4</v>
      </c>
      <c r="CM89" s="63">
        <f t="shared" ref="CM89:CM90" si="151">AVERAGE(Z89,AH89)</f>
        <v>224.5</v>
      </c>
    </row>
    <row r="90" spans="1:91" ht="18" hidden="1" customHeight="1">
      <c r="A90" s="260" t="s">
        <v>292</v>
      </c>
      <c r="B90" s="260" t="s">
        <v>293</v>
      </c>
      <c r="C90" s="260" t="s">
        <v>100</v>
      </c>
      <c r="D90" s="260" t="s">
        <v>508</v>
      </c>
      <c r="E90" s="260" t="s">
        <v>509</v>
      </c>
      <c r="F90" s="260" t="s">
        <v>604</v>
      </c>
      <c r="G90" s="260" t="s">
        <v>605</v>
      </c>
      <c r="H90" s="260" t="s">
        <v>644</v>
      </c>
      <c r="I90" s="260" t="s">
        <v>255</v>
      </c>
      <c r="J90" s="260"/>
      <c r="K90" s="260" t="s">
        <v>645</v>
      </c>
      <c r="L90" s="260" t="s">
        <v>646</v>
      </c>
      <c r="M90" s="260" t="s">
        <v>647</v>
      </c>
      <c r="N90" s="260" t="s">
        <v>123</v>
      </c>
      <c r="O90" s="260" t="s">
        <v>124</v>
      </c>
      <c r="P90" s="10">
        <v>50</v>
      </c>
      <c r="Q90" s="11">
        <v>100</v>
      </c>
      <c r="R90" s="11">
        <f t="shared" si="141"/>
        <v>50</v>
      </c>
      <c r="S90" s="11" t="str">
        <f>VLOOKUP(K90,'1108 Educación'!$K$13:$AK$40,9,0)</f>
        <v xml:space="preserve">Durante la vigencia 2020 y 2021 se ha entrenado al 100% de los estudiantes focalizados  de grado para la presentación de las pruebas de estado </v>
      </c>
      <c r="T90" s="11">
        <v>0</v>
      </c>
      <c r="U90" s="11">
        <v>100</v>
      </c>
      <c r="V90" s="11">
        <v>0</v>
      </c>
      <c r="W90" s="11">
        <v>100</v>
      </c>
      <c r="X90" s="11" t="s">
        <v>115</v>
      </c>
      <c r="Y90" s="11">
        <v>100</v>
      </c>
      <c r="Z90" s="11">
        <v>100</v>
      </c>
      <c r="AA90" s="11">
        <v>0</v>
      </c>
      <c r="AB90" s="11" t="s">
        <v>648</v>
      </c>
      <c r="AC90" s="11">
        <v>0</v>
      </c>
      <c r="AD90" s="403">
        <v>0</v>
      </c>
      <c r="AE90" s="403">
        <v>100</v>
      </c>
      <c r="AF90" s="11">
        <f>VLOOKUP(K90,'1108 Educación'!$K$13:$AK$40,22,0)</f>
        <v>0</v>
      </c>
      <c r="AG90" s="11">
        <f>VLOOKUP(K90,'1108 Educación'!$K$13:$AK$40,23,0)</f>
        <v>100</v>
      </c>
      <c r="AH90" s="11">
        <f t="shared" si="142"/>
        <v>100</v>
      </c>
      <c r="AI90" s="11">
        <f>VLOOKUP(K90,'1108 Educación'!$K$13:$AK$40,25,0)</f>
        <v>0</v>
      </c>
      <c r="AJ90" s="11" t="str">
        <f>VLOOKUP(K90,'1108 Educación'!$K$13:$AK$40,26,0)</f>
        <v>Se adelanta el proyecto "Mejoramiento de la calidad educativa", a través del cual se busca incluir el componente de  Entrenamiento en Pruebas SABER.  Durante el mes de mayo fue aprobado por la Unidad de Contratación del Departamento el Proyecto de Mejoramiento de la Calidad Educativa, a través de la cual se desarrollará un componente de Acompañamiento en pruebas SABER.  El 23 de junio de 2021,la Secretaría de Educación y la Fundación Alquería Cavelier socializaron ante alcaldes municipales, empresarios y aliados del sector educativo el proyecto de ‘Mejoramiento de la Calidad Educativa’ en el cual han aunado sus esfuerzos.
Una iniciativa cuyo objetivo es impactar y consolidar procesos a través del fortalecimiento de las competencias de liderazgo educativo, pedagógicas, socioemocionales y prácticas de aula con directivos docentes, docentes y familias, así como el entrenamiento y acompañamiento a los estudiantes del grado 11 para la presentación de las pruebas SABER, en las instituciones educativas oficiales (IED) de los municipios focalizados. Durante el mes de julio se realizo la focalización de las 82 IED (corresponden al 100% para el 2021) , para la proyección a aproximadamente  4.800 estudiantes. El entrenamiento de los estudiantes dará inicio en el mes de agosto. 
Se realizó el  entrenamiento en Pruebas SABER al100% de los estudiantes de los grados once de las IED priorizadas, correspondiente a un total de 4719 estudiantes, para la presentacion de las pruebas saber los dias 4 y 5 de septiembre del año en curso.
 El entrenamiento, se desarrollo en el marco del proyecto de mejormaiento de la Calidad Educativa,  a través de este aprendieron la estructura de la prueba, se les brindo clases sincronicas y asincronicas en las cuales se les apoyo en las areas donde encontraron dificultades las cuales fueron superadas, muestra de ellose refleja en el simulacro final del entrenamiento.</v>
      </c>
      <c r="AK90" s="11">
        <f>VLOOKUP(K90,'1108 Educación'!$K$13:$AK$40,27,0)</f>
        <v>0</v>
      </c>
      <c r="AL90" s="11">
        <v>0</v>
      </c>
      <c r="AM90" s="11">
        <v>100</v>
      </c>
      <c r="AN90" s="11">
        <v>0</v>
      </c>
      <c r="AO90" s="11">
        <v>100</v>
      </c>
      <c r="AP90" s="11">
        <v>0</v>
      </c>
      <c r="AQ90" s="11">
        <v>0</v>
      </c>
      <c r="AR90" s="52"/>
      <c r="AS90" s="54">
        <v>19792584</v>
      </c>
      <c r="AT90" s="54">
        <f t="shared" si="103"/>
        <v>19792584</v>
      </c>
      <c r="AU90" s="52"/>
      <c r="AV90" s="243">
        <v>700000000</v>
      </c>
      <c r="AW90" s="244"/>
      <c r="AX90" s="244"/>
      <c r="AY90" s="243">
        <v>700000000</v>
      </c>
      <c r="AZ90" s="44" cm="1">
        <f t="array" ref="AZ90">_xlfn.IFS((BA90=0),(BD90/CL90),(BA90&gt;0),((BB90+BD90)/CL90),(BE90&gt;0),((BB90+BD90+BE90)/CL90),(BG90&gt;0),((BB90+BD90+BE90+G90)/CL90))</f>
        <v>0.5</v>
      </c>
      <c r="BA90" s="44">
        <v>0.25</v>
      </c>
      <c r="BB90" s="44">
        <v>1</v>
      </c>
      <c r="BC90" s="44">
        <f t="shared" si="143"/>
        <v>0.25</v>
      </c>
      <c r="BD90" s="44" cm="1">
        <f t="array" ref="BD90">_xlfn.IFS(AE90=0,"NA",AE90&gt;0,AH90/AE90)</f>
        <v>1</v>
      </c>
      <c r="BE90" s="44">
        <f t="shared" si="144"/>
        <v>0.25</v>
      </c>
      <c r="BF90" s="44">
        <v>0</v>
      </c>
      <c r="BG90" s="44">
        <f t="shared" si="145"/>
        <v>0.25</v>
      </c>
      <c r="BH90" s="44">
        <v>0</v>
      </c>
      <c r="BI90" s="44">
        <v>0</v>
      </c>
      <c r="BJ90" s="44" t="s">
        <v>115</v>
      </c>
      <c r="BK90" s="44">
        <f t="shared" si="104"/>
        <v>0.5</v>
      </c>
      <c r="BL90" s="44">
        <v>1</v>
      </c>
      <c r="BM90" s="44" cm="1">
        <f t="array" ref="BM90">_xlfn.IFS(BD90="NA","NA",BD90&gt;100%,"100%",BD90&lt;100,BD90)</f>
        <v>1</v>
      </c>
      <c r="BN90" s="44">
        <v>0</v>
      </c>
      <c r="BO90" s="44">
        <v>0</v>
      </c>
      <c r="BP90" s="44" t="s">
        <v>115</v>
      </c>
      <c r="BQ90" s="220">
        <v>0.22500000000000001</v>
      </c>
      <c r="BR90" s="45">
        <f t="shared" si="105"/>
        <v>0.1125</v>
      </c>
      <c r="BS90" s="45">
        <v>5.6300000000000003E-2</v>
      </c>
      <c r="BT90" s="45">
        <v>5.6300000000000003E-2</v>
      </c>
      <c r="BU90" s="45">
        <v>5.6300000000000003E-2</v>
      </c>
      <c r="BV90" s="45">
        <v>5.6300000000000003E-2</v>
      </c>
      <c r="BW90" s="45">
        <f t="shared" si="113"/>
        <v>5.6300000000000003E-2</v>
      </c>
      <c r="BX90" s="45">
        <f t="shared" si="114"/>
        <v>5.62E-2</v>
      </c>
      <c r="BY90" s="45">
        <v>5.6300000000000003E-2</v>
      </c>
      <c r="BZ90" s="45">
        <v>0</v>
      </c>
      <c r="CA90" s="45">
        <f t="shared" si="106"/>
        <v>0</v>
      </c>
      <c r="CB90" s="45">
        <v>5.6300000000000003E-2</v>
      </c>
      <c r="CC90" s="45">
        <v>0</v>
      </c>
      <c r="CD90" s="45">
        <v>0</v>
      </c>
      <c r="CE90" s="45">
        <v>0</v>
      </c>
      <c r="CF90" s="45" t="s">
        <v>115</v>
      </c>
      <c r="CG90" s="45">
        <v>0</v>
      </c>
      <c r="CH90" s="244">
        <f t="shared" si="146"/>
        <v>1</v>
      </c>
      <c r="CI90" s="244">
        <f t="shared" si="147"/>
        <v>1</v>
      </c>
      <c r="CJ90" s="244">
        <f t="shared" si="148"/>
        <v>1</v>
      </c>
      <c r="CK90" s="244">
        <f t="shared" si="149"/>
        <v>1</v>
      </c>
      <c r="CL90">
        <f t="shared" si="150"/>
        <v>4</v>
      </c>
      <c r="CM90" s="63">
        <f t="shared" si="151"/>
        <v>100</v>
      </c>
    </row>
    <row r="91" spans="1:91" ht="18" hidden="1" customHeight="1">
      <c r="A91" s="260" t="s">
        <v>292</v>
      </c>
      <c r="B91" s="260" t="s">
        <v>293</v>
      </c>
      <c r="C91" s="260" t="s">
        <v>100</v>
      </c>
      <c r="D91" s="260" t="s">
        <v>508</v>
      </c>
      <c r="E91" s="260" t="s">
        <v>509</v>
      </c>
      <c r="F91" s="260" t="s">
        <v>604</v>
      </c>
      <c r="G91" s="260" t="s">
        <v>605</v>
      </c>
      <c r="H91" s="260" t="s">
        <v>649</v>
      </c>
      <c r="I91" s="260" t="s">
        <v>255</v>
      </c>
      <c r="J91" s="12" t="s">
        <v>650</v>
      </c>
      <c r="K91" s="260" t="s">
        <v>651</v>
      </c>
      <c r="L91" s="260" t="s">
        <v>652</v>
      </c>
      <c r="M91" s="260" t="s">
        <v>653</v>
      </c>
      <c r="N91" s="260" t="s">
        <v>123</v>
      </c>
      <c r="O91" s="260" t="s">
        <v>112</v>
      </c>
      <c r="P91" s="10">
        <v>52</v>
      </c>
      <c r="Q91" s="11">
        <v>100</v>
      </c>
      <c r="R91" s="11">
        <f t="shared" ref="R91:R98" si="152">Z91+AH91</f>
        <v>84.78</v>
      </c>
      <c r="S91" s="11" t="str">
        <f>VLOOKUP(K91,'1108 Educación'!$K$13:$AK$40,9,0)</f>
        <v xml:space="preserve">Se ha implementado la estrategia de Bilingüismo en el 48.63% de las IED de los municipios no certificados del Departamento </v>
      </c>
      <c r="T91" s="11">
        <v>25</v>
      </c>
      <c r="U91" s="11">
        <v>0</v>
      </c>
      <c r="V91" s="11">
        <v>25</v>
      </c>
      <c r="W91" s="11">
        <v>0</v>
      </c>
      <c r="X91" s="11">
        <v>25</v>
      </c>
      <c r="Y91" s="11">
        <v>0</v>
      </c>
      <c r="Z91" s="11">
        <v>25</v>
      </c>
      <c r="AA91" s="11" t="s">
        <v>654</v>
      </c>
      <c r="AB91" s="11" t="s">
        <v>655</v>
      </c>
      <c r="AC91" s="11">
        <v>0</v>
      </c>
      <c r="AD91" s="403">
        <v>60</v>
      </c>
      <c r="AE91" s="403">
        <v>0</v>
      </c>
      <c r="AF91" s="11">
        <f>VLOOKUP(K91,'1108 Educación'!$K$13:$AK$40,22,0)</f>
        <v>59.78</v>
      </c>
      <c r="AG91" s="11">
        <f>VLOOKUP(K91,'1108 Educación'!$K$13:$AK$40,23,0)</f>
        <v>0</v>
      </c>
      <c r="AH91" s="11">
        <f t="shared" ref="AH91:AH98" si="153">AF91</f>
        <v>59.78</v>
      </c>
      <c r="AI91" s="11" t="str">
        <f>VLOOKUP(K91,'1108 Educación'!$K$13:$AK$40,25,0)</f>
        <v xml:space="preserve">Estrategias de Bilingüismo </v>
      </c>
      <c r="AJ91" s="11" t="str">
        <f>VLOOKUP(K91,'1108 Educación'!$K$13:$AK$40,26,0)</f>
        <v xml:space="preserve">La meta alcanzo el 59,78% de cumplimiento que corresponde a 167IED focalizadas, 67 IED a través acompañamiento del  Plan de Bilinguismo y el grupo de gestores y 100 IED focalizadas  del proyecto Cundinamarca Speaks English.
1. Se compartió material online y offline en inglés y francés con los  570 (quinientos setenta) docentes de estas asignaturas  por medio del Banco de recursos el cual fue diseñado y preparado por el Equipo Gestores de blingüismo de la Secretaría de Educación de Cundinamarca. 
2.  Se impactaron 65 estudiantes y 2 docentes del área de inglés de la IED Técnico Agrícola del municipio de Pacho por medio del desarrollo de actividades  por parte de los gestores de bilingüismo en la Inmersión de inglés.
3.  Se renovó la suscripción a Biblioteca Digital Culthurutheque de las IED Alfonso Lopez Pumarejo de Cachipay y Agustín Parra de Simijaca. 
4. Se participó en la construcción de Currículo en Francés para las 2 IED focalizadas por el proyecto franco del MEN en compañía de la Embajada Francesa y la Alianza Francesa. 
5- En el marco de acción del proyecto Cundinamarca Speaks English  se impactó a 106 docentes de inglés y de otras áreas mediante el desarrollo de inmersión lingüística de cinco días en el departamento del Quindío en cumplimiento de la quinta línea de acción del proyecto 
6. Se realizó acompañamiento en los encuentros de Mejoramiento Pedagógico del proyecto "Fortalecimiento de las competencias comunicativas en inglés de los estudiantes de los establecimientos educativos oficiales del departamento de Cundinamarca" de manera virtual e in situ en 100 instituciones educativas en Cundinamarca focalizadas por este proyecto.
7. Se beneficiaron 200 docentes de inglés y de otras asignaturas por medio del acompañamiento en los Talleres de Formación docente organizados por la "UT Bilingüismo para el progreso". 
8,   Se realizó acompañamiento al desarrollo de la cuarta línea de acción del proyecto Cundinamarca Speaks English “Dotación docente y estudiantil”  en 17 IED focalizadas en el proyecto.
</v>
      </c>
      <c r="AK91" s="11" t="str">
        <f>VLOOKUP(K91,'1108 Educación'!$K$13:$AK$40,27,0)</f>
        <v xml:space="preserve">Para el mes octubre se tuvieron als siguintes dificultades:1. Falta de compromiso y apropiación por parte de los docentes de las IED focalizadas con respecto a su participación en las propuestas dadas por el equipo de gestores de bilingüismo. 
2. Asusencia de servicio de internet en algunas IED que dificultan la implementacion de las TIC en los procesos de enseñanza y aprendizaje en el área de lengua extranjera. 
</v>
      </c>
      <c r="AL91" s="11">
        <v>10</v>
      </c>
      <c r="AM91" s="11">
        <v>0</v>
      </c>
      <c r="AN91" s="11">
        <v>5</v>
      </c>
      <c r="AO91" s="11">
        <v>0</v>
      </c>
      <c r="AP91" s="11">
        <v>0</v>
      </c>
      <c r="AQ91" s="11">
        <v>0</v>
      </c>
      <c r="AR91" s="52"/>
      <c r="AS91" s="54">
        <v>57564264</v>
      </c>
      <c r="AT91" s="54">
        <f t="shared" si="103"/>
        <v>57564264</v>
      </c>
      <c r="AU91" s="52"/>
      <c r="AV91" s="243"/>
      <c r="AW91" s="244"/>
      <c r="AX91" s="244"/>
      <c r="AY91" s="243"/>
      <c r="AZ91" s="44">
        <f t="shared" ref="AZ91:AZ98" si="154">R91/Q91</f>
        <v>0.8478</v>
      </c>
      <c r="BA91" s="44">
        <v>0.25</v>
      </c>
      <c r="BB91" s="44">
        <v>1</v>
      </c>
      <c r="BC91" s="44">
        <f t="shared" ref="BC91:BC98" si="155">AD91/Q91</f>
        <v>0.6</v>
      </c>
      <c r="BD91" s="44" cm="1">
        <f t="array" ref="BD91">_xlfn.IFS(AD91=0,"NA",AD91&gt;0,AH91/AD91)</f>
        <v>0.9963333333333334</v>
      </c>
      <c r="BE91" s="44">
        <f t="shared" ref="BE91:BE98" si="156">AL91/Q91</f>
        <v>0.1</v>
      </c>
      <c r="BF91" s="44">
        <v>0</v>
      </c>
      <c r="BG91" s="44">
        <f t="shared" ref="BG91:BG98" si="157">AN91/Q91</f>
        <v>0.05</v>
      </c>
      <c r="BH91" s="44">
        <v>0</v>
      </c>
      <c r="BI91" s="44">
        <f t="shared" ref="BI91:BI98" si="158">AP91/Q91</f>
        <v>0</v>
      </c>
      <c r="BJ91" s="44" t="s">
        <v>115</v>
      </c>
      <c r="BK91" s="44">
        <f t="shared" si="104"/>
        <v>0.8478</v>
      </c>
      <c r="BL91" s="44">
        <v>1</v>
      </c>
      <c r="BM91" s="44" cm="1">
        <f t="array" ref="BM91">_xlfn.IFS(BD91="NA","NA",BD91&gt;100%,"100%",BD91&lt;100,BD91)</f>
        <v>0.9963333333333334</v>
      </c>
      <c r="BN91" s="44" cm="1">
        <f t="array" ref="BN91">_xlfn.IFS(BF91="NA","NA",BF91&gt;100%,"100%",BF91&lt;100,BF91)</f>
        <v>0</v>
      </c>
      <c r="BO91" s="44" cm="1">
        <f t="array" ref="BO91">_xlfn.IFS(BH91="NA","NA",BH91&gt;100%,"100%",BH91&lt;100,BH91)</f>
        <v>0</v>
      </c>
      <c r="BP91" s="44" t="str" cm="1">
        <f t="array" ref="BP91">_xlfn.IFS(BJ91="NA","NA",BJ91&gt;100%,"100%",BJ91&lt;100,BJ91)</f>
        <v>NA</v>
      </c>
      <c r="BQ91" s="220">
        <v>0.22500000000000001</v>
      </c>
      <c r="BR91" s="45">
        <f t="shared" si="105"/>
        <v>0.19075500000000001</v>
      </c>
      <c r="BS91" s="45">
        <v>5.6300000000000003E-2</v>
      </c>
      <c r="BT91" s="45">
        <v>5.6300000000000003E-2</v>
      </c>
      <c r="BU91" s="45">
        <v>5.6300000000000003E-2</v>
      </c>
      <c r="BV91" s="45">
        <f t="shared" ref="BV91:BV98" si="159">(AD91*BQ91)/Q91</f>
        <v>0.13500000000000001</v>
      </c>
      <c r="BW91" s="45">
        <f t="shared" si="113"/>
        <v>0.13450500000000001</v>
      </c>
      <c r="BX91" s="45">
        <f t="shared" si="114"/>
        <v>0.13445499999999999</v>
      </c>
      <c r="BY91" s="45">
        <f t="shared" ref="BY91:BY98" si="160">(AL91*BQ91)/Q91</f>
        <v>2.2499999999999999E-2</v>
      </c>
      <c r="BZ91" s="45">
        <f t="shared" ref="BZ91:BZ98" si="161">IF(BN91="NA","NA",BN91*BY91)</f>
        <v>0</v>
      </c>
      <c r="CA91" s="45">
        <f t="shared" si="106"/>
        <v>0</v>
      </c>
      <c r="CB91" s="45">
        <f t="shared" ref="CB91:CB98" si="162">(AN91*BQ91)/Q91</f>
        <v>1.125E-2</v>
      </c>
      <c r="CC91" s="45">
        <f t="shared" ref="CC91:CC98" si="163">IF(BO91="NA","NA",BO91*CB91)</f>
        <v>0</v>
      </c>
      <c r="CD91" s="45">
        <v>0</v>
      </c>
      <c r="CE91" s="45">
        <f t="shared" ref="CE91:CE98" si="164">(AP91*BQ91)/Q91</f>
        <v>0</v>
      </c>
      <c r="CF91" s="45" t="str">
        <f t="shared" ref="CF91:CF98" si="165">IF(BP91="NA","NA",BP91*CE91)</f>
        <v>NA</v>
      </c>
      <c r="CG91" s="45">
        <v>0</v>
      </c>
      <c r="CH91" s="244"/>
      <c r="CI91" s="244"/>
      <c r="CJ91" s="244"/>
      <c r="CK91" s="244"/>
      <c r="CM91" s="63">
        <v>48.629999999999995</v>
      </c>
    </row>
    <row r="92" spans="1:91" ht="18" hidden="1" customHeight="1">
      <c r="A92" s="260" t="s">
        <v>144</v>
      </c>
      <c r="B92" s="260" t="s">
        <v>145</v>
      </c>
      <c r="C92" s="260" t="s">
        <v>100</v>
      </c>
      <c r="D92" s="260" t="s">
        <v>508</v>
      </c>
      <c r="E92" s="260" t="s">
        <v>509</v>
      </c>
      <c r="F92" s="260" t="s">
        <v>656</v>
      </c>
      <c r="G92" s="260" t="s">
        <v>657</v>
      </c>
      <c r="H92" s="260" t="s">
        <v>658</v>
      </c>
      <c r="I92" s="260" t="s">
        <v>106</v>
      </c>
      <c r="J92" s="260"/>
      <c r="K92" s="260" t="s">
        <v>659</v>
      </c>
      <c r="L92" s="260" t="s">
        <v>660</v>
      </c>
      <c r="M92" s="260" t="s">
        <v>661</v>
      </c>
      <c r="N92" s="260" t="s">
        <v>111</v>
      </c>
      <c r="O92" s="260" t="s">
        <v>112</v>
      </c>
      <c r="P92" s="10">
        <v>8</v>
      </c>
      <c r="Q92" s="11">
        <v>8</v>
      </c>
      <c r="R92" s="11">
        <f t="shared" si="152"/>
        <v>4</v>
      </c>
      <c r="S92" s="11" t="str">
        <f>VLOOKUP(K92,'1126 Desarrollo Social'!$K$13:$S$58,9,0)</f>
        <v>alianza entre el Municipito de Soacha y la Secretaria de desarrollo e inclusión Social para la atención integral de habitante en calle y de calle presente en el Municipio</v>
      </c>
      <c r="T92" s="11">
        <v>1</v>
      </c>
      <c r="U92" s="11">
        <v>0</v>
      </c>
      <c r="V92" s="11">
        <v>1</v>
      </c>
      <c r="W92" s="11">
        <v>0</v>
      </c>
      <c r="X92" s="11">
        <v>1</v>
      </c>
      <c r="Y92" s="11">
        <v>0</v>
      </c>
      <c r="Z92" s="11">
        <v>1</v>
      </c>
      <c r="AA92" s="11" t="s">
        <v>662</v>
      </c>
      <c r="AB92" s="11" t="s">
        <v>663</v>
      </c>
      <c r="AC92" s="11" t="s">
        <v>664</v>
      </c>
      <c r="AD92" s="403">
        <v>3</v>
      </c>
      <c r="AE92" s="403">
        <v>0</v>
      </c>
      <c r="AF92" s="11">
        <f>VLOOKUP(K92,'1126 Desarrollo Social'!$K$13:$AK$58,22,0)</f>
        <v>3</v>
      </c>
      <c r="AG92" s="11">
        <f>VLOOKUP(K92,'1126 Desarrollo Social'!$K$13:$AK$58,23,0)</f>
        <v>0</v>
      </c>
      <c r="AH92" s="11">
        <f t="shared" si="153"/>
        <v>3</v>
      </c>
      <c r="AI92" s="11" t="str">
        <f>VLOOKUP(K92,'1126 Desarrollo Social'!$K$13:$AK$58,25,0)</f>
        <v>convenio para atencion integral psicosocial habitante de calle</v>
      </c>
      <c r="AJ92" s="11" t="str">
        <f>VLOOKUP(K92,'1126 Desarrollo Social'!$K$13:$AK$58,26,0)</f>
        <v>1. firma de convenios con los 8 municipios, firma de actas de incios con 8 municipios  
2. Seguimiento plan de acción programas habitante de calle y en calle a Fusagasuga, Giradot, Funza, Madrid y La mesa.
3.Asistencia técnica municipios de Fusagasuga y Girardot</v>
      </c>
      <c r="AK92" s="11">
        <f>VLOOKUP(K92,'1126 Desarrollo Social'!$K$13:$AK$58,27,0)</f>
        <v>0</v>
      </c>
      <c r="AL92" s="11">
        <v>3</v>
      </c>
      <c r="AM92" s="11">
        <v>0</v>
      </c>
      <c r="AN92" s="11">
        <v>1</v>
      </c>
      <c r="AO92" s="11">
        <v>0</v>
      </c>
      <c r="AP92" s="11">
        <v>0</v>
      </c>
      <c r="AQ92" s="11">
        <v>0</v>
      </c>
      <c r="AR92" s="52"/>
      <c r="AS92" s="54">
        <v>0</v>
      </c>
      <c r="AT92" s="54">
        <f t="shared" si="103"/>
        <v>0</v>
      </c>
      <c r="AU92" s="52"/>
      <c r="AV92" s="243">
        <v>80000000</v>
      </c>
      <c r="AW92" s="244"/>
      <c r="AX92" s="244"/>
      <c r="AY92" s="243">
        <v>68699950</v>
      </c>
      <c r="AZ92" s="44">
        <f t="shared" si="154"/>
        <v>0.5</v>
      </c>
      <c r="BA92" s="44">
        <v>0.125</v>
      </c>
      <c r="BB92" s="44">
        <v>1</v>
      </c>
      <c r="BC92" s="44">
        <f t="shared" si="155"/>
        <v>0.375</v>
      </c>
      <c r="BD92" s="44" cm="1">
        <f t="array" ref="BD92">_xlfn.IFS(AD92=0,"NA",AD92&gt;0,AH92/AD92)</f>
        <v>1</v>
      </c>
      <c r="BE92" s="44">
        <f t="shared" si="156"/>
        <v>0.375</v>
      </c>
      <c r="BF92" s="44">
        <v>0</v>
      </c>
      <c r="BG92" s="44">
        <f t="shared" si="157"/>
        <v>0.125</v>
      </c>
      <c r="BH92" s="44">
        <v>0</v>
      </c>
      <c r="BI92" s="44">
        <f t="shared" si="158"/>
        <v>0</v>
      </c>
      <c r="BJ92" s="44" t="s">
        <v>115</v>
      </c>
      <c r="BK92" s="44">
        <f t="shared" si="104"/>
        <v>0.5</v>
      </c>
      <c r="BL92" s="44">
        <v>1</v>
      </c>
      <c r="BM92" s="44" cm="1">
        <f t="array" ref="BM92">_xlfn.IFS(BD92="NA","NA",BD92&gt;100%,"100%",BD92&lt;100,BD92)</f>
        <v>1</v>
      </c>
      <c r="BN92" s="44" cm="1">
        <f t="array" ref="BN92">_xlfn.IFS(BF92="NA","NA",BF92&gt;100%,"100%",BF92&lt;100,BF92)</f>
        <v>0</v>
      </c>
      <c r="BO92" s="44" cm="1">
        <f t="array" ref="BO92">_xlfn.IFS(BH92="NA","NA",BH92&gt;100%,"100%",BH92&lt;100,BH92)</f>
        <v>0</v>
      </c>
      <c r="BP92" s="44" t="str" cm="1">
        <f t="array" ref="BP92">_xlfn.IFS(BJ92="NA","NA",BJ92&gt;100%,"100%",BJ92&lt;100,BJ92)</f>
        <v>NA</v>
      </c>
      <c r="BQ92" s="45">
        <v>0.22500000000000001</v>
      </c>
      <c r="BR92" s="45">
        <f t="shared" si="105"/>
        <v>0.1125</v>
      </c>
      <c r="BS92" s="45">
        <v>2.81E-2</v>
      </c>
      <c r="BT92" s="45">
        <v>2.81E-2</v>
      </c>
      <c r="BU92" s="45">
        <v>2.81E-2</v>
      </c>
      <c r="BV92" s="45">
        <f t="shared" si="159"/>
        <v>8.4375000000000006E-2</v>
      </c>
      <c r="BW92" s="45">
        <f t="shared" si="113"/>
        <v>8.4375000000000006E-2</v>
      </c>
      <c r="BX92" s="45">
        <f t="shared" si="114"/>
        <v>8.4400000000000003E-2</v>
      </c>
      <c r="BY92" s="45">
        <f t="shared" si="160"/>
        <v>8.4375000000000006E-2</v>
      </c>
      <c r="BZ92" s="45">
        <f t="shared" si="161"/>
        <v>0</v>
      </c>
      <c r="CA92" s="45">
        <f t="shared" si="106"/>
        <v>0</v>
      </c>
      <c r="CB92" s="45">
        <f t="shared" si="162"/>
        <v>2.8125000000000001E-2</v>
      </c>
      <c r="CC92" s="45">
        <f t="shared" si="163"/>
        <v>0</v>
      </c>
      <c r="CD92" s="45">
        <v>0</v>
      </c>
      <c r="CE92" s="45">
        <f t="shared" si="164"/>
        <v>0</v>
      </c>
      <c r="CF92" s="45" t="str">
        <f t="shared" si="165"/>
        <v>NA</v>
      </c>
      <c r="CG92" s="45">
        <v>0</v>
      </c>
      <c r="CH92" s="244"/>
      <c r="CI92" s="244"/>
      <c r="CJ92" s="244"/>
      <c r="CK92" s="244"/>
      <c r="CM92" s="63">
        <v>3</v>
      </c>
    </row>
    <row r="93" spans="1:91" ht="18" hidden="1" customHeight="1">
      <c r="A93" s="260" t="s">
        <v>144</v>
      </c>
      <c r="B93" s="260" t="s">
        <v>145</v>
      </c>
      <c r="C93" s="260" t="s">
        <v>100</v>
      </c>
      <c r="D93" s="260" t="s">
        <v>508</v>
      </c>
      <c r="E93" s="260" t="s">
        <v>509</v>
      </c>
      <c r="F93" s="260" t="s">
        <v>665</v>
      </c>
      <c r="G93" s="260" t="s">
        <v>666</v>
      </c>
      <c r="H93" s="260" t="s">
        <v>667</v>
      </c>
      <c r="I93" s="260" t="s">
        <v>106</v>
      </c>
      <c r="J93" s="260"/>
      <c r="K93" s="260" t="s">
        <v>668</v>
      </c>
      <c r="L93" s="260" t="s">
        <v>669</v>
      </c>
      <c r="M93" s="260" t="s">
        <v>670</v>
      </c>
      <c r="N93" s="260" t="s">
        <v>111</v>
      </c>
      <c r="O93" s="260" t="s">
        <v>112</v>
      </c>
      <c r="P93" s="10">
        <v>116</v>
      </c>
      <c r="Q93" s="11">
        <v>116</v>
      </c>
      <c r="R93" s="11">
        <f t="shared" si="152"/>
        <v>51</v>
      </c>
      <c r="S93" s="11" t="str">
        <f>VLOOKUP(K93,'1126 Desarrollo Social'!$K$13:$S$58,9,0)</f>
        <v>Articulación con el ministerio de trabajo para capacitación y sensibilización institucional  para la compresión de la problemática trabajo infantil.conmoración del día internacional contra la explotación sexual y trafico de mujeres niños niñas y adolescentesactivación del comité CIETI departamentalEl personal contratado para el desarrollo de las actividades de esta meta con vigencia del plan de desarrollo 2016-2020</v>
      </c>
      <c r="T93" s="11">
        <v>20</v>
      </c>
      <c r="U93" s="11">
        <v>0</v>
      </c>
      <c r="V93" s="11">
        <v>20</v>
      </c>
      <c r="W93" s="11">
        <v>0</v>
      </c>
      <c r="X93" s="11">
        <v>20</v>
      </c>
      <c r="Y93" s="11">
        <v>0</v>
      </c>
      <c r="Z93" s="11">
        <v>20</v>
      </c>
      <c r="AA93" s="11" t="s">
        <v>671</v>
      </c>
      <c r="AB93" s="11" t="s">
        <v>672</v>
      </c>
      <c r="AC93" s="11" t="s">
        <v>673</v>
      </c>
      <c r="AD93" s="403">
        <v>30</v>
      </c>
      <c r="AE93" s="403">
        <v>0</v>
      </c>
      <c r="AF93" s="11">
        <f>VLOOKUP(K93,'1126 Desarrollo Social'!$K$13:$AK$58,22,0)</f>
        <v>31</v>
      </c>
      <c r="AG93" s="11">
        <f>VLOOKUP(K93,'1126 Desarrollo Social'!$K$13:$AK$58,23,0)</f>
        <v>0</v>
      </c>
      <c r="AH93" s="11">
        <f t="shared" si="153"/>
        <v>31</v>
      </c>
      <c r="AI93" s="11">
        <f>VLOOKUP(K93,'1126 Desarrollo Social'!$K$13:$AK$58,25,0)</f>
        <v>0</v>
      </c>
      <c r="AJ93" s="11" t="str">
        <f>VLOOKUP(K93,'1126 Desarrollo Social'!$K$13:$AK$58,26,0)</f>
        <v xml:space="preserve">Se realizo la implementacion de la estrategia una familia que progresa es una familia cundinamarquesa, con el taller "roles de padres e hijos- comunicacion asertiva", taller pareja encuentro entre iguales", primer taller virtual con adolescentes del Sistema de Responsabilidad Penal Adolescentes </v>
      </c>
      <c r="AK93" s="11">
        <f>VLOOKUP(K93,'1126 Desarrollo Social'!$K$13:$AK$58,27,0)</f>
        <v>0</v>
      </c>
      <c r="AL93" s="11">
        <v>40</v>
      </c>
      <c r="AM93" s="11">
        <v>0</v>
      </c>
      <c r="AN93" s="11">
        <v>26</v>
      </c>
      <c r="AO93" s="11">
        <v>0</v>
      </c>
      <c r="AP93" s="11">
        <v>0</v>
      </c>
      <c r="AQ93" s="11">
        <v>0</v>
      </c>
      <c r="AR93" s="51">
        <v>8671667</v>
      </c>
      <c r="AS93" s="54">
        <v>0</v>
      </c>
      <c r="AT93" s="54">
        <f t="shared" si="103"/>
        <v>8671667</v>
      </c>
      <c r="AU93" s="51">
        <v>8671667</v>
      </c>
      <c r="AV93" s="243">
        <v>30000000</v>
      </c>
      <c r="AW93" s="244"/>
      <c r="AX93" s="244"/>
      <c r="AY93" s="243">
        <v>30000000</v>
      </c>
      <c r="AZ93" s="44">
        <f t="shared" si="154"/>
        <v>0.43965517241379309</v>
      </c>
      <c r="BA93" s="44">
        <v>0.1724</v>
      </c>
      <c r="BB93" s="44">
        <v>1</v>
      </c>
      <c r="BC93" s="44">
        <f t="shared" si="155"/>
        <v>0.25862068965517243</v>
      </c>
      <c r="BD93" s="44" cm="1">
        <f t="array" ref="BD93">_xlfn.IFS(AD93=0,"NA",AD93&gt;0,AH93/AD93)</f>
        <v>1.0333333333333334</v>
      </c>
      <c r="BE93" s="44">
        <f t="shared" si="156"/>
        <v>0.34482758620689657</v>
      </c>
      <c r="BF93" s="44">
        <v>0</v>
      </c>
      <c r="BG93" s="44">
        <f t="shared" si="157"/>
        <v>0.22413793103448276</v>
      </c>
      <c r="BH93" s="44">
        <v>0</v>
      </c>
      <c r="BI93" s="44">
        <f t="shared" si="158"/>
        <v>0</v>
      </c>
      <c r="BJ93" s="44" t="s">
        <v>115</v>
      </c>
      <c r="BK93" s="44">
        <f t="shared" si="104"/>
        <v>0.43965517241379309</v>
      </c>
      <c r="BL93" s="44">
        <v>1</v>
      </c>
      <c r="BM93" s="44" t="str" cm="1">
        <f t="array" ref="BM93">_xlfn.IFS(BD93="NA","NA",BD93&gt;100%,"100%",BD93&lt;100,BD93)</f>
        <v>100%</v>
      </c>
      <c r="BN93" s="44" cm="1">
        <f t="array" ref="BN93">_xlfn.IFS(BF93="NA","NA",BF93&gt;100%,"100%",BF93&lt;100,BF93)</f>
        <v>0</v>
      </c>
      <c r="BO93" s="44" cm="1">
        <f t="array" ref="BO93">_xlfn.IFS(BH93="NA","NA",BH93&gt;100%,"100%",BH93&lt;100,BH93)</f>
        <v>0</v>
      </c>
      <c r="BP93" s="44" t="str" cm="1">
        <f t="array" ref="BP93">_xlfn.IFS(BJ93="NA","NA",BJ93&gt;100%,"100%",BJ93&lt;100,BJ93)</f>
        <v>NA</v>
      </c>
      <c r="BQ93" s="45">
        <v>0.22500000000000001</v>
      </c>
      <c r="BR93" s="45">
        <f t="shared" si="105"/>
        <v>9.8922413793103445E-2</v>
      </c>
      <c r="BS93" s="45">
        <v>3.8800000000000001E-2</v>
      </c>
      <c r="BT93" s="45">
        <v>3.8800000000000001E-2</v>
      </c>
      <c r="BU93" s="45">
        <v>3.8800000000000001E-2</v>
      </c>
      <c r="BV93" s="45">
        <f t="shared" si="159"/>
        <v>5.8189655172413791E-2</v>
      </c>
      <c r="BW93" s="45">
        <f t="shared" si="113"/>
        <v>5.8189655172413791E-2</v>
      </c>
      <c r="BX93" s="45">
        <f t="shared" si="114"/>
        <v>6.0122413793103444E-2</v>
      </c>
      <c r="BY93" s="45">
        <f t="shared" si="160"/>
        <v>7.7586206896551727E-2</v>
      </c>
      <c r="BZ93" s="45">
        <f t="shared" si="161"/>
        <v>0</v>
      </c>
      <c r="CA93" s="45">
        <f t="shared" si="106"/>
        <v>0</v>
      </c>
      <c r="CB93" s="45">
        <f t="shared" si="162"/>
        <v>5.0431034482758624E-2</v>
      </c>
      <c r="CC93" s="45">
        <f t="shared" si="163"/>
        <v>0</v>
      </c>
      <c r="CD93" s="45">
        <v>0</v>
      </c>
      <c r="CE93" s="45">
        <f t="shared" si="164"/>
        <v>0</v>
      </c>
      <c r="CF93" s="45" t="str">
        <f t="shared" si="165"/>
        <v>NA</v>
      </c>
      <c r="CG93" s="45">
        <v>0</v>
      </c>
      <c r="CH93" s="244"/>
      <c r="CI93" s="244"/>
      <c r="CJ93" s="244"/>
      <c r="CK93" s="244"/>
      <c r="CM93" s="63">
        <v>49</v>
      </c>
    </row>
    <row r="94" spans="1:91" ht="18" hidden="1" customHeight="1">
      <c r="A94" s="260" t="s">
        <v>144</v>
      </c>
      <c r="B94" s="260" t="s">
        <v>145</v>
      </c>
      <c r="C94" s="260" t="s">
        <v>100</v>
      </c>
      <c r="D94" s="260" t="s">
        <v>508</v>
      </c>
      <c r="E94" s="260" t="s">
        <v>509</v>
      </c>
      <c r="F94" s="260" t="s">
        <v>674</v>
      </c>
      <c r="G94" s="260" t="s">
        <v>675</v>
      </c>
      <c r="H94" s="260" t="s">
        <v>676</v>
      </c>
      <c r="I94" s="260" t="s">
        <v>677</v>
      </c>
      <c r="J94" s="260"/>
      <c r="K94" s="260" t="s">
        <v>678</v>
      </c>
      <c r="L94" s="260" t="s">
        <v>679</v>
      </c>
      <c r="M94" s="260" t="s">
        <v>680</v>
      </c>
      <c r="N94" s="260" t="s">
        <v>111</v>
      </c>
      <c r="O94" s="260" t="s">
        <v>112</v>
      </c>
      <c r="P94" s="10">
        <v>15</v>
      </c>
      <c r="Q94" s="11">
        <v>15</v>
      </c>
      <c r="R94" s="11">
        <f t="shared" si="152"/>
        <v>4</v>
      </c>
      <c r="S94" s="11">
        <f>VLOOKUP(K94,'1126 Desarrollo Social'!$K$13:$S$58,9,0)</f>
        <v>0</v>
      </c>
      <c r="T94" s="11">
        <v>3</v>
      </c>
      <c r="U94" s="11">
        <v>0</v>
      </c>
      <c r="V94" s="11">
        <v>3</v>
      </c>
      <c r="W94" s="11">
        <v>0</v>
      </c>
      <c r="X94" s="11">
        <v>3</v>
      </c>
      <c r="Y94" s="11">
        <v>0</v>
      </c>
      <c r="Z94" s="11">
        <v>3</v>
      </c>
      <c r="AA94" s="11" t="s">
        <v>681</v>
      </c>
      <c r="AB94" s="11" t="s">
        <v>682</v>
      </c>
      <c r="AC94" s="11" t="s">
        <v>683</v>
      </c>
      <c r="AD94" s="403">
        <v>4</v>
      </c>
      <c r="AE94" s="403">
        <v>0</v>
      </c>
      <c r="AF94" s="11">
        <f>VLOOKUP(K94,'1126 Desarrollo Social'!$K$13:$AK$58,22,0)</f>
        <v>1</v>
      </c>
      <c r="AG94" s="11">
        <f>VLOOKUP(K94,'1126 Desarrollo Social'!$K$13:$AK$58,23,0)</f>
        <v>0</v>
      </c>
      <c r="AH94" s="11">
        <f t="shared" si="153"/>
        <v>1</v>
      </c>
      <c r="AI94" s="11">
        <f>VLOOKUP(K94,'1126 Desarrollo Social'!$K$13:$AK$58,25,0)</f>
        <v>0</v>
      </c>
      <c r="AJ94" s="11" t="str">
        <f>VLOOKUP(K94,'1126 Desarrollo Social'!$K$13:$AK$58,26,0)</f>
        <v>En elaboración plan de trabajo y coordinación con Gerencia de Etnias</v>
      </c>
      <c r="AK94" s="11">
        <f>VLOOKUP(K94,'1126 Desarrollo Social'!$K$13:$AK$58,27,0)</f>
        <v>0</v>
      </c>
      <c r="AL94" s="11">
        <v>4</v>
      </c>
      <c r="AM94" s="11">
        <v>0</v>
      </c>
      <c r="AN94" s="11">
        <v>4</v>
      </c>
      <c r="AO94" s="11">
        <v>0</v>
      </c>
      <c r="AP94" s="11">
        <v>0</v>
      </c>
      <c r="AQ94" s="11">
        <v>0</v>
      </c>
      <c r="AR94" s="52"/>
      <c r="AS94" s="54">
        <v>0</v>
      </c>
      <c r="AT94" s="54">
        <f t="shared" si="103"/>
        <v>0</v>
      </c>
      <c r="AU94" s="52"/>
      <c r="AV94" s="243">
        <v>39309000</v>
      </c>
      <c r="AW94" s="244"/>
      <c r="AX94" s="244"/>
      <c r="AY94" s="243">
        <v>0</v>
      </c>
      <c r="AZ94" s="44">
        <f t="shared" si="154"/>
        <v>0.26666666666666666</v>
      </c>
      <c r="BA94" s="44">
        <v>0.2</v>
      </c>
      <c r="BB94" s="44">
        <v>1</v>
      </c>
      <c r="BC94" s="44">
        <f t="shared" si="155"/>
        <v>0.26666666666666666</v>
      </c>
      <c r="BD94" s="44" cm="1">
        <f t="array" ref="BD94">_xlfn.IFS(AD94=0,"NA",AD94&gt;0,AH94/AD94)</f>
        <v>0.25</v>
      </c>
      <c r="BE94" s="44">
        <f t="shared" si="156"/>
        <v>0.26666666666666666</v>
      </c>
      <c r="BF94" s="44">
        <v>0</v>
      </c>
      <c r="BG94" s="44">
        <f t="shared" si="157"/>
        <v>0.26666666666666666</v>
      </c>
      <c r="BH94" s="44">
        <v>0</v>
      </c>
      <c r="BI94" s="44">
        <f t="shared" si="158"/>
        <v>0</v>
      </c>
      <c r="BJ94" s="44" t="s">
        <v>115</v>
      </c>
      <c r="BK94" s="44">
        <f t="shared" si="104"/>
        <v>0.26666666666666666</v>
      </c>
      <c r="BL94" s="44">
        <v>1</v>
      </c>
      <c r="BM94" s="44" cm="1">
        <f t="array" ref="BM94">_xlfn.IFS(BD94="NA","NA",BD94&gt;100%,"100%",BD94&lt;100,BD94)</f>
        <v>0.25</v>
      </c>
      <c r="BN94" s="44" cm="1">
        <f t="array" ref="BN94">_xlfn.IFS(BF94="NA","NA",BF94&gt;100%,"100%",BF94&lt;100,BF94)</f>
        <v>0</v>
      </c>
      <c r="BO94" s="44" cm="1">
        <f t="array" ref="BO94">_xlfn.IFS(BH94="NA","NA",BH94&gt;100%,"100%",BH94&lt;100,BH94)</f>
        <v>0</v>
      </c>
      <c r="BP94" s="44" t="str" cm="1">
        <f t="array" ref="BP94">_xlfn.IFS(BJ94="NA","NA",BJ94&gt;100%,"100%",BJ94&lt;100,BJ94)</f>
        <v>NA</v>
      </c>
      <c r="BQ94" s="45">
        <v>0.22500000000000001</v>
      </c>
      <c r="BR94" s="45">
        <f t="shared" si="105"/>
        <v>0.06</v>
      </c>
      <c r="BS94" s="45">
        <v>4.4999999999999998E-2</v>
      </c>
      <c r="BT94" s="45">
        <v>4.4999999999999998E-2</v>
      </c>
      <c r="BU94" s="45">
        <v>4.4999999999999998E-2</v>
      </c>
      <c r="BV94" s="45">
        <f t="shared" si="159"/>
        <v>6.0000000000000005E-2</v>
      </c>
      <c r="BW94" s="45">
        <f t="shared" si="113"/>
        <v>1.5000000000000001E-2</v>
      </c>
      <c r="BX94" s="45">
        <f t="shared" si="114"/>
        <v>1.4999999999999999E-2</v>
      </c>
      <c r="BY94" s="45">
        <f t="shared" si="160"/>
        <v>6.0000000000000005E-2</v>
      </c>
      <c r="BZ94" s="45">
        <f t="shared" si="161"/>
        <v>0</v>
      </c>
      <c r="CA94" s="45">
        <f t="shared" si="106"/>
        <v>0</v>
      </c>
      <c r="CB94" s="45">
        <f t="shared" si="162"/>
        <v>6.0000000000000005E-2</v>
      </c>
      <c r="CC94" s="45">
        <f t="shared" si="163"/>
        <v>0</v>
      </c>
      <c r="CD94" s="45">
        <v>0</v>
      </c>
      <c r="CE94" s="45">
        <f t="shared" si="164"/>
        <v>0</v>
      </c>
      <c r="CF94" s="45" t="str">
        <f t="shared" si="165"/>
        <v>NA</v>
      </c>
      <c r="CG94" s="45">
        <v>0</v>
      </c>
      <c r="CH94" s="244"/>
      <c r="CI94" s="244"/>
      <c r="CJ94" s="244"/>
      <c r="CK94" s="244"/>
      <c r="CM94" s="63">
        <v>4</v>
      </c>
    </row>
    <row r="95" spans="1:91" ht="18" hidden="1" customHeight="1">
      <c r="A95" s="260" t="s">
        <v>144</v>
      </c>
      <c r="B95" s="260" t="s">
        <v>145</v>
      </c>
      <c r="C95" s="260" t="s">
        <v>100</v>
      </c>
      <c r="D95" s="260" t="s">
        <v>508</v>
      </c>
      <c r="E95" s="260" t="s">
        <v>509</v>
      </c>
      <c r="F95" s="260" t="s">
        <v>674</v>
      </c>
      <c r="G95" s="260" t="s">
        <v>675</v>
      </c>
      <c r="H95" s="260" t="s">
        <v>684</v>
      </c>
      <c r="I95" s="260" t="s">
        <v>106</v>
      </c>
      <c r="J95" s="260"/>
      <c r="K95" s="260" t="s">
        <v>685</v>
      </c>
      <c r="L95" s="260" t="s">
        <v>686</v>
      </c>
      <c r="M95" s="260" t="s">
        <v>687</v>
      </c>
      <c r="N95" s="260" t="s">
        <v>111</v>
      </c>
      <c r="O95" s="260" t="s">
        <v>112</v>
      </c>
      <c r="P95" s="10">
        <v>70</v>
      </c>
      <c r="Q95" s="11">
        <v>70</v>
      </c>
      <c r="R95" s="11">
        <f t="shared" si="152"/>
        <v>27</v>
      </c>
      <c r="S95" s="11">
        <f>VLOOKUP(K95,'1126 Desarrollo Social'!$K$13:$S$58,9,0)</f>
        <v>0</v>
      </c>
      <c r="T95" s="11">
        <v>5</v>
      </c>
      <c r="U95" s="11">
        <v>0</v>
      </c>
      <c r="V95" s="11">
        <v>5</v>
      </c>
      <c r="W95" s="11">
        <v>0</v>
      </c>
      <c r="X95" s="11">
        <v>5</v>
      </c>
      <c r="Y95" s="11">
        <v>0</v>
      </c>
      <c r="Z95" s="11">
        <v>5</v>
      </c>
      <c r="AA95" s="11" t="s">
        <v>688</v>
      </c>
      <c r="AB95" s="11" t="s">
        <v>689</v>
      </c>
      <c r="AC95" s="11" t="s">
        <v>690</v>
      </c>
      <c r="AD95" s="403">
        <v>21</v>
      </c>
      <c r="AE95" s="403">
        <v>0</v>
      </c>
      <c r="AF95" s="11">
        <f>VLOOKUP(K95,'1126 Desarrollo Social'!$K$13:$AK$58,22,0)</f>
        <v>22</v>
      </c>
      <c r="AG95" s="11">
        <f>VLOOKUP(K95,'1126 Desarrollo Social'!$K$13:$AK$58,23,0)</f>
        <v>0</v>
      </c>
      <c r="AH95" s="11">
        <f t="shared" si="153"/>
        <v>22</v>
      </c>
      <c r="AI95" s="11" t="str">
        <f>VLOOKUP(K95,'1126 Desarrollo Social'!$K$13:$AK$58,25,0)</f>
        <v>DOTACIÓN  MATERIAL DIDÁCTICO PARA 17 ESPACIOS LÚDICO PEDAGÓGICOS Y 5 CDI</v>
      </c>
      <c r="AJ95" s="11" t="str">
        <f>VLOOKUP(K95,'1126 Desarrollo Social'!$K$13:$AK$58,26,0)</f>
        <v>Diagnóstico de espacios lúdico pedagógicos en 88 municipios</v>
      </c>
      <c r="AK95" s="11">
        <f>VLOOKUP(K95,'1126 Desarrollo Social'!$K$13:$AK$58,27,0)</f>
        <v>0</v>
      </c>
      <c r="AL95" s="11">
        <v>26</v>
      </c>
      <c r="AM95" s="11">
        <v>0</v>
      </c>
      <c r="AN95" s="11">
        <v>18</v>
      </c>
      <c r="AO95" s="11">
        <v>0</v>
      </c>
      <c r="AP95" s="11">
        <v>0</v>
      </c>
      <c r="AQ95" s="11">
        <v>0</v>
      </c>
      <c r="AR95" s="51">
        <v>58071413</v>
      </c>
      <c r="AS95" s="54">
        <v>562500000</v>
      </c>
      <c r="AT95" s="54">
        <f t="shared" si="103"/>
        <v>620571413</v>
      </c>
      <c r="AU95" s="51">
        <v>56589320</v>
      </c>
      <c r="AV95" s="243">
        <v>280000000</v>
      </c>
      <c r="AW95" s="244"/>
      <c r="AX95" s="244"/>
      <c r="AY95" s="243">
        <v>156743326</v>
      </c>
      <c r="AZ95" s="44">
        <f t="shared" si="154"/>
        <v>0.38571428571428573</v>
      </c>
      <c r="BA95" s="44">
        <v>7.1400000000000005E-2</v>
      </c>
      <c r="BB95" s="44">
        <v>1</v>
      </c>
      <c r="BC95" s="44">
        <f t="shared" si="155"/>
        <v>0.3</v>
      </c>
      <c r="BD95" s="44" cm="1">
        <f t="array" ref="BD95">_xlfn.IFS(AD95=0,"NA",AD95&gt;0,AH95/AD95)</f>
        <v>1.0476190476190477</v>
      </c>
      <c r="BE95" s="44">
        <f t="shared" si="156"/>
        <v>0.37142857142857144</v>
      </c>
      <c r="BF95" s="44">
        <v>0</v>
      </c>
      <c r="BG95" s="44">
        <f t="shared" si="157"/>
        <v>0.25714285714285712</v>
      </c>
      <c r="BH95" s="44">
        <v>0</v>
      </c>
      <c r="BI95" s="44">
        <f t="shared" si="158"/>
        <v>0</v>
      </c>
      <c r="BJ95" s="44" t="s">
        <v>115</v>
      </c>
      <c r="BK95" s="44">
        <f t="shared" si="104"/>
        <v>0.38571428571428573</v>
      </c>
      <c r="BL95" s="44">
        <v>1</v>
      </c>
      <c r="BM95" s="44" t="str" cm="1">
        <f t="array" ref="BM95">_xlfn.IFS(BD95="NA","NA",BD95&gt;100%,"100%",BD95&lt;100,BD95)</f>
        <v>100%</v>
      </c>
      <c r="BN95" s="44" cm="1">
        <f t="array" ref="BN95">_xlfn.IFS(BF95="NA","NA",BF95&gt;100%,"100%",BF95&lt;100,BF95)</f>
        <v>0</v>
      </c>
      <c r="BO95" s="44" cm="1">
        <f t="array" ref="BO95">_xlfn.IFS(BH95="NA","NA",BH95&gt;100%,"100%",BH95&lt;100,BH95)</f>
        <v>0</v>
      </c>
      <c r="BP95" s="44" t="str" cm="1">
        <f t="array" ref="BP95">_xlfn.IFS(BJ95="NA","NA",BJ95&gt;100%,"100%",BJ95&lt;100,BJ95)</f>
        <v>NA</v>
      </c>
      <c r="BQ95" s="45">
        <v>0.22500000000000001</v>
      </c>
      <c r="BR95" s="45">
        <f t="shared" si="105"/>
        <v>8.6785714285714285E-2</v>
      </c>
      <c r="BS95" s="45">
        <v>1.61E-2</v>
      </c>
      <c r="BT95" s="45">
        <v>1.61E-2</v>
      </c>
      <c r="BU95" s="45">
        <v>1.61E-2</v>
      </c>
      <c r="BV95" s="45">
        <f t="shared" si="159"/>
        <v>6.7500000000000004E-2</v>
      </c>
      <c r="BW95" s="45">
        <f t="shared" si="113"/>
        <v>6.7500000000000004E-2</v>
      </c>
      <c r="BX95" s="45">
        <f t="shared" si="114"/>
        <v>7.0685714285714282E-2</v>
      </c>
      <c r="BY95" s="45">
        <f t="shared" si="160"/>
        <v>8.3571428571428574E-2</v>
      </c>
      <c r="BZ95" s="45">
        <f t="shared" si="161"/>
        <v>0</v>
      </c>
      <c r="CA95" s="45">
        <f t="shared" si="106"/>
        <v>0</v>
      </c>
      <c r="CB95" s="45">
        <f t="shared" si="162"/>
        <v>5.7857142857142857E-2</v>
      </c>
      <c r="CC95" s="45">
        <f t="shared" si="163"/>
        <v>0</v>
      </c>
      <c r="CD95" s="45">
        <v>0</v>
      </c>
      <c r="CE95" s="45">
        <f t="shared" si="164"/>
        <v>0</v>
      </c>
      <c r="CF95" s="45" t="str">
        <f t="shared" si="165"/>
        <v>NA</v>
      </c>
      <c r="CG95" s="45">
        <v>0</v>
      </c>
      <c r="CH95" s="244"/>
      <c r="CI95" s="244"/>
      <c r="CJ95" s="244"/>
      <c r="CK95" s="244"/>
      <c r="CM95" s="63">
        <v>24</v>
      </c>
    </row>
    <row r="96" spans="1:91" ht="18" hidden="1" customHeight="1">
      <c r="A96" s="260" t="s">
        <v>144</v>
      </c>
      <c r="B96" s="260" t="s">
        <v>145</v>
      </c>
      <c r="C96" s="260" t="s">
        <v>100</v>
      </c>
      <c r="D96" s="260" t="s">
        <v>508</v>
      </c>
      <c r="E96" s="260" t="s">
        <v>509</v>
      </c>
      <c r="F96" s="260" t="s">
        <v>674</v>
      </c>
      <c r="G96" s="260" t="s">
        <v>675</v>
      </c>
      <c r="H96" s="260" t="s">
        <v>691</v>
      </c>
      <c r="I96" s="260" t="s">
        <v>106</v>
      </c>
      <c r="J96" s="260"/>
      <c r="K96" s="260" t="s">
        <v>692</v>
      </c>
      <c r="L96" s="260" t="s">
        <v>693</v>
      </c>
      <c r="M96" s="260" t="s">
        <v>140</v>
      </c>
      <c r="N96" s="260" t="s">
        <v>111</v>
      </c>
      <c r="O96" s="260" t="s">
        <v>112</v>
      </c>
      <c r="P96" s="10">
        <v>116</v>
      </c>
      <c r="Q96" s="11">
        <v>116</v>
      </c>
      <c r="R96" s="11">
        <f t="shared" si="152"/>
        <v>50</v>
      </c>
      <c r="S96" s="11" t="str">
        <f>VLOOKUP(K96,'1126 Desarrollo Social'!$K$13:$S$58,9,0)</f>
        <v>activación y coordinación de la submesa de infancia y adolescenciaAsistencia técnica  a los municipios que no cuentan con política publica de de Niños niñas y adolescentesTrabajo coordinado con la fundación Juego y Niñez El personal contratado para el desarrollo de las actividades de esta meta con vigencia del plan de desarrollo 2016-2020</v>
      </c>
      <c r="T96" s="11">
        <v>10</v>
      </c>
      <c r="U96" s="11">
        <v>0</v>
      </c>
      <c r="V96" s="11">
        <v>10</v>
      </c>
      <c r="W96" s="11">
        <v>0</v>
      </c>
      <c r="X96" s="11">
        <v>10</v>
      </c>
      <c r="Y96" s="11">
        <v>0</v>
      </c>
      <c r="Z96" s="11">
        <v>10</v>
      </c>
      <c r="AA96" s="11" t="s">
        <v>694</v>
      </c>
      <c r="AB96" s="11" t="s">
        <v>695</v>
      </c>
      <c r="AC96" s="11" t="s">
        <v>696</v>
      </c>
      <c r="AD96" s="403">
        <v>40</v>
      </c>
      <c r="AE96" s="403">
        <v>0</v>
      </c>
      <c r="AF96" s="11">
        <f>VLOOKUP(K96,'1126 Desarrollo Social'!$K$13:$AK$58,22,0)</f>
        <v>40</v>
      </c>
      <c r="AG96" s="11">
        <f>VLOOKUP(K96,'1126 Desarrollo Social'!$K$13:$AK$58,23,0)</f>
        <v>0</v>
      </c>
      <c r="AH96" s="11">
        <f t="shared" si="153"/>
        <v>40</v>
      </c>
      <c r="AI96" s="11">
        <f>VLOOKUP(K96,'1126 Desarrollo Social'!$K$13:$AK$58,25,0)</f>
        <v>0</v>
      </c>
      <c r="AJ96" s="11" t="str">
        <f>VLOOKUP(K96,'1126 Desarrollo Social'!$K$13:$AK$58,26,0)</f>
        <v xml:space="preserve">Se realizo la implementacion de la estrategia una familia que progresa es una familia cundinamarquesa, con el taller "roles de padres e hijos- comunicacion asertiva", taller pareja encuentro entre iguales", primer taller virtual con adolescentes del Sistema de Responsabilidad Penal Adolescentes </v>
      </c>
      <c r="AK96" s="11">
        <f>VLOOKUP(K96,'1126 Desarrollo Social'!$K$13:$AK$58,27,0)</f>
        <v>0</v>
      </c>
      <c r="AL96" s="11">
        <v>40</v>
      </c>
      <c r="AM96" s="11">
        <v>0</v>
      </c>
      <c r="AN96" s="11">
        <v>26</v>
      </c>
      <c r="AO96" s="11">
        <v>0</v>
      </c>
      <c r="AP96" s="11">
        <v>0</v>
      </c>
      <c r="AQ96" s="11">
        <v>0</v>
      </c>
      <c r="AR96" s="51">
        <v>18500000</v>
      </c>
      <c r="AS96" s="54">
        <v>0</v>
      </c>
      <c r="AT96" s="54">
        <f t="shared" si="103"/>
        <v>18500000</v>
      </c>
      <c r="AU96" s="51">
        <v>16166660</v>
      </c>
      <c r="AV96" s="243">
        <v>80000000</v>
      </c>
      <c r="AW96" s="244"/>
      <c r="AX96" s="244"/>
      <c r="AY96" s="243">
        <v>68624333</v>
      </c>
      <c r="AZ96" s="44">
        <f t="shared" si="154"/>
        <v>0.43103448275862066</v>
      </c>
      <c r="BA96" s="44">
        <v>8.6199999999999999E-2</v>
      </c>
      <c r="BB96" s="44">
        <v>1</v>
      </c>
      <c r="BC96" s="44">
        <f t="shared" si="155"/>
        <v>0.34482758620689657</v>
      </c>
      <c r="BD96" s="44" cm="1">
        <f t="array" ref="BD96">_xlfn.IFS(AD96=0,"NA",AD96&gt;0,AH96/AD96)</f>
        <v>1</v>
      </c>
      <c r="BE96" s="44">
        <f t="shared" si="156"/>
        <v>0.34482758620689657</v>
      </c>
      <c r="BF96" s="44">
        <v>0</v>
      </c>
      <c r="BG96" s="44">
        <f t="shared" si="157"/>
        <v>0.22413793103448276</v>
      </c>
      <c r="BH96" s="44">
        <v>0</v>
      </c>
      <c r="BI96" s="44">
        <f t="shared" si="158"/>
        <v>0</v>
      </c>
      <c r="BJ96" s="44" t="s">
        <v>115</v>
      </c>
      <c r="BK96" s="44">
        <f t="shared" si="104"/>
        <v>0.43103448275862066</v>
      </c>
      <c r="BL96" s="44">
        <v>1</v>
      </c>
      <c r="BM96" s="44" cm="1">
        <f t="array" ref="BM96">_xlfn.IFS(BD96="NA","NA",BD96&gt;100%,"100%",BD96&lt;100,BD96)</f>
        <v>1</v>
      </c>
      <c r="BN96" s="44" cm="1">
        <f t="array" ref="BN96">_xlfn.IFS(BF96="NA","NA",BF96&gt;100%,"100%",BF96&lt;100,BF96)</f>
        <v>0</v>
      </c>
      <c r="BO96" s="44" cm="1">
        <f t="array" ref="BO96">_xlfn.IFS(BH96="NA","NA",BH96&gt;100%,"100%",BH96&lt;100,BH96)</f>
        <v>0</v>
      </c>
      <c r="BP96" s="44" t="str" cm="1">
        <f t="array" ref="BP96">_xlfn.IFS(BJ96="NA","NA",BJ96&gt;100%,"100%",BJ96&lt;100,BJ96)</f>
        <v>NA</v>
      </c>
      <c r="BQ96" s="45">
        <v>0.22500000000000001</v>
      </c>
      <c r="BR96" s="45">
        <f t="shared" si="105"/>
        <v>9.6982758620689655E-2</v>
      </c>
      <c r="BS96" s="45">
        <v>1.9400000000000001E-2</v>
      </c>
      <c r="BT96" s="45">
        <v>1.9400000000000001E-2</v>
      </c>
      <c r="BU96" s="45">
        <v>1.9400000000000001E-2</v>
      </c>
      <c r="BV96" s="45">
        <f t="shared" si="159"/>
        <v>7.7586206896551727E-2</v>
      </c>
      <c r="BW96" s="45">
        <f t="shared" si="113"/>
        <v>7.7586206896551727E-2</v>
      </c>
      <c r="BX96" s="45">
        <f t="shared" si="114"/>
        <v>7.7582758620689654E-2</v>
      </c>
      <c r="BY96" s="45">
        <f t="shared" si="160"/>
        <v>7.7586206896551727E-2</v>
      </c>
      <c r="BZ96" s="45">
        <f t="shared" si="161"/>
        <v>0</v>
      </c>
      <c r="CA96" s="45">
        <f t="shared" si="106"/>
        <v>0</v>
      </c>
      <c r="CB96" s="45">
        <f t="shared" si="162"/>
        <v>5.0431034482758624E-2</v>
      </c>
      <c r="CC96" s="45">
        <f t="shared" si="163"/>
        <v>0</v>
      </c>
      <c r="CD96" s="45">
        <v>0</v>
      </c>
      <c r="CE96" s="45">
        <f t="shared" si="164"/>
        <v>0</v>
      </c>
      <c r="CF96" s="45" t="str">
        <f t="shared" si="165"/>
        <v>NA</v>
      </c>
      <c r="CG96" s="45">
        <v>0</v>
      </c>
      <c r="CH96" s="244"/>
      <c r="CI96" s="244"/>
      <c r="CJ96" s="244"/>
      <c r="CK96" s="244"/>
      <c r="CM96" s="63">
        <v>38</v>
      </c>
    </row>
    <row r="97" spans="1:91" ht="18" hidden="1" customHeight="1">
      <c r="A97" s="260" t="s">
        <v>292</v>
      </c>
      <c r="B97" s="260" t="s">
        <v>293</v>
      </c>
      <c r="C97" s="260" t="s">
        <v>100</v>
      </c>
      <c r="D97" s="260" t="s">
        <v>508</v>
      </c>
      <c r="E97" s="260" t="s">
        <v>509</v>
      </c>
      <c r="F97" s="260" t="s">
        <v>697</v>
      </c>
      <c r="G97" s="260" t="s">
        <v>698</v>
      </c>
      <c r="H97" s="260" t="s">
        <v>699</v>
      </c>
      <c r="I97" s="260" t="s">
        <v>255</v>
      </c>
      <c r="J97" s="260" t="s">
        <v>298</v>
      </c>
      <c r="K97" s="260" t="s">
        <v>700</v>
      </c>
      <c r="L97" s="260" t="s">
        <v>701</v>
      </c>
      <c r="M97" s="260" t="s">
        <v>702</v>
      </c>
      <c r="N97" s="260" t="s">
        <v>111</v>
      </c>
      <c r="O97" s="260" t="s">
        <v>112</v>
      </c>
      <c r="P97" s="10">
        <v>2200</v>
      </c>
      <c r="Q97" s="11">
        <v>7000</v>
      </c>
      <c r="R97" s="11">
        <f t="shared" si="152"/>
        <v>1689</v>
      </c>
      <c r="S97" s="11" t="str">
        <f>VLOOKUP(K97,'1108 Educación'!$K$13:$AK$40,9,0)</f>
        <v>El proceso de atención integral en educación inicial a  menores de 5 años, se  continuó desarrollando para una cobertura total de 871 niños y niñas. Con la ejecución del proyecto se desarrollaron las siguientes actividades:    1. Acompañamiento pedagógico a los niños y niñas  mediado por las familias: el ejercicio es liderado por las maestras y acompañado por el equipo pedagógico del proyecto . 2. Diseño y desarrollo de material impreso para familias con dificultades en la conexión virtual. 3. Entrega de pieza de literatura infantil cada martes.  4.Reestructuración  y aplicación del formato de caracterización definiendo la pertinencia de la información de las familias pertenecientes a cada Unidad de Atención. 5. Socialización  del pacto de corresponsabilidad, canales de comunicación y directorio institucional de servicios. 6. Avance de la estrategia.  “De la mano con san, mi cuerpo vamos a cuidar” 7. Entrega de apoyos nutricionales, kits pedagógicos, de aseo y detalle día dulce 8. Proceso de formación de manera virtual a las docentes de primera infancia. Los temas abordados fueron: Planeación Diseño de ambientes e interacciones en el hogar. Premisas de la modalidad y la virtualidad.</v>
      </c>
      <c r="T97" s="11">
        <v>960</v>
      </c>
      <c r="U97" s="11">
        <v>0</v>
      </c>
      <c r="V97" s="11">
        <v>858</v>
      </c>
      <c r="W97" s="11">
        <v>0</v>
      </c>
      <c r="X97" s="11">
        <v>871</v>
      </c>
      <c r="Y97" s="11">
        <v>0</v>
      </c>
      <c r="Z97" s="11">
        <v>871</v>
      </c>
      <c r="AA97" s="11" t="s">
        <v>703</v>
      </c>
      <c r="AB97" s="11" t="s">
        <v>704</v>
      </c>
      <c r="AC97" s="11" t="s">
        <v>705</v>
      </c>
      <c r="AD97" s="403">
        <v>818</v>
      </c>
      <c r="AE97" s="403">
        <v>0</v>
      </c>
      <c r="AF97" s="11">
        <f>VLOOKUP(K97,'1108 Educación'!$K$13:$AK$40,22,0)</f>
        <v>818</v>
      </c>
      <c r="AG97" s="11">
        <f>VLOOKUP(K97,'1108 Educación'!$K$13:$AK$40,23,0)</f>
        <v>0</v>
      </c>
      <c r="AH97" s="11">
        <f t="shared" si="153"/>
        <v>818</v>
      </c>
      <c r="AI97" s="11" t="str">
        <f>VLOOKUP(K97,'1108 Educación'!$K$13:$AK$40,25,0)</f>
        <v xml:space="preserve">Atención Integral de Primera Infancia </v>
      </c>
      <c r="AJ97" s="11" t="str">
        <f>VLOOKUP(K97,'1108 Educación'!$K$13:$AK$40,26,0)</f>
        <v>En el marco de la atención integral a los niños de 0a 5 años, durante el mes de septiembre: De los 33 municipios focalizados se ha realizado matrícula de 30 munipios, en esta semana se llevara a cabo la matrícula de 3 municipios como son: FOSCA, NEMOCON, SAN BERNARDO. Para el mes de octubre se continuo con el proceso de atención integral en educación inicial a  menores de 5 años, se  continua desarrollando durante el mes de octubre con una cobertura de 818 niños y niñas.
En el desarrollo del proyecto se ha avanzando  en las siguientes acciones:   Desarrollo de los componentes pedagógico, familia cimunidad y redes, salud alimemtación y nutrición.</v>
      </c>
      <c r="AK97" s="11" t="str">
        <f>VLOOKUP(K97,'1108 Educación'!$K$13:$AK$40,27,0)</f>
        <v xml:space="preserve">Por problemas en el sistema SECOP II con el BPIN del contrato  se ha retrasado el inicio de la ejecución </v>
      </c>
      <c r="AL97" s="11">
        <v>2811</v>
      </c>
      <c r="AM97" s="11">
        <v>0</v>
      </c>
      <c r="AN97" s="11">
        <v>2500</v>
      </c>
      <c r="AO97" s="11">
        <v>0</v>
      </c>
      <c r="AP97" s="11">
        <v>0</v>
      </c>
      <c r="AQ97" s="11">
        <v>0</v>
      </c>
      <c r="AR97" s="52"/>
      <c r="AS97" s="54">
        <v>716000000</v>
      </c>
      <c r="AT97" s="54">
        <f t="shared" si="103"/>
        <v>716000000</v>
      </c>
      <c r="AU97" s="52"/>
      <c r="AV97" s="243">
        <v>406895000</v>
      </c>
      <c r="AW97" s="244"/>
      <c r="AX97" s="244"/>
      <c r="AY97" s="243">
        <v>400000000</v>
      </c>
      <c r="AZ97" s="44">
        <f t="shared" si="154"/>
        <v>0.2412857142857143</v>
      </c>
      <c r="BA97" s="44">
        <v>0.2145</v>
      </c>
      <c r="BB97" s="44">
        <v>1.0152000000000001</v>
      </c>
      <c r="BC97" s="44">
        <f t="shared" si="155"/>
        <v>0.11685714285714285</v>
      </c>
      <c r="BD97" s="44" cm="1">
        <f t="array" ref="BD97">_xlfn.IFS(AD97=0,"NA",AD97&gt;0,AH97/AD97)</f>
        <v>1</v>
      </c>
      <c r="BE97" s="44">
        <f t="shared" si="156"/>
        <v>0.40157142857142858</v>
      </c>
      <c r="BF97" s="44">
        <v>0</v>
      </c>
      <c r="BG97" s="44">
        <f t="shared" si="157"/>
        <v>0.35714285714285715</v>
      </c>
      <c r="BH97" s="44">
        <v>0</v>
      </c>
      <c r="BI97" s="44">
        <f t="shared" si="158"/>
        <v>0</v>
      </c>
      <c r="BJ97" s="44" t="s">
        <v>115</v>
      </c>
      <c r="BK97" s="44">
        <f t="shared" si="104"/>
        <v>0.2412857142857143</v>
      </c>
      <c r="BL97" s="44">
        <v>1</v>
      </c>
      <c r="BM97" s="44" cm="1">
        <f t="array" ref="BM97">_xlfn.IFS(BD97="NA","NA",BD97&gt;100%,"100%",BD97&lt;100,BD97)</f>
        <v>1</v>
      </c>
      <c r="BN97" s="44" cm="1">
        <f t="array" ref="BN97">_xlfn.IFS(BF97="NA","NA",BF97&gt;100%,"100%",BF97&lt;100,BF97)</f>
        <v>0</v>
      </c>
      <c r="BO97" s="44" cm="1">
        <f t="array" ref="BO97">_xlfn.IFS(BH97="NA","NA",BH97&gt;100%,"100%",BH97&lt;100,BH97)</f>
        <v>0</v>
      </c>
      <c r="BP97" s="44" t="str" cm="1">
        <f t="array" ref="BP97">_xlfn.IFS(BJ97="NA","NA",BJ97&gt;100%,"100%",BJ97&lt;100,BJ97)</f>
        <v>NA</v>
      </c>
      <c r="BQ97" s="224">
        <v>0.45</v>
      </c>
      <c r="BR97" s="45">
        <f t="shared" si="105"/>
        <v>0.10857857142857144</v>
      </c>
      <c r="BS97" s="45">
        <v>4.8300000000000003E-2</v>
      </c>
      <c r="BT97" s="45">
        <v>4.8300000000000003E-2</v>
      </c>
      <c r="BU97" s="45">
        <v>4.9000000000000002E-2</v>
      </c>
      <c r="BV97" s="45">
        <f t="shared" si="159"/>
        <v>5.2585714285714291E-2</v>
      </c>
      <c r="BW97" s="45">
        <f t="shared" si="113"/>
        <v>5.2585714285714291E-2</v>
      </c>
      <c r="BX97" s="45">
        <f t="shared" si="114"/>
        <v>5.9578571428571439E-2</v>
      </c>
      <c r="BY97" s="45">
        <f t="shared" si="160"/>
        <v>0.18070714285714287</v>
      </c>
      <c r="BZ97" s="45">
        <f t="shared" si="161"/>
        <v>0</v>
      </c>
      <c r="CA97" s="45">
        <f t="shared" si="106"/>
        <v>0</v>
      </c>
      <c r="CB97" s="45">
        <f t="shared" si="162"/>
        <v>0.16071428571428573</v>
      </c>
      <c r="CC97" s="45">
        <f t="shared" si="163"/>
        <v>0</v>
      </c>
      <c r="CD97" s="45">
        <v>0</v>
      </c>
      <c r="CE97" s="45">
        <f t="shared" si="164"/>
        <v>0</v>
      </c>
      <c r="CF97" s="45" t="str">
        <f t="shared" si="165"/>
        <v>NA</v>
      </c>
      <c r="CG97" s="45">
        <v>0</v>
      </c>
      <c r="CH97" s="244"/>
      <c r="CI97" s="244"/>
      <c r="CJ97" s="244"/>
      <c r="CK97" s="244"/>
      <c r="CM97" s="63">
        <v>871</v>
      </c>
    </row>
    <row r="98" spans="1:91" ht="18" hidden="1" customHeight="1">
      <c r="A98" s="260" t="s">
        <v>248</v>
      </c>
      <c r="B98" s="260" t="s">
        <v>249</v>
      </c>
      <c r="C98" s="260" t="s">
        <v>100</v>
      </c>
      <c r="D98" s="260" t="s">
        <v>508</v>
      </c>
      <c r="E98" s="260" t="s">
        <v>509</v>
      </c>
      <c r="F98" s="260" t="s">
        <v>706</v>
      </c>
      <c r="G98" s="260" t="s">
        <v>707</v>
      </c>
      <c r="H98" s="260" t="s">
        <v>708</v>
      </c>
      <c r="I98" s="260" t="s">
        <v>106</v>
      </c>
      <c r="J98" s="260"/>
      <c r="K98" s="260" t="s">
        <v>709</v>
      </c>
      <c r="L98" s="260" t="s">
        <v>710</v>
      </c>
      <c r="M98" s="260" t="s">
        <v>711</v>
      </c>
      <c r="N98" s="260" t="s">
        <v>111</v>
      </c>
      <c r="O98" s="260" t="s">
        <v>112</v>
      </c>
      <c r="P98" s="10">
        <v>3</v>
      </c>
      <c r="Q98" s="11">
        <v>3</v>
      </c>
      <c r="R98" s="11">
        <f t="shared" si="152"/>
        <v>1</v>
      </c>
      <c r="S98" s="11" t="str">
        <f>VLOOKUP(K98,'1208 Indeportes'!$K$13:$AK$39,9,0)</f>
        <v>La meta se encuentra en ejecución, sin embargo, se han realizado las siguientes actividades y contrataciones: COFINANCIACIÓN CONVENIO PARA EL DESARROLLO DEL PROYECTO DE DEPORTE ESCOLAR -ESCUELAS DEPORTIVAS- , CON EL MINISTERIO DEL DEPORTE.GERENCIA INTEGRAL DE PROYECTOS PARA LA PLANEACIÓN, ADMINISTRACIÓN Y EJECUCIÓN DE ACCIONES TENDIENTES A MEJORAR LA CALIDAD, LA COMPETITIVIDAD Y LA PROMOCIÓN DEL DEPORTE EN CUNDINAMARCA, DE ACUERDO CON LOS LINEAMIENTOS DEL PLAN DE DESARROLLO “CUNDINAMARCA REGIÓN QUE PROGRESA.Adicionalmente, a través del convenio No. 257 celebrado con FONDECUN se contrató la realización de este evento que se llevará a cabo del 5 al 30 de octubre de 2020.</v>
      </c>
      <c r="T98" s="11">
        <v>1</v>
      </c>
      <c r="U98" s="11">
        <v>0</v>
      </c>
      <c r="V98" s="11">
        <v>1</v>
      </c>
      <c r="W98" s="11">
        <v>0</v>
      </c>
      <c r="X98" s="11">
        <v>1</v>
      </c>
      <c r="Y98" s="11">
        <v>0</v>
      </c>
      <c r="Z98" s="11">
        <v>1</v>
      </c>
      <c r="AA98" s="11">
        <v>0</v>
      </c>
      <c r="AB98" s="11" t="s">
        <v>712</v>
      </c>
      <c r="AC98" s="11">
        <v>0</v>
      </c>
      <c r="AD98" s="403">
        <v>1</v>
      </c>
      <c r="AE98" s="403">
        <v>0</v>
      </c>
      <c r="AF98" s="11">
        <f>VLOOKUP(K98,'1208 Indeportes'!$K$13:$AH$39,22,0)</f>
        <v>0</v>
      </c>
      <c r="AG98" s="11">
        <f>VLOOKUP(K98,'1208 Indeportes'!$K$13:$AH$39,23,0)</f>
        <v>0</v>
      </c>
      <c r="AH98" s="11">
        <f t="shared" si="153"/>
        <v>0</v>
      </c>
      <c r="AI98" s="11">
        <f>VLOOKUP(K98,'1208 Indeportes'!$K$13:$AK$39,25,0)</f>
        <v>0</v>
      </c>
      <c r="AJ98" s="11" t="str">
        <f>VLOOKUP(K98,'1208 Indeportes'!$K$13:$AK$39,26,0)</f>
        <v>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v>
      </c>
      <c r="AK98" s="11">
        <f>VLOOKUP(K98,'1208 Indeportes'!$K$13:$AK$39,27,0)</f>
        <v>0</v>
      </c>
      <c r="AL98" s="11">
        <v>1</v>
      </c>
      <c r="AM98" s="11">
        <v>0</v>
      </c>
      <c r="AN98" s="11">
        <v>0</v>
      </c>
      <c r="AO98" s="11">
        <v>0</v>
      </c>
      <c r="AP98" s="11">
        <v>0</v>
      </c>
      <c r="AQ98" s="11">
        <v>0</v>
      </c>
      <c r="AR98" s="51">
        <v>83669750</v>
      </c>
      <c r="AS98" s="54">
        <v>0</v>
      </c>
      <c r="AT98" s="54">
        <f t="shared" si="103"/>
        <v>83669750</v>
      </c>
      <c r="AU98" s="51">
        <v>48564360</v>
      </c>
      <c r="AV98" s="243">
        <v>130000000</v>
      </c>
      <c r="AW98" s="244"/>
      <c r="AX98" s="244"/>
      <c r="AY98" s="243">
        <v>65000000</v>
      </c>
      <c r="AZ98" s="44">
        <f t="shared" si="154"/>
        <v>0.33333333333333331</v>
      </c>
      <c r="BA98" s="44">
        <v>0.33329999999999999</v>
      </c>
      <c r="BB98" s="44">
        <v>1</v>
      </c>
      <c r="BC98" s="44">
        <f t="shared" si="155"/>
        <v>0.33333333333333331</v>
      </c>
      <c r="BD98" s="44" cm="1">
        <f t="array" ref="BD98">_xlfn.IFS(AD98=0,"NA",AD98&gt;0,AH98/AD98)</f>
        <v>0</v>
      </c>
      <c r="BE98" s="44">
        <f t="shared" si="156"/>
        <v>0.33333333333333331</v>
      </c>
      <c r="BF98" s="44">
        <v>0</v>
      </c>
      <c r="BG98" s="44">
        <f t="shared" si="157"/>
        <v>0</v>
      </c>
      <c r="BH98" s="44">
        <v>0</v>
      </c>
      <c r="BI98" s="44">
        <f t="shared" si="158"/>
        <v>0</v>
      </c>
      <c r="BJ98" s="44" t="s">
        <v>115</v>
      </c>
      <c r="BK98" s="44">
        <f t="shared" si="104"/>
        <v>0.33333333333333331</v>
      </c>
      <c r="BL98" s="44">
        <v>1</v>
      </c>
      <c r="BM98" s="44" cm="1">
        <f t="array" ref="BM98">_xlfn.IFS(BD98="NA","NA",BD98&gt;100%,"100%",BD98&lt;100,BD98)</f>
        <v>0</v>
      </c>
      <c r="BN98" s="44" cm="1">
        <f t="array" ref="BN98">_xlfn.IFS(BF98="NA","NA",BF98&gt;100%,"100%",BF98&lt;100,BF98)</f>
        <v>0</v>
      </c>
      <c r="BO98" s="44" cm="1">
        <f t="array" ref="BO98">_xlfn.IFS(BH98="NA","NA",BH98&gt;100%,"100%",BH98&lt;100,BH98)</f>
        <v>0</v>
      </c>
      <c r="BP98" s="44" t="str" cm="1">
        <f t="array" ref="BP98">_xlfn.IFS(BJ98="NA","NA",BJ98&gt;100%,"100%",BJ98&lt;100,BJ98)</f>
        <v>NA</v>
      </c>
      <c r="BQ98" s="45">
        <v>0.22500000000000001</v>
      </c>
      <c r="BR98" s="45">
        <f t="shared" si="105"/>
        <v>7.4999999999999997E-2</v>
      </c>
      <c r="BS98" s="45">
        <v>7.4999999999999997E-2</v>
      </c>
      <c r="BT98" s="45">
        <v>7.4999999999999997E-2</v>
      </c>
      <c r="BU98" s="45">
        <v>7.4999999999999997E-2</v>
      </c>
      <c r="BV98" s="45">
        <f t="shared" si="159"/>
        <v>7.4999999999999997E-2</v>
      </c>
      <c r="BW98" s="45">
        <f t="shared" si="113"/>
        <v>0</v>
      </c>
      <c r="BX98" s="45">
        <f t="shared" si="114"/>
        <v>0</v>
      </c>
      <c r="BY98" s="45">
        <f t="shared" si="160"/>
        <v>7.4999999999999997E-2</v>
      </c>
      <c r="BZ98" s="45">
        <f t="shared" si="161"/>
        <v>0</v>
      </c>
      <c r="CA98" s="45">
        <f t="shared" si="106"/>
        <v>0</v>
      </c>
      <c r="CB98" s="45">
        <f t="shared" si="162"/>
        <v>0</v>
      </c>
      <c r="CC98" s="45">
        <f t="shared" si="163"/>
        <v>0</v>
      </c>
      <c r="CD98" s="45">
        <v>0</v>
      </c>
      <c r="CE98" s="45">
        <f t="shared" si="164"/>
        <v>0</v>
      </c>
      <c r="CF98" s="45" t="str">
        <f t="shared" si="165"/>
        <v>NA</v>
      </c>
      <c r="CG98" s="45">
        <v>0</v>
      </c>
      <c r="CH98" s="244"/>
      <c r="CI98" s="244"/>
      <c r="CJ98" s="244"/>
      <c r="CK98" s="244"/>
      <c r="CM98" s="63">
        <v>1</v>
      </c>
    </row>
    <row r="99" spans="1:91" ht="18" hidden="1" customHeight="1">
      <c r="A99" s="260" t="s">
        <v>292</v>
      </c>
      <c r="B99" s="260" t="s">
        <v>293</v>
      </c>
      <c r="C99" s="260" t="s">
        <v>100</v>
      </c>
      <c r="D99" s="260" t="s">
        <v>508</v>
      </c>
      <c r="E99" s="260" t="s">
        <v>509</v>
      </c>
      <c r="F99" s="260" t="s">
        <v>713</v>
      </c>
      <c r="G99" s="260" t="s">
        <v>714</v>
      </c>
      <c r="H99" s="260" t="s">
        <v>715</v>
      </c>
      <c r="I99" s="260" t="s">
        <v>255</v>
      </c>
      <c r="J99" s="260" t="s">
        <v>531</v>
      </c>
      <c r="K99" s="260" t="s">
        <v>716</v>
      </c>
      <c r="L99" s="260" t="s">
        <v>717</v>
      </c>
      <c r="M99" s="260" t="s">
        <v>718</v>
      </c>
      <c r="N99" s="260" t="s">
        <v>111</v>
      </c>
      <c r="O99" s="260" t="s">
        <v>302</v>
      </c>
      <c r="P99" s="10">
        <v>185000</v>
      </c>
      <c r="Q99" s="11">
        <v>200000</v>
      </c>
      <c r="R99" s="11">
        <f>AVERAGE(Z99,AH99)</f>
        <v>199037.5</v>
      </c>
      <c r="S99" s="11" t="str">
        <f>VLOOKUP(K99,'1108 Educación'!$K$13:$AK$40,9,0)</f>
        <v xml:space="preserve">Se ha logrado la atención anualmente de   200.000 niños niñas y adolescentes con complemento alimentario dentro de la estrategia de permanencia del Programa de alimentación Escolar </v>
      </c>
      <c r="T99" s="11">
        <v>0</v>
      </c>
      <c r="U99" s="11">
        <v>200000</v>
      </c>
      <c r="V99" s="11">
        <v>0</v>
      </c>
      <c r="W99" s="11">
        <v>200000</v>
      </c>
      <c r="X99" s="11" t="s">
        <v>115</v>
      </c>
      <c r="Y99" s="11">
        <v>199221.5</v>
      </c>
      <c r="Z99" s="11">
        <v>199221.5</v>
      </c>
      <c r="AA99" s="11" t="s">
        <v>719</v>
      </c>
      <c r="AB99" s="11" t="s">
        <v>720</v>
      </c>
      <c r="AC99" s="11">
        <v>0</v>
      </c>
      <c r="AD99" s="403">
        <v>0</v>
      </c>
      <c r="AE99" s="403">
        <v>200000</v>
      </c>
      <c r="AF99" s="11">
        <f>VLOOKUP(K99,'1108 Educación'!$K$13:$AK$40,22,0)</f>
        <v>0</v>
      </c>
      <c r="AG99" s="11">
        <f>VLOOKUP(K99,'1108 Educación'!$K$13:$AK$40,23,0)</f>
        <v>198853.5</v>
      </c>
      <c r="AH99" s="11">
        <f>AG99</f>
        <v>198853.5</v>
      </c>
      <c r="AI99" s="11" t="str">
        <f>VLOOKUP(K99,'1108 Educación'!$K$13:$AK$40,25,0)</f>
        <v xml:space="preserve">Complemento Alimentario </v>
      </c>
      <c r="AJ99" s="11" t="str">
        <f>VLOOKUP(K99,'1108 Educación'!$K$13:$AK$40,26,0)</f>
        <v>Se desarrolló el Programa de Alimentación Escolar PAE conforme los lineamientos establecidos atendiendo los niños, niñas y adolescentes de los municipios no certificados del departamento de cundinamarca que se encuentran registrados en el SIMAT y focalizados según lo establecido en la Resolución 29452 de 2017. En la actualidad se está atendiendo el  programa a través de la ejecución de los contratos SE-LP-417 de 2021 y SE-LP-418 de 2021 con el suministro de Ración Industrializada – RI y para los casos con las excepciones contempladas en la directiva 05 de 2021 se está suministrando Ración Para Preparar en casa – RPC, esto de conformidad con las directrices de retorno a la presencialidad establecidas en la Resolución 777 del 2 de junio de  2021 expedida por el Ministerio de Salud y Protección Social, Circular Externa N° 009 de 15 junio 2021 expedida por la Unidad Administrativa Especial De Alimentación Escolar – UApA y la Directiva 5 del 17 de junio de 2021 del Ministerio de Educación Nacional.​</v>
      </c>
      <c r="AK99" s="11" t="str">
        <f>VLOOKUP(K99,'1108 Educación'!$K$13:$AK$40,27,0)</f>
        <v>Para abril se sigue evidenciando errores en el cargue de la informacion en el SIMAT encontrandose duplicidad de información.Dadas las directrices del Gobierno Nacional frente a la presencialidad educativa,  plasmadas en la Resolución 777 de 2021,  para el mes de agosto fue necesario implementar acciones encaminadas al cambio de modalidad del complemento entregado en el Programa de Alimentación Escolar, En el mes de octubre se siguen  realizando la entrega de Ración industrializada - RI para los estudiantes con presencialidad y Ración para preparar en casa - RPC para los casos excepcionales contemplados en la Directiva 005 de 2021 expedida por el Ministerior de Educación Nacional, es de aclarar que la racion industrializada es de poca aceptación por parte de los niños sin embargo se estan revisando otras alternativas para el suministro en la siguiente vigencia atendiendo el retorno a la presencialidad de los estudiantes.</v>
      </c>
      <c r="AL99" s="11">
        <v>0</v>
      </c>
      <c r="AM99" s="11">
        <v>200000</v>
      </c>
      <c r="AN99" s="11">
        <v>0</v>
      </c>
      <c r="AO99" s="11">
        <v>200000</v>
      </c>
      <c r="AP99" s="11">
        <v>0</v>
      </c>
      <c r="AQ99" s="11">
        <v>0</v>
      </c>
      <c r="AR99" s="51">
        <v>29877662978</v>
      </c>
      <c r="AS99" s="54">
        <v>5331029100</v>
      </c>
      <c r="AT99" s="54">
        <f t="shared" si="103"/>
        <v>35208692078</v>
      </c>
      <c r="AU99" s="51">
        <v>27304203565</v>
      </c>
      <c r="AV99" s="243">
        <v>71408612120</v>
      </c>
      <c r="AW99" s="244"/>
      <c r="AX99" s="244"/>
      <c r="AY99" s="243">
        <v>68587339089</v>
      </c>
      <c r="AZ99" s="44" cm="1">
        <f t="array" ref="AZ99">_xlfn.IFS((BA99=0),(BD99/CL99),(BA99&gt;0),((BB99+BD99)/CL99),(BE99&gt;0),((BB99+BD99+BE99)/CL99),(BG99&gt;0),((BB99+BD99+BE99+G99)/CL99))</f>
        <v>0.45433077693750001</v>
      </c>
      <c r="BA99" s="44">
        <v>0.25</v>
      </c>
      <c r="BB99" s="44">
        <v>0.98880000000000001</v>
      </c>
      <c r="BC99" s="44">
        <v>0.25</v>
      </c>
      <c r="BD99" s="44" cm="2">
        <f t="array" ref="BD99">_xlfn.IFS(AE99=0,"NA",AE99&gt;0,((AH99/AE99)*0.8333))</f>
        <v>0.82852310775000004</v>
      </c>
      <c r="BE99" s="44">
        <v>0.25</v>
      </c>
      <c r="BF99" s="44">
        <v>0</v>
      </c>
      <c r="BG99" s="44">
        <v>0.25</v>
      </c>
      <c r="BH99" s="44">
        <v>0</v>
      </c>
      <c r="BI99" s="44">
        <v>0</v>
      </c>
      <c r="BJ99" s="44" t="s">
        <v>115</v>
      </c>
      <c r="BK99" s="44">
        <f t="shared" si="104"/>
        <v>0.45433077693750001</v>
      </c>
      <c r="BL99" s="44">
        <v>0.98880000000000001</v>
      </c>
      <c r="BM99" s="44" cm="1">
        <f t="array" ref="BM99">_xlfn.IFS(BD99="NA","NA",BD99&gt;100%,"100%",BD99&lt;100,BD99)</f>
        <v>0.82852310775000004</v>
      </c>
      <c r="BN99" s="44">
        <v>0</v>
      </c>
      <c r="BO99" s="44">
        <v>0</v>
      </c>
      <c r="BP99" s="44" t="s">
        <v>115</v>
      </c>
      <c r="BQ99" s="220">
        <v>0.22500000000000001</v>
      </c>
      <c r="BR99" s="45">
        <f t="shared" si="105"/>
        <v>0.10222442481093751</v>
      </c>
      <c r="BS99" s="45">
        <v>5.6300000000000003E-2</v>
      </c>
      <c r="BT99" s="45">
        <v>5.57E-2</v>
      </c>
      <c r="BU99" s="45">
        <v>5.5599999999999997E-2</v>
      </c>
      <c r="BV99" s="45">
        <v>5.6300000000000003E-2</v>
      </c>
      <c r="BW99" s="45">
        <f t="shared" si="113"/>
        <v>4.6645850966325002E-2</v>
      </c>
      <c r="BX99" s="45">
        <f t="shared" si="114"/>
        <v>4.6624424810937509E-2</v>
      </c>
      <c r="BY99" s="45">
        <v>5.6300000000000003E-2</v>
      </c>
      <c r="BZ99" s="45">
        <v>0</v>
      </c>
      <c r="CA99" s="45">
        <f t="shared" si="106"/>
        <v>0</v>
      </c>
      <c r="CB99" s="45">
        <v>5.6300000000000003E-2</v>
      </c>
      <c r="CC99" s="45">
        <v>0</v>
      </c>
      <c r="CD99" s="45">
        <v>0</v>
      </c>
      <c r="CE99" s="45">
        <v>0</v>
      </c>
      <c r="CF99" s="45" t="s">
        <v>115</v>
      </c>
      <c r="CG99" s="45">
        <v>0</v>
      </c>
      <c r="CH99" s="244">
        <f>IF(W99&gt;0,1,0)</f>
        <v>1</v>
      </c>
      <c r="CI99" s="244">
        <f>IF(AE99&gt;0,1,0)</f>
        <v>1</v>
      </c>
      <c r="CJ99" s="244">
        <f>IF(AM99&gt;0,1,0)</f>
        <v>1</v>
      </c>
      <c r="CK99" s="244">
        <f>IF(AO99&gt;0,1,0)</f>
        <v>1</v>
      </c>
      <c r="CL99">
        <f>CH99+CI99+CJ99+CK99</f>
        <v>4</v>
      </c>
      <c r="CM99" s="63">
        <v>198893.75</v>
      </c>
    </row>
    <row r="100" spans="1:91" ht="18" hidden="1" customHeight="1">
      <c r="A100" s="260" t="s">
        <v>292</v>
      </c>
      <c r="B100" s="260" t="s">
        <v>293</v>
      </c>
      <c r="C100" s="260" t="s">
        <v>100</v>
      </c>
      <c r="D100" s="260" t="s">
        <v>508</v>
      </c>
      <c r="E100" s="260" t="s">
        <v>509</v>
      </c>
      <c r="F100" s="260" t="s">
        <v>713</v>
      </c>
      <c r="G100" s="260" t="s">
        <v>714</v>
      </c>
      <c r="H100" s="260" t="s">
        <v>721</v>
      </c>
      <c r="I100" s="260" t="s">
        <v>255</v>
      </c>
      <c r="J100" s="260" t="s">
        <v>316</v>
      </c>
      <c r="K100" s="260" t="s">
        <v>722</v>
      </c>
      <c r="L100" s="260" t="s">
        <v>723</v>
      </c>
      <c r="M100" s="260" t="s">
        <v>724</v>
      </c>
      <c r="N100" s="260" t="s">
        <v>111</v>
      </c>
      <c r="O100" s="260" t="s">
        <v>112</v>
      </c>
      <c r="P100" s="10">
        <v>51449</v>
      </c>
      <c r="Q100" s="11">
        <v>52000</v>
      </c>
      <c r="R100" s="11">
        <f t="shared" ref="R100:R105" si="166">Z100+AH100</f>
        <v>41593</v>
      </c>
      <c r="S100" s="11" t="str">
        <f>VLOOKUP(K100,'1108 Educación'!$K$13:$AK$40,9,0)</f>
        <v>Se  adelantó el proceso precontactual para iniciar las firmas de los convenios con 101 municipios no certificados, para beneficiar 45234 estudiantes de las IED ofciales del departamento</v>
      </c>
      <c r="T100" s="11">
        <v>0</v>
      </c>
      <c r="U100" s="11">
        <v>0</v>
      </c>
      <c r="V100" s="11">
        <v>0</v>
      </c>
      <c r="W100" s="11">
        <v>0</v>
      </c>
      <c r="X100" s="11" t="s">
        <v>115</v>
      </c>
      <c r="Y100" s="11">
        <v>0</v>
      </c>
      <c r="Z100" s="11">
        <v>0</v>
      </c>
      <c r="AA100" s="11"/>
      <c r="AB100" s="11"/>
      <c r="AC100" s="11"/>
      <c r="AD100" s="403">
        <v>41593</v>
      </c>
      <c r="AE100" s="403">
        <v>0</v>
      </c>
      <c r="AF100" s="11">
        <f>VLOOKUP(K100,'1108 Educación'!$K$13:$AK$40,22,0)</f>
        <v>41593</v>
      </c>
      <c r="AG100" s="11">
        <f>VLOOKUP(K100,'1108 Educación'!$K$13:$AK$40,23,0)</f>
        <v>0</v>
      </c>
      <c r="AH100" s="11">
        <f t="shared" ref="AH100:AH105" si="167">AF100</f>
        <v>41593</v>
      </c>
      <c r="AI100" s="11" t="str">
        <f>VLOOKUP(K100,'1108 Educación'!$K$13:$AK$40,25,0)</f>
        <v xml:space="preserve">Subsidio de transporte escolar </v>
      </c>
      <c r="AJ100" s="11" t="str">
        <f>VLOOKUP(K100,'1108 Educación'!$K$13:$AK$40,26,0)</f>
        <v xml:space="preserve"> para el mes de octubre Se firmaron los 99 convenios para brindar la cobertura en la estrategia de transporte escolar a igual numero de municipios  para un total de 42.500 estudiantes de la instituciones educativas ofiacilaes del departamento, de la misma manera se implemento cronograma de visitas de supervision en sitio para verificar la ejecucion de la estrategia de cobertura de transporte escolar , se  consolidaron y radicaron  las carpetas en fisico de todos los convenios a la oficina juridica para tener la trazabilidad en el archivo de cada convenio con sus respectivos anexos. Todos los municipios se encuetran en ejecucion de los convenios de trasnporte escolar garantizando la presencialdiad en las IED.</v>
      </c>
      <c r="AK100" s="11" t="str">
        <f>VLOOKUP(K100,'1108 Educación'!$K$13:$AK$40,27,0)</f>
        <v xml:space="preserve"> La convocatorias para entrega de documentos ya que algunos municipios no tienen las directrices claras para avanzar en la estructuracion de los convenios.</v>
      </c>
      <c r="AL100" s="11">
        <v>5204</v>
      </c>
      <c r="AM100" s="11">
        <v>41593</v>
      </c>
      <c r="AN100" s="11">
        <v>5203</v>
      </c>
      <c r="AO100" s="11">
        <v>46793</v>
      </c>
      <c r="AP100" s="11">
        <v>0</v>
      </c>
      <c r="AQ100" s="11">
        <v>0</v>
      </c>
      <c r="AR100" s="52"/>
      <c r="AS100" s="54">
        <v>0</v>
      </c>
      <c r="AT100" s="54">
        <f t="shared" si="103"/>
        <v>0</v>
      </c>
      <c r="AU100" s="52"/>
      <c r="AV100" s="243">
        <v>15000000000</v>
      </c>
      <c r="AW100" s="244"/>
      <c r="AX100" s="244"/>
      <c r="AY100" s="243">
        <v>11360880099</v>
      </c>
      <c r="AZ100" s="44">
        <f t="shared" ref="AZ100:AZ105" si="168">R100/Q100</f>
        <v>0.79986538461538459</v>
      </c>
      <c r="BA100" s="44">
        <v>0</v>
      </c>
      <c r="BB100" s="44" t="s">
        <v>115</v>
      </c>
      <c r="BC100" s="44">
        <f t="shared" ref="BC100:BC105" si="169">AD100/Q100</f>
        <v>0.79986538461538459</v>
      </c>
      <c r="BD100" s="44" cm="1">
        <f t="array" ref="BD100">_xlfn.IFS(AD100=0,"NA",AD100&gt;0,AH100/AD100)</f>
        <v>1</v>
      </c>
      <c r="BE100" s="44">
        <f t="shared" ref="BE100:BE105" si="170">AL100/Q100</f>
        <v>0.10007692307692308</v>
      </c>
      <c r="BF100" s="44">
        <v>0</v>
      </c>
      <c r="BG100" s="44">
        <f t="shared" ref="BG100:BG105" si="171">AN100/Q100</f>
        <v>0.10005769230769231</v>
      </c>
      <c r="BH100" s="44">
        <v>0</v>
      </c>
      <c r="BI100" s="44">
        <v>0</v>
      </c>
      <c r="BJ100" s="44" t="s">
        <v>115</v>
      </c>
      <c r="BK100" s="44">
        <f t="shared" si="104"/>
        <v>0.79986538461538459</v>
      </c>
      <c r="BL100" s="44" t="s">
        <v>115</v>
      </c>
      <c r="BM100" s="44" cm="1">
        <f t="array" ref="BM100">_xlfn.IFS(BD100="NA","NA",BD100&gt;100%,"100%",BD100&lt;100,BD100)</f>
        <v>1</v>
      </c>
      <c r="BN100" s="44">
        <v>0</v>
      </c>
      <c r="BO100" s="44">
        <v>0</v>
      </c>
      <c r="BP100" s="44" t="s">
        <v>115</v>
      </c>
      <c r="BQ100" s="220">
        <v>0.22500000000000001</v>
      </c>
      <c r="BR100" s="45">
        <f t="shared" si="105"/>
        <v>0.17996971153846153</v>
      </c>
      <c r="BS100" s="45">
        <v>0</v>
      </c>
      <c r="BT100" s="45" t="s">
        <v>115</v>
      </c>
      <c r="BU100" s="45">
        <v>0</v>
      </c>
      <c r="BV100" s="45">
        <f t="shared" ref="BV100:BV105" si="172">(AD100*BQ100)/Q100</f>
        <v>0.17996971153846156</v>
      </c>
      <c r="BW100" s="45">
        <f t="shared" si="113"/>
        <v>0.17996971153846156</v>
      </c>
      <c r="BX100" s="45">
        <f t="shared" si="114"/>
        <v>0.17996971153846153</v>
      </c>
      <c r="BY100" s="45">
        <f t="shared" ref="BY100:BY105" si="173">(AL100*BQ100)/Q100</f>
        <v>2.2517307692307694E-2</v>
      </c>
      <c r="BZ100" s="45">
        <f t="shared" ref="BZ100:BZ105" si="174">IF(BN100="NA","NA",BN100*BY100)</f>
        <v>0</v>
      </c>
      <c r="CA100" s="45">
        <f t="shared" si="106"/>
        <v>0</v>
      </c>
      <c r="CB100" s="45">
        <f t="shared" ref="CB100:CB105" si="175">(AN100*BQ100)/Q100</f>
        <v>2.2512980769230768E-2</v>
      </c>
      <c r="CC100" s="45">
        <f t="shared" ref="CC100:CC105" si="176">IF(BO100="NA","NA",BO100*CB100)</f>
        <v>0</v>
      </c>
      <c r="CD100" s="45">
        <v>0</v>
      </c>
      <c r="CE100" s="45">
        <v>0</v>
      </c>
      <c r="CF100" s="45" t="s">
        <v>115</v>
      </c>
      <c r="CG100" s="45">
        <v>0</v>
      </c>
      <c r="CH100" s="244">
        <f>IF(W100&gt;0,1,0)</f>
        <v>0</v>
      </c>
      <c r="CI100" s="244">
        <f>IF(AE100&gt;0,1,0)</f>
        <v>0</v>
      </c>
      <c r="CJ100" s="244">
        <f>IF(AM100&gt;0,1,0)</f>
        <v>1</v>
      </c>
      <c r="CK100" s="244">
        <f>IF(AO100&gt;0,1,0)</f>
        <v>1</v>
      </c>
      <c r="CL100">
        <f>CH100+CI100+CJ100+CK100</f>
        <v>2</v>
      </c>
      <c r="CM100" s="63">
        <v>0</v>
      </c>
    </row>
    <row r="101" spans="1:91" ht="18" hidden="1" customHeight="1">
      <c r="A101" s="260" t="s">
        <v>292</v>
      </c>
      <c r="B101" s="260" t="s">
        <v>293</v>
      </c>
      <c r="C101" s="260" t="s">
        <v>100</v>
      </c>
      <c r="D101" s="260" t="s">
        <v>508</v>
      </c>
      <c r="E101" s="260" t="s">
        <v>509</v>
      </c>
      <c r="F101" s="260" t="s">
        <v>713</v>
      </c>
      <c r="G101" s="260" t="s">
        <v>714</v>
      </c>
      <c r="H101" s="260" t="s">
        <v>725</v>
      </c>
      <c r="I101" s="260" t="s">
        <v>255</v>
      </c>
      <c r="J101" s="260" t="s">
        <v>316</v>
      </c>
      <c r="K101" s="260" t="s">
        <v>726</v>
      </c>
      <c r="L101" s="260" t="s">
        <v>727</v>
      </c>
      <c r="M101" s="260" t="s">
        <v>728</v>
      </c>
      <c r="N101" s="260" t="s">
        <v>111</v>
      </c>
      <c r="O101" s="260" t="s">
        <v>112</v>
      </c>
      <c r="P101" s="10">
        <v>2534</v>
      </c>
      <c r="Q101" s="11">
        <v>1400</v>
      </c>
      <c r="R101" s="11">
        <f t="shared" si="166"/>
        <v>668</v>
      </c>
      <c r="S101" s="11">
        <f>VLOOKUP(K101,'1108 Educación'!$K$13:$AK$40,9,0)</f>
        <v>0</v>
      </c>
      <c r="T101" s="11">
        <v>350</v>
      </c>
      <c r="U101" s="11">
        <v>0</v>
      </c>
      <c r="V101" s="11">
        <v>275</v>
      </c>
      <c r="W101" s="11">
        <v>0</v>
      </c>
      <c r="X101" s="11">
        <v>275</v>
      </c>
      <c r="Y101" s="11">
        <v>0</v>
      </c>
      <c r="Z101" s="11">
        <v>275</v>
      </c>
      <c r="AA101" s="11" t="s">
        <v>729</v>
      </c>
      <c r="AB101" s="11"/>
      <c r="AC101" s="11">
        <v>0</v>
      </c>
      <c r="AD101" s="403">
        <v>600</v>
      </c>
      <c r="AE101" s="403">
        <v>0</v>
      </c>
      <c r="AF101" s="11">
        <f>VLOOKUP(K101,'1108 Educación'!$K$13:$AK$40,22,0)</f>
        <v>393</v>
      </c>
      <c r="AG101" s="11">
        <f>VLOOKUP(K101,'1108 Educación'!$K$13:$AK$40,23,0)</f>
        <v>0</v>
      </c>
      <c r="AH101" s="11">
        <f t="shared" si="167"/>
        <v>393</v>
      </c>
      <c r="AI101" s="11">
        <f>VLOOKUP(K101,'1108 Educación'!$K$13:$AK$40,25,0)</f>
        <v>0</v>
      </c>
      <c r="AJ101" s="11" t="str">
        <f>VLOOKUP(K101,'1108 Educación'!$K$13:$AK$40,26,0)</f>
        <v>Se realizó la incorporación de los recursos de regalias, con el que se pretende llegar a 394 sedes educativas en el segundo semestre del año, para dar así cumplimiento de la meta en la presente vigencia. EN el mes de julio se firmaron las ordenes de compra para la Adquisición del mobiliario escolar. Se firmaron seis (6) contratos de compraventa. Con la distribución del mobiliario escolar se benefician 32.678 estudiantes de 393 sedes e Instituciones Oficiales en 39 municipios, con muebles de aula, laboratorios de Física y Química, Bibibliotecas, Aulas de tecnología, Mobiliario de restaurante y cocina y Áreas Administrativas. para el mes octubre se realizó la entrega de mobiliario de Comedor - Cocina en los municipios de Puerto Salgar, Silvania, Ricaurte, La Mesa, Tena, La Vega, Ubaté, Fómeque, Medina, Ubalá, Paratebueno, Subachoque, Guayabal de Síquima, Quebradanegra, Villapinzón, La Peña, Lenguazaque, Caparrapí y Yacopí.</v>
      </c>
      <c r="AK101" s="11" t="str">
        <f>VLOOKUP(K101,'1108 Educación'!$K$13:$AK$40,27,0)</f>
        <v>Demora en el pago de facturas a proveedores del proceso de Dotaciones de las instituciones educativas oficiales.</v>
      </c>
      <c r="AL101" s="11">
        <v>262</v>
      </c>
      <c r="AM101" s="11">
        <v>0</v>
      </c>
      <c r="AN101" s="11">
        <v>263</v>
      </c>
      <c r="AO101" s="11">
        <v>0</v>
      </c>
      <c r="AP101" s="11">
        <v>0</v>
      </c>
      <c r="AQ101" s="11">
        <v>0</v>
      </c>
      <c r="AR101" s="51">
        <v>1244863262</v>
      </c>
      <c r="AS101" s="54">
        <v>0</v>
      </c>
      <c r="AT101" s="54">
        <f t="shared" si="103"/>
        <v>1244863262</v>
      </c>
      <c r="AU101" s="51">
        <v>0</v>
      </c>
      <c r="AV101" s="243">
        <v>1400000000</v>
      </c>
      <c r="AW101" s="244"/>
      <c r="AX101" s="244"/>
      <c r="AY101" s="243">
        <v>999477959</v>
      </c>
      <c r="AZ101" s="44">
        <f t="shared" si="168"/>
        <v>0.47714285714285715</v>
      </c>
      <c r="BA101" s="44">
        <v>0.25069999999999998</v>
      </c>
      <c r="BB101" s="44">
        <v>1</v>
      </c>
      <c r="BC101" s="44">
        <f t="shared" si="169"/>
        <v>0.42857142857142855</v>
      </c>
      <c r="BD101" s="44" cm="1">
        <f t="array" ref="BD101">_xlfn.IFS(AD101=0,"NA",AD101&gt;0,AH101/AD101)</f>
        <v>0.65500000000000003</v>
      </c>
      <c r="BE101" s="44">
        <f t="shared" si="170"/>
        <v>0.18714285714285714</v>
      </c>
      <c r="BF101" s="44">
        <v>0</v>
      </c>
      <c r="BG101" s="44">
        <f t="shared" si="171"/>
        <v>0.18785714285714286</v>
      </c>
      <c r="BH101" s="44">
        <v>0</v>
      </c>
      <c r="BI101" s="44">
        <f>AP101/Q101</f>
        <v>0</v>
      </c>
      <c r="BJ101" s="44" t="s">
        <v>115</v>
      </c>
      <c r="BK101" s="44">
        <f t="shared" si="104"/>
        <v>0.47714285714285715</v>
      </c>
      <c r="BL101" s="44">
        <v>1</v>
      </c>
      <c r="BM101" s="44" cm="1">
        <f t="array" ref="BM101">_xlfn.IFS(BD101="NA","NA",BD101&gt;100%,"100%",BD101&lt;100,BD101)</f>
        <v>0.65500000000000003</v>
      </c>
      <c r="BN101" s="44" cm="1">
        <f t="array" ref="BN101">_xlfn.IFS(BF101="NA","NA",BF101&gt;100%,"100%",BF101&lt;100,BF101)</f>
        <v>0</v>
      </c>
      <c r="BO101" s="44" cm="1">
        <f t="array" ref="BO101">_xlfn.IFS(BH101="NA","NA",BH101&gt;100%,"100%",BH101&lt;100,BH101)</f>
        <v>0</v>
      </c>
      <c r="BP101" s="44" t="str" cm="1">
        <f t="array" ref="BP101">_xlfn.IFS(BJ101="NA","NA",BJ101&gt;100%,"100%",BJ101&lt;100,BJ101)</f>
        <v>NA</v>
      </c>
      <c r="BQ101" s="225">
        <v>0.67500000000000004</v>
      </c>
      <c r="BR101" s="45">
        <f t="shared" si="105"/>
        <v>0.32207142857142862</v>
      </c>
      <c r="BS101" s="45">
        <v>5.6399999999999999E-2</v>
      </c>
      <c r="BT101" s="45">
        <v>5.6399999999999999E-2</v>
      </c>
      <c r="BU101" s="45">
        <v>5.6399999999999999E-2</v>
      </c>
      <c r="BV101" s="45">
        <f t="shared" si="172"/>
        <v>0.28928571428571431</v>
      </c>
      <c r="BW101" s="45">
        <f t="shared" si="113"/>
        <v>0.18948214285714288</v>
      </c>
      <c r="BX101" s="45">
        <f t="shared" si="114"/>
        <v>0.26567142857142861</v>
      </c>
      <c r="BY101" s="45">
        <f t="shared" si="173"/>
        <v>0.12632142857142858</v>
      </c>
      <c r="BZ101" s="45">
        <f t="shared" si="174"/>
        <v>0</v>
      </c>
      <c r="CA101" s="45">
        <f t="shared" si="106"/>
        <v>0</v>
      </c>
      <c r="CB101" s="45">
        <f t="shared" si="175"/>
        <v>0.12680357142857143</v>
      </c>
      <c r="CC101" s="45">
        <f t="shared" si="176"/>
        <v>0</v>
      </c>
      <c r="CD101" s="45">
        <v>0</v>
      </c>
      <c r="CE101" s="45">
        <f>(AP101*BQ101)/Q101</f>
        <v>0</v>
      </c>
      <c r="CF101" s="45" t="str">
        <f>IF(BP101="NA","NA",BP101*CE101)</f>
        <v>NA</v>
      </c>
      <c r="CG101" s="45">
        <v>0</v>
      </c>
      <c r="CH101" s="244"/>
      <c r="CI101" s="244"/>
      <c r="CJ101" s="244"/>
      <c r="CK101" s="244"/>
      <c r="CM101" s="63">
        <v>275</v>
      </c>
    </row>
    <row r="102" spans="1:91" ht="18" hidden="1" customHeight="1">
      <c r="A102" s="260" t="s">
        <v>292</v>
      </c>
      <c r="B102" s="260" t="s">
        <v>293</v>
      </c>
      <c r="C102" s="260" t="s">
        <v>100</v>
      </c>
      <c r="D102" s="260" t="s">
        <v>508</v>
      </c>
      <c r="E102" s="260" t="s">
        <v>509</v>
      </c>
      <c r="F102" s="260" t="s">
        <v>713</v>
      </c>
      <c r="G102" s="260" t="s">
        <v>714</v>
      </c>
      <c r="H102" s="260" t="s">
        <v>730</v>
      </c>
      <c r="I102" s="260" t="s">
        <v>255</v>
      </c>
      <c r="J102" s="260"/>
      <c r="K102" s="260" t="s">
        <v>731</v>
      </c>
      <c r="L102" s="260" t="s">
        <v>732</v>
      </c>
      <c r="M102" s="260" t="s">
        <v>733</v>
      </c>
      <c r="N102" s="260" t="s">
        <v>111</v>
      </c>
      <c r="O102" s="260" t="s">
        <v>112</v>
      </c>
      <c r="P102" s="10">
        <v>26</v>
      </c>
      <c r="Q102" s="11">
        <v>14</v>
      </c>
      <c r="R102" s="11">
        <f t="shared" si="166"/>
        <v>2</v>
      </c>
      <c r="S102" s="11" t="str">
        <f>VLOOKUP(K102,'1108 Educación'!$K$13:$AK$40,9,0)</f>
        <v xml:space="preserve">Se logró la construcción  del colegio IED NORMAL SUPERIOR - sede PRINCIPAL, municipio de  UBATÉ y  de la IED Fidel Cano del municipio de TEna Cundinamarca </v>
      </c>
      <c r="T102" s="11">
        <v>1</v>
      </c>
      <c r="U102" s="11">
        <v>0</v>
      </c>
      <c r="V102" s="11">
        <v>1</v>
      </c>
      <c r="W102" s="11">
        <v>0</v>
      </c>
      <c r="X102" s="11">
        <v>1</v>
      </c>
      <c r="Y102" s="11">
        <v>0</v>
      </c>
      <c r="Z102" s="11">
        <v>1</v>
      </c>
      <c r="AA102" s="11" t="s">
        <v>734</v>
      </c>
      <c r="AB102" s="11" t="s">
        <v>735</v>
      </c>
      <c r="AC102" s="11">
        <v>0</v>
      </c>
      <c r="AD102" s="403">
        <v>1</v>
      </c>
      <c r="AE102" s="403">
        <v>0</v>
      </c>
      <c r="AF102" s="11">
        <f>VLOOKUP(K102,'1108 Educación'!$K$13:$AK$40,22,0)</f>
        <v>1</v>
      </c>
      <c r="AG102" s="11">
        <f>VLOOKUP(K102,'1108 Educación'!$K$13:$AK$40,23,0)</f>
        <v>0</v>
      </c>
      <c r="AH102" s="11">
        <f t="shared" si="167"/>
        <v>1</v>
      </c>
      <c r="AI102" s="11">
        <f>VLOOKUP(K102,'1108 Educación'!$K$13:$AK$40,25,0)</f>
        <v>0</v>
      </c>
      <c r="AJ102" s="11" t="str">
        <f>VLOOKUP(K102,'1108 Educación'!$K$13:$AK$40,26,0)</f>
        <v>Se realizó entrega de la IED Fidel Cano del municipio de Tena  se avanza en la ejecución de infraestructura  en el municipio de  Silvania (IED Santa Inés 84% de ejecución).Para el mes de octubre se continua con la ejecucion del proyecto programado para reporte en 2021,  IED Santa Inés del municipio de Silvania, la cual se encuentra con un avance de obra del 91%  y se tiene programada su finalización para el mes de diciembre de 2021.</v>
      </c>
      <c r="AK102" s="11">
        <f>VLOOKUP(K102,'1108 Educación'!$K$13:$AK$40,27,0)</f>
        <v>0</v>
      </c>
      <c r="AL102" s="11">
        <v>6</v>
      </c>
      <c r="AM102" s="11">
        <v>0</v>
      </c>
      <c r="AN102" s="11">
        <v>6</v>
      </c>
      <c r="AO102" s="11">
        <v>0</v>
      </c>
      <c r="AP102" s="11">
        <v>0</v>
      </c>
      <c r="AQ102" s="11">
        <v>0</v>
      </c>
      <c r="AR102" s="52"/>
      <c r="AS102" s="54">
        <v>5487725160</v>
      </c>
      <c r="AT102" s="54">
        <f t="shared" si="103"/>
        <v>5487725160</v>
      </c>
      <c r="AU102" s="52"/>
      <c r="AV102" s="243">
        <v>9654076671</v>
      </c>
      <c r="AW102" s="244"/>
      <c r="AX102" s="244"/>
      <c r="AY102" s="243">
        <v>9292558138</v>
      </c>
      <c r="AZ102" s="44">
        <f t="shared" si="168"/>
        <v>0.14285714285714285</v>
      </c>
      <c r="BA102" s="44">
        <v>7.1400000000000005E-2</v>
      </c>
      <c r="BB102" s="44">
        <v>1</v>
      </c>
      <c r="BC102" s="44">
        <f t="shared" si="169"/>
        <v>7.1428571428571425E-2</v>
      </c>
      <c r="BD102" s="44" cm="1">
        <f t="array" ref="BD102">_xlfn.IFS(AD102=0,"NA",AD102&gt;0,AH102/AD102)</f>
        <v>1</v>
      </c>
      <c r="BE102" s="44">
        <f t="shared" si="170"/>
        <v>0.42857142857142855</v>
      </c>
      <c r="BF102" s="44">
        <v>0</v>
      </c>
      <c r="BG102" s="44">
        <f t="shared" si="171"/>
        <v>0.42857142857142855</v>
      </c>
      <c r="BH102" s="44">
        <v>0</v>
      </c>
      <c r="BI102" s="44">
        <f>AP102/Q102</f>
        <v>0</v>
      </c>
      <c r="BJ102" s="44" t="s">
        <v>115</v>
      </c>
      <c r="BK102" s="44">
        <f t="shared" si="104"/>
        <v>0.14285714285714285</v>
      </c>
      <c r="BL102" s="44">
        <v>1</v>
      </c>
      <c r="BM102" s="44" cm="1">
        <f t="array" ref="BM102">_xlfn.IFS(BD102="NA","NA",BD102&gt;100%,"100%",BD102&lt;100,BD102)</f>
        <v>1</v>
      </c>
      <c r="BN102" s="44" cm="1">
        <f t="array" ref="BN102">_xlfn.IFS(BF102="NA","NA",BF102&gt;100%,"100%",BF102&lt;100,BF102)</f>
        <v>0</v>
      </c>
      <c r="BO102" s="44" cm="1">
        <f t="array" ref="BO102">_xlfn.IFS(BH102="NA","NA",BH102&gt;100%,"100%",BH102&lt;100,BH102)</f>
        <v>0</v>
      </c>
      <c r="BP102" s="44" t="str" cm="1">
        <f t="array" ref="BP102">_xlfn.IFS(BJ102="NA","NA",BJ102&gt;100%,"100%",BJ102&lt;100,BJ102)</f>
        <v>NA</v>
      </c>
      <c r="BQ102" s="220">
        <v>0.22500000000000001</v>
      </c>
      <c r="BR102" s="45">
        <f t="shared" si="105"/>
        <v>3.214285714285714E-2</v>
      </c>
      <c r="BS102" s="45">
        <v>1.61E-2</v>
      </c>
      <c r="BT102" s="45">
        <v>1.61E-2</v>
      </c>
      <c r="BU102" s="45">
        <v>1.61E-2</v>
      </c>
      <c r="BV102" s="45">
        <f t="shared" si="172"/>
        <v>1.6071428571428573E-2</v>
      </c>
      <c r="BW102" s="45">
        <f t="shared" si="113"/>
        <v>1.6071428571428573E-2</v>
      </c>
      <c r="BX102" s="45">
        <f t="shared" si="114"/>
        <v>1.604285714285714E-2</v>
      </c>
      <c r="BY102" s="45">
        <f t="shared" si="173"/>
        <v>9.6428571428571433E-2</v>
      </c>
      <c r="BZ102" s="45">
        <f t="shared" si="174"/>
        <v>0</v>
      </c>
      <c r="CA102" s="45">
        <f t="shared" si="106"/>
        <v>0</v>
      </c>
      <c r="CB102" s="45">
        <f t="shared" si="175"/>
        <v>9.6428571428571433E-2</v>
      </c>
      <c r="CC102" s="45">
        <f t="shared" si="176"/>
        <v>0</v>
      </c>
      <c r="CD102" s="45">
        <v>0</v>
      </c>
      <c r="CE102" s="45">
        <f>(AP102*BQ102)/Q102</f>
        <v>0</v>
      </c>
      <c r="CF102" s="45" t="str">
        <f>IF(BP102="NA","NA",BP102*CE102)</f>
        <v>NA</v>
      </c>
      <c r="CG102" s="45">
        <v>0</v>
      </c>
      <c r="CH102" s="244"/>
      <c r="CI102" s="244"/>
      <c r="CJ102" s="244"/>
      <c r="CK102" s="244"/>
      <c r="CM102" s="63">
        <v>2</v>
      </c>
    </row>
    <row r="103" spans="1:91" ht="18" hidden="1" customHeight="1">
      <c r="A103" s="260" t="s">
        <v>292</v>
      </c>
      <c r="B103" s="260" t="s">
        <v>293</v>
      </c>
      <c r="C103" s="260" t="s">
        <v>100</v>
      </c>
      <c r="D103" s="260" t="s">
        <v>508</v>
      </c>
      <c r="E103" s="260" t="s">
        <v>509</v>
      </c>
      <c r="F103" s="260" t="s">
        <v>713</v>
      </c>
      <c r="G103" s="260" t="s">
        <v>714</v>
      </c>
      <c r="H103" s="260" t="s">
        <v>736</v>
      </c>
      <c r="I103" s="260" t="s">
        <v>255</v>
      </c>
      <c r="J103" s="260"/>
      <c r="K103" s="260" t="s">
        <v>737</v>
      </c>
      <c r="L103" s="260" t="s">
        <v>738</v>
      </c>
      <c r="M103" s="260" t="s">
        <v>739</v>
      </c>
      <c r="N103" s="260" t="s">
        <v>111</v>
      </c>
      <c r="O103" s="260" t="s">
        <v>112</v>
      </c>
      <c r="P103" s="10">
        <v>0</v>
      </c>
      <c r="Q103" s="11">
        <v>400</v>
      </c>
      <c r="R103" s="11">
        <f t="shared" si="166"/>
        <v>177</v>
      </c>
      <c r="S103" s="11" t="str">
        <f>VLOOKUP(K103,'1108 Educación'!$K$13:$AK$40,9,0)</f>
        <v>Se ha logrado la intervención y entrega a la comunidad de   120  ambientes educativos  priorizando la infraestructura rural y las instituciones de jornada única, a través del mejoramiento de  aulas,  comedores, cocinas y baterías sanitarias con lo cual, se mejoran las condiciones de  infraestructura de las IED.</v>
      </c>
      <c r="T103" s="11">
        <v>20</v>
      </c>
      <c r="U103" s="11">
        <v>0</v>
      </c>
      <c r="V103" s="11">
        <v>42</v>
      </c>
      <c r="W103" s="11">
        <v>0</v>
      </c>
      <c r="X103" s="11">
        <v>42</v>
      </c>
      <c r="Y103" s="11">
        <v>0</v>
      </c>
      <c r="Z103" s="11">
        <v>42</v>
      </c>
      <c r="AA103" s="11" t="s">
        <v>740</v>
      </c>
      <c r="AB103" s="11" t="s">
        <v>741</v>
      </c>
      <c r="AC103" s="11">
        <v>0</v>
      </c>
      <c r="AD103" s="403">
        <v>135</v>
      </c>
      <c r="AE103" s="403">
        <v>0</v>
      </c>
      <c r="AF103" s="11">
        <f>VLOOKUP(K103,'1108 Educación'!$K$13:$AK$40,22,0)</f>
        <v>135</v>
      </c>
      <c r="AG103" s="11">
        <f>VLOOKUP(K103,'1108 Educación'!$K$13:$AK$40,23,0)</f>
        <v>0</v>
      </c>
      <c r="AH103" s="11">
        <f t="shared" si="167"/>
        <v>135</v>
      </c>
      <c r="AI103" s="11" t="str">
        <f>VLOOKUP(K103,'1108 Educación'!$K$13:$AK$40,25,0)</f>
        <v xml:space="preserve">Ambientes  Educativos intervenidos </v>
      </c>
      <c r="AJ103" s="11" t="str">
        <f>VLOOKUP(K103,'1108 Educación'!$K$13:$AK$40,26,0)</f>
        <v>Se realizó la intervención de 129  ambientes educativos en conjunto con el Ministerio de Educación Nacional con el mejoramiento de baterias de baño, mejoramiento de aulas, cambio de cubiertas, cambio de pisos entre otros. Para el mes de octubre se continua con la ejecucion de las obras de los convenios interadministrativos ICCU y los mejoramientos rurales del MEN para la intervencion de ambientes en la infraestructura educativa del Departamento.</v>
      </c>
      <c r="AK103" s="11">
        <f>VLOOKUP(K103,'1108 Educación'!$K$13:$AK$40,27,0)</f>
        <v>0</v>
      </c>
      <c r="AL103" s="11">
        <v>92</v>
      </c>
      <c r="AM103" s="11">
        <v>0</v>
      </c>
      <c r="AN103" s="11">
        <v>120</v>
      </c>
      <c r="AO103" s="11">
        <v>0</v>
      </c>
      <c r="AP103" s="11">
        <v>0</v>
      </c>
      <c r="AQ103" s="11">
        <v>0</v>
      </c>
      <c r="AR103" s="51">
        <v>2310429958</v>
      </c>
      <c r="AS103" s="54">
        <v>750000000</v>
      </c>
      <c r="AT103" s="54">
        <f t="shared" si="103"/>
        <v>3060429958</v>
      </c>
      <c r="AU103" s="51">
        <v>2310429958</v>
      </c>
      <c r="AV103" s="243">
        <v>59378272943</v>
      </c>
      <c r="AW103" s="244"/>
      <c r="AX103" s="244"/>
      <c r="AY103" s="243">
        <v>59157321448</v>
      </c>
      <c r="AZ103" s="44">
        <f t="shared" si="168"/>
        <v>0.4425</v>
      </c>
      <c r="BA103" s="44">
        <v>0.105</v>
      </c>
      <c r="BB103" s="44">
        <v>1</v>
      </c>
      <c r="BC103" s="44">
        <f t="shared" si="169"/>
        <v>0.33750000000000002</v>
      </c>
      <c r="BD103" s="44" cm="1">
        <f t="array" ref="BD103">_xlfn.IFS(AD103=0,"NA",AD103&gt;0,AH103/AD103)</f>
        <v>1</v>
      </c>
      <c r="BE103" s="44">
        <f t="shared" si="170"/>
        <v>0.23</v>
      </c>
      <c r="BF103" s="44">
        <v>0</v>
      </c>
      <c r="BG103" s="44">
        <f t="shared" si="171"/>
        <v>0.3</v>
      </c>
      <c r="BH103" s="44">
        <v>0</v>
      </c>
      <c r="BI103" s="44">
        <f>AP103/Q103</f>
        <v>0</v>
      </c>
      <c r="BJ103" s="44" t="s">
        <v>115</v>
      </c>
      <c r="BK103" s="44">
        <f t="shared" si="104"/>
        <v>0.4425</v>
      </c>
      <c r="BL103" s="44">
        <v>1</v>
      </c>
      <c r="BM103" s="44" cm="1">
        <f t="array" ref="BM103">_xlfn.IFS(BD103="NA","NA",BD103&gt;100%,"100%",BD103&lt;100,BD103)</f>
        <v>1</v>
      </c>
      <c r="BN103" s="44" cm="1">
        <f t="array" ref="BN103">_xlfn.IFS(BF103="NA","NA",BF103&gt;100%,"100%",BF103&lt;100,BF103)</f>
        <v>0</v>
      </c>
      <c r="BO103" s="44" cm="1">
        <f t="array" ref="BO103">_xlfn.IFS(BH103="NA","NA",BH103&gt;100%,"100%",BH103&lt;100,BH103)</f>
        <v>0</v>
      </c>
      <c r="BP103" s="44" t="str" cm="1">
        <f t="array" ref="BP103">_xlfn.IFS(BJ103="NA","NA",BJ103&gt;100%,"100%",BJ103&lt;100,BJ103)</f>
        <v>NA</v>
      </c>
      <c r="BQ103" s="220">
        <v>0.22500000000000001</v>
      </c>
      <c r="BR103" s="45">
        <f t="shared" si="105"/>
        <v>9.9562499999999998E-2</v>
      </c>
      <c r="BS103" s="45">
        <v>2.3599999999999999E-2</v>
      </c>
      <c r="BT103" s="45">
        <v>2.3599999999999999E-2</v>
      </c>
      <c r="BU103" s="45">
        <v>2.3599999999999999E-2</v>
      </c>
      <c r="BV103" s="45">
        <f t="shared" si="172"/>
        <v>7.5937500000000005E-2</v>
      </c>
      <c r="BW103" s="45">
        <f t="shared" si="113"/>
        <v>7.5937500000000005E-2</v>
      </c>
      <c r="BX103" s="45">
        <f t="shared" si="114"/>
        <v>7.5962500000000002E-2</v>
      </c>
      <c r="BY103" s="45">
        <f t="shared" si="173"/>
        <v>5.1749999999999997E-2</v>
      </c>
      <c r="BZ103" s="45">
        <f t="shared" si="174"/>
        <v>0</v>
      </c>
      <c r="CA103" s="45">
        <f t="shared" si="106"/>
        <v>0</v>
      </c>
      <c r="CB103" s="45">
        <f t="shared" si="175"/>
        <v>6.7500000000000004E-2</v>
      </c>
      <c r="CC103" s="45">
        <f t="shared" si="176"/>
        <v>0</v>
      </c>
      <c r="CD103" s="45">
        <v>0</v>
      </c>
      <c r="CE103" s="45">
        <f>(AP103*BQ103)/Q103</f>
        <v>0</v>
      </c>
      <c r="CF103" s="45" t="str">
        <f>IF(BP103="NA","NA",BP103*CE103)</f>
        <v>NA</v>
      </c>
      <c r="CG103" s="45">
        <v>0</v>
      </c>
      <c r="CH103" s="244"/>
      <c r="CI103" s="244"/>
      <c r="CJ103" s="244"/>
      <c r="CK103" s="244"/>
      <c r="CM103" s="63">
        <v>120</v>
      </c>
    </row>
    <row r="104" spans="1:91" s="394" customFormat="1" ht="18" hidden="1" customHeight="1">
      <c r="A104" s="386" t="s">
        <v>292</v>
      </c>
      <c r="B104" s="386" t="s">
        <v>293</v>
      </c>
      <c r="C104" s="386" t="s">
        <v>100</v>
      </c>
      <c r="D104" s="386" t="s">
        <v>508</v>
      </c>
      <c r="E104" s="386" t="s">
        <v>509</v>
      </c>
      <c r="F104" s="386" t="s">
        <v>713</v>
      </c>
      <c r="G104" s="386" t="s">
        <v>714</v>
      </c>
      <c r="H104" s="386" t="s">
        <v>742</v>
      </c>
      <c r="I104" s="386" t="s">
        <v>255</v>
      </c>
      <c r="J104" s="386"/>
      <c r="K104" s="386" t="s">
        <v>743</v>
      </c>
      <c r="L104" s="386" t="s">
        <v>744</v>
      </c>
      <c r="M104" s="386" t="s">
        <v>745</v>
      </c>
      <c r="N104" s="386" t="s">
        <v>111</v>
      </c>
      <c r="O104" s="386" t="s">
        <v>112</v>
      </c>
      <c r="P104" s="387">
        <v>1035</v>
      </c>
      <c r="Q104" s="388">
        <v>900</v>
      </c>
      <c r="R104" s="388">
        <f t="shared" si="166"/>
        <v>0</v>
      </c>
      <c r="S104" s="388">
        <f>VLOOKUP(K104,'1108 Educación'!$K$13:$AK$40,9,0)</f>
        <v>0</v>
      </c>
      <c r="T104" s="388">
        <v>45</v>
      </c>
      <c r="U104" s="388">
        <v>0</v>
      </c>
      <c r="V104" s="388">
        <v>0</v>
      </c>
      <c r="W104" s="388">
        <v>0</v>
      </c>
      <c r="X104" s="388">
        <v>0</v>
      </c>
      <c r="Y104" s="388">
        <v>0</v>
      </c>
      <c r="Z104" s="388">
        <v>0</v>
      </c>
      <c r="AA104" s="388"/>
      <c r="AB104" s="388"/>
      <c r="AC104" s="388"/>
      <c r="AD104" s="388">
        <v>0</v>
      </c>
      <c r="AE104" s="388">
        <v>0</v>
      </c>
      <c r="AF104" s="388">
        <f>VLOOKUP(K104,'1108 Educación'!$K$13:$AK$40,22,0)</f>
        <v>0</v>
      </c>
      <c r="AG104" s="388">
        <f>VLOOKUP(K104,'1108 Educación'!$K$13:$AK$40,23,0)</f>
        <v>0</v>
      </c>
      <c r="AH104" s="388">
        <f t="shared" si="167"/>
        <v>0</v>
      </c>
      <c r="AI104" s="388">
        <f>VLOOKUP(K104,'1108 Educación'!$K$13:$AK$40,25,0)</f>
        <v>0</v>
      </c>
      <c r="AJ104" s="388">
        <f>VLOOKUP(K104,'1108 Educación'!$K$13:$AK$40,26,0)</f>
        <v>0</v>
      </c>
      <c r="AK104" s="388">
        <f>VLOOKUP(K104,'1108 Educación'!$K$13:$AK$40,27,0)</f>
        <v>0</v>
      </c>
      <c r="AL104" s="388">
        <v>495</v>
      </c>
      <c r="AM104" s="388">
        <v>0</v>
      </c>
      <c r="AN104" s="388">
        <v>405</v>
      </c>
      <c r="AO104" s="388">
        <v>0</v>
      </c>
      <c r="AP104" s="388">
        <v>0</v>
      </c>
      <c r="AQ104" s="388">
        <v>0</v>
      </c>
      <c r="AR104" s="396"/>
      <c r="AS104" s="390">
        <v>0</v>
      </c>
      <c r="AT104" s="390">
        <f t="shared" si="103"/>
        <v>0</v>
      </c>
      <c r="AU104" s="396"/>
      <c r="AV104" s="109">
        <v>0</v>
      </c>
      <c r="AW104" s="252"/>
      <c r="AX104" s="252"/>
      <c r="AY104" s="109">
        <v>0</v>
      </c>
      <c r="AZ104" s="392">
        <f t="shared" si="168"/>
        <v>0</v>
      </c>
      <c r="BA104" s="392">
        <v>0</v>
      </c>
      <c r="BB104" s="392" t="s">
        <v>115</v>
      </c>
      <c r="BC104" s="392">
        <f t="shared" si="169"/>
        <v>0</v>
      </c>
      <c r="BD104" s="392" t="str" cm="1">
        <f t="array" ref="BD104">_xlfn.IFS(AD104=0,"NA",AD104&gt;0,AH104/AD104)</f>
        <v>NA</v>
      </c>
      <c r="BE104" s="392">
        <f t="shared" si="170"/>
        <v>0.55000000000000004</v>
      </c>
      <c r="BF104" s="392">
        <v>0</v>
      </c>
      <c r="BG104" s="392">
        <f t="shared" si="171"/>
        <v>0.45</v>
      </c>
      <c r="BH104" s="392">
        <v>0</v>
      </c>
      <c r="BI104" s="392">
        <f>AP104/Q104</f>
        <v>0</v>
      </c>
      <c r="BJ104" s="392" t="s">
        <v>115</v>
      </c>
      <c r="BK104" s="392">
        <f t="shared" si="104"/>
        <v>0</v>
      </c>
      <c r="BL104" s="392" t="s">
        <v>115</v>
      </c>
      <c r="BM104" s="392" t="str" cm="1">
        <f t="array" ref="BM104">_xlfn.IFS(BD104="NA","NA",BD104&gt;100%,"100%",BD104&lt;100,BD104)</f>
        <v>NA</v>
      </c>
      <c r="BN104" s="392" cm="1">
        <f t="array" ref="BN104">_xlfn.IFS(BF104="NA","NA",BF104&gt;100%,"100%",BF104&lt;100,BF104)</f>
        <v>0</v>
      </c>
      <c r="BO104" s="392" cm="1">
        <f t="array" ref="BO104">_xlfn.IFS(BH104="NA","NA",BH104&gt;100%,"100%",BH104&lt;100,BH104)</f>
        <v>0</v>
      </c>
      <c r="BP104" s="392" t="str" cm="1">
        <f t="array" ref="BP104">_xlfn.IFS(BJ104="NA","NA",BJ104&gt;100%,"100%",BJ104&lt;100,BJ104)</f>
        <v>NA</v>
      </c>
      <c r="BQ104" s="397">
        <v>0.22500000000000001</v>
      </c>
      <c r="BR104" s="393">
        <f t="shared" si="105"/>
        <v>0</v>
      </c>
      <c r="BS104" s="393">
        <v>0</v>
      </c>
      <c r="BT104" s="393" t="s">
        <v>115</v>
      </c>
      <c r="BU104" s="393">
        <v>0</v>
      </c>
      <c r="BV104" s="393">
        <f t="shared" si="172"/>
        <v>0</v>
      </c>
      <c r="BW104" s="393" t="str">
        <f t="shared" si="113"/>
        <v>NA</v>
      </c>
      <c r="BX104" s="393">
        <f t="shared" si="114"/>
        <v>0</v>
      </c>
      <c r="BY104" s="393">
        <f t="shared" si="173"/>
        <v>0.12375</v>
      </c>
      <c r="BZ104" s="393">
        <f t="shared" si="174"/>
        <v>0</v>
      </c>
      <c r="CA104" s="393">
        <f t="shared" si="106"/>
        <v>0</v>
      </c>
      <c r="CB104" s="393">
        <f t="shared" si="175"/>
        <v>0.10125000000000001</v>
      </c>
      <c r="CC104" s="393">
        <f t="shared" si="176"/>
        <v>0</v>
      </c>
      <c r="CD104" s="393">
        <v>0</v>
      </c>
      <c r="CE104" s="393">
        <f>(AP104*BQ104)/Q104</f>
        <v>0</v>
      </c>
      <c r="CF104" s="393" t="str">
        <f>IF(BP104="NA","NA",BP104*CE104)</f>
        <v>NA</v>
      </c>
      <c r="CG104" s="393">
        <v>0</v>
      </c>
      <c r="CH104" s="391"/>
      <c r="CI104" s="391"/>
      <c r="CJ104" s="391"/>
      <c r="CK104" s="391"/>
      <c r="CM104" s="395">
        <v>0</v>
      </c>
    </row>
    <row r="105" spans="1:91" ht="18" hidden="1" customHeight="1">
      <c r="A105" s="260" t="s">
        <v>292</v>
      </c>
      <c r="B105" s="260" t="s">
        <v>293</v>
      </c>
      <c r="C105" s="260" t="s">
        <v>100</v>
      </c>
      <c r="D105" s="260" t="s">
        <v>508</v>
      </c>
      <c r="E105" s="260" t="s">
        <v>509</v>
      </c>
      <c r="F105" s="260" t="s">
        <v>713</v>
      </c>
      <c r="G105" s="260" t="s">
        <v>714</v>
      </c>
      <c r="H105" s="260" t="s">
        <v>746</v>
      </c>
      <c r="I105" s="260" t="s">
        <v>255</v>
      </c>
      <c r="J105" s="260" t="s">
        <v>622</v>
      </c>
      <c r="K105" s="260" t="s">
        <v>747</v>
      </c>
      <c r="L105" s="260" t="s">
        <v>748</v>
      </c>
      <c r="M105" s="260" t="s">
        <v>749</v>
      </c>
      <c r="N105" s="260" t="s">
        <v>111</v>
      </c>
      <c r="O105" s="260" t="s">
        <v>112</v>
      </c>
      <c r="P105" s="10">
        <v>1</v>
      </c>
      <c r="Q105" s="11">
        <v>1</v>
      </c>
      <c r="R105" s="11">
        <f t="shared" si="166"/>
        <v>0</v>
      </c>
      <c r="S105" s="11">
        <f>VLOOKUP(K105,'1108 Educación'!$K$13:$AK$40,9,0)</f>
        <v>0</v>
      </c>
      <c r="T105" s="11">
        <v>0.05</v>
      </c>
      <c r="U105" s="11">
        <v>0</v>
      </c>
      <c r="V105" s="11">
        <v>0</v>
      </c>
      <c r="W105" s="11">
        <v>0</v>
      </c>
      <c r="X105" s="11">
        <v>0</v>
      </c>
      <c r="Y105" s="11">
        <v>0</v>
      </c>
      <c r="Z105" s="11">
        <v>0</v>
      </c>
      <c r="AA105" s="11"/>
      <c r="AB105" s="11"/>
      <c r="AC105" s="11"/>
      <c r="AD105" s="11">
        <v>0</v>
      </c>
      <c r="AE105" s="11">
        <v>0</v>
      </c>
      <c r="AF105" s="11">
        <f>VLOOKUP(K105,'1108 Educación'!$K$13:$AK$40,22,0)</f>
        <v>0</v>
      </c>
      <c r="AG105" s="11">
        <f>VLOOKUP(K105,'1108 Educación'!$K$13:$AK$40,23,0)</f>
        <v>0</v>
      </c>
      <c r="AH105" s="11">
        <f t="shared" si="167"/>
        <v>0</v>
      </c>
      <c r="AI105" s="11">
        <f>VLOOKUP(K105,'1108 Educación'!$K$13:$AK$40,25,0)</f>
        <v>0</v>
      </c>
      <c r="AJ105" s="11">
        <f>VLOOKUP(K105,'1108 Educación'!$K$13:$AK$40,26,0)</f>
        <v>0</v>
      </c>
      <c r="AK105" s="11">
        <f>VLOOKUP(K105,'1108 Educación'!$K$13:$AK$40,27,0)</f>
        <v>0</v>
      </c>
      <c r="AL105" s="11">
        <v>0.45</v>
      </c>
      <c r="AM105" s="11">
        <v>0</v>
      </c>
      <c r="AN105" s="11">
        <v>0.55000000000000004</v>
      </c>
      <c r="AO105" s="11">
        <v>0</v>
      </c>
      <c r="AP105" s="11">
        <v>0</v>
      </c>
      <c r="AQ105" s="11">
        <v>0</v>
      </c>
      <c r="AR105" s="52"/>
      <c r="AS105" s="54">
        <v>0</v>
      </c>
      <c r="AT105" s="54">
        <f t="shared" si="103"/>
        <v>0</v>
      </c>
      <c r="AU105" s="52"/>
      <c r="AV105" s="243">
        <v>0</v>
      </c>
      <c r="AW105" s="244"/>
      <c r="AX105" s="244"/>
      <c r="AY105" s="243">
        <v>0</v>
      </c>
      <c r="AZ105" s="44">
        <f t="shared" si="168"/>
        <v>0</v>
      </c>
      <c r="BA105" s="44">
        <v>0</v>
      </c>
      <c r="BB105" s="44" t="s">
        <v>115</v>
      </c>
      <c r="BC105" s="44">
        <f t="shared" si="169"/>
        <v>0</v>
      </c>
      <c r="BD105" s="44" t="str" cm="1">
        <f t="array" ref="BD105">_xlfn.IFS(AD105=0,"NA",AD105&gt;0,AH105/AD105)</f>
        <v>NA</v>
      </c>
      <c r="BE105" s="44">
        <f t="shared" si="170"/>
        <v>0.45</v>
      </c>
      <c r="BF105" s="44">
        <v>0</v>
      </c>
      <c r="BG105" s="44">
        <f t="shared" si="171"/>
        <v>0.55000000000000004</v>
      </c>
      <c r="BH105" s="44">
        <v>0</v>
      </c>
      <c r="BI105" s="44">
        <f>AP105/Q105</f>
        <v>0</v>
      </c>
      <c r="BJ105" s="44" t="s">
        <v>115</v>
      </c>
      <c r="BK105" s="44">
        <f t="shared" si="104"/>
        <v>0</v>
      </c>
      <c r="BL105" s="44" t="s">
        <v>115</v>
      </c>
      <c r="BM105" s="44" t="str" cm="1">
        <f t="array" ref="BM105">_xlfn.IFS(BD105="NA","NA",BD105&gt;100%,"100%",BD105&lt;100,BD105)</f>
        <v>NA</v>
      </c>
      <c r="BN105" s="44" cm="1">
        <f t="array" ref="BN105">_xlfn.IFS(BF105="NA","NA",BF105&gt;100%,"100%",BF105&lt;100,BF105)</f>
        <v>0</v>
      </c>
      <c r="BO105" s="44" cm="1">
        <f t="array" ref="BO105">_xlfn.IFS(BH105="NA","NA",BH105&gt;100%,"100%",BH105&lt;100,BH105)</f>
        <v>0</v>
      </c>
      <c r="BP105" s="44" t="str" cm="1">
        <f t="array" ref="BP105">_xlfn.IFS(BJ105="NA","NA",BJ105&gt;100%,"100%",BJ105&lt;100,BJ105)</f>
        <v>NA</v>
      </c>
      <c r="BQ105" s="220">
        <v>0.22500000000000001</v>
      </c>
      <c r="BR105" s="45">
        <f t="shared" si="105"/>
        <v>0</v>
      </c>
      <c r="BS105" s="45">
        <v>0</v>
      </c>
      <c r="BT105" s="45" t="s">
        <v>115</v>
      </c>
      <c r="BU105" s="45">
        <v>0</v>
      </c>
      <c r="BV105" s="45">
        <f t="shared" si="172"/>
        <v>0</v>
      </c>
      <c r="BW105" s="45" t="str">
        <f t="shared" si="113"/>
        <v>NA</v>
      </c>
      <c r="BX105" s="45">
        <f t="shared" si="114"/>
        <v>0</v>
      </c>
      <c r="BY105" s="45">
        <f t="shared" si="173"/>
        <v>0.10125000000000001</v>
      </c>
      <c r="BZ105" s="45">
        <f t="shared" si="174"/>
        <v>0</v>
      </c>
      <c r="CA105" s="45">
        <f t="shared" si="106"/>
        <v>0</v>
      </c>
      <c r="CB105" s="45">
        <f t="shared" si="175"/>
        <v>0.12375000000000001</v>
      </c>
      <c r="CC105" s="45">
        <f t="shared" si="176"/>
        <v>0</v>
      </c>
      <c r="CD105" s="45">
        <v>0</v>
      </c>
      <c r="CE105" s="45">
        <f>(AP105*BQ105)/Q105</f>
        <v>0</v>
      </c>
      <c r="CF105" s="45" t="str">
        <f>IF(BP105="NA","NA",BP105*CE105)</f>
        <v>NA</v>
      </c>
      <c r="CG105" s="45">
        <v>0</v>
      </c>
      <c r="CH105" s="244"/>
      <c r="CI105" s="244"/>
      <c r="CJ105" s="244"/>
      <c r="CK105" s="244"/>
      <c r="CM105" s="63">
        <v>0</v>
      </c>
    </row>
    <row r="106" spans="1:91" ht="18" hidden="1" customHeight="1">
      <c r="A106" s="260" t="s">
        <v>292</v>
      </c>
      <c r="B106" s="260" t="s">
        <v>293</v>
      </c>
      <c r="C106" s="260" t="s">
        <v>100</v>
      </c>
      <c r="D106" s="260" t="s">
        <v>508</v>
      </c>
      <c r="E106" s="260" t="s">
        <v>509</v>
      </c>
      <c r="F106" s="260" t="s">
        <v>713</v>
      </c>
      <c r="G106" s="260" t="s">
        <v>714</v>
      </c>
      <c r="H106" s="260" t="s">
        <v>750</v>
      </c>
      <c r="I106" s="260" t="s">
        <v>255</v>
      </c>
      <c r="J106" s="260"/>
      <c r="K106" s="260" t="s">
        <v>751</v>
      </c>
      <c r="L106" s="260" t="s">
        <v>752</v>
      </c>
      <c r="M106" s="260" t="s">
        <v>753</v>
      </c>
      <c r="N106" s="260" t="s">
        <v>123</v>
      </c>
      <c r="O106" s="260" t="s">
        <v>302</v>
      </c>
      <c r="P106" s="10">
        <v>100</v>
      </c>
      <c r="Q106" s="11">
        <v>100</v>
      </c>
      <c r="R106" s="11">
        <f>AVERAGE(Z106,AH106)</f>
        <v>100</v>
      </c>
      <c r="S106" s="11" t="str">
        <f>VLOOKUP(K106,'1108 Educación'!$K$13:$AK$40,9,0)</f>
        <v xml:space="preserve">Se ha garantizado la prestación del servicio educativo en el 100% de las IED de los municipios no certificados del Departamento. </v>
      </c>
      <c r="T106" s="11">
        <v>0</v>
      </c>
      <c r="U106" s="11">
        <v>100</v>
      </c>
      <c r="V106" s="11">
        <v>0</v>
      </c>
      <c r="W106" s="11">
        <v>100</v>
      </c>
      <c r="X106" s="11" t="s">
        <v>115</v>
      </c>
      <c r="Y106" s="11">
        <v>100</v>
      </c>
      <c r="Z106" s="11">
        <v>100</v>
      </c>
      <c r="AA106" s="11" t="s">
        <v>754</v>
      </c>
      <c r="AB106" s="11" t="s">
        <v>755</v>
      </c>
      <c r="AC106" s="11">
        <v>0</v>
      </c>
      <c r="AD106" s="11">
        <v>0</v>
      </c>
      <c r="AE106" s="11">
        <v>100</v>
      </c>
      <c r="AF106" s="11">
        <f>VLOOKUP(K106,'1108 Educación'!$K$13:$AK$40,22,0)</f>
        <v>0</v>
      </c>
      <c r="AG106" s="11">
        <f>VLOOKUP(K106,'1108 Educación'!$K$13:$AK$40,23,0)</f>
        <v>100</v>
      </c>
      <c r="AH106" s="11">
        <f>AG106</f>
        <v>100</v>
      </c>
      <c r="AI106" s="11" t="str">
        <f>VLOOKUP(K106,'1108 Educación'!$K$13:$AK$40,25,0)</f>
        <v xml:space="preserve">Prestación del servicio Educativo </v>
      </c>
      <c r="AJ106" s="11" t="str">
        <f>VLOOKUP(K106,'1108 Educación'!$K$13:$AK$40,26,0)</f>
        <v>Se ha garantizado la prestación del servicio educativo en el 100% de las IED de los municipios no certificados del Departamento. en el mes de octubre se logro la prestación del servicio educativo, la liquidación de la nómina  del personal docente, directivo docente, administrativo y el pago del retroactivo salarial de los meses de enero a agosto a los docentes y directivos docentes   de las  instituciones Educativas Departamentales de los municipios no certificados de Cundinamarca. tambien se logra hacer el pago de arriendos para la efectiva prestacion del servicio.</v>
      </c>
      <c r="AK106" s="11">
        <f>VLOOKUP(K106,'1108 Educación'!$K$13:$AK$40,27,0)</f>
        <v>0</v>
      </c>
      <c r="AL106" s="11">
        <v>0</v>
      </c>
      <c r="AM106" s="11">
        <v>100</v>
      </c>
      <c r="AN106" s="11">
        <v>0</v>
      </c>
      <c r="AO106" s="11">
        <v>100</v>
      </c>
      <c r="AP106" s="11">
        <v>0</v>
      </c>
      <c r="AQ106" s="11">
        <v>0</v>
      </c>
      <c r="AR106" s="51">
        <v>400422528593</v>
      </c>
      <c r="AS106" s="54">
        <v>0</v>
      </c>
      <c r="AT106" s="54">
        <f t="shared" si="103"/>
        <v>400422528593</v>
      </c>
      <c r="AU106" s="51">
        <v>398960576939</v>
      </c>
      <c r="AV106" s="243">
        <v>791206955620</v>
      </c>
      <c r="AW106" s="244"/>
      <c r="AX106" s="244"/>
      <c r="AY106" s="243">
        <v>632312362004</v>
      </c>
      <c r="AZ106" s="44" cm="1">
        <f t="array" ref="AZ106">_xlfn.IFS((BA106=0),(BD106/CL106),(BA106&gt;0),((BB106+BD106)/CL106),(BE106&gt;0),((BB106+BD106+BE106)/CL106),(BG106&gt;0),((BB106+BD106+BE106+G106)/CL106))</f>
        <v>0.45832499999999998</v>
      </c>
      <c r="BA106" s="44">
        <v>0.25</v>
      </c>
      <c r="BB106" s="44">
        <v>1</v>
      </c>
      <c r="BC106" s="44">
        <v>0.25</v>
      </c>
      <c r="BD106" s="44" cm="2">
        <f t="array" ref="BD106">_xlfn.IFS(AE106=0,"NA",AE106&gt;0,((AH106/AE106)*0.8333))</f>
        <v>0.83330000000000004</v>
      </c>
      <c r="BE106" s="44">
        <v>0.25</v>
      </c>
      <c r="BF106" s="44">
        <v>0</v>
      </c>
      <c r="BG106" s="44">
        <v>0.25</v>
      </c>
      <c r="BH106" s="44">
        <v>0</v>
      </c>
      <c r="BI106" s="44">
        <v>0</v>
      </c>
      <c r="BJ106" s="44" t="s">
        <v>115</v>
      </c>
      <c r="BK106" s="44">
        <f t="shared" si="104"/>
        <v>0.45832499999999998</v>
      </c>
      <c r="BL106" s="44">
        <v>1</v>
      </c>
      <c r="BM106" s="44" cm="1">
        <f t="array" ref="BM106">_xlfn.IFS(BD106="NA","NA",BD106&gt;100%,"100%",BD106&lt;100,BD106)</f>
        <v>0.83330000000000004</v>
      </c>
      <c r="BN106" s="44">
        <v>0</v>
      </c>
      <c r="BO106" s="44">
        <v>0</v>
      </c>
      <c r="BP106" s="44" t="s">
        <v>115</v>
      </c>
      <c r="BQ106" s="220">
        <v>0.22500000000000001</v>
      </c>
      <c r="BR106" s="45">
        <f t="shared" si="105"/>
        <v>0.103123125</v>
      </c>
      <c r="BS106" s="45">
        <v>5.6300000000000003E-2</v>
      </c>
      <c r="BT106" s="45">
        <v>5.6300000000000003E-2</v>
      </c>
      <c r="BU106" s="45">
        <v>5.6300000000000003E-2</v>
      </c>
      <c r="BV106" s="45">
        <v>5.6300000000000003E-2</v>
      </c>
      <c r="BW106" s="45">
        <f t="shared" si="113"/>
        <v>4.6914790000000005E-2</v>
      </c>
      <c r="BX106" s="45">
        <f t="shared" si="114"/>
        <v>4.6823124999999993E-2</v>
      </c>
      <c r="BY106" s="45">
        <v>5.6300000000000003E-2</v>
      </c>
      <c r="BZ106" s="45">
        <v>0</v>
      </c>
      <c r="CA106" s="45">
        <f t="shared" si="106"/>
        <v>0</v>
      </c>
      <c r="CB106" s="45">
        <v>5.6300000000000003E-2</v>
      </c>
      <c r="CC106" s="45">
        <v>0</v>
      </c>
      <c r="CD106" s="45">
        <v>0</v>
      </c>
      <c r="CE106" s="45">
        <v>0</v>
      </c>
      <c r="CF106" s="45" t="s">
        <v>115</v>
      </c>
      <c r="CG106" s="45">
        <v>0</v>
      </c>
      <c r="CH106" s="244">
        <f>IF(W106&gt;0,1,0)</f>
        <v>1</v>
      </c>
      <c r="CI106" s="244">
        <f>IF(AE106&gt;0,1,0)</f>
        <v>1</v>
      </c>
      <c r="CJ106" s="244">
        <f>IF(AM106&gt;0,1,0)</f>
        <v>1</v>
      </c>
      <c r="CK106" s="244">
        <f>IF(AO106&gt;0,1,0)</f>
        <v>1</v>
      </c>
      <c r="CL106">
        <f>CH106+CI106+CJ106+CK106</f>
        <v>4</v>
      </c>
      <c r="CM106" s="63">
        <v>100</v>
      </c>
    </row>
    <row r="107" spans="1:91" ht="18" hidden="1" customHeight="1">
      <c r="A107" s="260" t="s">
        <v>144</v>
      </c>
      <c r="B107" s="260" t="s">
        <v>145</v>
      </c>
      <c r="C107" s="260" t="s">
        <v>100</v>
      </c>
      <c r="D107" s="260" t="s">
        <v>508</v>
      </c>
      <c r="E107" s="260" t="s">
        <v>509</v>
      </c>
      <c r="F107" s="260" t="s">
        <v>756</v>
      </c>
      <c r="G107" s="260" t="s">
        <v>757</v>
      </c>
      <c r="H107" s="260" t="s">
        <v>758</v>
      </c>
      <c r="I107" s="260" t="s">
        <v>106</v>
      </c>
      <c r="J107" s="260"/>
      <c r="K107" s="260" t="s">
        <v>759</v>
      </c>
      <c r="L107" s="260" t="s">
        <v>760</v>
      </c>
      <c r="M107" s="260" t="s">
        <v>140</v>
      </c>
      <c r="N107" s="260" t="s">
        <v>111</v>
      </c>
      <c r="O107" s="260" t="s">
        <v>112</v>
      </c>
      <c r="P107" s="10">
        <v>116</v>
      </c>
      <c r="Q107" s="11">
        <v>116</v>
      </c>
      <c r="R107" s="11">
        <f t="shared" ref="R107:R117" si="177">Z107+AH107</f>
        <v>57</v>
      </c>
      <c r="S107" s="11" t="str">
        <f>VLOOKUP(K107,'1126 Desarrollo Social'!$K$13:$S$58,9,0)</f>
        <v>Socialización de la estrategia de Pienso pienso en progreso todo tiene su tiempo en los municipioCelebración semana andina (semana de prevención del embarazo en adolescentes) activación y coordinación de la submesa de infancia y adolescenciaAsistencia  técnica en promoción de los derechos sexualesEl personal contratado para el desarrollo de las actividades de esta meta con vigencia del plan de desarrollo 2016-2020</v>
      </c>
      <c r="T107" s="11">
        <v>20</v>
      </c>
      <c r="U107" s="11">
        <v>0</v>
      </c>
      <c r="V107" s="11">
        <v>20</v>
      </c>
      <c r="W107" s="11">
        <v>0</v>
      </c>
      <c r="X107" s="11">
        <v>20</v>
      </c>
      <c r="Y107" s="11">
        <v>0</v>
      </c>
      <c r="Z107" s="11">
        <v>20</v>
      </c>
      <c r="AA107" s="11" t="s">
        <v>761</v>
      </c>
      <c r="AB107" s="11" t="s">
        <v>762</v>
      </c>
      <c r="AC107" s="11">
        <v>0</v>
      </c>
      <c r="AD107" s="11">
        <v>16</v>
      </c>
      <c r="AE107" s="11">
        <v>0</v>
      </c>
      <c r="AF107" s="11">
        <f>VLOOKUP(K107,'1126 Desarrollo Social'!$K$13:$AK$58,22,0)</f>
        <v>37</v>
      </c>
      <c r="AG107" s="11">
        <f>VLOOKUP(K107,'1126 Desarrollo Social'!$K$13:$AK$58,23,0)</f>
        <v>0</v>
      </c>
      <c r="AH107" s="11">
        <f t="shared" ref="AH107:AH117" si="178">AF107</f>
        <v>37</v>
      </c>
      <c r="AI107" s="11" t="str">
        <f>VLOOKUP(K107,'1126 Desarrollo Social'!$K$13:$AK$58,25,0)</f>
        <v>NTREGABLE: UNA CARTILLA DIGITAL "PIENSO EN MI, PIENSO EN PROGRESO" a la cual se accede a través de la página web de la SDIS.</v>
      </c>
      <c r="AJ107" s="11" t="str">
        <f>VLOOKUP(K107,'1126 Desarrollo Social'!$K$13:$AK$58,26,0)</f>
        <v xml:space="preserve">Se realizo encuesta de caraterizacion aplicada a 30 municipios, 66  talleres ludicopedagogicos en 37 municipios. Activación comite departamental de prevencion de embarazo en adolescentes.                                                                                                                          Se realizo actividad en la SEMANA ANDINA </v>
      </c>
      <c r="AK107" s="11">
        <f>VLOOKUP(K107,'1126 Desarrollo Social'!$K$13:$AK$58,27,0)</f>
        <v>0</v>
      </c>
      <c r="AL107" s="11">
        <v>40</v>
      </c>
      <c r="AM107" s="11">
        <v>0</v>
      </c>
      <c r="AN107" s="11">
        <v>40</v>
      </c>
      <c r="AO107" s="11">
        <v>0</v>
      </c>
      <c r="AP107" s="11">
        <v>0</v>
      </c>
      <c r="AQ107" s="11">
        <v>0</v>
      </c>
      <c r="AR107" s="51">
        <v>44557500</v>
      </c>
      <c r="AS107" s="54">
        <v>0</v>
      </c>
      <c r="AT107" s="54">
        <f t="shared" si="103"/>
        <v>44557500</v>
      </c>
      <c r="AU107" s="51">
        <v>38110831</v>
      </c>
      <c r="AV107" s="243">
        <v>354000000</v>
      </c>
      <c r="AW107" s="244"/>
      <c r="AX107" s="244"/>
      <c r="AY107" s="243">
        <v>190369332</v>
      </c>
      <c r="AZ107" s="44">
        <f t="shared" ref="AZ107:AZ117" si="179">R107/Q107</f>
        <v>0.49137931034482757</v>
      </c>
      <c r="BA107" s="44">
        <v>0.1724</v>
      </c>
      <c r="BB107" s="44">
        <v>1</v>
      </c>
      <c r="BC107" s="44">
        <f t="shared" ref="BC107:BC117" si="180">AD107/Q107</f>
        <v>0.13793103448275862</v>
      </c>
      <c r="BD107" s="44" cm="1">
        <f t="array" ref="BD107">_xlfn.IFS(AD107=0,"NA",AD107&gt;0,AH107/AD107)</f>
        <v>2.3125</v>
      </c>
      <c r="BE107" s="44">
        <f t="shared" ref="BE107:BE117" si="181">AL107/Q107</f>
        <v>0.34482758620689657</v>
      </c>
      <c r="BF107" s="44">
        <v>0</v>
      </c>
      <c r="BG107" s="44">
        <f t="shared" ref="BG107:BG117" si="182">AN107/Q107</f>
        <v>0.34482758620689657</v>
      </c>
      <c r="BH107" s="44">
        <v>0</v>
      </c>
      <c r="BI107" s="44">
        <f t="shared" ref="BI107:BI117" si="183">AP107/Q107</f>
        <v>0</v>
      </c>
      <c r="BJ107" s="44" t="s">
        <v>115</v>
      </c>
      <c r="BK107" s="44">
        <f t="shared" si="104"/>
        <v>0.49137931034482757</v>
      </c>
      <c r="BL107" s="44">
        <v>1</v>
      </c>
      <c r="BM107" s="44" t="str" cm="1">
        <f t="array" ref="BM107">_xlfn.IFS(BD107="NA","NA",BD107&gt;100%,"100%",BD107&lt;100,BD107)</f>
        <v>100%</v>
      </c>
      <c r="BN107" s="44" cm="1">
        <f t="array" ref="BN107">_xlfn.IFS(BF107="NA","NA",BF107&gt;100%,"100%",BF107&lt;100,BF107)</f>
        <v>0</v>
      </c>
      <c r="BO107" s="44" cm="1">
        <f t="array" ref="BO107">_xlfn.IFS(BH107="NA","NA",BH107&gt;100%,"100%",BH107&lt;100,BH107)</f>
        <v>0</v>
      </c>
      <c r="BP107" s="44" t="str" cm="1">
        <f t="array" ref="BP107">_xlfn.IFS(BJ107="NA","NA",BJ107&gt;100%,"100%",BJ107&lt;100,BJ107)</f>
        <v>NA</v>
      </c>
      <c r="BQ107" s="45">
        <v>0.22500000000000001</v>
      </c>
      <c r="BR107" s="45">
        <f t="shared" si="105"/>
        <v>0.1105603448275862</v>
      </c>
      <c r="BS107" s="45">
        <v>3.8800000000000001E-2</v>
      </c>
      <c r="BT107" s="45">
        <v>3.8800000000000001E-2</v>
      </c>
      <c r="BU107" s="45">
        <v>3.8800000000000001E-2</v>
      </c>
      <c r="BV107" s="45">
        <f t="shared" ref="BV107:BV117" si="184">(AD107*BQ107)/Q107</f>
        <v>3.1034482758620689E-2</v>
      </c>
      <c r="BW107" s="45">
        <f t="shared" si="113"/>
        <v>3.1034482758620689E-2</v>
      </c>
      <c r="BX107" s="45">
        <f t="shared" si="114"/>
        <v>7.1760344827586198E-2</v>
      </c>
      <c r="BY107" s="45">
        <f t="shared" ref="BY107:BY117" si="185">(AL107*BQ107)/Q107</f>
        <v>7.7586206896551727E-2</v>
      </c>
      <c r="BZ107" s="45">
        <f t="shared" ref="BZ107:BZ117" si="186">IF(BN107="NA","NA",BN107*BY107)</f>
        <v>0</v>
      </c>
      <c r="CA107" s="45">
        <f t="shared" si="106"/>
        <v>0</v>
      </c>
      <c r="CB107" s="45">
        <f t="shared" ref="CB107:CB117" si="187">(AN107*BQ107)/Q107</f>
        <v>7.7586206896551727E-2</v>
      </c>
      <c r="CC107" s="45">
        <f t="shared" ref="CC107:CC117" si="188">IF(BO107="NA","NA",BO107*CB107)</f>
        <v>0</v>
      </c>
      <c r="CD107" s="45">
        <v>0</v>
      </c>
      <c r="CE107" s="45">
        <f t="shared" ref="CE107:CE117" si="189">(AP107*BQ107)/Q107</f>
        <v>0</v>
      </c>
      <c r="CF107" s="45" t="str">
        <f t="shared" ref="CF107:CF117" si="190">IF(BP107="NA","NA",BP107*CE107)</f>
        <v>NA</v>
      </c>
      <c r="CG107" s="45">
        <v>0</v>
      </c>
      <c r="CH107" s="244"/>
      <c r="CI107" s="244"/>
      <c r="CJ107" s="244"/>
      <c r="CK107" s="244"/>
      <c r="CM107" s="63">
        <v>34</v>
      </c>
    </row>
    <row r="108" spans="1:91" ht="18" hidden="1" customHeight="1">
      <c r="A108" s="260" t="s">
        <v>221</v>
      </c>
      <c r="B108" s="260" t="s">
        <v>222</v>
      </c>
      <c r="C108" s="260" t="s">
        <v>100</v>
      </c>
      <c r="D108" s="260" t="s">
        <v>508</v>
      </c>
      <c r="E108" s="260" t="s">
        <v>509</v>
      </c>
      <c r="F108" s="260" t="s">
        <v>763</v>
      </c>
      <c r="G108" s="260" t="s">
        <v>764</v>
      </c>
      <c r="H108" s="260" t="s">
        <v>765</v>
      </c>
      <c r="I108" s="260"/>
      <c r="J108" s="260"/>
      <c r="K108" s="260" t="s">
        <v>766</v>
      </c>
      <c r="L108" s="260" t="s">
        <v>767</v>
      </c>
      <c r="M108" s="260" t="s">
        <v>768</v>
      </c>
      <c r="N108" s="260" t="s">
        <v>111</v>
      </c>
      <c r="O108" s="260" t="s">
        <v>112</v>
      </c>
      <c r="P108" s="10">
        <v>4</v>
      </c>
      <c r="Q108" s="11">
        <v>4</v>
      </c>
      <c r="R108" s="11">
        <f t="shared" ca="1" si="177"/>
        <v>1</v>
      </c>
      <c r="S108" s="11" t="str">
        <f ca="1">VLOOKUP(K108,'1220 IDECUT'!$K$13:$AK$48,9,0)</f>
        <v>Durante la vigencia 2021. Se realizo capacitación para los informadores de los puntos de información turístico de los Pits de la Red Nacional Fontur y la red departamental sobre el programa de Escnna por parte del Viceministerio, beneficiando a 33 PITS en los municipios de Agua de Dios, Anapoima, Arbeláez, Bojacá, Cajicá, Chía, Cachipay, Cota, Fusagasugá, Girardot, Guaduas, Guasca, Guatavita, La Mesa, La Vega, Mesitas del Colegio, Nemocón, Nimaima-Tobia, Nocaima, Soacha-Salto del Tequendama , San Antonio del Tequendama, Sesquilé, Sopó, Subachoque, Suesca, Tabio, Tenjo, Tocaima, Tocancipa, Ubaté, Vergara, Villeta y Zipaquirá.
*participa activamente en cada comité departamental con los temas que tienen relación a la Explotación Sexual Comercial de Niños, Niñas y Adolescentes ESCNNA, Lucha Contra la Trata de Personas y de Derechos Humanos.</v>
      </c>
      <c r="T108" s="11">
        <v>0</v>
      </c>
      <c r="U108" s="11">
        <v>0</v>
      </c>
      <c r="V108" s="11">
        <v>0</v>
      </c>
      <c r="W108" s="11">
        <v>0</v>
      </c>
      <c r="X108" s="11">
        <v>0</v>
      </c>
      <c r="Y108" s="11">
        <v>0</v>
      </c>
      <c r="Z108" s="11">
        <v>0</v>
      </c>
      <c r="AA108" s="11"/>
      <c r="AB108" s="11"/>
      <c r="AC108" s="11"/>
      <c r="AD108" s="11">
        <v>1</v>
      </c>
      <c r="AE108" s="11">
        <v>0</v>
      </c>
      <c r="AF108" s="11">
        <f ca="1">VLOOKUP(K108,'1220 IDECUT'!$K$13:$AK$48,22,0)</f>
        <v>1</v>
      </c>
      <c r="AG108" s="11">
        <f ca="1">VLOOKUP(K108,'1220 IDECUT'!$K$13:$AK$48,23,0)</f>
        <v>0</v>
      </c>
      <c r="AH108" s="11">
        <f t="shared" ca="1" si="178"/>
        <v>1</v>
      </c>
      <c r="AI108" s="11" t="str">
        <f ca="1">VLOOKUP(K108,'1220 IDECUT'!$K$13:$AK$48,25,0)</f>
        <v>Convenio</v>
      </c>
      <c r="AJ108" s="11" t="str">
        <f ca="1">VLOOKUP(K108,'1220 IDECUT'!$K$13:$AK$48,26,0)</f>
        <v>Se realizo capacitación para los informadores de los puntos de información turístico de los Pits de la Red Nacional Fontur y la red departamental sobre el programa de Escnna por parte del Viceministerio, beneficiando a 33 PITS en los municipios de Agua de Dios, Anapoima, Arbeláez, Bojacá, Cajicá, Chía, Cachipay, Cota, Fusagasugá, Girardot, Guaduas, Guasca, Guatavita, La Mesa, La Vega, Mesitas del Colegio, Nemocón, Nimaima-Tobia, Nocaima, Soacha-Salto del Tequendama , San Antonio del Tequendama, Sesquilé, Sopó, Subachoque, Suesca, Tabio, Tenjo, Tocaima, Tocancipa, Ubaté, Vergara, Villeta y Zipaquirá.</v>
      </c>
      <c r="AK108" s="11">
        <f ca="1">VLOOKUP(K108,'1220 IDECUT'!$K$13:$AK$48,27,0)</f>
        <v>0</v>
      </c>
      <c r="AL108" s="11">
        <v>1</v>
      </c>
      <c r="AM108" s="11">
        <v>0</v>
      </c>
      <c r="AN108" s="11">
        <v>2</v>
      </c>
      <c r="AO108" s="11">
        <v>0</v>
      </c>
      <c r="AP108" s="11">
        <v>0</v>
      </c>
      <c r="AQ108" s="11">
        <v>0</v>
      </c>
      <c r="AR108" s="52"/>
      <c r="AS108" s="54">
        <v>0</v>
      </c>
      <c r="AT108" s="54">
        <f t="shared" si="103"/>
        <v>0</v>
      </c>
      <c r="AU108" s="52"/>
      <c r="AV108" s="243">
        <v>40000000</v>
      </c>
      <c r="AW108" s="244"/>
      <c r="AX108" s="244"/>
      <c r="AY108" s="243">
        <v>16000000</v>
      </c>
      <c r="AZ108" s="44">
        <f t="shared" ca="1" si="179"/>
        <v>0.25</v>
      </c>
      <c r="BA108" s="44">
        <v>0</v>
      </c>
      <c r="BB108" s="44" t="s">
        <v>115</v>
      </c>
      <c r="BC108" s="44">
        <f t="shared" si="180"/>
        <v>0.25</v>
      </c>
      <c r="BD108" s="44" cm="1">
        <f t="array" aca="1" ref="BD108" ca="1">_xlfn.IFS(AD108=0,"NA",AD108&gt;0,AH108/AD108)</f>
        <v>1</v>
      </c>
      <c r="BE108" s="44">
        <f t="shared" si="181"/>
        <v>0.25</v>
      </c>
      <c r="BF108" s="44">
        <v>0</v>
      </c>
      <c r="BG108" s="44">
        <f t="shared" si="182"/>
        <v>0.5</v>
      </c>
      <c r="BH108" s="44">
        <v>0</v>
      </c>
      <c r="BI108" s="44">
        <f t="shared" si="183"/>
        <v>0</v>
      </c>
      <c r="BJ108" s="44" t="s">
        <v>115</v>
      </c>
      <c r="BK108" s="44">
        <f t="shared" ca="1" si="104"/>
        <v>0.25</v>
      </c>
      <c r="BL108" s="44" t="s">
        <v>115</v>
      </c>
      <c r="BM108" s="44" cm="1">
        <f t="array" aca="1" ref="BM108" ca="1">_xlfn.IFS(BD108="NA","NA",BD108&gt;100%,"100%",BD108&lt;100,BD108)</f>
        <v>1</v>
      </c>
      <c r="BN108" s="44" cm="1">
        <f t="array" ref="BN108">_xlfn.IFS(BF108="NA","NA",BF108&gt;100%,"100%",BF108&lt;100,BF108)</f>
        <v>0</v>
      </c>
      <c r="BO108" s="44" cm="1">
        <f t="array" ref="BO108">_xlfn.IFS(BH108="NA","NA",BH108&gt;100%,"100%",BH108&lt;100,BH108)</f>
        <v>0</v>
      </c>
      <c r="BP108" s="44" t="str" cm="1">
        <f t="array" ref="BP108">_xlfn.IFS(BJ108="NA","NA",BJ108&gt;100%,"100%",BJ108&lt;100,BJ108)</f>
        <v>NA</v>
      </c>
      <c r="BQ108" s="45">
        <v>0.22500000000000001</v>
      </c>
      <c r="BR108" s="45">
        <f t="shared" ca="1" si="105"/>
        <v>5.6250000000000001E-2</v>
      </c>
      <c r="BS108" s="45">
        <v>0</v>
      </c>
      <c r="BT108" s="45" t="s">
        <v>115</v>
      </c>
      <c r="BU108" s="45">
        <v>0</v>
      </c>
      <c r="BV108" s="45">
        <f t="shared" si="184"/>
        <v>5.6250000000000001E-2</v>
      </c>
      <c r="BW108" s="45">
        <f t="shared" ca="1" si="113"/>
        <v>5.6250000000000001E-2</v>
      </c>
      <c r="BX108" s="45">
        <f t="shared" ca="1" si="114"/>
        <v>5.6250000000000001E-2</v>
      </c>
      <c r="BY108" s="45">
        <f t="shared" si="185"/>
        <v>5.6250000000000001E-2</v>
      </c>
      <c r="BZ108" s="45">
        <f t="shared" si="186"/>
        <v>0</v>
      </c>
      <c r="CA108" s="45">
        <f t="shared" ca="1" si="106"/>
        <v>0</v>
      </c>
      <c r="CB108" s="45">
        <f t="shared" si="187"/>
        <v>0.1125</v>
      </c>
      <c r="CC108" s="45">
        <f t="shared" si="188"/>
        <v>0</v>
      </c>
      <c r="CD108" s="45">
        <v>0</v>
      </c>
      <c r="CE108" s="45">
        <f t="shared" si="189"/>
        <v>0</v>
      </c>
      <c r="CF108" s="45" t="str">
        <f t="shared" si="190"/>
        <v>NA</v>
      </c>
      <c r="CG108" s="45">
        <v>0</v>
      </c>
      <c r="CH108" s="244"/>
      <c r="CI108" s="244"/>
      <c r="CJ108" s="244"/>
      <c r="CK108" s="244"/>
      <c r="CM108" s="63">
        <v>1</v>
      </c>
    </row>
    <row r="109" spans="1:91" ht="18" hidden="1" customHeight="1">
      <c r="A109" s="260" t="s">
        <v>248</v>
      </c>
      <c r="B109" s="260" t="s">
        <v>249</v>
      </c>
      <c r="C109" s="260" t="s">
        <v>100</v>
      </c>
      <c r="D109" s="260" t="s">
        <v>508</v>
      </c>
      <c r="E109" s="260" t="s">
        <v>769</v>
      </c>
      <c r="F109" s="260" t="s">
        <v>770</v>
      </c>
      <c r="G109" s="260" t="s">
        <v>771</v>
      </c>
      <c r="H109" s="260" t="s">
        <v>772</v>
      </c>
      <c r="I109" s="260"/>
      <c r="J109" s="260"/>
      <c r="K109" s="260" t="s">
        <v>773</v>
      </c>
      <c r="L109" s="260" t="s">
        <v>774</v>
      </c>
      <c r="M109" s="260" t="s">
        <v>775</v>
      </c>
      <c r="N109" s="260" t="s">
        <v>111</v>
      </c>
      <c r="O109" s="260" t="s">
        <v>112</v>
      </c>
      <c r="P109" s="10">
        <v>0</v>
      </c>
      <c r="Q109" s="11">
        <v>4</v>
      </c>
      <c r="R109" s="11">
        <f t="shared" si="177"/>
        <v>1</v>
      </c>
      <c r="S109" s="11">
        <f>VLOOKUP(K109,'1208 Indeportes'!$K$13:$AK$39,9,0)</f>
        <v>0</v>
      </c>
      <c r="T109" s="11">
        <v>1</v>
      </c>
      <c r="U109" s="11">
        <v>0</v>
      </c>
      <c r="V109" s="11">
        <v>1</v>
      </c>
      <c r="W109" s="11">
        <v>0</v>
      </c>
      <c r="X109" s="11">
        <v>1</v>
      </c>
      <c r="Y109" s="11">
        <v>0</v>
      </c>
      <c r="Z109" s="11">
        <v>1</v>
      </c>
      <c r="AA109" s="11">
        <v>0</v>
      </c>
      <c r="AB109" s="11" t="s">
        <v>776</v>
      </c>
      <c r="AC109" s="11">
        <v>0</v>
      </c>
      <c r="AD109" s="11">
        <v>1</v>
      </c>
      <c r="AE109" s="11">
        <v>0</v>
      </c>
      <c r="AF109" s="11">
        <f>VLOOKUP(K109,'1208 Indeportes'!$K$13:$AH$39,22,0)</f>
        <v>0</v>
      </c>
      <c r="AG109" s="11">
        <f>VLOOKUP(K109,'1208 Indeportes'!$K$13:$AH$39,23,0)</f>
        <v>0</v>
      </c>
      <c r="AH109" s="11">
        <f t="shared" si="178"/>
        <v>0</v>
      </c>
      <c r="AI109" s="11">
        <f>VLOOKUP(K109,'1208 Indeportes'!$K$13:$AK$39,25,0)</f>
        <v>0</v>
      </c>
      <c r="AJ109" s="11" t="str">
        <f>VLOOKUP(K109,'1208 Indeportes'!$K$13:$AK$39,26,0)</f>
        <v>Se adelanto el proceso contractual para el apoyo logístico y suministro de elementos publicitarios, premiación, alimentación, hospedaje y transporte y demás necesarios para la realización de las actividades propias de la meta de producto programada para la presente vigencia</v>
      </c>
      <c r="AK109" s="11">
        <f>VLOOKUP(K109,'1208 Indeportes'!$K$13:$AK$39,27,0)</f>
        <v>0</v>
      </c>
      <c r="AL109" s="11">
        <v>1</v>
      </c>
      <c r="AM109" s="11">
        <v>0</v>
      </c>
      <c r="AN109" s="11">
        <v>1</v>
      </c>
      <c r="AO109" s="11">
        <v>0</v>
      </c>
      <c r="AP109" s="11">
        <v>0</v>
      </c>
      <c r="AQ109" s="11">
        <v>0</v>
      </c>
      <c r="AR109" s="51">
        <v>200000000</v>
      </c>
      <c r="AS109" s="54">
        <v>0</v>
      </c>
      <c r="AT109" s="54">
        <f t="shared" si="103"/>
        <v>200000000</v>
      </c>
      <c r="AU109" s="51">
        <v>0</v>
      </c>
      <c r="AV109" s="243">
        <v>120000000</v>
      </c>
      <c r="AW109" s="244"/>
      <c r="AX109" s="244"/>
      <c r="AY109" s="243">
        <v>70000000</v>
      </c>
      <c r="AZ109" s="44">
        <f t="shared" si="179"/>
        <v>0.25</v>
      </c>
      <c r="BA109" s="44">
        <v>0.25</v>
      </c>
      <c r="BB109" s="44">
        <v>1</v>
      </c>
      <c r="BC109" s="44">
        <f t="shared" si="180"/>
        <v>0.25</v>
      </c>
      <c r="BD109" s="44" cm="1">
        <f t="array" ref="BD109">_xlfn.IFS(AD109=0,"NA",AD109&gt;0,AH109/AD109)</f>
        <v>0</v>
      </c>
      <c r="BE109" s="44">
        <f t="shared" si="181"/>
        <v>0.25</v>
      </c>
      <c r="BF109" s="44">
        <v>0</v>
      </c>
      <c r="BG109" s="44">
        <f t="shared" si="182"/>
        <v>0.25</v>
      </c>
      <c r="BH109" s="44">
        <v>0</v>
      </c>
      <c r="BI109" s="44">
        <f t="shared" si="183"/>
        <v>0</v>
      </c>
      <c r="BJ109" s="44" t="s">
        <v>115</v>
      </c>
      <c r="BK109" s="44">
        <f t="shared" si="104"/>
        <v>0.25</v>
      </c>
      <c r="BL109" s="44">
        <v>1</v>
      </c>
      <c r="BM109" s="44" cm="1">
        <f t="array" ref="BM109">_xlfn.IFS(BD109="NA","NA",BD109&gt;100%,"100%",BD109&lt;100,BD109)</f>
        <v>0</v>
      </c>
      <c r="BN109" s="44" cm="1">
        <f t="array" ref="BN109">_xlfn.IFS(BF109="NA","NA",BF109&gt;100%,"100%",BF109&lt;100,BF109)</f>
        <v>0</v>
      </c>
      <c r="BO109" s="44" cm="1">
        <f t="array" ref="BO109">_xlfn.IFS(BH109="NA","NA",BH109&gt;100%,"100%",BH109&lt;100,BH109)</f>
        <v>0</v>
      </c>
      <c r="BP109" s="44" t="str" cm="1">
        <f t="array" ref="BP109">_xlfn.IFS(BJ109="NA","NA",BJ109&gt;100%,"100%",BJ109&lt;100,BJ109)</f>
        <v>NA</v>
      </c>
      <c r="BQ109" s="45">
        <v>0.22500000000000001</v>
      </c>
      <c r="BR109" s="405">
        <f t="shared" si="105"/>
        <v>5.6250000000000001E-2</v>
      </c>
      <c r="BS109" s="45">
        <v>5.6300000000000003E-2</v>
      </c>
      <c r="BT109" s="45">
        <v>5.6250000000000001E-2</v>
      </c>
      <c r="BU109" s="45">
        <v>5.6250000000000001E-2</v>
      </c>
      <c r="BV109" s="45">
        <f t="shared" si="184"/>
        <v>5.6250000000000001E-2</v>
      </c>
      <c r="BW109" s="45">
        <f t="shared" si="113"/>
        <v>0</v>
      </c>
      <c r="BX109" s="45">
        <f>BR109-BU109</f>
        <v>0</v>
      </c>
      <c r="BY109" s="45">
        <f t="shared" si="185"/>
        <v>5.6250000000000001E-2</v>
      </c>
      <c r="BZ109" s="45">
        <f t="shared" si="186"/>
        <v>0</v>
      </c>
      <c r="CA109" s="45">
        <f t="shared" si="106"/>
        <v>0</v>
      </c>
      <c r="CB109" s="45">
        <f t="shared" si="187"/>
        <v>5.6250000000000001E-2</v>
      </c>
      <c r="CC109" s="45">
        <f t="shared" si="188"/>
        <v>0</v>
      </c>
      <c r="CD109" s="45">
        <v>0</v>
      </c>
      <c r="CE109" s="45">
        <f t="shared" si="189"/>
        <v>0</v>
      </c>
      <c r="CF109" s="45" t="str">
        <f t="shared" si="190"/>
        <v>NA</v>
      </c>
      <c r="CG109" s="45">
        <v>0</v>
      </c>
      <c r="CH109" s="244"/>
      <c r="CI109" s="244"/>
      <c r="CJ109" s="244"/>
      <c r="CK109" s="244"/>
      <c r="CM109" s="63">
        <v>1</v>
      </c>
    </row>
    <row r="110" spans="1:91" ht="18" hidden="1" customHeight="1">
      <c r="A110" s="260" t="s">
        <v>248</v>
      </c>
      <c r="B110" s="260" t="s">
        <v>249</v>
      </c>
      <c r="C110" s="260" t="s">
        <v>100</v>
      </c>
      <c r="D110" s="260" t="s">
        <v>508</v>
      </c>
      <c r="E110" s="260" t="s">
        <v>769</v>
      </c>
      <c r="F110" s="260" t="s">
        <v>770</v>
      </c>
      <c r="G110" s="260" t="s">
        <v>771</v>
      </c>
      <c r="H110" s="260" t="s">
        <v>777</v>
      </c>
      <c r="I110" s="260"/>
      <c r="J110" s="260"/>
      <c r="K110" s="260" t="s">
        <v>778</v>
      </c>
      <c r="L110" s="260" t="s">
        <v>779</v>
      </c>
      <c r="M110" s="260" t="s">
        <v>780</v>
      </c>
      <c r="N110" s="260" t="s">
        <v>111</v>
      </c>
      <c r="O110" s="260" t="s">
        <v>112</v>
      </c>
      <c r="P110" s="10">
        <v>104</v>
      </c>
      <c r="Q110" s="11">
        <v>105</v>
      </c>
      <c r="R110" s="11">
        <f t="shared" si="177"/>
        <v>45</v>
      </c>
      <c r="S110" s="11" t="str">
        <f>VLOOKUP(K110,'1208 Indeportes'!$K$13:$AK$39,9,0)</f>
        <v>Se apoyó a un deportista de la Liga de Squash de Cundinamarca para participar en Barcelona, para ello se realizó un apoyo económico: COOPERAR CON LA LIGA DE SQUASH DE CUNDINAMARCA PARA LA PARTICIPACION DEL ATLETA EDGAR ALEXANDER RAMIREZ BAUTISTA, EN EL ENTRENAMIENTO CONVOCADO POR LA ACADEMIA GLOBAL SQUASH DE BARCELONA.En el marco del convenio No. 257 celebrado con FONDECUN se realizó la contratación de indumentaria deportiva para las ligas existentes en el departamento. Se incluye camisetas de presentación, sudaderas, tanto para deportistas como entrenadores y metodólogos.</v>
      </c>
      <c r="T110" s="11">
        <v>15</v>
      </c>
      <c r="U110" s="11">
        <v>0</v>
      </c>
      <c r="V110" s="11">
        <v>15</v>
      </c>
      <c r="W110" s="11">
        <v>0</v>
      </c>
      <c r="X110" s="11">
        <v>15</v>
      </c>
      <c r="Y110" s="11">
        <v>0</v>
      </c>
      <c r="Z110" s="11">
        <v>15</v>
      </c>
      <c r="AA110" s="11">
        <v>0</v>
      </c>
      <c r="AB110" s="11" t="s">
        <v>781</v>
      </c>
      <c r="AC110" s="11">
        <v>0</v>
      </c>
      <c r="AD110" s="11">
        <v>30</v>
      </c>
      <c r="AE110" s="11">
        <v>0</v>
      </c>
      <c r="AF110" s="11">
        <f>VLOOKUP(K110,'1208 Indeportes'!$K$13:$AH$39,22,0)</f>
        <v>30</v>
      </c>
      <c r="AG110" s="11">
        <f>VLOOKUP(K110,'1208 Indeportes'!$K$13:$AH$39,23,0)</f>
        <v>0</v>
      </c>
      <c r="AH110" s="11">
        <f t="shared" si="178"/>
        <v>30</v>
      </c>
      <c r="AI110" s="11">
        <f>VLOOKUP(K110,'1208 Indeportes'!$K$13:$AK$39,25,0)</f>
        <v>0</v>
      </c>
      <c r="AJ110" s="11" t="str">
        <f>VLOOKUP(K110,'1208 Indeportes'!$K$13:$AK$39,26,0)</f>
        <v>Durante el año 2021, hemos invertido cerca de mil ciento sesenta millones de pesos ($1.160.000.000) para brindar apoyo a nuestros deportistas de alto rendimiento, quienes nos representan a través de las diferentes ligas y federaciones con presencia en el departamento, para garantizar su participación en eventos nacionales e internacionales. En total hemos realizado 34 apoyos distribuidos en 25 disciplinas deportivas.</v>
      </c>
      <c r="AK110" s="11">
        <f>VLOOKUP(K110,'1208 Indeportes'!$K$13:$AK$39,27,0)</f>
        <v>0</v>
      </c>
      <c r="AL110" s="11">
        <v>30</v>
      </c>
      <c r="AM110" s="11">
        <v>0</v>
      </c>
      <c r="AN110" s="11">
        <v>30</v>
      </c>
      <c r="AO110" s="11">
        <v>0</v>
      </c>
      <c r="AP110" s="11">
        <v>0</v>
      </c>
      <c r="AQ110" s="11">
        <v>0</v>
      </c>
      <c r="AR110" s="51">
        <v>1388815643</v>
      </c>
      <c r="AS110" s="54">
        <v>0</v>
      </c>
      <c r="AT110" s="54">
        <f t="shared" si="103"/>
        <v>1388815643</v>
      </c>
      <c r="AU110" s="51">
        <v>795748054</v>
      </c>
      <c r="AV110" s="243">
        <v>2852997315</v>
      </c>
      <c r="AW110" s="244"/>
      <c r="AX110" s="244"/>
      <c r="AY110" s="243">
        <v>2095807675</v>
      </c>
      <c r="AZ110" s="44">
        <f t="shared" si="179"/>
        <v>0.42857142857142855</v>
      </c>
      <c r="BA110" s="44">
        <v>0.1429</v>
      </c>
      <c r="BB110" s="44">
        <v>1</v>
      </c>
      <c r="BC110" s="44">
        <f t="shared" si="180"/>
        <v>0.2857142857142857</v>
      </c>
      <c r="BD110" s="44" cm="1">
        <f t="array" ref="BD110">_xlfn.IFS(AD110=0,"NA",AD110&gt;0,AH110/AD110)</f>
        <v>1</v>
      </c>
      <c r="BE110" s="44">
        <f t="shared" si="181"/>
        <v>0.2857142857142857</v>
      </c>
      <c r="BF110" s="44">
        <v>0</v>
      </c>
      <c r="BG110" s="44">
        <f t="shared" si="182"/>
        <v>0.2857142857142857</v>
      </c>
      <c r="BH110" s="44">
        <v>0</v>
      </c>
      <c r="BI110" s="44">
        <f t="shared" si="183"/>
        <v>0</v>
      </c>
      <c r="BJ110" s="44" t="s">
        <v>115</v>
      </c>
      <c r="BK110" s="44">
        <f t="shared" si="104"/>
        <v>0.42857142857142855</v>
      </c>
      <c r="BL110" s="44">
        <v>1</v>
      </c>
      <c r="BM110" s="44" cm="1">
        <f t="array" ref="BM110">_xlfn.IFS(BD110="NA","NA",BD110&gt;100%,"100%",BD110&lt;100,BD110)</f>
        <v>1</v>
      </c>
      <c r="BN110" s="44" cm="1">
        <f t="array" ref="BN110">_xlfn.IFS(BF110="NA","NA",BF110&gt;100%,"100%",BF110&lt;100,BF110)</f>
        <v>0</v>
      </c>
      <c r="BO110" s="44" cm="1">
        <f t="array" ref="BO110">_xlfn.IFS(BH110="NA","NA",BH110&gt;100%,"100%",BH110&lt;100,BH110)</f>
        <v>0</v>
      </c>
      <c r="BP110" s="44" t="str" cm="1">
        <f t="array" ref="BP110">_xlfn.IFS(BJ110="NA","NA",BJ110&gt;100%,"100%",BJ110&lt;100,BJ110)</f>
        <v>NA</v>
      </c>
      <c r="BQ110" s="45">
        <v>0.22500000000000001</v>
      </c>
      <c r="BR110" s="45">
        <f t="shared" si="105"/>
        <v>9.6428571428571419E-2</v>
      </c>
      <c r="BS110" s="45">
        <v>3.2199999999999999E-2</v>
      </c>
      <c r="BT110" s="45">
        <v>3.2199999999999999E-2</v>
      </c>
      <c r="BU110" s="45">
        <v>3.2199999999999999E-2</v>
      </c>
      <c r="BV110" s="45">
        <f t="shared" si="184"/>
        <v>6.4285714285714279E-2</v>
      </c>
      <c r="BW110" s="45">
        <f t="shared" si="113"/>
        <v>6.4285714285714279E-2</v>
      </c>
      <c r="BX110" s="45">
        <f t="shared" si="114"/>
        <v>6.4228571428571413E-2</v>
      </c>
      <c r="BY110" s="45">
        <f t="shared" si="185"/>
        <v>6.4285714285714279E-2</v>
      </c>
      <c r="BZ110" s="45">
        <f t="shared" si="186"/>
        <v>0</v>
      </c>
      <c r="CA110" s="45">
        <f t="shared" si="106"/>
        <v>0</v>
      </c>
      <c r="CB110" s="45">
        <f t="shared" si="187"/>
        <v>6.4285714285714279E-2</v>
      </c>
      <c r="CC110" s="45">
        <f t="shared" si="188"/>
        <v>0</v>
      </c>
      <c r="CD110" s="45">
        <v>0</v>
      </c>
      <c r="CE110" s="45">
        <f t="shared" si="189"/>
        <v>0</v>
      </c>
      <c r="CF110" s="45" t="str">
        <f t="shared" si="190"/>
        <v>NA</v>
      </c>
      <c r="CG110" s="45">
        <v>0</v>
      </c>
      <c r="CH110" s="244"/>
      <c r="CI110" s="244"/>
      <c r="CJ110" s="244"/>
      <c r="CK110" s="244"/>
      <c r="CM110" s="63">
        <v>44</v>
      </c>
    </row>
    <row r="111" spans="1:91" ht="18" hidden="1" customHeight="1">
      <c r="A111" s="260" t="s">
        <v>248</v>
      </c>
      <c r="B111" s="260" t="s">
        <v>249</v>
      </c>
      <c r="C111" s="260" t="s">
        <v>100</v>
      </c>
      <c r="D111" s="260" t="s">
        <v>508</v>
      </c>
      <c r="E111" s="260" t="s">
        <v>769</v>
      </c>
      <c r="F111" s="260" t="s">
        <v>770</v>
      </c>
      <c r="G111" s="260" t="s">
        <v>771</v>
      </c>
      <c r="H111" s="260" t="s">
        <v>782</v>
      </c>
      <c r="I111" s="260"/>
      <c r="J111" s="260"/>
      <c r="K111" s="260" t="s">
        <v>783</v>
      </c>
      <c r="L111" s="260" t="s">
        <v>784</v>
      </c>
      <c r="M111" s="260" t="s">
        <v>785</v>
      </c>
      <c r="N111" s="260" t="s">
        <v>111</v>
      </c>
      <c r="O111" s="260" t="s">
        <v>112</v>
      </c>
      <c r="P111" s="10">
        <v>600</v>
      </c>
      <c r="Q111" s="11">
        <v>1200</v>
      </c>
      <c r="R111" s="11">
        <f t="shared" si="177"/>
        <v>531</v>
      </c>
      <c r="S111" s="11" t="str">
        <f>VLOOKUP(K111,'1208 Indeportes'!$K$13:$AK$39,9,0)</f>
        <v>Pago  del estímulo o beneficio económico para los atletas, entrenadores, atletas guía y asistentes incluidos en el plan estrellas de Cundinamarca 2020, durante los meses de agosto y septiembre. Se han beneficiado 242 deportistas del alto rendimiento del departamento.</v>
      </c>
      <c r="T111" s="11">
        <v>150</v>
      </c>
      <c r="U111" s="11">
        <v>0</v>
      </c>
      <c r="V111" s="11">
        <v>242</v>
      </c>
      <c r="W111" s="11">
        <v>0</v>
      </c>
      <c r="X111" s="11">
        <v>250</v>
      </c>
      <c r="Y111" s="11">
        <v>0</v>
      </c>
      <c r="Z111" s="11">
        <v>250</v>
      </c>
      <c r="AA111" s="11">
        <v>0</v>
      </c>
      <c r="AB111" s="11" t="s">
        <v>786</v>
      </c>
      <c r="AC111" s="11">
        <v>0</v>
      </c>
      <c r="AD111" s="11">
        <v>136</v>
      </c>
      <c r="AE111" s="11">
        <v>0</v>
      </c>
      <c r="AF111" s="11">
        <f>VLOOKUP(K111,'1208 Indeportes'!$K$13:$AH$39,22,0)</f>
        <v>281</v>
      </c>
      <c r="AG111" s="11">
        <f>VLOOKUP(K111,'1208 Indeportes'!$K$13:$AH$39,23,0)</f>
        <v>0</v>
      </c>
      <c r="AH111" s="11">
        <f t="shared" si="178"/>
        <v>281</v>
      </c>
      <c r="AI111" s="11">
        <f>VLOOKUP(K111,'1208 Indeportes'!$K$13:$AK$39,25,0)</f>
        <v>0</v>
      </c>
      <c r="AJ111" s="11" t="str">
        <f>VLOOKUP(K111,'1208 Indeportes'!$K$13:$AK$39,26,0)</f>
        <v>Se tramitó el pago del estimulo o beneficio económico para los atletas, entrenadores, atletas guía y asistentes incluidos en el Plan Estrellas de Cundinamarca 2021 hasta el mes de julio de 2021</v>
      </c>
      <c r="AK111" s="11">
        <f>VLOOKUP(K111,'1208 Indeportes'!$K$13:$AK$39,27,0)</f>
        <v>0</v>
      </c>
      <c r="AL111" s="11">
        <v>128</v>
      </c>
      <c r="AM111" s="11">
        <v>0</v>
      </c>
      <c r="AN111" s="11">
        <v>136</v>
      </c>
      <c r="AO111" s="11">
        <v>0</v>
      </c>
      <c r="AP111" s="11">
        <v>0</v>
      </c>
      <c r="AQ111" s="11">
        <v>0</v>
      </c>
      <c r="AR111" s="51">
        <v>1300000000</v>
      </c>
      <c r="AS111" s="54">
        <v>0</v>
      </c>
      <c r="AT111" s="54">
        <f t="shared" si="103"/>
        <v>1300000000</v>
      </c>
      <c r="AU111" s="51">
        <v>1147664595</v>
      </c>
      <c r="AV111" s="243">
        <v>3070000000</v>
      </c>
      <c r="AW111" s="244"/>
      <c r="AX111" s="244"/>
      <c r="AY111" s="243">
        <v>2188838597</v>
      </c>
      <c r="AZ111" s="44">
        <f t="shared" si="179"/>
        <v>0.4425</v>
      </c>
      <c r="BA111" s="44">
        <v>0.37230000000000002</v>
      </c>
      <c r="BB111" s="44">
        <v>1.0330999999999999</v>
      </c>
      <c r="BC111" s="44">
        <f t="shared" si="180"/>
        <v>0.11333333333333333</v>
      </c>
      <c r="BD111" s="44" cm="1">
        <f t="array" ref="BD111">_xlfn.IFS(AD111=0,"NA",AD111&gt;0,AH111/AD111)</f>
        <v>2.0661764705882355</v>
      </c>
      <c r="BE111" s="44">
        <f t="shared" si="181"/>
        <v>0.10666666666666667</v>
      </c>
      <c r="BF111" s="44">
        <v>0</v>
      </c>
      <c r="BG111" s="44">
        <f t="shared" si="182"/>
        <v>0.11333333333333333</v>
      </c>
      <c r="BH111" s="44">
        <v>0</v>
      </c>
      <c r="BI111" s="44">
        <f t="shared" si="183"/>
        <v>0</v>
      </c>
      <c r="BJ111" s="44" t="s">
        <v>115</v>
      </c>
      <c r="BK111" s="44">
        <f t="shared" si="104"/>
        <v>0.4425</v>
      </c>
      <c r="BL111" s="44">
        <v>1</v>
      </c>
      <c r="BM111" s="44" t="str" cm="1">
        <f t="array" ref="BM111">_xlfn.IFS(BD111="NA","NA",BD111&gt;100%,"100%",BD111&lt;100,BD111)</f>
        <v>100%</v>
      </c>
      <c r="BN111" s="44" cm="1">
        <f t="array" ref="BN111">_xlfn.IFS(BF111="NA","NA",BF111&gt;100%,"100%",BF111&lt;100,BF111)</f>
        <v>0</v>
      </c>
      <c r="BO111" s="44" cm="1">
        <f t="array" ref="BO111">_xlfn.IFS(BH111="NA","NA",BH111&gt;100%,"100%",BH111&lt;100,BH111)</f>
        <v>0</v>
      </c>
      <c r="BP111" s="44" t="str" cm="1">
        <f t="array" ref="BP111">_xlfn.IFS(BJ111="NA","NA",BJ111&gt;100%,"100%",BJ111&lt;100,BJ111)</f>
        <v>NA</v>
      </c>
      <c r="BQ111" s="45">
        <v>0.22500000000000001</v>
      </c>
      <c r="BR111" s="45">
        <f t="shared" si="105"/>
        <v>9.9562499999999998E-2</v>
      </c>
      <c r="BS111" s="45">
        <v>8.3799999999999999E-2</v>
      </c>
      <c r="BT111" s="45">
        <v>8.3799999999999999E-2</v>
      </c>
      <c r="BU111" s="45">
        <v>8.6499999999999994E-2</v>
      </c>
      <c r="BV111" s="45">
        <f t="shared" si="184"/>
        <v>2.5500000000000002E-2</v>
      </c>
      <c r="BW111" s="45">
        <f t="shared" si="113"/>
        <v>2.5500000000000002E-2</v>
      </c>
      <c r="BX111" s="45">
        <f t="shared" si="114"/>
        <v>1.3062500000000005E-2</v>
      </c>
      <c r="BY111" s="45">
        <f t="shared" si="185"/>
        <v>2.4E-2</v>
      </c>
      <c r="BZ111" s="45">
        <f t="shared" si="186"/>
        <v>0</v>
      </c>
      <c r="CA111" s="45">
        <f t="shared" si="106"/>
        <v>0</v>
      </c>
      <c r="CB111" s="45">
        <f t="shared" si="187"/>
        <v>2.5500000000000002E-2</v>
      </c>
      <c r="CC111" s="45">
        <f t="shared" si="188"/>
        <v>0</v>
      </c>
      <c r="CD111" s="45">
        <v>0</v>
      </c>
      <c r="CE111" s="45">
        <f t="shared" si="189"/>
        <v>0</v>
      </c>
      <c r="CF111" s="45" t="str">
        <f t="shared" si="190"/>
        <v>NA</v>
      </c>
      <c r="CG111" s="45">
        <v>0</v>
      </c>
      <c r="CH111" s="244"/>
      <c r="CI111" s="244"/>
      <c r="CJ111" s="244"/>
      <c r="CK111" s="244"/>
      <c r="CM111" s="63">
        <v>531</v>
      </c>
    </row>
    <row r="112" spans="1:91" ht="18" hidden="1" customHeight="1">
      <c r="A112" s="260" t="s">
        <v>248</v>
      </c>
      <c r="B112" s="260" t="s">
        <v>249</v>
      </c>
      <c r="C112" s="260" t="s">
        <v>100</v>
      </c>
      <c r="D112" s="260" t="s">
        <v>508</v>
      </c>
      <c r="E112" s="260" t="s">
        <v>769</v>
      </c>
      <c r="F112" s="260" t="s">
        <v>770</v>
      </c>
      <c r="G112" s="260" t="s">
        <v>771</v>
      </c>
      <c r="H112" s="260" t="s">
        <v>787</v>
      </c>
      <c r="I112" s="260"/>
      <c r="J112" s="260"/>
      <c r="K112" s="260" t="s">
        <v>788</v>
      </c>
      <c r="L112" s="260" t="s">
        <v>789</v>
      </c>
      <c r="M112" s="260" t="s">
        <v>790</v>
      </c>
      <c r="N112" s="260" t="s">
        <v>111</v>
      </c>
      <c r="O112" s="260" t="s">
        <v>112</v>
      </c>
      <c r="P112" s="10">
        <v>4</v>
      </c>
      <c r="Q112" s="11">
        <v>3</v>
      </c>
      <c r="R112" s="11">
        <f t="shared" si="177"/>
        <v>1</v>
      </c>
      <c r="S112" s="11" t="str">
        <f>VLOOKUP(K112,'1208 Indeportes'!$K$13:$AK$39,9,0)</f>
        <v>La meta está en ejecución y se ha realizado la COFINANCIACIÓN CONVENIO PARA EL DESARROLLO DEL PROYECTO DE JUEGOS INTERCOLEGIADOS CON EL MINISTERIO DEL DEPORTE.</v>
      </c>
      <c r="T112" s="11">
        <v>1</v>
      </c>
      <c r="U112" s="11">
        <v>0</v>
      </c>
      <c r="V112" s="11">
        <v>1</v>
      </c>
      <c r="W112" s="11">
        <v>0</v>
      </c>
      <c r="X112" s="11">
        <v>0</v>
      </c>
      <c r="Y112" s="11">
        <v>0</v>
      </c>
      <c r="Z112" s="11">
        <v>0</v>
      </c>
      <c r="AA112" s="11">
        <v>0</v>
      </c>
      <c r="AB112" s="11" t="s">
        <v>791</v>
      </c>
      <c r="AC112" s="11">
        <v>0</v>
      </c>
      <c r="AD112" s="11">
        <v>1</v>
      </c>
      <c r="AE112" s="11">
        <v>0</v>
      </c>
      <c r="AF112" s="11">
        <f>VLOOKUP(K112,'1208 Indeportes'!$K$13:$AH$39,22,0)</f>
        <v>1</v>
      </c>
      <c r="AG112" s="11">
        <f>VLOOKUP(K112,'1208 Indeportes'!$K$13:$AH$39,23,0)</f>
        <v>0</v>
      </c>
      <c r="AH112" s="11">
        <f t="shared" si="178"/>
        <v>1</v>
      </c>
      <c r="AI112" s="11">
        <f>VLOOKUP(K112,'1208 Indeportes'!$K$13:$AK$39,25,0)</f>
        <v>0</v>
      </c>
      <c r="AJ112" s="11" t="str">
        <f>VLOOKUP(K112,'1208 Indeportes'!$K$13:$AK$39,26,0)</f>
        <v>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 Se adelanto el proceso contractual para realizar las actividades de juzgamiento de las actividades del programa Juegos Intercolegiados Virtuales. De igual manera se destinaron los recursos económicos para suscribir el convenio interadministrativo con el Ministerio del Deporte para realizar el programa de juegos intercolegiados para la presente vigencia.</v>
      </c>
      <c r="AK112" s="11">
        <f>VLOOKUP(K112,'1208 Indeportes'!$K$13:$AK$39,27,0)</f>
        <v>0</v>
      </c>
      <c r="AL112" s="11">
        <v>1</v>
      </c>
      <c r="AM112" s="11">
        <v>0</v>
      </c>
      <c r="AN112" s="11">
        <v>0</v>
      </c>
      <c r="AO112" s="11">
        <v>0</v>
      </c>
      <c r="AP112" s="11">
        <v>0</v>
      </c>
      <c r="AQ112" s="11">
        <v>0</v>
      </c>
      <c r="AR112" s="51">
        <v>151549720</v>
      </c>
      <c r="AS112" s="54">
        <v>0</v>
      </c>
      <c r="AT112" s="54">
        <f t="shared" si="103"/>
        <v>151549720</v>
      </c>
      <c r="AU112" s="51">
        <v>13200000</v>
      </c>
      <c r="AV112" s="243">
        <v>3134190632</v>
      </c>
      <c r="AW112" s="244"/>
      <c r="AX112" s="244"/>
      <c r="AY112" s="243">
        <v>1236623093</v>
      </c>
      <c r="AZ112" s="44">
        <f t="shared" si="179"/>
        <v>0.33333333333333331</v>
      </c>
      <c r="BA112" s="44">
        <v>0.33329999999999999</v>
      </c>
      <c r="BB112" s="44">
        <v>0</v>
      </c>
      <c r="BC112" s="44">
        <f t="shared" si="180"/>
        <v>0.33333333333333331</v>
      </c>
      <c r="BD112" s="44" cm="1">
        <f t="array" ref="BD112">_xlfn.IFS(AD112=0,"NA",AD112&gt;0,AH112/AD112)</f>
        <v>1</v>
      </c>
      <c r="BE112" s="44">
        <f t="shared" si="181"/>
        <v>0.33333333333333331</v>
      </c>
      <c r="BF112" s="44">
        <v>0</v>
      </c>
      <c r="BG112" s="44">
        <f t="shared" si="182"/>
        <v>0</v>
      </c>
      <c r="BH112" s="44">
        <v>0</v>
      </c>
      <c r="BI112" s="44">
        <f t="shared" si="183"/>
        <v>0</v>
      </c>
      <c r="BJ112" s="44" t="s">
        <v>115</v>
      </c>
      <c r="BK112" s="44">
        <f t="shared" si="104"/>
        <v>0.33333333333333331</v>
      </c>
      <c r="BL112" s="44">
        <v>0</v>
      </c>
      <c r="BM112" s="44" cm="1">
        <f t="array" ref="BM112">_xlfn.IFS(BD112="NA","NA",BD112&gt;100%,"100%",BD112&lt;100,BD112)</f>
        <v>1</v>
      </c>
      <c r="BN112" s="44" cm="1">
        <f t="array" ref="BN112">_xlfn.IFS(BF112="NA","NA",BF112&gt;100%,"100%",BF112&lt;100,BF112)</f>
        <v>0</v>
      </c>
      <c r="BO112" s="44" cm="1">
        <f t="array" ref="BO112">_xlfn.IFS(BH112="NA","NA",BH112&gt;100%,"100%",BH112&lt;100,BH112)</f>
        <v>0</v>
      </c>
      <c r="BP112" s="44" t="str" cm="1">
        <f t="array" ref="BP112">_xlfn.IFS(BJ112="NA","NA",BJ112&gt;100%,"100%",BJ112&lt;100,BJ112)</f>
        <v>NA</v>
      </c>
      <c r="BQ112" s="45">
        <v>0.22500000000000001</v>
      </c>
      <c r="BR112" s="45">
        <f t="shared" si="105"/>
        <v>7.4999999999999997E-2</v>
      </c>
      <c r="BS112" s="45">
        <v>7.4999999999999997E-2</v>
      </c>
      <c r="BT112" s="45">
        <v>0</v>
      </c>
      <c r="BU112" s="45">
        <v>0</v>
      </c>
      <c r="BV112" s="45">
        <f t="shared" si="184"/>
        <v>7.4999999999999997E-2</v>
      </c>
      <c r="BW112" s="45">
        <f t="shared" si="113"/>
        <v>7.4999999999999997E-2</v>
      </c>
      <c r="BX112" s="45">
        <f t="shared" si="114"/>
        <v>7.4999999999999997E-2</v>
      </c>
      <c r="BY112" s="45">
        <f t="shared" si="185"/>
        <v>7.4999999999999997E-2</v>
      </c>
      <c r="BZ112" s="45">
        <f t="shared" si="186"/>
        <v>0</v>
      </c>
      <c r="CA112" s="45">
        <f t="shared" si="106"/>
        <v>0</v>
      </c>
      <c r="CB112" s="45">
        <f t="shared" si="187"/>
        <v>0</v>
      </c>
      <c r="CC112" s="45">
        <f t="shared" si="188"/>
        <v>0</v>
      </c>
      <c r="CD112" s="45">
        <v>0</v>
      </c>
      <c r="CE112" s="45">
        <f t="shared" si="189"/>
        <v>0</v>
      </c>
      <c r="CF112" s="45" t="str">
        <f t="shared" si="190"/>
        <v>NA</v>
      </c>
      <c r="CG112" s="45">
        <v>0</v>
      </c>
      <c r="CH112" s="244"/>
      <c r="CI112" s="244"/>
      <c r="CJ112" s="244"/>
      <c r="CK112" s="244"/>
      <c r="CM112" s="63">
        <v>0</v>
      </c>
    </row>
    <row r="113" spans="1:261" ht="18" hidden="1" customHeight="1">
      <c r="A113" s="260" t="s">
        <v>248</v>
      </c>
      <c r="B113" s="260" t="s">
        <v>249</v>
      </c>
      <c r="C113" s="260" t="s">
        <v>100</v>
      </c>
      <c r="D113" s="260" t="s">
        <v>508</v>
      </c>
      <c r="E113" s="260" t="s">
        <v>769</v>
      </c>
      <c r="F113" s="260" t="s">
        <v>770</v>
      </c>
      <c r="G113" s="260" t="s">
        <v>771</v>
      </c>
      <c r="H113" s="260" t="s">
        <v>792</v>
      </c>
      <c r="I113" s="260"/>
      <c r="J113" s="260"/>
      <c r="K113" s="260" t="s">
        <v>793</v>
      </c>
      <c r="L113" s="260" t="s">
        <v>794</v>
      </c>
      <c r="M113" s="260" t="s">
        <v>795</v>
      </c>
      <c r="N113" s="260" t="s">
        <v>111</v>
      </c>
      <c r="O113" s="260" t="s">
        <v>112</v>
      </c>
      <c r="P113" s="10">
        <v>580</v>
      </c>
      <c r="Q113" s="11">
        <v>600</v>
      </c>
      <c r="R113" s="11">
        <f t="shared" si="177"/>
        <v>316</v>
      </c>
      <c r="S113" s="11" t="str">
        <f>VLOOKUP(K113,'1208 Indeportes'!$K$13:$AK$39,9,0)</f>
        <v>Se han contratado 93 personas para el apoyo técnico, administrativo y deportivo del Instituto, que permitan fortalecer el desarrollo de todas las actividades contempladas en el plan de desarrollo. Estas personas apoyan las áreas administrativa y financiera y área técnica.</v>
      </c>
      <c r="T113" s="11">
        <v>100</v>
      </c>
      <c r="U113" s="11">
        <v>0</v>
      </c>
      <c r="V113" s="11">
        <v>100</v>
      </c>
      <c r="W113" s="11">
        <v>0</v>
      </c>
      <c r="X113" s="11">
        <v>151</v>
      </c>
      <c r="Y113" s="11">
        <v>0</v>
      </c>
      <c r="Z113" s="11">
        <v>151</v>
      </c>
      <c r="AA113" s="11">
        <v>0</v>
      </c>
      <c r="AB113" s="11" t="s">
        <v>796</v>
      </c>
      <c r="AC113" s="11">
        <v>0</v>
      </c>
      <c r="AD113" s="11">
        <v>150</v>
      </c>
      <c r="AE113" s="11">
        <v>0</v>
      </c>
      <c r="AF113" s="11">
        <f>VLOOKUP(K113,'1208 Indeportes'!$K$13:$AH$39,22,0)</f>
        <v>165</v>
      </c>
      <c r="AG113" s="11">
        <f>VLOOKUP(K113,'1208 Indeportes'!$K$13:$AH$39,23,0)</f>
        <v>0</v>
      </c>
      <c r="AH113" s="11">
        <f t="shared" si="178"/>
        <v>165</v>
      </c>
      <c r="AI113" s="11">
        <f>VLOOKUP(K113,'1208 Indeportes'!$K$13:$AK$39,25,0)</f>
        <v>0</v>
      </c>
      <c r="AJ113" s="11" t="str">
        <f>VLOOKUP(K113,'1208 Indeportes'!$K$13:$AK$39,26,0)</f>
        <v xml:space="preserve">En el componente de alto rendimiento se ha realizado la contratación de 114 personas, con una inversión de $2.753.000.000 distribuido de la siguiente manera: 
94 entrenadores para el deporte de alto rendimiento del departamento, 18 en el sistema paralímpico y 76 en el deporte convencional.
10 profesionales del área metodológica
8 profesionales del área biomédica.
6 profesionales de apoyo administrativo y técnico.
En el componente administrativo y técnico para el desarrollo de los diferentes programas a cargo del instituto se realizó la contratación de 51 personas.
</v>
      </c>
      <c r="AK113" s="11">
        <f>VLOOKUP(K113,'1208 Indeportes'!$K$13:$AK$39,27,0)</f>
        <v>0</v>
      </c>
      <c r="AL113" s="11">
        <v>150</v>
      </c>
      <c r="AM113" s="11">
        <v>0</v>
      </c>
      <c r="AN113" s="11">
        <v>149</v>
      </c>
      <c r="AO113" s="11">
        <v>0</v>
      </c>
      <c r="AP113" s="11">
        <v>0</v>
      </c>
      <c r="AQ113" s="11">
        <v>0</v>
      </c>
      <c r="AR113" s="51">
        <v>1800000000</v>
      </c>
      <c r="AS113" s="54">
        <v>0</v>
      </c>
      <c r="AT113" s="54">
        <f t="shared" si="103"/>
        <v>1800000000</v>
      </c>
      <c r="AU113" s="51">
        <v>1225444539</v>
      </c>
      <c r="AV113" s="243">
        <v>5800000000</v>
      </c>
      <c r="AW113" s="244"/>
      <c r="AX113" s="244"/>
      <c r="AY113" s="243">
        <v>4683740133</v>
      </c>
      <c r="AZ113" s="44">
        <f t="shared" si="179"/>
        <v>0.52666666666666662</v>
      </c>
      <c r="BA113" s="44">
        <v>0.16669999999999999</v>
      </c>
      <c r="BB113" s="44">
        <v>1.51</v>
      </c>
      <c r="BC113" s="44">
        <f t="shared" si="180"/>
        <v>0.25</v>
      </c>
      <c r="BD113" s="44" cm="1">
        <f t="array" ref="BD113">_xlfn.IFS(AD113=0,"NA",AD113&gt;0,AH113/AD113)</f>
        <v>1.1000000000000001</v>
      </c>
      <c r="BE113" s="44">
        <f t="shared" si="181"/>
        <v>0.25</v>
      </c>
      <c r="BF113" s="44">
        <v>0</v>
      </c>
      <c r="BG113" s="44">
        <f t="shared" si="182"/>
        <v>0.24833333333333332</v>
      </c>
      <c r="BH113" s="44">
        <v>0</v>
      </c>
      <c r="BI113" s="44">
        <f t="shared" si="183"/>
        <v>0</v>
      </c>
      <c r="BJ113" s="44" t="s">
        <v>115</v>
      </c>
      <c r="BK113" s="44">
        <f t="shared" si="104"/>
        <v>0.52666666666666662</v>
      </c>
      <c r="BL113" s="44">
        <v>1</v>
      </c>
      <c r="BM113" s="44" t="str" cm="1">
        <f t="array" ref="BM113">_xlfn.IFS(BD113="NA","NA",BD113&gt;100%,"100%",BD113&lt;100,BD113)</f>
        <v>100%</v>
      </c>
      <c r="BN113" s="44" cm="1">
        <f t="array" ref="BN113">_xlfn.IFS(BF113="NA","NA",BF113&gt;100%,"100%",BF113&lt;100,BF113)</f>
        <v>0</v>
      </c>
      <c r="BO113" s="44" cm="1">
        <f t="array" ref="BO113">_xlfn.IFS(BH113="NA","NA",BH113&gt;100%,"100%",BH113&lt;100,BH113)</f>
        <v>0</v>
      </c>
      <c r="BP113" s="44" t="str" cm="1">
        <f t="array" ref="BP113">_xlfn.IFS(BJ113="NA","NA",BJ113&gt;100%,"100%",BJ113&lt;100,BJ113)</f>
        <v>NA</v>
      </c>
      <c r="BQ113" s="45">
        <v>0.22500000000000001</v>
      </c>
      <c r="BR113" s="45">
        <f t="shared" si="105"/>
        <v>0.11849999999999999</v>
      </c>
      <c r="BS113" s="45">
        <v>3.7499999999999999E-2</v>
      </c>
      <c r="BT113" s="45">
        <v>3.7499999999999999E-2</v>
      </c>
      <c r="BU113" s="45">
        <v>5.6599999999999998E-2</v>
      </c>
      <c r="BV113" s="45">
        <f t="shared" si="184"/>
        <v>5.6250000000000001E-2</v>
      </c>
      <c r="BW113" s="45">
        <f t="shared" si="113"/>
        <v>5.6250000000000001E-2</v>
      </c>
      <c r="BX113" s="45">
        <f t="shared" si="114"/>
        <v>6.1899999999999997E-2</v>
      </c>
      <c r="BY113" s="45">
        <f t="shared" si="185"/>
        <v>5.6250000000000001E-2</v>
      </c>
      <c r="BZ113" s="45">
        <f t="shared" si="186"/>
        <v>0</v>
      </c>
      <c r="CA113" s="45">
        <f t="shared" si="106"/>
        <v>0</v>
      </c>
      <c r="CB113" s="45">
        <f t="shared" si="187"/>
        <v>5.5875000000000001E-2</v>
      </c>
      <c r="CC113" s="45">
        <f t="shared" si="188"/>
        <v>0</v>
      </c>
      <c r="CD113" s="45">
        <v>0</v>
      </c>
      <c r="CE113" s="45">
        <f t="shared" si="189"/>
        <v>0</v>
      </c>
      <c r="CF113" s="45" t="str">
        <f t="shared" si="190"/>
        <v>NA</v>
      </c>
      <c r="CG113" s="45">
        <v>0</v>
      </c>
      <c r="CH113" s="244"/>
      <c r="CI113" s="244"/>
      <c r="CJ113" s="244"/>
      <c r="CK113" s="244"/>
      <c r="CM113" s="63">
        <v>313</v>
      </c>
    </row>
    <row r="114" spans="1:261" ht="18" hidden="1" customHeight="1">
      <c r="A114" s="260" t="s">
        <v>292</v>
      </c>
      <c r="B114" s="260" t="s">
        <v>293</v>
      </c>
      <c r="C114" s="260" t="s">
        <v>100</v>
      </c>
      <c r="D114" s="260" t="s">
        <v>508</v>
      </c>
      <c r="E114" s="260" t="s">
        <v>769</v>
      </c>
      <c r="F114" s="260" t="s">
        <v>797</v>
      </c>
      <c r="G114" s="260" t="s">
        <v>798</v>
      </c>
      <c r="H114" s="260" t="s">
        <v>799</v>
      </c>
      <c r="I114" s="260"/>
      <c r="J114" s="260" t="s">
        <v>366</v>
      </c>
      <c r="K114" s="260" t="s">
        <v>800</v>
      </c>
      <c r="L114" s="260" t="s">
        <v>801</v>
      </c>
      <c r="M114" s="260" t="s">
        <v>802</v>
      </c>
      <c r="N114" s="260" t="s">
        <v>111</v>
      </c>
      <c r="O114" s="260" t="s">
        <v>112</v>
      </c>
      <c r="P114" s="10">
        <v>125</v>
      </c>
      <c r="Q114" s="11">
        <v>240</v>
      </c>
      <c r="R114" s="11">
        <f t="shared" si="177"/>
        <v>199</v>
      </c>
      <c r="S114" s="11" t="str">
        <f>VLOOKUP(K114,'1108 Educación'!$K$13:$AK$40,9,0)</f>
        <v>Se llevó a cabo reuniones con los rectores de las Instituciones Educativas Departamentales articuladas con el SENA, con el ánimo de socializar las condiciones y lineamientos para la vigencia 2021 al igual que el cronograma de matrículas. Se logro apoyar a las IED articuladas con el SENA  que tenian dificultades con la afiliación de los estudiantes.   Se logró dar cobertura con  Administradora de Riesgos Laborales a 6.037 estudiantes de grado 11 de 145 Instituciones Educativas Oficiales  de 60 Municipios del Departamento no certificados en Educacion  con una inversión de $ 194.889.600, permitiendo así que  nuestro aliado el SENA aporte en formación pertinente que haga que los jóvenes tengan un tránsito adecuado a la Educacion Superior o tomar esta formación como herramienta para la Vida productiva, cabe mencionar que de las 145 IED 135 se mentienen y  a 10 se les amplia la cobertura.</v>
      </c>
      <c r="T114" s="11">
        <v>151</v>
      </c>
      <c r="U114" s="11">
        <v>0</v>
      </c>
      <c r="V114" s="11">
        <v>161</v>
      </c>
      <c r="W114" s="11">
        <v>0</v>
      </c>
      <c r="X114" s="11">
        <v>161</v>
      </c>
      <c r="Y114" s="11">
        <v>0</v>
      </c>
      <c r="Z114" s="11">
        <v>161</v>
      </c>
      <c r="AA114" s="11">
        <v>0</v>
      </c>
      <c r="AB114" s="11" t="s">
        <v>803</v>
      </c>
      <c r="AC114" s="11">
        <v>0</v>
      </c>
      <c r="AD114" s="11">
        <v>38</v>
      </c>
      <c r="AE114" s="11">
        <v>0</v>
      </c>
      <c r="AF114" s="11">
        <f>VLOOKUP(K114,'1108 Educación'!$K$13:$AK$40,22,0)</f>
        <v>38</v>
      </c>
      <c r="AG114" s="11">
        <f>VLOOKUP(K114,'1108 Educación'!$K$13:$AK$40,23,0)</f>
        <v>0</v>
      </c>
      <c r="AH114" s="11">
        <f t="shared" si="178"/>
        <v>38</v>
      </c>
      <c r="AI114" s="11">
        <f>VLOOKUP(K114,'1108 Educación'!$K$13:$AK$40,25,0)</f>
        <v>0</v>
      </c>
      <c r="AJ114" s="11" t="str">
        <f>VLOOKUP(K114,'1108 Educación'!$K$13:$AK$40,26,0)</f>
        <v>Se llevó a cabo reuniones con los rectores de las Instituciones Educativas Departamentales articuladas con el SENA, con el ánimo de socializar las condiciones y lineamientos para la vigencia 2021 al igual que el cronograma de matrículas. Se logro apoyar a las IED articuladas con el SENA  que tenian dificultades con la afiliación de los estudiantes. Se logró dar cobertura con  Administradora de Riesgos Laborales a 6.037 estudiantes de grado 11 de 145 Instituciones Educativas Oficiales  de 60 Municipios del Departamento no certificados en Educacion  con una inversión de $ 194.889.600, permitiendo así que  nuestro aliado el SENA aporte en formación pertinente que haga que los jóvenes tengan un tránsito adecuado a la Educacion Superior o tomar esta formación como herramienta para la Vida productiva, cabe mencionar que de las 145 IED 135 se mentienen y  a 10 se les amplia la cobertura.</v>
      </c>
      <c r="AK114" s="11">
        <f>VLOOKUP(K114,'1108 Educación'!$K$13:$AK$40,27,0)</f>
        <v>0</v>
      </c>
      <c r="AL114" s="11">
        <v>21</v>
      </c>
      <c r="AM114" s="11">
        <v>0</v>
      </c>
      <c r="AN114" s="11">
        <v>20</v>
      </c>
      <c r="AO114" s="11">
        <v>0</v>
      </c>
      <c r="AP114" s="11">
        <v>0</v>
      </c>
      <c r="AQ114" s="11">
        <v>0</v>
      </c>
      <c r="AR114" s="52"/>
      <c r="AS114" s="54">
        <v>19000000</v>
      </c>
      <c r="AT114" s="54">
        <f t="shared" si="103"/>
        <v>19000000</v>
      </c>
      <c r="AU114" s="52"/>
      <c r="AV114" s="243">
        <v>0</v>
      </c>
      <c r="AW114" s="244"/>
      <c r="AX114" s="244"/>
      <c r="AY114" s="243"/>
      <c r="AZ114" s="44">
        <f t="shared" si="179"/>
        <v>0.82916666666666672</v>
      </c>
      <c r="BA114" s="44">
        <v>0.80500000000000005</v>
      </c>
      <c r="BB114" s="44">
        <v>1</v>
      </c>
      <c r="BC114" s="44">
        <f t="shared" si="180"/>
        <v>0.15833333333333333</v>
      </c>
      <c r="BD114" s="44" cm="1">
        <f t="array" ref="BD114">_xlfn.IFS(AD114=0,"NA",AD114&gt;0,AH114/AD114)</f>
        <v>1</v>
      </c>
      <c r="BE114" s="44">
        <f t="shared" si="181"/>
        <v>8.7499999999999994E-2</v>
      </c>
      <c r="BF114" s="44">
        <v>0</v>
      </c>
      <c r="BG114" s="44">
        <f t="shared" si="182"/>
        <v>8.3333333333333329E-2</v>
      </c>
      <c r="BH114" s="44">
        <v>0</v>
      </c>
      <c r="BI114" s="44">
        <f t="shared" si="183"/>
        <v>0</v>
      </c>
      <c r="BJ114" s="44" t="s">
        <v>115</v>
      </c>
      <c r="BK114" s="44">
        <f t="shared" si="104"/>
        <v>0.82916666666666672</v>
      </c>
      <c r="BL114" s="44">
        <v>1</v>
      </c>
      <c r="BM114" s="44" cm="1">
        <f t="array" ref="BM114">_xlfn.IFS(BD114="NA","NA",BD114&gt;100%,"100%",BD114&lt;100,BD114)</f>
        <v>1</v>
      </c>
      <c r="BN114" s="44" cm="1">
        <f t="array" ref="BN114">_xlfn.IFS(BF114="NA","NA",BF114&gt;100%,"100%",BF114&lt;100,BF114)</f>
        <v>0</v>
      </c>
      <c r="BO114" s="44" cm="1">
        <f t="array" ref="BO114">_xlfn.IFS(BH114="NA","NA",BH114&gt;100%,"100%",BH114&lt;100,BH114)</f>
        <v>0</v>
      </c>
      <c r="BP114" s="44" t="str" cm="1">
        <f t="array" ref="BP114">_xlfn.IFS(BJ114="NA","NA",BJ114&gt;100%,"100%",BJ114&lt;100,BJ114)</f>
        <v>NA</v>
      </c>
      <c r="BQ114" s="226">
        <v>0.67500000000000004</v>
      </c>
      <c r="BR114" s="45">
        <f t="shared" si="105"/>
        <v>0.55968750000000012</v>
      </c>
      <c r="BS114" s="45">
        <v>0.18110000000000001</v>
      </c>
      <c r="BT114" s="45">
        <v>0.18110000000000001</v>
      </c>
      <c r="BU114" s="45">
        <v>0.18110000000000001</v>
      </c>
      <c r="BV114" s="45">
        <f t="shared" si="184"/>
        <v>0.10687500000000001</v>
      </c>
      <c r="BW114" s="45">
        <f t="shared" si="113"/>
        <v>0.10687500000000001</v>
      </c>
      <c r="BX114" s="45">
        <f t="shared" si="114"/>
        <v>0.37858750000000008</v>
      </c>
      <c r="BY114" s="45">
        <f t="shared" si="185"/>
        <v>5.9062500000000004E-2</v>
      </c>
      <c r="BZ114" s="45">
        <f t="shared" si="186"/>
        <v>0</v>
      </c>
      <c r="CA114" s="45">
        <f t="shared" si="106"/>
        <v>0</v>
      </c>
      <c r="CB114" s="45">
        <f t="shared" si="187"/>
        <v>5.6250000000000001E-2</v>
      </c>
      <c r="CC114" s="45">
        <f t="shared" si="188"/>
        <v>0</v>
      </c>
      <c r="CD114" s="45">
        <v>0</v>
      </c>
      <c r="CE114" s="45">
        <f t="shared" si="189"/>
        <v>0</v>
      </c>
      <c r="CF114" s="45" t="str">
        <f t="shared" si="190"/>
        <v>NA</v>
      </c>
      <c r="CG114" s="45">
        <v>0</v>
      </c>
      <c r="CH114" s="244"/>
      <c r="CI114" s="244"/>
      <c r="CJ114" s="244"/>
      <c r="CK114" s="244"/>
      <c r="CM114" s="63">
        <v>199</v>
      </c>
    </row>
    <row r="115" spans="1:261" ht="18" hidden="1" customHeight="1">
      <c r="A115" s="260" t="s">
        <v>292</v>
      </c>
      <c r="B115" s="260" t="s">
        <v>293</v>
      </c>
      <c r="C115" s="260" t="s">
        <v>100</v>
      </c>
      <c r="D115" s="260" t="s">
        <v>508</v>
      </c>
      <c r="E115" s="260" t="s">
        <v>769</v>
      </c>
      <c r="F115" s="260" t="s">
        <v>797</v>
      </c>
      <c r="G115" s="260" t="s">
        <v>798</v>
      </c>
      <c r="H115" s="260" t="s">
        <v>804</v>
      </c>
      <c r="I115" s="260"/>
      <c r="J115" s="260" t="s">
        <v>366</v>
      </c>
      <c r="K115" s="260" t="s">
        <v>805</v>
      </c>
      <c r="L115" s="260" t="s">
        <v>806</v>
      </c>
      <c r="M115" s="260" t="s">
        <v>807</v>
      </c>
      <c r="N115" s="260" t="s">
        <v>111</v>
      </c>
      <c r="O115" s="260" t="s">
        <v>112</v>
      </c>
      <c r="P115" s="10">
        <v>5662</v>
      </c>
      <c r="Q115" s="11">
        <v>20000</v>
      </c>
      <c r="R115" s="11">
        <f t="shared" si="177"/>
        <v>16000</v>
      </c>
      <c r="S115" s="11" t="str">
        <f>VLOOKUP(K115,'1108 Educación'!$K$13:$AK$40,9,0)</f>
        <v xml:space="preserve">Se ha  logrado entregar 13.592 beneficios a jóvenes  de los municipios de Cundinamarca que han permitido el acceso y la permanencia a la educación superior </v>
      </c>
      <c r="T115" s="11">
        <v>11000</v>
      </c>
      <c r="U115" s="11">
        <v>0</v>
      </c>
      <c r="V115" s="11">
        <v>11442</v>
      </c>
      <c r="W115" s="11">
        <v>0</v>
      </c>
      <c r="X115" s="11">
        <v>11442</v>
      </c>
      <c r="Y115" s="11">
        <v>0</v>
      </c>
      <c r="Z115" s="11">
        <v>11442</v>
      </c>
      <c r="AA115" s="11" t="s">
        <v>808</v>
      </c>
      <c r="AB115" s="11" t="s">
        <v>809</v>
      </c>
      <c r="AC115" s="11">
        <v>0</v>
      </c>
      <c r="AD115" s="11">
        <v>4558</v>
      </c>
      <c r="AE115" s="11">
        <v>4206</v>
      </c>
      <c r="AF115" s="11">
        <f>VLOOKUP(K115,'1108 Educación'!$K$13:$AK$40,22,0)</f>
        <v>4558</v>
      </c>
      <c r="AG115" s="11">
        <f>VLOOKUP(K115,'1108 Educación'!$K$13:$AK$40,23,0)</f>
        <v>4206</v>
      </c>
      <c r="AH115" s="11">
        <f t="shared" si="178"/>
        <v>4558</v>
      </c>
      <c r="AI115" s="11">
        <f>VLOOKUP(K115,'1108 Educación'!$K$13:$AK$40,25,0)</f>
        <v>0</v>
      </c>
      <c r="AJ115" s="11" t="str">
        <f>VLOOKUP(K115,'1108 Educación'!$K$13:$AK$40,26,0)</f>
        <v>Con los programas de acceso y permanencia en la educación superior se ha logrado la asignación de 7658 beneficios. 604 beneficios a través del Fondo Transformando Vidas, 46 beneficios a través de la alianza 4x1 y 7008 a través del convenio 098 de 2021 de gratuidad con la Universidad de Cundinamarca para el mes de octubre se dio Inicio a una nueva convocatoria de la Alianza 4x1 opcion de Vida la cual se aperturo desde el 30 de septiembre y cierra el  31 de marzo de 2022 o hasta agotar recursos, igualmente se estan realizando los tramites administrativos correspondiente para realizar otro SI de la adicion al convenio por valor de $2.000.000.000.Se publico el Listado Final de posibles beneficiarios de la convocatoria 2021-2 del Fondo Transformando Vidas, quedando pendiente el informe de los jovenes que perfeccionaron el beneficio quienes son los que finalmente se denominan como beneficiarios del Fondo.</v>
      </c>
      <c r="AK115" s="11">
        <f>VLOOKUP(K115,'1108 Educación'!$K$13:$AK$40,27,0)</f>
        <v>0</v>
      </c>
      <c r="AL115" s="11">
        <v>2000</v>
      </c>
      <c r="AM115" s="11">
        <v>1000</v>
      </c>
      <c r="AN115" s="11">
        <v>2000</v>
      </c>
      <c r="AO115" s="11">
        <v>1000</v>
      </c>
      <c r="AP115" s="11">
        <v>0</v>
      </c>
      <c r="AQ115" s="11">
        <v>0</v>
      </c>
      <c r="AR115" s="52"/>
      <c r="AS115" s="54">
        <v>3964489300</v>
      </c>
      <c r="AT115" s="54">
        <f t="shared" si="103"/>
        <v>3964489300</v>
      </c>
      <c r="AU115" s="52"/>
      <c r="AV115" s="243">
        <v>14573558155</v>
      </c>
      <c r="AW115" s="244"/>
      <c r="AX115" s="244"/>
      <c r="AY115" s="243">
        <v>11771743155</v>
      </c>
      <c r="AZ115" s="44">
        <f t="shared" si="179"/>
        <v>0.8</v>
      </c>
      <c r="BA115" s="44">
        <v>0.57210000000000005</v>
      </c>
      <c r="BB115" s="44">
        <v>1</v>
      </c>
      <c r="BC115" s="44">
        <f t="shared" si="180"/>
        <v>0.22789999999999999</v>
      </c>
      <c r="BD115" s="44" cm="1">
        <f t="array" ref="BD115">_xlfn.IFS(AD115=0,"NA",AD115&gt;0,AH115/AD115)</f>
        <v>1</v>
      </c>
      <c r="BE115" s="44">
        <f t="shared" si="181"/>
        <v>0.1</v>
      </c>
      <c r="BF115" s="44">
        <v>0</v>
      </c>
      <c r="BG115" s="44">
        <f t="shared" si="182"/>
        <v>0.1</v>
      </c>
      <c r="BH115" s="44">
        <v>0</v>
      </c>
      <c r="BI115" s="44">
        <f t="shared" si="183"/>
        <v>0</v>
      </c>
      <c r="BJ115" s="44" t="s">
        <v>115</v>
      </c>
      <c r="BK115" s="44">
        <f t="shared" si="104"/>
        <v>0.8</v>
      </c>
      <c r="BL115" s="44">
        <v>1</v>
      </c>
      <c r="BM115" s="44" cm="1">
        <f t="array" ref="BM115">_xlfn.IFS(BD115="NA","NA",BD115&gt;100%,"100%",BD115&lt;100,BD115)</f>
        <v>1</v>
      </c>
      <c r="BN115" s="44" cm="1">
        <f t="array" ref="BN115">_xlfn.IFS(BF115="NA","NA",BF115&gt;100%,"100%",BF115&lt;100,BF115)</f>
        <v>0</v>
      </c>
      <c r="BO115" s="44" cm="1">
        <f t="array" ref="BO115">_xlfn.IFS(BH115="NA","NA",BH115&gt;100%,"100%",BH115&lt;100,BH115)</f>
        <v>0</v>
      </c>
      <c r="BP115" s="44" t="str" cm="1">
        <f t="array" ref="BP115">_xlfn.IFS(BJ115="NA","NA",BJ115&gt;100%,"100%",BJ115&lt;100,BJ115)</f>
        <v>NA</v>
      </c>
      <c r="BQ115" s="220">
        <v>0.22500000000000001</v>
      </c>
      <c r="BR115" s="45">
        <f t="shared" si="105"/>
        <v>0.18000000000000002</v>
      </c>
      <c r="BS115" s="45">
        <v>0.12870000000000001</v>
      </c>
      <c r="BT115" s="45">
        <v>0.12870000000000001</v>
      </c>
      <c r="BU115" s="45">
        <v>0.12870000000000001</v>
      </c>
      <c r="BV115" s="45">
        <f t="shared" si="184"/>
        <v>5.1277499999999997E-2</v>
      </c>
      <c r="BW115" s="45">
        <f t="shared" si="113"/>
        <v>5.1277499999999997E-2</v>
      </c>
      <c r="BX115" s="45">
        <f t="shared" si="114"/>
        <v>5.1300000000000012E-2</v>
      </c>
      <c r="BY115" s="45">
        <f t="shared" si="185"/>
        <v>2.2499999999999999E-2</v>
      </c>
      <c r="BZ115" s="45">
        <f t="shared" si="186"/>
        <v>0</v>
      </c>
      <c r="CA115" s="45">
        <f t="shared" si="106"/>
        <v>0</v>
      </c>
      <c r="CB115" s="45">
        <f t="shared" si="187"/>
        <v>2.2499999999999999E-2</v>
      </c>
      <c r="CC115" s="45">
        <f t="shared" si="188"/>
        <v>0</v>
      </c>
      <c r="CD115" s="45">
        <v>0</v>
      </c>
      <c r="CE115" s="45">
        <f t="shared" si="189"/>
        <v>0</v>
      </c>
      <c r="CF115" s="45" t="str">
        <f t="shared" si="190"/>
        <v>NA</v>
      </c>
      <c r="CG115" s="45">
        <v>0</v>
      </c>
      <c r="CH115" s="244"/>
      <c r="CI115" s="244"/>
      <c r="CJ115" s="244"/>
      <c r="CK115" s="244"/>
      <c r="CM115" s="63">
        <v>13592</v>
      </c>
    </row>
    <row r="116" spans="1:261" ht="18" hidden="1" customHeight="1">
      <c r="A116" s="260" t="s">
        <v>98</v>
      </c>
      <c r="B116" s="260" t="s">
        <v>99</v>
      </c>
      <c r="C116" s="260" t="s">
        <v>100</v>
      </c>
      <c r="D116" s="260" t="s">
        <v>508</v>
      </c>
      <c r="E116" s="260" t="s">
        <v>769</v>
      </c>
      <c r="F116" s="260" t="s">
        <v>810</v>
      </c>
      <c r="G116" s="260" t="s">
        <v>811</v>
      </c>
      <c r="H116" s="260" t="s">
        <v>812</v>
      </c>
      <c r="I116" s="260"/>
      <c r="J116" s="260" t="s">
        <v>298</v>
      </c>
      <c r="K116" s="260" t="s">
        <v>813</v>
      </c>
      <c r="L116" s="260" t="s">
        <v>814</v>
      </c>
      <c r="M116" s="260" t="s">
        <v>815</v>
      </c>
      <c r="N116" s="260" t="s">
        <v>111</v>
      </c>
      <c r="O116" s="260" t="s">
        <v>112</v>
      </c>
      <c r="P116" s="10">
        <v>37</v>
      </c>
      <c r="Q116" s="11">
        <v>16</v>
      </c>
      <c r="R116" s="11">
        <f t="shared" si="177"/>
        <v>8</v>
      </c>
      <c r="S116" s="11" t="str">
        <f>VLOOKUP(K116,'1197 Salud'!$K$13:$AK$54,9,0)</f>
        <v>Se realiza la implementación de servicios amigables en el municipio de La Palma  y se realizá seguimiento a  25 ESE Departamentales en SSAAJ.  
Se realiza proceso de asistencia tecnica y verificacion del funcionamiento de los servicios amigables para adolescentes y jovenes en los 7 municipios priorizados para el 2021: Suesca, Guatavita, Une, Nemocon, Sopo, Carmen de Carupa, Tausa</v>
      </c>
      <c r="T116" s="11">
        <v>1</v>
      </c>
      <c r="U116" s="11">
        <v>0</v>
      </c>
      <c r="V116" s="11">
        <v>1</v>
      </c>
      <c r="W116" s="11">
        <v>0</v>
      </c>
      <c r="X116" s="11">
        <v>1</v>
      </c>
      <c r="Y116" s="11">
        <v>0</v>
      </c>
      <c r="Z116" s="11">
        <v>1</v>
      </c>
      <c r="AA116" s="11" t="s">
        <v>816</v>
      </c>
      <c r="AB116" s="11" t="s">
        <v>817</v>
      </c>
      <c r="AC116" s="11" t="s">
        <v>818</v>
      </c>
      <c r="AD116" s="11">
        <v>7</v>
      </c>
      <c r="AE116" s="11">
        <v>0</v>
      </c>
      <c r="AF116" s="11">
        <f>VLOOKUP(K116,'1197 Salud'!$K$13:$AK$54,22,0)</f>
        <v>7</v>
      </c>
      <c r="AG116" s="11">
        <f>VLOOKUP(K116,'1197 Salud'!$K$13:$AK$54,23,0)</f>
        <v>0</v>
      </c>
      <c r="AH116" s="11">
        <f t="shared" si="178"/>
        <v>7</v>
      </c>
      <c r="AI116" s="11" t="str">
        <f>VLOOKUP(K116,'1197 Salud'!$K$13:$AK$54,25,0)</f>
        <v>IPS de la red Publica con SSAAJ implementados</v>
      </c>
      <c r="AJ116" s="11" t="str">
        <f>VLOOKUP(K116,'1197 Salud'!$K$13:$AK$54,26,0)</f>
        <v>Se realiza la implementación de servicios amigables en el municipio de La Palma  y se realizá seguimiento a  25 ESE Departamentales en SSAAJ.  
Se realiza proceso de asistencia tecnica y verificacion del funcionamiento de los servicios amigables para adolescentes y jovenes en los 7 municipios priorizados para el 2021: Suesca, Guatavita, Une, Nemocon, Sopo, Carmen de Carupa, Tausa</v>
      </c>
      <c r="AK116" s="11" t="str">
        <f>VLOOKUP(K116,'1197 Salud'!$K$13:$AK$54,27,0)</f>
        <v>Demoras administrativas</v>
      </c>
      <c r="AL116" s="11">
        <v>7</v>
      </c>
      <c r="AM116" s="11">
        <v>0</v>
      </c>
      <c r="AN116" s="11">
        <v>1</v>
      </c>
      <c r="AO116" s="11">
        <v>0</v>
      </c>
      <c r="AP116" s="11">
        <v>0</v>
      </c>
      <c r="AQ116" s="11">
        <v>0</v>
      </c>
      <c r="AR116" s="51">
        <v>1005100000</v>
      </c>
      <c r="AS116" s="54">
        <v>0</v>
      </c>
      <c r="AT116" s="54">
        <f t="shared" si="103"/>
        <v>1005100000</v>
      </c>
      <c r="AU116" s="51">
        <v>934699410</v>
      </c>
      <c r="AV116" s="243">
        <v>1239360575</v>
      </c>
      <c r="AW116" s="244"/>
      <c r="AX116" s="244"/>
      <c r="AY116" s="243">
        <v>1235360575</v>
      </c>
      <c r="AZ116" s="44">
        <f t="shared" si="179"/>
        <v>0.5</v>
      </c>
      <c r="BA116" s="44">
        <v>6.25E-2</v>
      </c>
      <c r="BB116" s="44">
        <v>1</v>
      </c>
      <c r="BC116" s="44">
        <f t="shared" si="180"/>
        <v>0.4375</v>
      </c>
      <c r="BD116" s="44" cm="1">
        <f t="array" ref="BD116">_xlfn.IFS(AD116=0,"NA",AD116&gt;0,AH116/AD116)</f>
        <v>1</v>
      </c>
      <c r="BE116" s="44">
        <f t="shared" si="181"/>
        <v>0.4375</v>
      </c>
      <c r="BF116" s="44">
        <v>0</v>
      </c>
      <c r="BG116" s="44">
        <f t="shared" si="182"/>
        <v>6.25E-2</v>
      </c>
      <c r="BH116" s="44">
        <v>0</v>
      </c>
      <c r="BI116" s="44">
        <f t="shared" si="183"/>
        <v>0</v>
      </c>
      <c r="BJ116" s="44" t="s">
        <v>115</v>
      </c>
      <c r="BK116" s="44">
        <f t="shared" si="104"/>
        <v>0.5</v>
      </c>
      <c r="BL116" s="44">
        <v>1</v>
      </c>
      <c r="BM116" s="44" cm="1">
        <f t="array" ref="BM116">_xlfn.IFS(BD116="NA","NA",BD116&gt;100%,"100%",BD116&lt;100,BD116)</f>
        <v>1</v>
      </c>
      <c r="BN116" s="44" cm="1">
        <f t="array" ref="BN116">_xlfn.IFS(BF116="NA","NA",BF116&gt;100%,"100%",BF116&lt;100,BF116)</f>
        <v>0</v>
      </c>
      <c r="BO116" s="44" cm="1">
        <f t="array" ref="BO116">_xlfn.IFS(BH116="NA","NA",BH116&gt;100%,"100%",BH116&lt;100,BH116)</f>
        <v>0</v>
      </c>
      <c r="BP116" s="44" t="str" cm="1">
        <f t="array" ref="BP116">_xlfn.IFS(BJ116="NA","NA",BJ116&gt;100%,"100%",BJ116&lt;100,BJ116)</f>
        <v>NA</v>
      </c>
      <c r="BQ116" s="45">
        <v>0.22500000000000001</v>
      </c>
      <c r="BR116" s="45">
        <f t="shared" si="105"/>
        <v>0.1125</v>
      </c>
      <c r="BS116" s="45">
        <v>1.41E-2</v>
      </c>
      <c r="BT116" s="45">
        <v>1.41E-2</v>
      </c>
      <c r="BU116" s="45">
        <v>1.41E-2</v>
      </c>
      <c r="BV116" s="45">
        <f t="shared" si="184"/>
        <v>9.8437499999999997E-2</v>
      </c>
      <c r="BW116" s="45">
        <f t="shared" si="113"/>
        <v>9.8437499999999997E-2</v>
      </c>
      <c r="BX116" s="45">
        <f t="shared" si="114"/>
        <v>9.8400000000000001E-2</v>
      </c>
      <c r="BY116" s="45">
        <f t="shared" si="185"/>
        <v>9.8437499999999997E-2</v>
      </c>
      <c r="BZ116" s="45">
        <f t="shared" si="186"/>
        <v>0</v>
      </c>
      <c r="CA116" s="45">
        <f t="shared" si="106"/>
        <v>0</v>
      </c>
      <c r="CB116" s="45">
        <f t="shared" si="187"/>
        <v>1.40625E-2</v>
      </c>
      <c r="CC116" s="45">
        <f t="shared" si="188"/>
        <v>0</v>
      </c>
      <c r="CD116" s="45">
        <v>0</v>
      </c>
      <c r="CE116" s="45">
        <f t="shared" si="189"/>
        <v>0</v>
      </c>
      <c r="CF116" s="45" t="str">
        <f t="shared" si="190"/>
        <v>NA</v>
      </c>
      <c r="CG116" s="45">
        <v>0</v>
      </c>
      <c r="CH116" s="244"/>
      <c r="CI116" s="244"/>
      <c r="CJ116" s="244"/>
      <c r="CK116" s="244"/>
      <c r="CM116" s="63">
        <v>1</v>
      </c>
    </row>
    <row r="117" spans="1:261" ht="18" hidden="1" customHeight="1">
      <c r="A117" s="260" t="s">
        <v>221</v>
      </c>
      <c r="B117" s="260" t="s">
        <v>222</v>
      </c>
      <c r="C117" s="260" t="s">
        <v>100</v>
      </c>
      <c r="D117" s="260" t="s">
        <v>508</v>
      </c>
      <c r="E117" s="260" t="s">
        <v>769</v>
      </c>
      <c r="F117" s="260" t="s">
        <v>819</v>
      </c>
      <c r="G117" s="260" t="s">
        <v>820</v>
      </c>
      <c r="H117" s="260" t="s">
        <v>821</v>
      </c>
      <c r="I117" s="260"/>
      <c r="J117" s="260"/>
      <c r="K117" s="260" t="s">
        <v>822</v>
      </c>
      <c r="L117" s="260" t="s">
        <v>823</v>
      </c>
      <c r="M117" s="260" t="s">
        <v>824</v>
      </c>
      <c r="N117" s="260" t="s">
        <v>111</v>
      </c>
      <c r="O117" s="260" t="s">
        <v>112</v>
      </c>
      <c r="P117" s="10">
        <v>15</v>
      </c>
      <c r="Q117" s="11">
        <v>40</v>
      </c>
      <c r="R117" s="11">
        <f t="shared" ca="1" si="177"/>
        <v>19</v>
      </c>
      <c r="S117" s="11" t="str">
        <f ca="1">VLOOKUP(K117,'1220 IDECUT'!$K$13:$AK$48,9,0)</f>
        <v xml:space="preserve">Durante la vigencia 2020 se brindó acompañamiento técnico a 7 procesos bandísticos ( 1.	Sección o familia de las maderas agudas: bandas infantiles y juveniles 2. sección o familia de las maderas graves: bandas infantiles y juveniles 3. sección o familia de bronces agudos: bandas infantiles y juveniles 4. sección o familia de bronces graves: bandas infantiles y juveniles 5. sección o familia de percusión latina y folclórica: bandas infantiles y juveniles. 6. sección o familia de percusion sinfónica: bandas infantiles y juveniles 7. sección o familia de cuerdas frotadas) en  60 municipios, beneficiando a 1.000 integrantes de las agrupaciones bandísticas y sus 60 maestros formadores, a través de la conformación de la banda sinfónica juvenil de Cundinamarca, la cual se dio mediante Resoluciones 155 de 28 de julio 2020 y 190 del 11 de septiembre de 2020  y se dio la contratación de cuarenta (40) músicos instrumentistas, siete (7) músicos profesionales, un (1) director y demás equipo de apoyo para su funcionamiento. Igualmente, la banda acompañó algunos eventos culturales desarrollados en el departamento y en entidades donde fue invitada. En lo corrido de 2021. Acompañamiento a procesos bandistico musical:
Bandas muestra o prebandas
Bandas infantiles
Bandas juveniles
Bandas libres o mayores
Bandas fiesteras
Bandas sinfónicas y especiales
Orquesta de cuerdas pulsadas
Coros 
Beneficiando a 65 municipios de 6, 5 y 4 categoría. A la fecha hemos atendido a más de 1200 personas con la Banda Sinfónica Juvenil de Cundinamarca. </v>
      </c>
      <c r="T117" s="11">
        <v>2</v>
      </c>
      <c r="U117" s="11">
        <v>0</v>
      </c>
      <c r="V117" s="11">
        <v>2</v>
      </c>
      <c r="W117" s="11">
        <v>0</v>
      </c>
      <c r="X117" s="11">
        <v>7</v>
      </c>
      <c r="Y117" s="11">
        <v>0</v>
      </c>
      <c r="Z117" s="11">
        <v>7</v>
      </c>
      <c r="AA117" s="11" t="s">
        <v>825</v>
      </c>
      <c r="AB117" s="11" t="s">
        <v>826</v>
      </c>
      <c r="AC117" s="11" t="s">
        <v>827</v>
      </c>
      <c r="AD117" s="11">
        <v>6</v>
      </c>
      <c r="AE117" s="11">
        <v>0</v>
      </c>
      <c r="AF117" s="11">
        <f ca="1">VLOOKUP(K117,'1220 IDECUT'!$K$13:$AK$48,22,0)</f>
        <v>12</v>
      </c>
      <c r="AG117" s="11">
        <f ca="1">VLOOKUP(K117,'1220 IDECUT'!$K$13:$AK$48,23,0)</f>
        <v>0</v>
      </c>
      <c r="AH117" s="11">
        <f t="shared" ca="1" si="178"/>
        <v>12</v>
      </c>
      <c r="AI117" s="11" t="str">
        <f ca="1">VLOOKUP(K117,'1220 IDECUT'!$K$13:$AK$48,25,0)</f>
        <v>Asistencia tecnica proceso de formacion</v>
      </c>
      <c r="AJ117" s="11" t="str">
        <f ca="1">VLOOKUP(K117,'1220 IDECUT'!$K$13:$AK$48,26,0)</f>
        <v xml:space="preserve">Acompañamiento a procesos bandistico musical:
Bandas muestra o prebandas
Bandas infantiles
Bandas juveniles
Bandas libres o mayores Bandas fiesteras
Bandas sinfónicas y especiales
Orquesta de cuerdas pulsadas
Coros 
Beneficiando a 65 municipios de 6, 5 y 4 categoría. A la fecha hemos atendido a más de 1200 personas con la Banda Sinfónica Juvenil de Cundinamarca. </v>
      </c>
      <c r="AK117" s="11">
        <f ca="1">VLOOKUP(K117,'1220 IDECUT'!$K$13:$AK$48,27,0)</f>
        <v>0</v>
      </c>
      <c r="AL117" s="11">
        <v>6</v>
      </c>
      <c r="AM117" s="11">
        <v>0</v>
      </c>
      <c r="AN117" s="11">
        <v>6</v>
      </c>
      <c r="AO117" s="11">
        <v>0</v>
      </c>
      <c r="AP117" s="11">
        <v>0</v>
      </c>
      <c r="AQ117" s="11">
        <v>0</v>
      </c>
      <c r="AR117" s="51">
        <v>320000000</v>
      </c>
      <c r="AS117" s="54">
        <v>0</v>
      </c>
      <c r="AT117" s="54">
        <f t="shared" si="103"/>
        <v>320000000</v>
      </c>
      <c r="AU117" s="51">
        <v>320000000</v>
      </c>
      <c r="AV117" s="243">
        <v>891399333</v>
      </c>
      <c r="AW117" s="244"/>
      <c r="AX117" s="244"/>
      <c r="AY117" s="243">
        <v>772026634</v>
      </c>
      <c r="AZ117" s="44">
        <f t="shared" ca="1" si="179"/>
        <v>0.47499999999999998</v>
      </c>
      <c r="BA117" s="44">
        <v>0.1</v>
      </c>
      <c r="BB117" s="44">
        <v>3.5</v>
      </c>
      <c r="BC117" s="44">
        <f t="shared" si="180"/>
        <v>0.15</v>
      </c>
      <c r="BD117" s="44" cm="1">
        <f t="array" aca="1" ref="BD117" ca="1">_xlfn.IFS(AD117=0,"NA",AD117&gt;0,AH117/AD117)</f>
        <v>2</v>
      </c>
      <c r="BE117" s="44">
        <f t="shared" si="181"/>
        <v>0.15</v>
      </c>
      <c r="BF117" s="44">
        <v>0</v>
      </c>
      <c r="BG117" s="44">
        <f t="shared" si="182"/>
        <v>0.15</v>
      </c>
      <c r="BH117" s="44">
        <v>0</v>
      </c>
      <c r="BI117" s="44">
        <f t="shared" si="183"/>
        <v>0</v>
      </c>
      <c r="BJ117" s="44" t="s">
        <v>115</v>
      </c>
      <c r="BK117" s="44">
        <f t="shared" ca="1" si="104"/>
        <v>0.47499999999999998</v>
      </c>
      <c r="BL117" s="44">
        <v>1</v>
      </c>
      <c r="BM117" s="44" t="str" cm="1">
        <f t="array" aca="1" ref="BM117" ca="1">_xlfn.IFS(BD117="NA","NA",BD117&gt;100%,"100%",BD117&lt;100,BD117)</f>
        <v>100%</v>
      </c>
      <c r="BN117" s="44" cm="1">
        <f t="array" ref="BN117">_xlfn.IFS(BF117="NA","NA",BF117&gt;100%,"100%",BF117&lt;100,BF117)</f>
        <v>0</v>
      </c>
      <c r="BO117" s="44" cm="1">
        <f t="array" ref="BO117">_xlfn.IFS(BH117="NA","NA",BH117&gt;100%,"100%",BH117&lt;100,BH117)</f>
        <v>0</v>
      </c>
      <c r="BP117" s="44" t="str" cm="1">
        <f t="array" ref="BP117">_xlfn.IFS(BJ117="NA","NA",BJ117&gt;100%,"100%",BJ117&lt;100,BJ117)</f>
        <v>NA</v>
      </c>
      <c r="BQ117" s="45">
        <v>0.22500000000000001</v>
      </c>
      <c r="BR117" s="45">
        <f t="shared" ca="1" si="105"/>
        <v>0.106875</v>
      </c>
      <c r="BS117" s="45">
        <v>2.2499999999999999E-2</v>
      </c>
      <c r="BT117" s="45">
        <v>2.2499999999999999E-2</v>
      </c>
      <c r="BU117" s="45">
        <v>7.8799999999999995E-2</v>
      </c>
      <c r="BV117" s="45">
        <f t="shared" si="184"/>
        <v>3.3750000000000002E-2</v>
      </c>
      <c r="BW117" s="45">
        <f t="shared" ca="1" si="113"/>
        <v>3.3750000000000002E-2</v>
      </c>
      <c r="BX117" s="45">
        <f t="shared" ca="1" si="114"/>
        <v>2.8075000000000003E-2</v>
      </c>
      <c r="BY117" s="45">
        <f t="shared" si="185"/>
        <v>3.3750000000000002E-2</v>
      </c>
      <c r="BZ117" s="45">
        <f t="shared" si="186"/>
        <v>0</v>
      </c>
      <c r="CA117" s="45">
        <f t="shared" ca="1" si="106"/>
        <v>0</v>
      </c>
      <c r="CB117" s="45">
        <f t="shared" si="187"/>
        <v>3.3750000000000002E-2</v>
      </c>
      <c r="CC117" s="45">
        <f t="shared" si="188"/>
        <v>0</v>
      </c>
      <c r="CD117" s="45">
        <v>0</v>
      </c>
      <c r="CE117" s="45">
        <f t="shared" si="189"/>
        <v>0</v>
      </c>
      <c r="CF117" s="45" t="str">
        <f t="shared" si="190"/>
        <v>NA</v>
      </c>
      <c r="CG117" s="45">
        <v>0</v>
      </c>
      <c r="CH117" s="244"/>
      <c r="CI117" s="244"/>
      <c r="CJ117" s="244"/>
      <c r="CK117" s="244"/>
      <c r="CM117" s="63">
        <v>14</v>
      </c>
    </row>
    <row r="118" spans="1:261" ht="18" hidden="1" customHeight="1">
      <c r="A118" s="260" t="s">
        <v>248</v>
      </c>
      <c r="B118" s="260" t="s">
        <v>249</v>
      </c>
      <c r="C118" s="260" t="s">
        <v>100</v>
      </c>
      <c r="D118" s="260" t="s">
        <v>508</v>
      </c>
      <c r="E118" s="260" t="s">
        <v>769</v>
      </c>
      <c r="F118" s="260" t="s">
        <v>819</v>
      </c>
      <c r="G118" s="260" t="s">
        <v>820</v>
      </c>
      <c r="H118" s="260" t="s">
        <v>828</v>
      </c>
      <c r="I118" s="260"/>
      <c r="J118" s="260"/>
      <c r="K118" s="260" t="s">
        <v>829</v>
      </c>
      <c r="L118" s="260" t="s">
        <v>830</v>
      </c>
      <c r="M118" s="260" t="s">
        <v>831</v>
      </c>
      <c r="N118" s="260" t="s">
        <v>111</v>
      </c>
      <c r="O118" s="260" t="s">
        <v>124</v>
      </c>
      <c r="P118" s="10">
        <v>0</v>
      </c>
      <c r="Q118" s="11">
        <v>370</v>
      </c>
      <c r="R118" s="11">
        <f>(Z118+AH118)/CL118</f>
        <v>194.5</v>
      </c>
      <c r="S118" s="11" t="str">
        <f>VLOOKUP(K118,'1208 Indeportes'!$K$13:$AK$39,9,0)</f>
        <v>Se organizaron 3 grupos de contratación de formadores y de esta manera poder adelantar todo el proceso administrativo y jurídico según el cronograma establecido por el grupo del deporte formativo y escolar cumpliendo con los plazos establecidos por cada grupo. Ya se va a cumplir el primer mes de trabajo en las Escuelas de Formación Deportiva y Recreativa.</v>
      </c>
      <c r="T118" s="11">
        <v>0</v>
      </c>
      <c r="U118" s="11">
        <v>300</v>
      </c>
      <c r="V118" s="11">
        <v>0</v>
      </c>
      <c r="W118" s="11">
        <v>300</v>
      </c>
      <c r="X118" s="11" t="s">
        <v>115</v>
      </c>
      <c r="Y118" s="11">
        <v>334</v>
      </c>
      <c r="Z118" s="11">
        <v>334</v>
      </c>
      <c r="AA118" s="11">
        <v>0</v>
      </c>
      <c r="AB118" s="11" t="s">
        <v>832</v>
      </c>
      <c r="AC118" s="11">
        <v>0</v>
      </c>
      <c r="AD118" s="11">
        <v>0</v>
      </c>
      <c r="AE118" s="11">
        <v>300</v>
      </c>
      <c r="AF118" s="11">
        <f>VLOOKUP(K118,'1208 Indeportes'!$K$13:$AH$39,22,0)</f>
        <v>0</v>
      </c>
      <c r="AG118" s="11">
        <f>VLOOKUP(K118,'1208 Indeportes'!$K$13:$AH$39,23,0)</f>
        <v>444</v>
      </c>
      <c r="AH118" s="11">
        <f>AG118</f>
        <v>444</v>
      </c>
      <c r="AI118" s="11">
        <f>VLOOKUP(K118,'1208 Indeportes'!$K$13:$AK$39,25,0)</f>
        <v>0</v>
      </c>
      <c r="AJ118" s="11" t="str">
        <f>VLOOKUP(K118,'1208 Indeportes'!$K$13:$AK$39,26,0)</f>
        <v>Con una inversión sin precedentes, superior a los cinco mil seiscientos millones de pesos ($5.600.000.000) logramos garantizar la presencia de 444 formadores en los 116 municipios del departamento, beneficiando a más de 22.000 niños y niñas cundinamarqueses a través del programa de Escuelas de Formación Deportiva.</v>
      </c>
      <c r="AK118" s="11">
        <f>VLOOKUP(K118,'1208 Indeportes'!$K$13:$AK$39,27,0)</f>
        <v>0</v>
      </c>
      <c r="AL118" s="11">
        <v>0</v>
      </c>
      <c r="AM118" s="11">
        <v>300</v>
      </c>
      <c r="AN118" s="11">
        <v>0</v>
      </c>
      <c r="AO118" s="11">
        <v>300</v>
      </c>
      <c r="AP118" s="11">
        <v>0</v>
      </c>
      <c r="AQ118" s="11">
        <v>0</v>
      </c>
      <c r="AR118" s="51">
        <v>5139525107</v>
      </c>
      <c r="AS118" s="54">
        <v>0</v>
      </c>
      <c r="AT118" s="54">
        <f t="shared" si="103"/>
        <v>5139525107</v>
      </c>
      <c r="AU118" s="51">
        <v>4700495357</v>
      </c>
      <c r="AV118" s="243">
        <v>12189025374</v>
      </c>
      <c r="AW118" s="244"/>
      <c r="AX118" s="244"/>
      <c r="AY118" s="243">
        <v>11487833337</v>
      </c>
      <c r="AZ118" s="44" cm="1">
        <f t="array" ref="AZ118">_xlfn.IFS((BA118=0),(BD118/CL118),(BA118&gt;0),((BB118+BD118)/CL118),(BE118&gt;0),((BB118+BD118+BE118)/CL118),(BG118&gt;0),((BB118+BD118+BE118+G118)/CL118))</f>
        <v>0.64832500000000004</v>
      </c>
      <c r="BA118" s="44">
        <v>0.25</v>
      </c>
      <c r="BB118" s="44">
        <v>1.1133</v>
      </c>
      <c r="BC118" s="44">
        <f>IF(AE118&gt;0,(1/CL118),0)</f>
        <v>0.25</v>
      </c>
      <c r="BD118" s="44" cm="1">
        <f t="array" ref="BD118">_xlfn.IFS(AE118=0,"NA",AE118&gt;0,AH118/AE118)</f>
        <v>1.48</v>
      </c>
      <c r="BE118" s="44">
        <f>IF(AM118&gt;0,(1/CL118),0)</f>
        <v>0.25</v>
      </c>
      <c r="BF118" s="44">
        <v>0</v>
      </c>
      <c r="BG118" s="44">
        <f>IF(AO118&gt;0,(1/CL118),0)</f>
        <v>0.25</v>
      </c>
      <c r="BH118" s="44">
        <v>0</v>
      </c>
      <c r="BI118" s="44">
        <v>0</v>
      </c>
      <c r="BJ118" s="44" t="s">
        <v>115</v>
      </c>
      <c r="BK118" s="44" t="str">
        <f>IF(AZ118&gt;50%,"50%",AZ118)</f>
        <v>50%</v>
      </c>
      <c r="BL118" s="44">
        <v>1</v>
      </c>
      <c r="BM118" s="44" t="str" cm="1">
        <f t="array" ref="BM118">_xlfn.IFS(BD118="NA","NA",BD118&gt;100%,"100%",BD118&lt;100,BD118)</f>
        <v>100%</v>
      </c>
      <c r="BN118" s="44">
        <v>0</v>
      </c>
      <c r="BO118" s="44">
        <v>0</v>
      </c>
      <c r="BP118" s="44" t="s">
        <v>115</v>
      </c>
      <c r="BQ118" s="45">
        <v>0.22500000000000001</v>
      </c>
      <c r="BR118" s="45">
        <f t="shared" si="105"/>
        <v>0.1125</v>
      </c>
      <c r="BS118" s="45">
        <v>5.6300000000000003E-2</v>
      </c>
      <c r="BT118" s="45">
        <v>5.6300000000000003E-2</v>
      </c>
      <c r="BU118" s="45">
        <v>5.6300000000000003E-2</v>
      </c>
      <c r="BV118" s="45">
        <v>5.6300000000000003E-2</v>
      </c>
      <c r="BW118" s="45">
        <f t="shared" si="113"/>
        <v>5.6300000000000003E-2</v>
      </c>
      <c r="BX118" s="45">
        <f t="shared" si="114"/>
        <v>5.62E-2</v>
      </c>
      <c r="BY118" s="45">
        <v>5.6300000000000003E-2</v>
      </c>
      <c r="BZ118" s="45">
        <v>0</v>
      </c>
      <c r="CA118" s="45">
        <f t="shared" si="106"/>
        <v>0</v>
      </c>
      <c r="CB118" s="45">
        <v>5.6300000000000003E-2</v>
      </c>
      <c r="CC118" s="45">
        <v>0</v>
      </c>
      <c r="CD118" s="45">
        <v>0</v>
      </c>
      <c r="CE118" s="45">
        <v>0</v>
      </c>
      <c r="CF118" s="45" t="s">
        <v>115</v>
      </c>
      <c r="CG118" s="45">
        <v>0</v>
      </c>
      <c r="CH118" s="244">
        <f>IF(W118&gt;0,1,0)</f>
        <v>1</v>
      </c>
      <c r="CI118" s="244">
        <f>IF(AE118&gt;0,1,0)</f>
        <v>1</v>
      </c>
      <c r="CJ118" s="244">
        <f>IF(AM118&gt;0,1,0)</f>
        <v>1</v>
      </c>
      <c r="CK118" s="244">
        <f>IF(AO118&gt;0,1,0)</f>
        <v>1</v>
      </c>
      <c r="CL118">
        <f>CH118+CI118+CJ118+CK118</f>
        <v>4</v>
      </c>
      <c r="CM118" s="63">
        <f>AVERAGE(Z118,AH118)</f>
        <v>389</v>
      </c>
    </row>
    <row r="119" spans="1:261" ht="18" hidden="1" customHeight="1">
      <c r="A119" s="260" t="s">
        <v>248</v>
      </c>
      <c r="B119" s="260" t="s">
        <v>249</v>
      </c>
      <c r="C119" s="260" t="s">
        <v>100</v>
      </c>
      <c r="D119" s="260" t="s">
        <v>508</v>
      </c>
      <c r="E119" s="260" t="s">
        <v>769</v>
      </c>
      <c r="F119" s="260" t="s">
        <v>819</v>
      </c>
      <c r="G119" s="260" t="s">
        <v>820</v>
      </c>
      <c r="H119" s="260" t="s">
        <v>833</v>
      </c>
      <c r="I119" s="260"/>
      <c r="J119" s="260"/>
      <c r="K119" s="260" t="s">
        <v>834</v>
      </c>
      <c r="L119" s="260" t="s">
        <v>835</v>
      </c>
      <c r="M119" s="260" t="s">
        <v>836</v>
      </c>
      <c r="N119" s="260" t="s">
        <v>111</v>
      </c>
      <c r="O119" s="260" t="s">
        <v>112</v>
      </c>
      <c r="P119" s="10">
        <v>0</v>
      </c>
      <c r="Q119" s="11">
        <v>3</v>
      </c>
      <c r="R119" s="11">
        <f>Z119+AH119</f>
        <v>0</v>
      </c>
      <c r="S119" s="11" t="str">
        <f>VLOOKUP(K119,'1208 Indeportes'!$K$13:$AK$39,9,0)</f>
        <v>De acuerdo con el Plan de Acción formulado para el cumplimiento de esta meta de producto, y los recursos disponibles, se tiene programado realizar 1 festival deportivo durante la clausura de las actividades durante los días 13 y 14 de diciembre en los 116 municipios del departamento.</v>
      </c>
      <c r="T119" s="11">
        <v>1</v>
      </c>
      <c r="U119" s="11">
        <v>0</v>
      </c>
      <c r="V119" s="11">
        <v>1</v>
      </c>
      <c r="W119" s="11">
        <v>0</v>
      </c>
      <c r="X119" s="11">
        <v>0</v>
      </c>
      <c r="Y119" s="11">
        <v>0</v>
      </c>
      <c r="Z119" s="11">
        <v>0</v>
      </c>
      <c r="AA119" s="11">
        <v>0</v>
      </c>
      <c r="AB119" s="11"/>
      <c r="AC119" s="11">
        <v>0</v>
      </c>
      <c r="AD119" s="11">
        <v>1</v>
      </c>
      <c r="AE119" s="11">
        <v>0</v>
      </c>
      <c r="AF119" s="11">
        <f>VLOOKUP(K119,'1208 Indeportes'!$K$13:$AH$39,22,0)</f>
        <v>0</v>
      </c>
      <c r="AG119" s="11">
        <f>VLOOKUP(K119,'1208 Indeportes'!$K$13:$AH$39,23,0)</f>
        <v>0</v>
      </c>
      <c r="AH119" s="11">
        <f>AF119</f>
        <v>0</v>
      </c>
      <c r="AI119" s="11">
        <f>VLOOKUP(K119,'1208 Indeportes'!$K$13:$AK$39,25,0)</f>
        <v>0</v>
      </c>
      <c r="AJ119" s="11" t="str">
        <f>VLOOKUP(K119,'1208 Indeportes'!$K$13:$AK$39,26,0)</f>
        <v xml:space="preserve">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 </v>
      </c>
      <c r="AK119" s="11">
        <f>VLOOKUP(K119,'1208 Indeportes'!$K$13:$AK$39,27,0)</f>
        <v>0</v>
      </c>
      <c r="AL119" s="11">
        <v>1</v>
      </c>
      <c r="AM119" s="11">
        <v>0</v>
      </c>
      <c r="AN119" s="11">
        <v>1</v>
      </c>
      <c r="AO119" s="11">
        <v>0</v>
      </c>
      <c r="AP119" s="11">
        <v>0</v>
      </c>
      <c r="AQ119" s="11">
        <v>0</v>
      </c>
      <c r="AR119" s="51">
        <v>698834334</v>
      </c>
      <c r="AS119" s="54">
        <v>0</v>
      </c>
      <c r="AT119" s="54">
        <f t="shared" si="103"/>
        <v>698834334</v>
      </c>
      <c r="AU119" s="51">
        <v>15131400</v>
      </c>
      <c r="AV119" s="243">
        <v>855511500</v>
      </c>
      <c r="AW119" s="244"/>
      <c r="AX119" s="244"/>
      <c r="AY119" s="243">
        <v>350000000</v>
      </c>
      <c r="AZ119" s="44">
        <f>R119/Q119</f>
        <v>0</v>
      </c>
      <c r="BA119" s="44">
        <v>0.33329999999999999</v>
      </c>
      <c r="BB119" s="44">
        <v>0</v>
      </c>
      <c r="BC119" s="44">
        <f>AD119/Q119</f>
        <v>0.33333333333333331</v>
      </c>
      <c r="BD119" s="44" cm="1">
        <f t="array" ref="BD119">_xlfn.IFS(AD119=0,"NA",AD119&gt;0,AH119/AD119)</f>
        <v>0</v>
      </c>
      <c r="BE119" s="44">
        <f>AL119/Q119</f>
        <v>0.33333333333333331</v>
      </c>
      <c r="BF119" s="44">
        <v>0</v>
      </c>
      <c r="BG119" s="44">
        <f>AN119/Q119</f>
        <v>0.33333333333333331</v>
      </c>
      <c r="BH119" s="44">
        <v>0</v>
      </c>
      <c r="BI119" s="44">
        <f>AP119/Q119</f>
        <v>0</v>
      </c>
      <c r="BJ119" s="44" t="s">
        <v>115</v>
      </c>
      <c r="BK119" s="44">
        <f t="shared" si="104"/>
        <v>0</v>
      </c>
      <c r="BL119" s="44">
        <v>0</v>
      </c>
      <c r="BM119" s="44" cm="1">
        <f t="array" ref="BM119">_xlfn.IFS(BD119="NA","NA",BD119&gt;100%,"100%",BD119&lt;100,BD119)</f>
        <v>0</v>
      </c>
      <c r="BN119" s="44" cm="1">
        <f t="array" ref="BN119">_xlfn.IFS(BF119="NA","NA",BF119&gt;100%,"100%",BF119&lt;100,BF119)</f>
        <v>0</v>
      </c>
      <c r="BO119" s="44" cm="1">
        <f t="array" ref="BO119">_xlfn.IFS(BH119="NA","NA",BH119&gt;100%,"100%",BH119&lt;100,BH119)</f>
        <v>0</v>
      </c>
      <c r="BP119" s="44" t="str" cm="1">
        <f t="array" ref="BP119">_xlfn.IFS(BJ119="NA","NA",BJ119&gt;100%,"100%",BJ119&lt;100,BJ119)</f>
        <v>NA</v>
      </c>
      <c r="BQ119" s="45">
        <v>0.22500000000000001</v>
      </c>
      <c r="BR119" s="45">
        <f t="shared" si="105"/>
        <v>0</v>
      </c>
      <c r="BS119" s="45">
        <v>7.4999999999999997E-2</v>
      </c>
      <c r="BT119" s="45">
        <v>0</v>
      </c>
      <c r="BU119" s="45">
        <v>0</v>
      </c>
      <c r="BV119" s="45">
        <f>(AD119*BQ119)/Q119</f>
        <v>7.4999999999999997E-2</v>
      </c>
      <c r="BW119" s="45">
        <f t="shared" si="113"/>
        <v>0</v>
      </c>
      <c r="BX119" s="45">
        <f t="shared" si="114"/>
        <v>0</v>
      </c>
      <c r="BY119" s="45">
        <f>(AL119*BQ119)/Q119</f>
        <v>7.4999999999999997E-2</v>
      </c>
      <c r="BZ119" s="45">
        <f>IF(BN119="NA","NA",BN119*BY119)</f>
        <v>0</v>
      </c>
      <c r="CA119" s="45">
        <f t="shared" si="106"/>
        <v>0</v>
      </c>
      <c r="CB119" s="45">
        <f>(AN119*BQ119)/Q119</f>
        <v>7.4999999999999997E-2</v>
      </c>
      <c r="CC119" s="45">
        <f>IF(BO119="NA","NA",BO119*CB119)</f>
        <v>0</v>
      </c>
      <c r="CD119" s="45">
        <v>0</v>
      </c>
      <c r="CE119" s="45">
        <f>(AP119*BQ119)/Q119</f>
        <v>0</v>
      </c>
      <c r="CF119" s="45" t="str">
        <f>IF(BP119="NA","NA",BP119*CE119)</f>
        <v>NA</v>
      </c>
      <c r="CG119" s="45">
        <v>0</v>
      </c>
      <c r="CH119" s="244"/>
      <c r="CI119" s="244"/>
      <c r="CJ119" s="244"/>
      <c r="CK119" s="244"/>
      <c r="CM119" s="63">
        <v>0</v>
      </c>
    </row>
    <row r="120" spans="1:261" ht="18" hidden="1" customHeight="1">
      <c r="A120" s="260" t="s">
        <v>144</v>
      </c>
      <c r="B120" s="260" t="s">
        <v>145</v>
      </c>
      <c r="C120" s="260" t="s">
        <v>100</v>
      </c>
      <c r="D120" s="260" t="s">
        <v>508</v>
      </c>
      <c r="E120" s="260" t="s">
        <v>769</v>
      </c>
      <c r="F120" s="260" t="s">
        <v>819</v>
      </c>
      <c r="G120" s="260" t="s">
        <v>820</v>
      </c>
      <c r="H120" s="260" t="s">
        <v>837</v>
      </c>
      <c r="I120" s="260"/>
      <c r="J120" s="260"/>
      <c r="K120" s="260" t="s">
        <v>838</v>
      </c>
      <c r="L120" s="260" t="s">
        <v>839</v>
      </c>
      <c r="M120" s="260" t="s">
        <v>840</v>
      </c>
      <c r="N120" s="260" t="s">
        <v>111</v>
      </c>
      <c r="O120" s="260" t="s">
        <v>124</v>
      </c>
      <c r="P120" s="10">
        <v>14</v>
      </c>
      <c r="Q120" s="11">
        <v>15</v>
      </c>
      <c r="R120" s="11">
        <f>(Z120+AH120)/CL120</f>
        <v>7.5</v>
      </c>
      <c r="S120" s="11" t="str">
        <f>VLOOKUP(K120,'1126 Desarrollo Social'!$K$13:$S$58,9,0)</f>
        <v>encuentros de arte y cultura urbano se impacto municipios de 14 provinciasarticulación con entidades del sector privado para ampliar la oferta institucionalCaracterización de la población beneficiada.El personal profesional contratado para las actividades de esta meta se realizo con recursos del plan de desarrollo unidos podemos mas</v>
      </c>
      <c r="T120" s="11">
        <v>0</v>
      </c>
      <c r="U120" s="11">
        <v>15</v>
      </c>
      <c r="V120" s="11">
        <v>0</v>
      </c>
      <c r="W120" s="11">
        <v>15</v>
      </c>
      <c r="X120" s="11" t="s">
        <v>115</v>
      </c>
      <c r="Y120" s="11">
        <v>15</v>
      </c>
      <c r="Z120" s="11">
        <v>15</v>
      </c>
      <c r="AA120" s="11" t="s">
        <v>841</v>
      </c>
      <c r="AB120" s="11" t="s">
        <v>842</v>
      </c>
      <c r="AC120" s="11" t="s">
        <v>843</v>
      </c>
      <c r="AD120" s="11">
        <v>0</v>
      </c>
      <c r="AE120" s="11">
        <v>15</v>
      </c>
      <c r="AF120" s="11">
        <f>VLOOKUP(K120,'1126 Desarrollo Social'!$K$13:$AK$58,22,0)</f>
        <v>0</v>
      </c>
      <c r="AG120" s="11">
        <f>VLOOKUP(K120,'1126 Desarrollo Social'!$K$13:$AK$58,23,0)</f>
        <v>15</v>
      </c>
      <c r="AH120" s="11">
        <f>AG120</f>
        <v>15</v>
      </c>
      <c r="AI120" s="11">
        <f>VLOOKUP(K120,'1126 Desarrollo Social'!$K$13:$AK$58,25,0)</f>
        <v>0</v>
      </c>
      <c r="AJ120" s="11" t="str">
        <f>VLOOKUP(K120,'1126 Desarrollo Social'!$K$13:$AK$58,26,0)</f>
        <v>Asistencia técnica y promoción de espacios de arte y cultura con Cajicá, Sopó y Funza.</v>
      </c>
      <c r="AK120" s="11">
        <f>VLOOKUP(K120,'1126 Desarrollo Social'!$K$13:$AK$58,27,0)</f>
        <v>0</v>
      </c>
      <c r="AL120" s="11">
        <v>0</v>
      </c>
      <c r="AM120" s="11">
        <v>15</v>
      </c>
      <c r="AN120" s="11">
        <v>0</v>
      </c>
      <c r="AO120" s="11">
        <v>15</v>
      </c>
      <c r="AP120" s="11">
        <v>0</v>
      </c>
      <c r="AQ120" s="11">
        <v>0</v>
      </c>
      <c r="AR120" s="51">
        <v>17415000</v>
      </c>
      <c r="AS120" s="54">
        <v>0</v>
      </c>
      <c r="AT120" s="54">
        <f t="shared" si="103"/>
        <v>17415000</v>
      </c>
      <c r="AU120" s="51">
        <v>15838333</v>
      </c>
      <c r="AV120" s="243">
        <v>337000000</v>
      </c>
      <c r="AW120" s="244"/>
      <c r="AX120" s="244"/>
      <c r="AY120" s="243">
        <v>226486131</v>
      </c>
      <c r="AZ120" s="44" cm="1">
        <f t="array" ref="AZ120">_xlfn.IFS((BA120=0),(BD120/CL120),(BA120&gt;0),((BB120+BD120)/CL120),(BE120&gt;0),((BB120+BD120+BE120)/CL120),(BG120&gt;0),((BB120+BD120+BE120+G120)/CL120))</f>
        <v>0.5</v>
      </c>
      <c r="BA120" s="44">
        <v>0.25</v>
      </c>
      <c r="BB120" s="44">
        <v>1</v>
      </c>
      <c r="BC120" s="44">
        <f>IF(AE120&gt;0,(1/CL120),0)</f>
        <v>0.25</v>
      </c>
      <c r="BD120" s="44" cm="1">
        <f t="array" ref="BD120">_xlfn.IFS(AE120=0,"NA",AE120&gt;0,AH120/AE120)</f>
        <v>1</v>
      </c>
      <c r="BE120" s="44">
        <f>IF(AM120&gt;0,(1/CL120),0)</f>
        <v>0.25</v>
      </c>
      <c r="BF120" s="44">
        <v>0</v>
      </c>
      <c r="BG120" s="44">
        <f>IF(AO120&gt;0,(1/CL120),0)</f>
        <v>0.25</v>
      </c>
      <c r="BH120" s="44">
        <v>0</v>
      </c>
      <c r="BI120" s="44">
        <v>0</v>
      </c>
      <c r="BJ120" s="44" t="s">
        <v>115</v>
      </c>
      <c r="BK120" s="44">
        <f t="shared" si="104"/>
        <v>0.5</v>
      </c>
      <c r="BL120" s="44">
        <v>1</v>
      </c>
      <c r="BM120" s="44" cm="1">
        <f t="array" ref="BM120">_xlfn.IFS(BD120="NA","NA",BD120&gt;100%,"100%",BD120&lt;100,BD120)</f>
        <v>1</v>
      </c>
      <c r="BN120" s="44">
        <v>0</v>
      </c>
      <c r="BO120" s="44">
        <v>0</v>
      </c>
      <c r="BP120" s="44" t="s">
        <v>115</v>
      </c>
      <c r="BQ120" s="45">
        <v>0.22500000000000001</v>
      </c>
      <c r="BR120" s="45">
        <f t="shared" si="105"/>
        <v>0.1125</v>
      </c>
      <c r="BS120" s="45">
        <v>5.6300000000000003E-2</v>
      </c>
      <c r="BT120" s="45">
        <v>5.6300000000000003E-2</v>
      </c>
      <c r="BU120" s="45">
        <v>5.6300000000000003E-2</v>
      </c>
      <c r="BV120" s="45">
        <v>5.6300000000000003E-2</v>
      </c>
      <c r="BW120" s="45">
        <f t="shared" si="113"/>
        <v>5.6300000000000003E-2</v>
      </c>
      <c r="BX120" s="45">
        <f t="shared" si="114"/>
        <v>5.62E-2</v>
      </c>
      <c r="BY120" s="45">
        <v>5.6300000000000003E-2</v>
      </c>
      <c r="BZ120" s="45">
        <v>0</v>
      </c>
      <c r="CA120" s="45">
        <f t="shared" si="106"/>
        <v>0</v>
      </c>
      <c r="CB120" s="45">
        <v>5.6300000000000003E-2</v>
      </c>
      <c r="CC120" s="45">
        <v>0</v>
      </c>
      <c r="CD120" s="45">
        <v>0</v>
      </c>
      <c r="CE120" s="45">
        <v>0</v>
      </c>
      <c r="CF120" s="45" t="s">
        <v>115</v>
      </c>
      <c r="CG120" s="45">
        <v>0</v>
      </c>
      <c r="CH120" s="244">
        <f>IF(W120&gt;0,1,0)</f>
        <v>1</v>
      </c>
      <c r="CI120" s="244">
        <f>IF(AE120&gt;0,1,0)</f>
        <v>1</v>
      </c>
      <c r="CJ120" s="244">
        <f>IF(AM120&gt;0,1,0)</f>
        <v>1</v>
      </c>
      <c r="CK120" s="244">
        <f>IF(AO120&gt;0,1,0)</f>
        <v>1</v>
      </c>
      <c r="CL120">
        <f>CH120+CI120+CJ120+CK120</f>
        <v>4</v>
      </c>
      <c r="CM120" s="63">
        <f>AVERAGE(Z120,AH120)</f>
        <v>15</v>
      </c>
    </row>
    <row r="121" spans="1:261" ht="18" hidden="1" customHeight="1">
      <c r="A121" s="260" t="s">
        <v>144</v>
      </c>
      <c r="B121" s="260" t="s">
        <v>145</v>
      </c>
      <c r="C121" s="260" t="s">
        <v>100</v>
      </c>
      <c r="D121" s="260" t="s">
        <v>508</v>
      </c>
      <c r="E121" s="260" t="s">
        <v>769</v>
      </c>
      <c r="F121" s="260" t="s">
        <v>819</v>
      </c>
      <c r="G121" s="260" t="s">
        <v>820</v>
      </c>
      <c r="H121" s="260" t="s">
        <v>844</v>
      </c>
      <c r="I121" s="260"/>
      <c r="J121" s="260"/>
      <c r="K121" s="260" t="s">
        <v>845</v>
      </c>
      <c r="L121" s="260" t="s">
        <v>846</v>
      </c>
      <c r="M121" s="260" t="s">
        <v>847</v>
      </c>
      <c r="N121" s="260" t="s">
        <v>111</v>
      </c>
      <c r="O121" s="260" t="s">
        <v>112</v>
      </c>
      <c r="P121" s="10">
        <v>0</v>
      </c>
      <c r="Q121" s="11">
        <v>5</v>
      </c>
      <c r="R121" s="11" t="e">
        <f t="shared" ref="R121:R126" si="191">Z121+AH121</f>
        <v>#VALUE!</v>
      </c>
      <c r="S121" s="11" t="str">
        <f>VLOOKUP(K121,'1126 Desarrollo Social'!$K$13:$S$58,9,0)</f>
        <v>identificación de municipios que están interesados en el proyectopreparación de proyectos tipo de casas de integración juvenilEl personal profesional contratado para las actividades de esta meta se realizo con recursos del plan de desarrollo unidos podemos mas</v>
      </c>
      <c r="T121" s="11">
        <v>1</v>
      </c>
      <c r="U121" s="11">
        <v>0</v>
      </c>
      <c r="V121" s="11">
        <v>0</v>
      </c>
      <c r="W121" s="11">
        <v>0</v>
      </c>
      <c r="X121" s="11">
        <v>0</v>
      </c>
      <c r="Y121" s="11">
        <v>0</v>
      </c>
      <c r="Z121" s="11">
        <v>0</v>
      </c>
      <c r="AA121" s="11">
        <v>0</v>
      </c>
      <c r="AB121" s="11" t="s">
        <v>848</v>
      </c>
      <c r="AC121" s="11" t="s">
        <v>849</v>
      </c>
      <c r="AD121" s="11">
        <v>1</v>
      </c>
      <c r="AE121" s="11">
        <v>0</v>
      </c>
      <c r="AF121" s="11" t="str">
        <f>VLOOKUP(K121,'1126 Desarrollo Social'!$K$13:$AK$58,22,0)</f>
        <v>0,3</v>
      </c>
      <c r="AG121" s="11">
        <f>VLOOKUP(K121,'1126 Desarrollo Social'!$K$13:$AK$58,23,0)</f>
        <v>0</v>
      </c>
      <c r="AH121" s="11" t="str">
        <f t="shared" ref="AH121:AH126" si="192">AF121</f>
        <v>0,3</v>
      </c>
      <c r="AI121" s="11">
        <f>VLOOKUP(K121,'1126 Desarrollo Social'!$K$13:$AK$58,25,0)</f>
        <v>0</v>
      </c>
      <c r="AJ121" s="11" t="str">
        <f>VLOOKUP(K121,'1126 Desarrollo Social'!$K$13:$AK$58,26,0)</f>
        <v>viabilizacion del proyecto de la casa juvenil de Gachancipá. Acompañamiento y asesoria en la formulación de planos y diseños de la propuesta de casa. Visitas técnicas al municipio de San Antonio del Tequendama, Facatativá, Fusagasugá, Soacha, Gachancipa y La Calera. aprobacion proyecto gachancipa</v>
      </c>
      <c r="AK121" s="11">
        <f>VLOOKUP(K121,'1126 Desarrollo Social'!$K$13:$AK$58,27,0)</f>
        <v>0</v>
      </c>
      <c r="AL121" s="11">
        <v>2</v>
      </c>
      <c r="AM121" s="11">
        <v>0</v>
      </c>
      <c r="AN121" s="11">
        <v>2</v>
      </c>
      <c r="AO121" s="11">
        <v>0</v>
      </c>
      <c r="AP121" s="11">
        <v>0</v>
      </c>
      <c r="AQ121" s="11">
        <v>0</v>
      </c>
      <c r="AR121" s="51">
        <v>2233333</v>
      </c>
      <c r="AS121" s="54">
        <v>100000000</v>
      </c>
      <c r="AT121" s="54">
        <f t="shared" si="103"/>
        <v>102233333</v>
      </c>
      <c r="AU121" s="51">
        <v>2233333</v>
      </c>
      <c r="AV121" s="243">
        <v>55000000</v>
      </c>
      <c r="AW121" s="244"/>
      <c r="AX121" s="244"/>
      <c r="AY121" s="243">
        <v>54500000</v>
      </c>
      <c r="AZ121" s="44" t="e">
        <f t="shared" ref="AZ121:AZ126" si="193">R121/Q121</f>
        <v>#VALUE!</v>
      </c>
      <c r="BA121" s="44">
        <v>0</v>
      </c>
      <c r="BB121" s="44" t="s">
        <v>115</v>
      </c>
      <c r="BC121" s="44">
        <f t="shared" ref="BC121:BC126" si="194">AD121/Q121</f>
        <v>0.2</v>
      </c>
      <c r="BD121" s="44" t="e" cm="1">
        <f t="array" ref="BD121">_xlfn.IFS(AD121=0,"NA",AD121&gt;0,AH121/AD121)</f>
        <v>#VALUE!</v>
      </c>
      <c r="BE121" s="44">
        <f t="shared" ref="BE121:BE126" si="195">AL121/Q121</f>
        <v>0.4</v>
      </c>
      <c r="BF121" s="44">
        <v>0</v>
      </c>
      <c r="BG121" s="44">
        <f t="shared" ref="BG121:BG126" si="196">AN121/Q121</f>
        <v>0.4</v>
      </c>
      <c r="BH121" s="44">
        <v>0</v>
      </c>
      <c r="BI121" s="44">
        <f t="shared" ref="BI121:BI126" si="197">AP121/Q121</f>
        <v>0</v>
      </c>
      <c r="BJ121" s="44" t="s">
        <v>115</v>
      </c>
      <c r="BK121" s="44" t="e">
        <f t="shared" si="104"/>
        <v>#VALUE!</v>
      </c>
      <c r="BL121" s="44" t="s">
        <v>115</v>
      </c>
      <c r="BM121" s="44" t="e" cm="1">
        <f t="array" ref="BM121">_xlfn.IFS(BD121="NA","NA",BD121&gt;100%,"100%",BD121&lt;100,BD121)</f>
        <v>#VALUE!</v>
      </c>
      <c r="BN121" s="44" cm="1">
        <f t="array" ref="BN121">_xlfn.IFS(BF121="NA","NA",BF121&gt;100%,"100%",BF121&lt;100,BF121)</f>
        <v>0</v>
      </c>
      <c r="BO121" s="44" cm="1">
        <f t="array" ref="BO121">_xlfn.IFS(BH121="NA","NA",BH121&gt;100%,"100%",BH121&lt;100,BH121)</f>
        <v>0</v>
      </c>
      <c r="BP121" s="44" t="str" cm="1">
        <f t="array" ref="BP121">_xlfn.IFS(BJ121="NA","NA",BJ121&gt;100%,"100%",BJ121&lt;100,BJ121)</f>
        <v>NA</v>
      </c>
      <c r="BQ121" s="45">
        <v>0.22500000000000001</v>
      </c>
      <c r="BR121" s="45" t="e">
        <f t="shared" si="105"/>
        <v>#VALUE!</v>
      </c>
      <c r="BS121" s="45">
        <v>0</v>
      </c>
      <c r="BT121" s="45" t="s">
        <v>115</v>
      </c>
      <c r="BU121" s="45">
        <v>0</v>
      </c>
      <c r="BV121" s="45">
        <f t="shared" ref="BV121:BV126" si="198">(AD121*BQ121)/Q121</f>
        <v>4.4999999999999998E-2</v>
      </c>
      <c r="BW121" s="45" t="e">
        <f t="shared" si="113"/>
        <v>#VALUE!</v>
      </c>
      <c r="BX121" s="45" t="e">
        <f t="shared" si="114"/>
        <v>#VALUE!</v>
      </c>
      <c r="BY121" s="45">
        <f t="shared" ref="BY121:BY126" si="199">(AL121*BQ121)/Q121</f>
        <v>0.09</v>
      </c>
      <c r="BZ121" s="45">
        <f t="shared" ref="BZ121:BZ126" si="200">IF(BN121="NA","NA",BN121*BY121)</f>
        <v>0</v>
      </c>
      <c r="CA121" s="45" t="e">
        <f t="shared" si="106"/>
        <v>#VALUE!</v>
      </c>
      <c r="CB121" s="45">
        <f t="shared" ref="CB121:CB126" si="201">(AN121*BQ121)/Q121</f>
        <v>0.09</v>
      </c>
      <c r="CC121" s="45">
        <f t="shared" ref="CC121:CC126" si="202">IF(BO121="NA","NA",BO121*CB121)</f>
        <v>0</v>
      </c>
      <c r="CD121" s="45">
        <v>0</v>
      </c>
      <c r="CE121" s="45">
        <f t="shared" ref="CE121:CE126" si="203">(AP121*BQ121)/Q121</f>
        <v>0</v>
      </c>
      <c r="CF121" s="45" t="str">
        <f t="shared" ref="CF121:CF126" si="204">IF(BP121="NA","NA",BP121*CE121)</f>
        <v>NA</v>
      </c>
      <c r="CG121" s="45">
        <v>0</v>
      </c>
      <c r="CH121" s="244"/>
      <c r="CI121" s="244"/>
      <c r="CJ121" s="244"/>
      <c r="CK121" s="244"/>
      <c r="CM121" s="63">
        <v>0.3</v>
      </c>
    </row>
    <row r="122" spans="1:261" ht="18" hidden="1" customHeight="1">
      <c r="A122" s="260" t="s">
        <v>144</v>
      </c>
      <c r="B122" s="260" t="s">
        <v>145</v>
      </c>
      <c r="C122" s="260" t="s">
        <v>100</v>
      </c>
      <c r="D122" s="260" t="s">
        <v>508</v>
      </c>
      <c r="E122" s="260" t="s">
        <v>769</v>
      </c>
      <c r="F122" s="260" t="s">
        <v>819</v>
      </c>
      <c r="G122" s="260" t="s">
        <v>820</v>
      </c>
      <c r="H122" s="260" t="s">
        <v>850</v>
      </c>
      <c r="I122" s="260"/>
      <c r="J122" s="260"/>
      <c r="K122" s="260" t="s">
        <v>851</v>
      </c>
      <c r="L122" s="260" t="s">
        <v>852</v>
      </c>
      <c r="M122" s="260" t="s">
        <v>853</v>
      </c>
      <c r="N122" s="260" t="s">
        <v>111</v>
      </c>
      <c r="O122" s="260" t="s">
        <v>112</v>
      </c>
      <c r="P122" s="10">
        <v>3</v>
      </c>
      <c r="Q122" s="11">
        <v>4</v>
      </c>
      <c r="R122" s="11">
        <f t="shared" si="191"/>
        <v>2.5</v>
      </c>
      <c r="S122" s="11" t="str">
        <f>VLOOKUP(K122,'1126 Desarrollo Social'!$K$13:$S$58,9,0)</f>
        <v>3 Redes departamentales activadas y funcionadoEl personal profesional contratado para las actividades de esta meta se realizo con recursos del plan de desarrollo unidos podemos mas</v>
      </c>
      <c r="T122" s="11">
        <v>0.5</v>
      </c>
      <c r="U122" s="11">
        <v>0</v>
      </c>
      <c r="V122" s="11">
        <v>0.5</v>
      </c>
      <c r="W122" s="11">
        <v>0</v>
      </c>
      <c r="X122" s="11">
        <v>0.5</v>
      </c>
      <c r="Y122" s="11">
        <v>0</v>
      </c>
      <c r="Z122" s="11">
        <v>0.5</v>
      </c>
      <c r="AA122" s="11">
        <v>0</v>
      </c>
      <c r="AB122" s="11" t="s">
        <v>854</v>
      </c>
      <c r="AC122" s="11" t="s">
        <v>855</v>
      </c>
      <c r="AD122" s="11">
        <v>0.5</v>
      </c>
      <c r="AE122" s="11">
        <v>0</v>
      </c>
      <c r="AF122" s="11">
        <f>VLOOKUP(K122,'1126 Desarrollo Social'!$K$13:$AK$58,22,0)</f>
        <v>2</v>
      </c>
      <c r="AG122" s="11">
        <f>VLOOKUP(K122,'1126 Desarrollo Social'!$K$13:$AK$58,23,0)</f>
        <v>0</v>
      </c>
      <c r="AH122" s="11">
        <f t="shared" si="192"/>
        <v>2</v>
      </c>
      <c r="AI122" s="11">
        <f>VLOOKUP(K122,'1126 Desarrollo Social'!$K$13:$AK$58,25,0)</f>
        <v>0</v>
      </c>
      <c r="AJ122" s="11" t="str">
        <f>VLOOKUP(K122,'1126 Desarrollo Social'!$K$13:$AK$58,26,0)</f>
        <v xml:space="preserve">Conformación de dos redes departamentales de comunicacion juvenil 1. Red de jovenes por los derechos huamnos 2. Red juvenil de talentos emregentes 3. Fortalecimiento y acompañamiento a las redes juveniles </v>
      </c>
      <c r="AK122" s="11">
        <f>VLOOKUP(K122,'1126 Desarrollo Social'!$K$13:$AK$58,27,0)</f>
        <v>0</v>
      </c>
      <c r="AL122" s="11">
        <v>2</v>
      </c>
      <c r="AM122" s="11">
        <v>0</v>
      </c>
      <c r="AN122" s="11">
        <v>1</v>
      </c>
      <c r="AO122" s="11">
        <v>0</v>
      </c>
      <c r="AP122" s="11">
        <v>0</v>
      </c>
      <c r="AQ122" s="11">
        <v>0</v>
      </c>
      <c r="AR122" s="51">
        <v>2957933</v>
      </c>
      <c r="AS122" s="54">
        <v>0</v>
      </c>
      <c r="AT122" s="54">
        <f t="shared" si="103"/>
        <v>2957933</v>
      </c>
      <c r="AU122" s="51">
        <v>2957933</v>
      </c>
      <c r="AV122" s="243">
        <v>27337108</v>
      </c>
      <c r="AW122" s="244"/>
      <c r="AX122" s="244"/>
      <c r="AY122" s="243">
        <v>22181440</v>
      </c>
      <c r="AZ122" s="44">
        <f t="shared" si="193"/>
        <v>0.625</v>
      </c>
      <c r="BA122" s="44">
        <v>0.125</v>
      </c>
      <c r="BB122" s="44">
        <v>1</v>
      </c>
      <c r="BC122" s="44">
        <f t="shared" si="194"/>
        <v>0.125</v>
      </c>
      <c r="BD122" s="44" cm="1">
        <f t="array" ref="BD122">_xlfn.IFS(AD122=0,"NA",AD122&gt;0,AH122/AD122)</f>
        <v>4</v>
      </c>
      <c r="BE122" s="44">
        <f t="shared" si="195"/>
        <v>0.5</v>
      </c>
      <c r="BF122" s="44">
        <v>0</v>
      </c>
      <c r="BG122" s="44">
        <f t="shared" si="196"/>
        <v>0.25</v>
      </c>
      <c r="BH122" s="44">
        <v>0</v>
      </c>
      <c r="BI122" s="44">
        <f t="shared" si="197"/>
        <v>0</v>
      </c>
      <c r="BJ122" s="44" t="s">
        <v>115</v>
      </c>
      <c r="BK122" s="44">
        <f t="shared" si="104"/>
        <v>0.625</v>
      </c>
      <c r="BL122" s="44">
        <v>1</v>
      </c>
      <c r="BM122" s="44" t="str" cm="1">
        <f t="array" ref="BM122">_xlfn.IFS(BD122="NA","NA",BD122&gt;100%,"100%",BD122&lt;100,BD122)</f>
        <v>100%</v>
      </c>
      <c r="BN122" s="44" cm="1">
        <f t="array" ref="BN122">_xlfn.IFS(BF122="NA","NA",BF122&gt;100%,"100%",BF122&lt;100,BF122)</f>
        <v>0</v>
      </c>
      <c r="BO122" s="44" cm="1">
        <f t="array" ref="BO122">_xlfn.IFS(BH122="NA","NA",BH122&gt;100%,"100%",BH122&lt;100,BH122)</f>
        <v>0</v>
      </c>
      <c r="BP122" s="44" t="str" cm="1">
        <f t="array" ref="BP122">_xlfn.IFS(BJ122="NA","NA",BJ122&gt;100%,"100%",BJ122&lt;100,BJ122)</f>
        <v>NA</v>
      </c>
      <c r="BQ122" s="45">
        <v>0.22500000000000001</v>
      </c>
      <c r="BR122" s="45">
        <f t="shared" si="105"/>
        <v>0.140625</v>
      </c>
      <c r="BS122" s="45">
        <v>2.81E-2</v>
      </c>
      <c r="BT122" s="45">
        <v>2.81E-2</v>
      </c>
      <c r="BU122" s="45">
        <v>2.81E-2</v>
      </c>
      <c r="BV122" s="45">
        <f t="shared" si="198"/>
        <v>2.8125000000000001E-2</v>
      </c>
      <c r="BW122" s="45">
        <f t="shared" si="113"/>
        <v>2.8125000000000001E-2</v>
      </c>
      <c r="BX122" s="45">
        <f t="shared" si="114"/>
        <v>0.112525</v>
      </c>
      <c r="BY122" s="45">
        <f t="shared" si="199"/>
        <v>0.1125</v>
      </c>
      <c r="BZ122" s="45">
        <f t="shared" si="200"/>
        <v>0</v>
      </c>
      <c r="CA122" s="45">
        <f t="shared" si="106"/>
        <v>0</v>
      </c>
      <c r="CB122" s="45">
        <f t="shared" si="201"/>
        <v>5.6250000000000001E-2</v>
      </c>
      <c r="CC122" s="45">
        <f t="shared" si="202"/>
        <v>0</v>
      </c>
      <c r="CD122" s="45">
        <v>0</v>
      </c>
      <c r="CE122" s="45">
        <f t="shared" si="203"/>
        <v>0</v>
      </c>
      <c r="CF122" s="45" t="str">
        <f t="shared" si="204"/>
        <v>NA</v>
      </c>
      <c r="CG122" s="45">
        <v>0</v>
      </c>
      <c r="CH122" s="244"/>
      <c r="CI122" s="244"/>
      <c r="CJ122" s="244"/>
      <c r="CK122" s="244"/>
      <c r="CM122" s="63">
        <v>1.5</v>
      </c>
    </row>
    <row r="123" spans="1:261" ht="18" hidden="1" customHeight="1">
      <c r="A123" s="260" t="s">
        <v>144</v>
      </c>
      <c r="B123" s="260" t="s">
        <v>145</v>
      </c>
      <c r="C123" s="260" t="s">
        <v>100</v>
      </c>
      <c r="D123" s="260" t="s">
        <v>508</v>
      </c>
      <c r="E123" s="260" t="s">
        <v>769</v>
      </c>
      <c r="F123" s="260" t="s">
        <v>819</v>
      </c>
      <c r="G123" s="260" t="s">
        <v>820</v>
      </c>
      <c r="H123" s="260" t="s">
        <v>856</v>
      </c>
      <c r="I123" s="260"/>
      <c r="J123" s="260"/>
      <c r="K123" s="260" t="s">
        <v>857</v>
      </c>
      <c r="L123" s="260" t="s">
        <v>858</v>
      </c>
      <c r="M123" s="260" t="s">
        <v>859</v>
      </c>
      <c r="N123" s="260" t="s">
        <v>111</v>
      </c>
      <c r="O123" s="260" t="s">
        <v>112</v>
      </c>
      <c r="P123" s="10">
        <v>10000</v>
      </c>
      <c r="Q123" s="11">
        <v>10000</v>
      </c>
      <c r="R123" s="11">
        <f t="shared" si="191"/>
        <v>4175</v>
      </c>
      <c r="S123" s="11" t="str">
        <f>VLOOKUP(K123,'1126 Desarrollo Social'!$K$13:$S$58,9,0)</f>
        <v>452 jóvenes vinculados a la estrategia juntos hacemos combo recargadoIntercambios de vivencias y experiencias juveniles en los eventosEl personal profesional contratado para las actividades de esta meta se realizo con recursos del plan de desarrollo unidos podemos mas</v>
      </c>
      <c r="T123" s="11">
        <v>1000</v>
      </c>
      <c r="U123" s="11">
        <v>0</v>
      </c>
      <c r="V123" s="11">
        <v>1000</v>
      </c>
      <c r="W123" s="11">
        <v>0</v>
      </c>
      <c r="X123" s="11">
        <v>896</v>
      </c>
      <c r="Y123" s="11">
        <v>0</v>
      </c>
      <c r="Z123" s="11">
        <v>896</v>
      </c>
      <c r="AA123" s="11" t="s">
        <v>860</v>
      </c>
      <c r="AB123" s="11" t="s">
        <v>861</v>
      </c>
      <c r="AC123" s="11" t="s">
        <v>862</v>
      </c>
      <c r="AD123" s="11">
        <v>3104</v>
      </c>
      <c r="AE123" s="11">
        <v>0</v>
      </c>
      <c r="AF123" s="11">
        <f>VLOOKUP(K123,'1126 Desarrollo Social'!$K$13:$AK$58,22,0)</f>
        <v>3279</v>
      </c>
      <c r="AG123" s="11">
        <f>VLOOKUP(K123,'1126 Desarrollo Social'!$K$13:$AK$58,23,0)</f>
        <v>0</v>
      </c>
      <c r="AH123" s="11">
        <f t="shared" si="192"/>
        <v>3279</v>
      </c>
      <c r="AI123" s="11">
        <f>VLOOKUP(K123,'1126 Desarrollo Social'!$K$13:$AK$58,25,0)</f>
        <v>0</v>
      </c>
      <c r="AJ123" s="11" t="str">
        <f>VLOOKUP(K123,'1126 Desarrollo Social'!$K$13:$AK$58,26,0)</f>
        <v xml:space="preserve"> La estrategia "Juntos Hacemos Combo Recargado" se implementó en las 15 provincias del Departamento, impactando a la fecha en el año 2021 a una población de 3279 jóvenes con su núcleo familiar, comunitario y social </v>
      </c>
      <c r="AK123" s="11">
        <f>VLOOKUP(K123,'1126 Desarrollo Social'!$K$13:$AK$58,27,0)</f>
        <v>0</v>
      </c>
      <c r="AL123" s="11">
        <v>3000</v>
      </c>
      <c r="AM123" s="11">
        <v>0</v>
      </c>
      <c r="AN123" s="11">
        <v>3000</v>
      </c>
      <c r="AO123" s="11">
        <v>0</v>
      </c>
      <c r="AP123" s="11">
        <v>0</v>
      </c>
      <c r="AQ123" s="11">
        <v>0</v>
      </c>
      <c r="AR123" s="51">
        <v>56278332</v>
      </c>
      <c r="AS123" s="54">
        <v>0</v>
      </c>
      <c r="AT123" s="54">
        <f t="shared" si="103"/>
        <v>56278332</v>
      </c>
      <c r="AU123" s="51">
        <v>53451665</v>
      </c>
      <c r="AV123" s="243">
        <v>400000000</v>
      </c>
      <c r="AW123" s="244"/>
      <c r="AX123" s="244"/>
      <c r="AY123" s="243">
        <v>339655758</v>
      </c>
      <c r="AZ123" s="44">
        <f t="shared" si="193"/>
        <v>0.41749999999999998</v>
      </c>
      <c r="BA123" s="44">
        <v>0.1</v>
      </c>
      <c r="BB123" s="44">
        <v>0.89600000000000002</v>
      </c>
      <c r="BC123" s="44">
        <f t="shared" si="194"/>
        <v>0.31040000000000001</v>
      </c>
      <c r="BD123" s="44" cm="1">
        <f t="array" ref="BD123">_xlfn.IFS(AD123=0,"NA",AD123&gt;0,AH123/AD123)</f>
        <v>1.0563788659793814</v>
      </c>
      <c r="BE123" s="44">
        <f t="shared" si="195"/>
        <v>0.3</v>
      </c>
      <c r="BF123" s="44">
        <v>0</v>
      </c>
      <c r="BG123" s="44">
        <f t="shared" si="196"/>
        <v>0.3</v>
      </c>
      <c r="BH123" s="44">
        <v>0</v>
      </c>
      <c r="BI123" s="44">
        <f t="shared" si="197"/>
        <v>0</v>
      </c>
      <c r="BJ123" s="44" t="s">
        <v>115</v>
      </c>
      <c r="BK123" s="44">
        <f t="shared" si="104"/>
        <v>0.41749999999999998</v>
      </c>
      <c r="BL123" s="44">
        <v>0.89600000000000002</v>
      </c>
      <c r="BM123" s="44" t="str" cm="1">
        <f t="array" ref="BM123">_xlfn.IFS(BD123="NA","NA",BD123&gt;100%,"100%",BD123&lt;100,BD123)</f>
        <v>100%</v>
      </c>
      <c r="BN123" s="44" cm="1">
        <f t="array" ref="BN123">_xlfn.IFS(BF123="NA","NA",BF123&gt;100%,"100%",BF123&lt;100,BF123)</f>
        <v>0</v>
      </c>
      <c r="BO123" s="44" cm="1">
        <f t="array" ref="BO123">_xlfn.IFS(BH123="NA","NA",BH123&gt;100%,"100%",BH123&lt;100,BH123)</f>
        <v>0</v>
      </c>
      <c r="BP123" s="44" t="str" cm="1">
        <f t="array" ref="BP123">_xlfn.IFS(BJ123="NA","NA",BJ123&gt;100%,"100%",BJ123&lt;100,BJ123)</f>
        <v>NA</v>
      </c>
      <c r="BQ123" s="45">
        <v>0.22500000000000001</v>
      </c>
      <c r="BR123" s="45">
        <f t="shared" si="105"/>
        <v>9.3937499999999993E-2</v>
      </c>
      <c r="BS123" s="45">
        <v>2.2499999999999999E-2</v>
      </c>
      <c r="BT123" s="45">
        <v>2.0199999999999999E-2</v>
      </c>
      <c r="BU123" s="45">
        <v>2.0199999999999999E-2</v>
      </c>
      <c r="BV123" s="45">
        <f t="shared" si="198"/>
        <v>6.9839999999999999E-2</v>
      </c>
      <c r="BW123" s="45">
        <f t="shared" si="113"/>
        <v>6.9839999999999999E-2</v>
      </c>
      <c r="BX123" s="45">
        <f t="shared" si="114"/>
        <v>7.3737499999999997E-2</v>
      </c>
      <c r="BY123" s="45">
        <f t="shared" si="199"/>
        <v>6.7500000000000004E-2</v>
      </c>
      <c r="BZ123" s="45">
        <f t="shared" si="200"/>
        <v>0</v>
      </c>
      <c r="CA123" s="45">
        <f t="shared" si="106"/>
        <v>0</v>
      </c>
      <c r="CB123" s="45">
        <f t="shared" si="201"/>
        <v>6.7500000000000004E-2</v>
      </c>
      <c r="CC123" s="45">
        <f t="shared" si="202"/>
        <v>0</v>
      </c>
      <c r="CD123" s="45">
        <v>0</v>
      </c>
      <c r="CE123" s="45">
        <f t="shared" si="203"/>
        <v>0</v>
      </c>
      <c r="CF123" s="45" t="str">
        <f t="shared" si="204"/>
        <v>NA</v>
      </c>
      <c r="CG123" s="45">
        <v>0</v>
      </c>
      <c r="CH123" s="244"/>
      <c r="CI123" s="244"/>
      <c r="CJ123" s="244"/>
      <c r="CK123" s="244"/>
      <c r="CM123" s="63">
        <v>1442</v>
      </c>
    </row>
    <row r="124" spans="1:261" ht="18" hidden="1" customHeight="1">
      <c r="A124" s="260" t="s">
        <v>144</v>
      </c>
      <c r="B124" s="260" t="s">
        <v>145</v>
      </c>
      <c r="C124" s="260" t="s">
        <v>100</v>
      </c>
      <c r="D124" s="260" t="s">
        <v>508</v>
      </c>
      <c r="E124" s="260" t="s">
        <v>769</v>
      </c>
      <c r="F124" s="260" t="s">
        <v>819</v>
      </c>
      <c r="G124" s="260" t="s">
        <v>820</v>
      </c>
      <c r="H124" s="260" t="s">
        <v>863</v>
      </c>
      <c r="I124" s="260"/>
      <c r="J124" s="260"/>
      <c r="K124" s="260" t="s">
        <v>864</v>
      </c>
      <c r="L124" s="260" t="s">
        <v>865</v>
      </c>
      <c r="M124" s="260" t="s">
        <v>866</v>
      </c>
      <c r="N124" s="260" t="s">
        <v>111</v>
      </c>
      <c r="O124" s="260" t="s">
        <v>112</v>
      </c>
      <c r="P124" s="10">
        <v>100</v>
      </c>
      <c r="Q124" s="11">
        <v>100</v>
      </c>
      <c r="R124" s="11">
        <f t="shared" si="191"/>
        <v>26</v>
      </c>
      <c r="S124" s="11" t="str">
        <f>VLOOKUP(K124,'1126 Desarrollo Social'!$K$13:$S$58,9,0)</f>
        <v>Seguimiento a las iniciativas del año 2019Socialización en los municipios del decreto que reglamenta el banco de iniciativas juvenilesEl personal profesional contratado para las actividades de esta meta se realizo con recursos del plan de desarrollo unidos podemos mas</v>
      </c>
      <c r="T124" s="11">
        <v>14</v>
      </c>
      <c r="U124" s="11">
        <v>0</v>
      </c>
      <c r="V124" s="11">
        <v>14</v>
      </c>
      <c r="W124" s="11">
        <v>0</v>
      </c>
      <c r="X124" s="11">
        <v>15</v>
      </c>
      <c r="Y124" s="11">
        <v>0</v>
      </c>
      <c r="Z124" s="11">
        <v>15</v>
      </c>
      <c r="AA124" s="11">
        <v>0</v>
      </c>
      <c r="AB124" s="11" t="s">
        <v>867</v>
      </c>
      <c r="AC124" s="11">
        <v>0</v>
      </c>
      <c r="AD124" s="11">
        <v>20</v>
      </c>
      <c r="AE124" s="11">
        <v>0</v>
      </c>
      <c r="AF124" s="11">
        <f>VLOOKUP(K124,'1126 Desarrollo Social'!$K$13:$AK$58,22,0)</f>
        <v>11</v>
      </c>
      <c r="AG124" s="11">
        <f>VLOOKUP(K124,'1126 Desarrollo Social'!$K$13:$AK$58,23,0)</f>
        <v>0</v>
      </c>
      <c r="AH124" s="11">
        <f t="shared" si="192"/>
        <v>11</v>
      </c>
      <c r="AI124" s="11">
        <f>VLOOKUP(K124,'1126 Desarrollo Social'!$K$13:$AK$58,25,0)</f>
        <v>0</v>
      </c>
      <c r="AJ124" s="11" t="str">
        <f>VLOOKUP(K124,'1126 Desarrollo Social'!$K$13:$AK$58,26,0)</f>
        <v>Entrega de incentivos económicos a las iniciativas beneficiadas de la convocatoria 2020. Seguimiento a Iniciativas 2020 (desembolsadas en marzo de la vigencia actual) . Formulación de Convocataria 2021. Apertura de la convocatoria del banco de iniciativas juveniles.</v>
      </c>
      <c r="AK124" s="11">
        <f>VLOOKUP(K124,'1126 Desarrollo Social'!$K$13:$AK$58,27,0)</f>
        <v>0</v>
      </c>
      <c r="AL124" s="11">
        <v>36</v>
      </c>
      <c r="AM124" s="11">
        <v>0</v>
      </c>
      <c r="AN124" s="11">
        <v>29</v>
      </c>
      <c r="AO124" s="11">
        <v>0</v>
      </c>
      <c r="AP124" s="11">
        <v>0</v>
      </c>
      <c r="AQ124" s="11">
        <v>0</v>
      </c>
      <c r="AR124" s="51">
        <v>160032500</v>
      </c>
      <c r="AS124" s="54">
        <v>0</v>
      </c>
      <c r="AT124" s="54">
        <f t="shared" si="103"/>
        <v>160032500</v>
      </c>
      <c r="AU124" s="51">
        <v>157983821</v>
      </c>
      <c r="AV124" s="243">
        <v>180000000</v>
      </c>
      <c r="AW124" s="244"/>
      <c r="AX124" s="244"/>
      <c r="AY124" s="243">
        <v>159873100</v>
      </c>
      <c r="AZ124" s="44">
        <f t="shared" si="193"/>
        <v>0.26</v>
      </c>
      <c r="BA124" s="44">
        <v>0.14000000000000001</v>
      </c>
      <c r="BB124" s="44">
        <v>1.0713999999999999</v>
      </c>
      <c r="BC124" s="44">
        <f t="shared" si="194"/>
        <v>0.2</v>
      </c>
      <c r="BD124" s="44" cm="1">
        <f t="array" ref="BD124">_xlfn.IFS(AD124=0,"NA",AD124&gt;0,AH124/AD124)</f>
        <v>0.55000000000000004</v>
      </c>
      <c r="BE124" s="44">
        <f t="shared" si="195"/>
        <v>0.36</v>
      </c>
      <c r="BF124" s="44">
        <v>0</v>
      </c>
      <c r="BG124" s="44">
        <f t="shared" si="196"/>
        <v>0.28999999999999998</v>
      </c>
      <c r="BH124" s="44">
        <v>0</v>
      </c>
      <c r="BI124" s="44">
        <f t="shared" si="197"/>
        <v>0</v>
      </c>
      <c r="BJ124" s="44" t="s">
        <v>115</v>
      </c>
      <c r="BK124" s="44">
        <f t="shared" si="104"/>
        <v>0.26</v>
      </c>
      <c r="BL124" s="44">
        <v>1</v>
      </c>
      <c r="BM124" s="44" cm="1">
        <f t="array" ref="BM124">_xlfn.IFS(BD124="NA","NA",BD124&gt;100%,"100%",BD124&lt;100,BD124)</f>
        <v>0.55000000000000004</v>
      </c>
      <c r="BN124" s="44" cm="1">
        <f t="array" ref="BN124">_xlfn.IFS(BF124="NA","NA",BF124&gt;100%,"100%",BF124&lt;100,BF124)</f>
        <v>0</v>
      </c>
      <c r="BO124" s="44" cm="1">
        <f t="array" ref="BO124">_xlfn.IFS(BH124="NA","NA",BH124&gt;100%,"100%",BH124&lt;100,BH124)</f>
        <v>0</v>
      </c>
      <c r="BP124" s="44" t="str" cm="1">
        <f t="array" ref="BP124">_xlfn.IFS(BJ124="NA","NA",BJ124&gt;100%,"100%",BJ124&lt;100,BJ124)</f>
        <v>NA</v>
      </c>
      <c r="BQ124" s="45">
        <v>0.22500000000000001</v>
      </c>
      <c r="BR124" s="45">
        <f t="shared" si="105"/>
        <v>5.8500000000000003E-2</v>
      </c>
      <c r="BS124" s="45">
        <v>3.15E-2</v>
      </c>
      <c r="BT124" s="45">
        <v>3.15E-2</v>
      </c>
      <c r="BU124" s="45">
        <v>3.3799999999999997E-2</v>
      </c>
      <c r="BV124" s="45">
        <f t="shared" si="198"/>
        <v>4.4999999999999998E-2</v>
      </c>
      <c r="BW124" s="45">
        <f t="shared" si="113"/>
        <v>2.4750000000000001E-2</v>
      </c>
      <c r="BX124" s="45">
        <f t="shared" si="114"/>
        <v>2.4700000000000007E-2</v>
      </c>
      <c r="BY124" s="45">
        <f t="shared" si="199"/>
        <v>8.1000000000000003E-2</v>
      </c>
      <c r="BZ124" s="45">
        <f t="shared" si="200"/>
        <v>0</v>
      </c>
      <c r="CA124" s="45">
        <f t="shared" si="106"/>
        <v>0</v>
      </c>
      <c r="CB124" s="45">
        <f t="shared" si="201"/>
        <v>6.5250000000000002E-2</v>
      </c>
      <c r="CC124" s="45">
        <f t="shared" si="202"/>
        <v>0</v>
      </c>
      <c r="CD124" s="45">
        <v>0</v>
      </c>
      <c r="CE124" s="45">
        <f t="shared" si="203"/>
        <v>0</v>
      </c>
      <c r="CF124" s="45" t="str">
        <f t="shared" si="204"/>
        <v>NA</v>
      </c>
      <c r="CG124" s="45">
        <v>0</v>
      </c>
      <c r="CH124" s="244"/>
      <c r="CI124" s="244"/>
      <c r="CJ124" s="244"/>
      <c r="CK124" s="244"/>
      <c r="CM124" s="63">
        <v>15.8</v>
      </c>
    </row>
    <row r="125" spans="1:261" ht="18" hidden="1" customHeight="1">
      <c r="A125" s="260" t="s">
        <v>868</v>
      </c>
      <c r="B125" s="260" t="s">
        <v>869</v>
      </c>
      <c r="C125" s="260" t="s">
        <v>100</v>
      </c>
      <c r="D125" s="260" t="s">
        <v>508</v>
      </c>
      <c r="E125" s="260" t="s">
        <v>870</v>
      </c>
      <c r="F125" s="260" t="s">
        <v>871</v>
      </c>
      <c r="G125" s="260" t="s">
        <v>872</v>
      </c>
      <c r="H125" s="260" t="s">
        <v>873</v>
      </c>
      <c r="I125" s="260"/>
      <c r="J125" s="260"/>
      <c r="K125" s="260" t="s">
        <v>874</v>
      </c>
      <c r="L125" s="260" t="s">
        <v>875</v>
      </c>
      <c r="M125" s="260" t="s">
        <v>876</v>
      </c>
      <c r="N125" s="260" t="s">
        <v>111</v>
      </c>
      <c r="O125" s="260" t="s">
        <v>112</v>
      </c>
      <c r="P125" s="10">
        <v>116</v>
      </c>
      <c r="Q125" s="11">
        <v>116</v>
      </c>
      <c r="R125" s="11">
        <f t="shared" si="191"/>
        <v>54</v>
      </c>
      <c r="S125" s="11" t="str">
        <f>VLOOKUP(K125,'1263 Pensiones'!$K$13:$AK$15,9,0)</f>
        <v>Asesoria virtual y presencial a comunidad general y entes territoriales de 54 municipios del departamento de Cundinamarca brindando información sobre el reconocimiento de prestaciones, programa BEPS, actualización del pasivo pensional y recursos del FONPET .</v>
      </c>
      <c r="T125" s="11">
        <v>0</v>
      </c>
      <c r="U125" s="11">
        <v>0</v>
      </c>
      <c r="V125" s="11">
        <v>15</v>
      </c>
      <c r="W125" s="11">
        <v>0</v>
      </c>
      <c r="X125" s="11">
        <v>15</v>
      </c>
      <c r="Y125" s="11">
        <v>15</v>
      </c>
      <c r="Z125" s="11">
        <v>15</v>
      </c>
      <c r="AA125" s="11" t="s">
        <v>877</v>
      </c>
      <c r="AB125" s="11" t="s">
        <v>878</v>
      </c>
      <c r="AC125" s="11" t="s">
        <v>879</v>
      </c>
      <c r="AD125" s="11">
        <v>39</v>
      </c>
      <c r="AE125" s="11">
        <v>0</v>
      </c>
      <c r="AF125" s="11">
        <f>VLOOKUP(K125,'1263 Pensiones'!$K$13:$AK$15,22,0)</f>
        <v>39</v>
      </c>
      <c r="AG125" s="11">
        <f>VLOOKUP(K125,'1263 Pensiones'!$K$13:$AK$15,23,0)</f>
        <v>0</v>
      </c>
      <c r="AH125" s="11">
        <f t="shared" si="192"/>
        <v>39</v>
      </c>
      <c r="AI125" s="11" t="str">
        <f>VLOOKUP(K125,'1263 Pensiones'!$K$13:$AK$15,25,0)</f>
        <v>Asesoria en materia pensional</v>
      </c>
      <c r="AJ125" s="11" t="str">
        <f>VLOOKUP(K125,'1263 Pensiones'!$K$13:$AK$15,26,0)</f>
        <v>Asesoria a comunidad general y entes territoriales de  39 municipios del departamento de Cundinamarca brindando información sobre el reconocimiento de prestaciones, programa BEPS, actualización del pasivo pensional y recursos del FONPET .</v>
      </c>
      <c r="AK125" s="11" t="str">
        <f>VLOOKUP(K125,'1263 Pensiones'!$K$13:$AK$15,27,0)</f>
        <v xml:space="preserve">Reducción en la cantidad de población asistente a eventos debido a la situación generada por el COVID-19 y necesidad de implementar nuevos protocolos para atención de cundinamarqueses. Restricciones y cerramientos en vias debido a manifestaciones a lo largo del pais. </v>
      </c>
      <c r="AL125" s="11">
        <v>38</v>
      </c>
      <c r="AM125" s="11">
        <v>0</v>
      </c>
      <c r="AN125" s="11">
        <v>24</v>
      </c>
      <c r="AO125" s="11">
        <v>0</v>
      </c>
      <c r="AP125" s="11">
        <v>0</v>
      </c>
      <c r="AQ125" s="11">
        <v>0</v>
      </c>
      <c r="AR125" s="52"/>
      <c r="AS125" s="54">
        <v>1461075</v>
      </c>
      <c r="AT125" s="54">
        <f t="shared" si="103"/>
        <v>1461075</v>
      </c>
      <c r="AU125" s="52"/>
      <c r="AV125" s="243">
        <v>5000000</v>
      </c>
      <c r="AW125" s="244"/>
      <c r="AX125" s="244"/>
      <c r="AY125" s="243">
        <v>5000000</v>
      </c>
      <c r="AZ125" s="44">
        <f t="shared" si="193"/>
        <v>0.46551724137931033</v>
      </c>
      <c r="BA125" s="44">
        <v>0.1293</v>
      </c>
      <c r="BB125" s="44">
        <v>1</v>
      </c>
      <c r="BC125" s="44">
        <f t="shared" si="194"/>
        <v>0.33620689655172414</v>
      </c>
      <c r="BD125" s="44" cm="1">
        <f t="array" ref="BD125">_xlfn.IFS(AD125=0,"NA",AD125&gt;0,AH125/AD125)</f>
        <v>1</v>
      </c>
      <c r="BE125" s="44">
        <f t="shared" si="195"/>
        <v>0.32758620689655171</v>
      </c>
      <c r="BF125" s="44">
        <v>0</v>
      </c>
      <c r="BG125" s="44">
        <f t="shared" si="196"/>
        <v>0.20689655172413793</v>
      </c>
      <c r="BH125" s="44">
        <v>0</v>
      </c>
      <c r="BI125" s="44">
        <f t="shared" si="197"/>
        <v>0</v>
      </c>
      <c r="BJ125" s="44" t="s">
        <v>115</v>
      </c>
      <c r="BK125" s="44">
        <f t="shared" si="104"/>
        <v>0.46551724137931033</v>
      </c>
      <c r="BL125" s="44">
        <v>1</v>
      </c>
      <c r="BM125" s="44" cm="1">
        <f t="array" ref="BM125">_xlfn.IFS(BD125="NA","NA",BD125&gt;100%,"100%",BD125&lt;100,BD125)</f>
        <v>1</v>
      </c>
      <c r="BN125" s="44" cm="1">
        <f t="array" ref="BN125">_xlfn.IFS(BF125="NA","NA",BF125&gt;100%,"100%",BF125&lt;100,BF125)</f>
        <v>0</v>
      </c>
      <c r="BO125" s="44" cm="1">
        <f t="array" ref="BO125">_xlfn.IFS(BH125="NA","NA",BH125&gt;100%,"100%",BH125&lt;100,BH125)</f>
        <v>0</v>
      </c>
      <c r="BP125" s="44" t="str" cm="1">
        <f t="array" ref="BP125">_xlfn.IFS(BJ125="NA","NA",BJ125&gt;100%,"100%",BJ125&lt;100,BJ125)</f>
        <v>NA</v>
      </c>
      <c r="BQ125" s="45">
        <v>0.22500000000000001</v>
      </c>
      <c r="BR125" s="45">
        <f t="shared" si="105"/>
        <v>0.10474137931034483</v>
      </c>
      <c r="BS125" s="45">
        <v>2.9100000000000001E-2</v>
      </c>
      <c r="BT125" s="45">
        <v>2.9100000000000001E-2</v>
      </c>
      <c r="BU125" s="45">
        <v>2.9100000000000001E-2</v>
      </c>
      <c r="BV125" s="45">
        <f t="shared" si="198"/>
        <v>7.5646551724137936E-2</v>
      </c>
      <c r="BW125" s="45">
        <f t="shared" si="113"/>
        <v>7.5646551724137936E-2</v>
      </c>
      <c r="BX125" s="45">
        <f t="shared" si="114"/>
        <v>7.5641379310344828E-2</v>
      </c>
      <c r="BY125" s="45">
        <f t="shared" si="199"/>
        <v>7.3706896551724146E-2</v>
      </c>
      <c r="BZ125" s="45">
        <f t="shared" si="200"/>
        <v>0</v>
      </c>
      <c r="CA125" s="45">
        <f t="shared" si="106"/>
        <v>0</v>
      </c>
      <c r="CB125" s="45">
        <f t="shared" si="201"/>
        <v>4.6551724137931037E-2</v>
      </c>
      <c r="CC125" s="45">
        <f t="shared" si="202"/>
        <v>0</v>
      </c>
      <c r="CD125" s="45">
        <v>0</v>
      </c>
      <c r="CE125" s="45">
        <f t="shared" si="203"/>
        <v>0</v>
      </c>
      <c r="CF125" s="45" t="str">
        <f t="shared" si="204"/>
        <v>NA</v>
      </c>
      <c r="CG125" s="45">
        <v>0</v>
      </c>
      <c r="CH125" s="244"/>
      <c r="CI125" s="244"/>
      <c r="CJ125" s="244"/>
      <c r="CK125" s="244"/>
      <c r="CM125" s="63">
        <v>54</v>
      </c>
    </row>
    <row r="126" spans="1:261" s="48" customFormat="1" ht="18" hidden="1" customHeight="1">
      <c r="A126" s="260" t="s">
        <v>868</v>
      </c>
      <c r="B126" s="260" t="s">
        <v>869</v>
      </c>
      <c r="C126" s="260" t="s">
        <v>100</v>
      </c>
      <c r="D126" s="260" t="s">
        <v>508</v>
      </c>
      <c r="E126" s="260" t="s">
        <v>870</v>
      </c>
      <c r="F126" s="260" t="s">
        <v>871</v>
      </c>
      <c r="G126" s="260" t="s">
        <v>872</v>
      </c>
      <c r="H126" s="260" t="s">
        <v>880</v>
      </c>
      <c r="I126" s="260"/>
      <c r="J126" s="260"/>
      <c r="K126" s="260" t="s">
        <v>881</v>
      </c>
      <c r="L126" s="260" t="s">
        <v>882</v>
      </c>
      <c r="M126" s="260" t="s">
        <v>253</v>
      </c>
      <c r="N126" s="260" t="s">
        <v>111</v>
      </c>
      <c r="O126" s="260" t="s">
        <v>112</v>
      </c>
      <c r="P126" s="10">
        <v>0</v>
      </c>
      <c r="Q126" s="11">
        <v>20</v>
      </c>
      <c r="R126" s="11">
        <f t="shared" si="191"/>
        <v>5</v>
      </c>
      <c r="S126" s="11" t="str">
        <f>VLOOKUP(K126,'1263 Pensiones'!$K$13:$AK$15,9,0)</f>
        <v>Se han realizado 5 eventos de capacitación en seguridad social con enfoque diferencial a mujeres lideresas y agricultoras del departamento. Para lograr un mayor impacto en las jornadas de capacitación se invitó a otras secretaías a participar con su oferta institucional y brindar capacitaciones en temas de importancia para la mujer y actividades de recreación.</v>
      </c>
      <c r="T126" s="11">
        <v>0</v>
      </c>
      <c r="U126" s="11">
        <v>0</v>
      </c>
      <c r="V126" s="11">
        <v>0</v>
      </c>
      <c r="W126" s="11">
        <v>0</v>
      </c>
      <c r="X126" s="11">
        <v>0</v>
      </c>
      <c r="Y126" s="11">
        <v>0</v>
      </c>
      <c r="Z126" s="11">
        <v>0</v>
      </c>
      <c r="AA126" s="11"/>
      <c r="AB126" s="11"/>
      <c r="AC126" s="11"/>
      <c r="AD126" s="11">
        <v>5</v>
      </c>
      <c r="AE126" s="11">
        <v>0</v>
      </c>
      <c r="AF126" s="11">
        <f>VLOOKUP(K126,'1263 Pensiones'!$K$13:$AK$15,22,0)</f>
        <v>5</v>
      </c>
      <c r="AG126" s="11">
        <f>VLOOKUP(K126,'1263 Pensiones'!$K$13:$AK$15,23,0)</f>
        <v>0</v>
      </c>
      <c r="AH126" s="11">
        <f t="shared" si="192"/>
        <v>5</v>
      </c>
      <c r="AI126" s="11" t="str">
        <f>VLOOKUP(K126,'1263 Pensiones'!$K$13:$AK$15,25,0)</f>
        <v>Eventos de capacitación en seguridad social</v>
      </c>
      <c r="AJ126" s="11" t="str">
        <f>VLOOKUP(K126,'1263 Pensiones'!$K$13:$AK$15,26,0)</f>
        <v>Realizamos 5 eventos de capacitación en seguridad social a mujeres lideresas y agricultoras del departamento de Cundinamarca, solicitando el acompañamiento de otras secretarías con su oferta institucional para robustecer las jornadas con capacitaciones en temas de interes para las mujeres como lo son la felicidad, el empoderamiento femenino y el emprendimiento, y la realización de actividades de recreación activa y pasiva.</v>
      </c>
      <c r="AK126" s="11" t="str">
        <f>VLOOKUP(K126,'1263 Pensiones'!$K$13:$AK$15,27,0)</f>
        <v xml:space="preserve">Dificultad para realizar las convocatorias y la losgistica dando cumplimiento a los protocolos de bioseguridad </v>
      </c>
      <c r="AL126" s="11">
        <v>8</v>
      </c>
      <c r="AM126" s="11">
        <v>0</v>
      </c>
      <c r="AN126" s="11">
        <v>7</v>
      </c>
      <c r="AO126" s="11">
        <v>0</v>
      </c>
      <c r="AP126" s="11">
        <v>0</v>
      </c>
      <c r="AQ126" s="11">
        <v>0</v>
      </c>
      <c r="AR126" s="52"/>
      <c r="AS126" s="54">
        <v>0</v>
      </c>
      <c r="AT126" s="54">
        <f t="shared" si="103"/>
        <v>0</v>
      </c>
      <c r="AU126" s="52"/>
      <c r="AV126" s="243">
        <v>30000000</v>
      </c>
      <c r="AW126" s="244"/>
      <c r="AX126" s="244"/>
      <c r="AY126" s="243">
        <v>30000000</v>
      </c>
      <c r="AZ126" s="44">
        <f t="shared" si="193"/>
        <v>0.25</v>
      </c>
      <c r="BA126" s="44">
        <v>0</v>
      </c>
      <c r="BB126" s="44" t="s">
        <v>115</v>
      </c>
      <c r="BC126" s="44">
        <f t="shared" si="194"/>
        <v>0.25</v>
      </c>
      <c r="BD126" s="44" cm="1">
        <f t="array" ref="BD126">_xlfn.IFS(AD126=0,"NA",AD126&gt;0,AH126/AD126)</f>
        <v>1</v>
      </c>
      <c r="BE126" s="44">
        <f t="shared" si="195"/>
        <v>0.4</v>
      </c>
      <c r="BF126" s="44">
        <v>0</v>
      </c>
      <c r="BG126" s="44">
        <f t="shared" si="196"/>
        <v>0.35</v>
      </c>
      <c r="BH126" s="44">
        <v>0</v>
      </c>
      <c r="BI126" s="44">
        <f t="shared" si="197"/>
        <v>0</v>
      </c>
      <c r="BJ126" s="44" t="s">
        <v>115</v>
      </c>
      <c r="BK126" s="44">
        <f t="shared" si="104"/>
        <v>0.25</v>
      </c>
      <c r="BL126" s="44" t="s">
        <v>115</v>
      </c>
      <c r="BM126" s="44" cm="1">
        <f t="array" ref="BM126">_xlfn.IFS(BD126="NA","NA",BD126&gt;100%,"100%",BD126&lt;100,BD126)</f>
        <v>1</v>
      </c>
      <c r="BN126" s="44" cm="1">
        <f t="array" ref="BN126">_xlfn.IFS(BF126="NA","NA",BF126&gt;100%,"100%",BF126&lt;100,BF126)</f>
        <v>0</v>
      </c>
      <c r="BO126" s="44" cm="1">
        <f t="array" ref="BO126">_xlfn.IFS(BH126="NA","NA",BH126&gt;100%,"100%",BH126&lt;100,BH126)</f>
        <v>0</v>
      </c>
      <c r="BP126" s="44" t="str" cm="1">
        <f t="array" ref="BP126">_xlfn.IFS(BJ126="NA","NA",BJ126&gt;100%,"100%",BJ126&lt;100,BJ126)</f>
        <v>NA</v>
      </c>
      <c r="BQ126" s="45">
        <v>0.22500000000000001</v>
      </c>
      <c r="BR126" s="45">
        <f t="shared" si="105"/>
        <v>5.6250000000000001E-2</v>
      </c>
      <c r="BS126" s="45">
        <v>0</v>
      </c>
      <c r="BT126" s="45" t="s">
        <v>115</v>
      </c>
      <c r="BU126" s="45">
        <v>0</v>
      </c>
      <c r="BV126" s="45">
        <f t="shared" si="198"/>
        <v>5.6250000000000001E-2</v>
      </c>
      <c r="BW126" s="45">
        <f t="shared" si="113"/>
        <v>5.6250000000000001E-2</v>
      </c>
      <c r="BX126" s="45">
        <f t="shared" si="114"/>
        <v>5.6250000000000001E-2</v>
      </c>
      <c r="BY126" s="45">
        <f t="shared" si="199"/>
        <v>0.09</v>
      </c>
      <c r="BZ126" s="45">
        <f t="shared" si="200"/>
        <v>0</v>
      </c>
      <c r="CA126" s="45">
        <f t="shared" si="106"/>
        <v>0</v>
      </c>
      <c r="CB126" s="45">
        <f t="shared" si="201"/>
        <v>7.8750000000000001E-2</v>
      </c>
      <c r="CC126" s="45">
        <f t="shared" si="202"/>
        <v>0</v>
      </c>
      <c r="CD126" s="45">
        <v>0</v>
      </c>
      <c r="CE126" s="45">
        <f t="shared" si="203"/>
        <v>0</v>
      </c>
      <c r="CF126" s="45" t="str">
        <f t="shared" si="204"/>
        <v>NA</v>
      </c>
      <c r="CG126" s="45">
        <v>0</v>
      </c>
      <c r="CH126" s="244"/>
      <c r="CI126" s="244"/>
      <c r="CJ126" s="244"/>
      <c r="CK126" s="244"/>
      <c r="CL126"/>
      <c r="CM126" s="63">
        <v>5</v>
      </c>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row>
    <row r="127" spans="1:261" s="48" customFormat="1" ht="18" hidden="1" customHeight="1">
      <c r="A127" s="260" t="s">
        <v>868</v>
      </c>
      <c r="B127" s="260" t="s">
        <v>869</v>
      </c>
      <c r="C127" s="260" t="s">
        <v>100</v>
      </c>
      <c r="D127" s="260" t="s">
        <v>508</v>
      </c>
      <c r="E127" s="260" t="s">
        <v>870</v>
      </c>
      <c r="F127" s="260" t="s">
        <v>871</v>
      </c>
      <c r="G127" s="260" t="s">
        <v>872</v>
      </c>
      <c r="H127" s="260" t="s">
        <v>883</v>
      </c>
      <c r="I127" s="260"/>
      <c r="J127" s="260"/>
      <c r="K127" s="260" t="s">
        <v>884</v>
      </c>
      <c r="L127" s="260" t="s">
        <v>885</v>
      </c>
      <c r="M127" s="260" t="s">
        <v>886</v>
      </c>
      <c r="N127" s="260" t="s">
        <v>123</v>
      </c>
      <c r="O127" s="260" t="s">
        <v>124</v>
      </c>
      <c r="P127" s="10">
        <v>100</v>
      </c>
      <c r="Q127" s="11">
        <v>100</v>
      </c>
      <c r="R127" s="11">
        <f>(Z127+AH127)/CL127</f>
        <v>50</v>
      </c>
      <c r="S127" s="11" t="str">
        <f>VLOOKUP(K127,'1263 Pensiones'!$K$13:$AK$15,9,0)</f>
        <v>Hemos realizado actividades online y presenciales como clases de Yoga, charlas de psicología entre otras, y hemos implementado diferentes estrategias como el acompañamiento psicosocial por parte de una trabajadora social y los mensajes de cumpleaños, buscando beneficiar y generar una comunicación permanente con el 100% de los afiliados al Club del Pensionado.</v>
      </c>
      <c r="T127" s="11">
        <v>0</v>
      </c>
      <c r="U127" s="11">
        <v>100</v>
      </c>
      <c r="V127" s="11">
        <v>0</v>
      </c>
      <c r="W127" s="11">
        <v>100</v>
      </c>
      <c r="X127" s="11" t="s">
        <v>115</v>
      </c>
      <c r="Y127" s="11">
        <v>100</v>
      </c>
      <c r="Z127" s="11">
        <v>100</v>
      </c>
      <c r="AA127" s="11" t="s">
        <v>887</v>
      </c>
      <c r="AB127" s="11" t="s">
        <v>888</v>
      </c>
      <c r="AC127" s="11" t="s">
        <v>889</v>
      </c>
      <c r="AD127" s="11">
        <v>0</v>
      </c>
      <c r="AE127" s="11">
        <v>100</v>
      </c>
      <c r="AF127" s="11">
        <f>VLOOKUP(K127,'1263 Pensiones'!$K$13:$AK$15,22,0)</f>
        <v>0</v>
      </c>
      <c r="AG127" s="11">
        <f>VLOOKUP(K127,'1263 Pensiones'!$K$13:$AK$15,23,0)</f>
        <v>100</v>
      </c>
      <c r="AH127" s="11">
        <f>AG127</f>
        <v>100</v>
      </c>
      <c r="AI127" s="11" t="str">
        <f>VLOOKUP(K127,'1263 Pensiones'!$K$13:$AK$15,25,0)</f>
        <v>Actividades de bienestar para los pensionados</v>
      </c>
      <c r="AJ127" s="11" t="str">
        <f>VLOOKUP(K127,'1263 Pensiones'!$K$13:$AK$15,26,0)</f>
        <v xml:space="preserve">Acompañamiento psicosocial a 51 pensionados a través de zoom y llamadas telefónicas, actividades de bienestar realizadas a través de nuestras redes sociales, 12 jornadas de bienestar realizadas en el Club del Pensionado "Casa Acuaries" y celebración del día del pensionado en dónde se realizaron actividades de bienestar y un Bingo con incentivos para los pensionados. </v>
      </c>
      <c r="AK127" s="11" t="str">
        <f>VLOOKUP(K127,'1263 Pensiones'!$K$13:$AK$15,27,0)</f>
        <v xml:space="preserve">Dificultad para realizar las convocatorias y la losgistica dando cumplimiento a los protocolos de bioseguridad </v>
      </c>
      <c r="AL127" s="11">
        <v>0</v>
      </c>
      <c r="AM127" s="11">
        <v>100</v>
      </c>
      <c r="AN127" s="11">
        <v>0</v>
      </c>
      <c r="AO127" s="11">
        <v>100</v>
      </c>
      <c r="AP127" s="11">
        <v>0</v>
      </c>
      <c r="AQ127" s="11">
        <v>0</v>
      </c>
      <c r="AR127" s="51">
        <v>46153846</v>
      </c>
      <c r="AS127" s="54">
        <v>0</v>
      </c>
      <c r="AT127" s="54">
        <f t="shared" si="103"/>
        <v>46153846</v>
      </c>
      <c r="AU127" s="51">
        <v>46153846</v>
      </c>
      <c r="AV127" s="243">
        <v>130000000</v>
      </c>
      <c r="AW127" s="244"/>
      <c r="AX127" s="244"/>
      <c r="AY127" s="243">
        <v>130000000</v>
      </c>
      <c r="AZ127" s="44" cm="1">
        <f t="array" ref="AZ127">_xlfn.IFS((BA127=0),(BD127/CL127),(BA127&gt;0),((BB127+BD127)/CL127),(BE127&gt;0),((BB127+BD127+BE127)/CL127),(BG127&gt;0),((BB127+BD127+BE127+G127)/CL127))</f>
        <v>0.5</v>
      </c>
      <c r="BA127" s="44">
        <v>0.25</v>
      </c>
      <c r="BB127" s="44">
        <v>1</v>
      </c>
      <c r="BC127" s="44">
        <f>IF(AE127&gt;0,(1/CL127),0)</f>
        <v>0.25</v>
      </c>
      <c r="BD127" s="44" cm="1">
        <f t="array" ref="BD127">_xlfn.IFS(AE127=0,"NA",AE127&gt;0,AH127/AE127)</f>
        <v>1</v>
      </c>
      <c r="BE127" s="44">
        <f>IF(AM127&gt;0,(1/CL127),0)</f>
        <v>0.25</v>
      </c>
      <c r="BF127" s="44">
        <v>0</v>
      </c>
      <c r="BG127" s="44">
        <f>IF(AO127&gt;0,(1/CL127),0)</f>
        <v>0.25</v>
      </c>
      <c r="BH127" s="44">
        <v>0</v>
      </c>
      <c r="BI127" s="44">
        <v>0</v>
      </c>
      <c r="BJ127" s="44" t="s">
        <v>115</v>
      </c>
      <c r="BK127" s="44">
        <f t="shared" si="104"/>
        <v>0.5</v>
      </c>
      <c r="BL127" s="44">
        <v>1</v>
      </c>
      <c r="BM127" s="44" cm="1">
        <f t="array" ref="BM127">_xlfn.IFS(BD127="NA","NA",BD127&gt;100%,"100%",BD127&lt;100,BD127)</f>
        <v>1</v>
      </c>
      <c r="BN127" s="44">
        <v>0</v>
      </c>
      <c r="BO127" s="44">
        <v>0</v>
      </c>
      <c r="BP127" s="44" t="s">
        <v>115</v>
      </c>
      <c r="BQ127" s="45">
        <v>0.22500000000000001</v>
      </c>
      <c r="BR127" s="45">
        <f t="shared" si="105"/>
        <v>0.1125</v>
      </c>
      <c r="BS127" s="45">
        <v>5.6300000000000003E-2</v>
      </c>
      <c r="BT127" s="45">
        <v>5.6300000000000003E-2</v>
      </c>
      <c r="BU127" s="45">
        <v>5.6300000000000003E-2</v>
      </c>
      <c r="BV127" s="45">
        <v>5.6300000000000003E-2</v>
      </c>
      <c r="BW127" s="45">
        <f t="shared" si="113"/>
        <v>5.6300000000000003E-2</v>
      </c>
      <c r="BX127" s="45">
        <f t="shared" si="114"/>
        <v>5.62E-2</v>
      </c>
      <c r="BY127" s="45">
        <v>5.6300000000000003E-2</v>
      </c>
      <c r="BZ127" s="45">
        <v>0</v>
      </c>
      <c r="CA127" s="45">
        <f t="shared" si="106"/>
        <v>0</v>
      </c>
      <c r="CB127" s="45">
        <v>5.6300000000000003E-2</v>
      </c>
      <c r="CC127" s="45">
        <v>0</v>
      </c>
      <c r="CD127" s="45">
        <v>0</v>
      </c>
      <c r="CE127" s="45">
        <v>0</v>
      </c>
      <c r="CF127" s="45" t="s">
        <v>115</v>
      </c>
      <c r="CG127" s="45">
        <v>0</v>
      </c>
      <c r="CH127" s="244">
        <f>IF(W127&gt;0,1,0)</f>
        <v>1</v>
      </c>
      <c r="CI127" s="244">
        <f>IF(AE127&gt;0,1,0)</f>
        <v>1</v>
      </c>
      <c r="CJ127" s="244">
        <f>IF(AM127&gt;0,1,0)</f>
        <v>1</v>
      </c>
      <c r="CK127" s="244">
        <f>IF(AO127&gt;0,1,0)</f>
        <v>1</v>
      </c>
      <c r="CL127">
        <f>CH127+CI127+CJ127+CK127</f>
        <v>4</v>
      </c>
      <c r="CM127" s="63">
        <f>AVERAGE(Z127,AH127)</f>
        <v>100</v>
      </c>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row>
    <row r="128" spans="1:261" s="48" customFormat="1" ht="18" hidden="1" customHeight="1">
      <c r="A128" s="260" t="s">
        <v>98</v>
      </c>
      <c r="B128" s="260" t="s">
        <v>99</v>
      </c>
      <c r="C128" s="260" t="s">
        <v>100</v>
      </c>
      <c r="D128" s="260" t="s">
        <v>508</v>
      </c>
      <c r="E128" s="260" t="s">
        <v>870</v>
      </c>
      <c r="F128" s="260" t="s">
        <v>890</v>
      </c>
      <c r="G128" s="260" t="s">
        <v>891</v>
      </c>
      <c r="H128" s="260" t="s">
        <v>892</v>
      </c>
      <c r="I128" s="260"/>
      <c r="J128" s="12" t="s">
        <v>893</v>
      </c>
      <c r="K128" s="260" t="s">
        <v>894</v>
      </c>
      <c r="L128" s="260" t="s">
        <v>895</v>
      </c>
      <c r="M128" s="260" t="s">
        <v>896</v>
      </c>
      <c r="N128" s="260" t="s">
        <v>123</v>
      </c>
      <c r="O128" s="260" t="s">
        <v>112</v>
      </c>
      <c r="P128" s="10">
        <v>12</v>
      </c>
      <c r="Q128" s="11">
        <v>2</v>
      </c>
      <c r="R128" s="11">
        <f t="shared" ref="R128:R129" si="205">Z128+AH128</f>
        <v>0.7</v>
      </c>
      <c r="S128" s="11" t="str">
        <f>VLOOKUP(K128,'1197 Salud'!$K$13:$AK$54,9,0)</f>
        <v>La implementación de la Estrategia “Conoce Tu riesgo, Peso saludable” permitió detectar tempranamente el Riesgo Cardiovascular (Hipertensión) en 16.478 hombres y mujeres en edades desde los 18 años, así como “Cundinamarca vive Saludable” y “Cundinamarca más sonriente”, promocionaron en esta población estilos de vida saludables como factores protectores generadores de una Cultura de Autocuidado, en el marco de La Ruta de Promoción y Mantenimiento de la Salud</v>
      </c>
      <c r="T128" s="11">
        <v>0.1</v>
      </c>
      <c r="U128" s="11">
        <v>0</v>
      </c>
      <c r="V128" s="11">
        <v>0.1</v>
      </c>
      <c r="W128" s="11">
        <v>0</v>
      </c>
      <c r="X128" s="11">
        <v>0.1</v>
      </c>
      <c r="Y128" s="11">
        <v>0</v>
      </c>
      <c r="Z128" s="11">
        <v>0.1</v>
      </c>
      <c r="AA128" s="11" t="s">
        <v>897</v>
      </c>
      <c r="AB128" s="11" t="s">
        <v>898</v>
      </c>
      <c r="AC128" s="11" t="s">
        <v>899</v>
      </c>
      <c r="AD128" s="11">
        <v>0.6</v>
      </c>
      <c r="AE128" s="11">
        <v>0</v>
      </c>
      <c r="AF128" s="11">
        <f>VLOOKUP(K128,'1197 Salud'!$K$13:$AK$54,22,0)</f>
        <v>0.6</v>
      </c>
      <c r="AG128" s="11">
        <f>VLOOKUP(K128,'1197 Salud'!$K$13:$AK$54,23,0)</f>
        <v>0</v>
      </c>
      <c r="AH128" s="11">
        <f t="shared" ref="AH128:AH129" si="206">AF128</f>
        <v>0.6</v>
      </c>
      <c r="AI128" s="11" t="str">
        <f>VLOOKUP(K128,'1197 Salud'!$K$13:$AK$54,25,0)</f>
        <v>Población con Detección Temprana de Hipertensión</v>
      </c>
      <c r="AJ128" s="11" t="str">
        <f>VLOOKUP(K128,'1197 Salud'!$K$13:$AK$54,26,0)</f>
        <v>La implementación de la Estrategia “Conoce Tu riesgo, Peso saludable” permitió detectar tempranamente el Riesgo Cardiovascular (Hipertensión) en 14.124 hombres y mujeres en edades desde los 18 años, así como la promocion  de estilos de vida saludables como factores protectores generadores de una Cultura de Autocuidado, en el marco de La Ruta de Promoción y Mantenimiento de la Salud</v>
      </c>
      <c r="AK128" s="11" t="str">
        <f>VLOOKUP(K128,'1197 Salud'!$K$13:$AK$54,27,0)</f>
        <v xml:space="preserve">1. Inoportunidad en el envío de la información para monitoreo de indicadores
2. Rotación del talento humano en los Planes de intervenciones Colectivas e Instituciones de Salud </v>
      </c>
      <c r="AL128" s="11">
        <v>0.6</v>
      </c>
      <c r="AM128" s="11">
        <v>0</v>
      </c>
      <c r="AN128" s="11">
        <v>0.7</v>
      </c>
      <c r="AO128" s="11">
        <v>0</v>
      </c>
      <c r="AP128" s="11">
        <v>0</v>
      </c>
      <c r="AQ128" s="11">
        <v>0</v>
      </c>
      <c r="AR128" s="51">
        <v>86495220</v>
      </c>
      <c r="AS128" s="54">
        <v>0</v>
      </c>
      <c r="AT128" s="54">
        <f t="shared" si="103"/>
        <v>86495220</v>
      </c>
      <c r="AU128" s="51">
        <v>29893535</v>
      </c>
      <c r="AV128" s="243">
        <v>1207192556</v>
      </c>
      <c r="AW128" s="244"/>
      <c r="AX128" s="244"/>
      <c r="AY128" s="243">
        <v>1178368801</v>
      </c>
      <c r="AZ128" s="44">
        <f>R128/Q128</f>
        <v>0.35</v>
      </c>
      <c r="BA128" s="44">
        <v>0.05</v>
      </c>
      <c r="BB128" s="44">
        <v>1</v>
      </c>
      <c r="BC128" s="44">
        <f t="shared" ref="BC128:BC129" si="207">AD128/Q128</f>
        <v>0.3</v>
      </c>
      <c r="BD128" s="44" cm="1">
        <f t="array" ref="BD128">_xlfn.IFS(AD128=0,"NA",AD128&gt;0,AH128/AD128)</f>
        <v>1</v>
      </c>
      <c r="BE128" s="44">
        <f t="shared" ref="BE128:BE129" si="208">AL128/Q128</f>
        <v>0.3</v>
      </c>
      <c r="BF128" s="44">
        <v>0</v>
      </c>
      <c r="BG128" s="44">
        <f t="shared" ref="BG128:BG129" si="209">AN128/Q128</f>
        <v>0.35</v>
      </c>
      <c r="BH128" s="44">
        <v>0</v>
      </c>
      <c r="BI128" s="44">
        <f>AP128/Q128</f>
        <v>0</v>
      </c>
      <c r="BJ128" s="44" t="s">
        <v>115</v>
      </c>
      <c r="BK128" s="44">
        <f t="shared" si="104"/>
        <v>0.35</v>
      </c>
      <c r="BL128" s="44">
        <v>1</v>
      </c>
      <c r="BM128" s="44" cm="1">
        <f t="array" ref="BM128">_xlfn.IFS(BD128="NA","NA",BD128&gt;100%,"100%",BD128&lt;100,BD128)</f>
        <v>1</v>
      </c>
      <c r="BN128" s="44" cm="1">
        <f t="array" ref="BN128">_xlfn.IFS(BF128="NA","NA",BF128&gt;100%,"100%",BF128&lt;100,BF128)</f>
        <v>0</v>
      </c>
      <c r="BO128" s="44" cm="1">
        <f t="array" ref="BO128">_xlfn.IFS(BH128="NA","NA",BH128&gt;100%,"100%",BH128&lt;100,BH128)</f>
        <v>0</v>
      </c>
      <c r="BP128" s="44" t="str" cm="1">
        <f t="array" ref="BP128">_xlfn.IFS(BJ128="NA","NA",BJ128&gt;100%,"100%",BJ128&lt;100,BJ128)</f>
        <v>NA</v>
      </c>
      <c r="BQ128" s="45">
        <v>0.22500000000000001</v>
      </c>
      <c r="BR128" s="45">
        <f t="shared" si="105"/>
        <v>7.8750000000000001E-2</v>
      </c>
      <c r="BS128" s="45">
        <v>1.1299999999999999E-2</v>
      </c>
      <c r="BT128" s="45">
        <v>1.1299999999999999E-2</v>
      </c>
      <c r="BU128" s="45">
        <v>1.1299999999999999E-2</v>
      </c>
      <c r="BV128" s="45">
        <f t="shared" ref="BV128:BV129" si="210">(AD128*BQ128)/Q128</f>
        <v>6.7500000000000004E-2</v>
      </c>
      <c r="BW128" s="45">
        <f t="shared" si="113"/>
        <v>6.7500000000000004E-2</v>
      </c>
      <c r="BX128" s="45">
        <f t="shared" si="114"/>
        <v>6.7449999999999996E-2</v>
      </c>
      <c r="BY128" s="45">
        <f t="shared" ref="BY128:BY129" si="211">(AL128*BQ128)/Q128</f>
        <v>6.7500000000000004E-2</v>
      </c>
      <c r="BZ128" s="45">
        <f t="shared" ref="BZ128:BZ129" si="212">IF(BN128="NA","NA",BN128*BY128)</f>
        <v>0</v>
      </c>
      <c r="CA128" s="45">
        <f t="shared" si="106"/>
        <v>0</v>
      </c>
      <c r="CB128" s="45">
        <f t="shared" ref="CB128:CB129" si="213">(AN128*BQ128)/Q128</f>
        <v>7.8750000000000001E-2</v>
      </c>
      <c r="CC128" s="45">
        <f t="shared" ref="CC128:CC129" si="214">IF(BO128="NA","NA",BO128*CB128)</f>
        <v>0</v>
      </c>
      <c r="CD128" s="45">
        <v>0</v>
      </c>
      <c r="CE128" s="45">
        <f>(AP128*BQ128)/Q128</f>
        <v>0</v>
      </c>
      <c r="CF128" s="45" t="str">
        <f>IF(BP128="NA","NA",BP128*CE128)</f>
        <v>NA</v>
      </c>
      <c r="CG128" s="45">
        <v>0</v>
      </c>
      <c r="CH128" s="244"/>
      <c r="CI128" s="244"/>
      <c r="CJ128" s="244"/>
      <c r="CK128" s="244"/>
      <c r="CL128"/>
      <c r="CM128" s="63">
        <v>0.5</v>
      </c>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row>
    <row r="129" spans="1:261" s="48" customFormat="1" ht="18" hidden="1" customHeight="1">
      <c r="A129" s="260" t="s">
        <v>98</v>
      </c>
      <c r="B129" s="260" t="s">
        <v>99</v>
      </c>
      <c r="C129" s="260" t="s">
        <v>100</v>
      </c>
      <c r="D129" s="260" t="s">
        <v>508</v>
      </c>
      <c r="E129" s="260" t="s">
        <v>870</v>
      </c>
      <c r="F129" s="260" t="s">
        <v>890</v>
      </c>
      <c r="G129" s="260" t="s">
        <v>891</v>
      </c>
      <c r="H129" s="260" t="s">
        <v>900</v>
      </c>
      <c r="I129" s="260"/>
      <c r="J129" s="12" t="s">
        <v>893</v>
      </c>
      <c r="K129" s="260" t="s">
        <v>901</v>
      </c>
      <c r="L129" s="260" t="s">
        <v>902</v>
      </c>
      <c r="M129" s="260" t="s">
        <v>903</v>
      </c>
      <c r="N129" s="260" t="s">
        <v>123</v>
      </c>
      <c r="O129" s="260" t="s">
        <v>112</v>
      </c>
      <c r="P129" s="10">
        <v>10.4</v>
      </c>
      <c r="Q129" s="11">
        <v>2</v>
      </c>
      <c r="R129" s="11">
        <f t="shared" si="205"/>
        <v>0.7</v>
      </c>
      <c r="S129" s="11" t="str">
        <f>VLOOKUP(K129,'1197 Salud'!$K$13:$AK$54,9,0)</f>
        <v>La implementación de la Estrategia “Conoce Tu riesgo, Peso saludable” permitió detectar tempranamente el Riesgo Metabólico (Diabetes) en 16.478 hombres y mujeres en edades desde los 18 años, así como “Cundinamarca vive Saludable” y “Cundinamarca más sonriente”, promocionaron en esta población estilos de vida saludables como factores protectores generadores de una Cultura de Autocuidado, en el marco de La Ruta de Promoción y Mantenimiento de la Salud</v>
      </c>
      <c r="T129" s="11">
        <v>0.1</v>
      </c>
      <c r="U129" s="11">
        <v>0</v>
      </c>
      <c r="V129" s="11">
        <v>0.1</v>
      </c>
      <c r="W129" s="11">
        <v>0</v>
      </c>
      <c r="X129" s="11">
        <v>0</v>
      </c>
      <c r="Y129" s="11">
        <v>0</v>
      </c>
      <c r="Z129" s="11">
        <v>0</v>
      </c>
      <c r="AA129" s="11" t="s">
        <v>904</v>
      </c>
      <c r="AB129" s="11" t="s">
        <v>905</v>
      </c>
      <c r="AC129" s="11" t="s">
        <v>906</v>
      </c>
      <c r="AD129" s="11">
        <v>0.7</v>
      </c>
      <c r="AE129" s="11">
        <v>0</v>
      </c>
      <c r="AF129" s="11">
        <f>VLOOKUP(K129,'1197 Salud'!$K$13:$AK$54,22,0)</f>
        <v>0.7</v>
      </c>
      <c r="AG129" s="11">
        <f>VLOOKUP(K129,'1197 Salud'!$K$13:$AK$54,23,0)</f>
        <v>0</v>
      </c>
      <c r="AH129" s="11">
        <f t="shared" si="206"/>
        <v>0.7</v>
      </c>
      <c r="AI129" s="11" t="str">
        <f>VLOOKUP(K129,'1197 Salud'!$K$13:$AK$54,25,0)</f>
        <v>Población con Detección Temprana de Diabetes</v>
      </c>
      <c r="AJ129" s="11" t="str">
        <f>VLOOKUP(K129,'1197 Salud'!$K$13:$AK$54,26,0)</f>
        <v>Se Detecto Tempranamente  el  Riesgo Metabólico  (Diabetes), en un total de 16.478  hombres y mujeres de 18 años en adelante, cumpliendose de esta manera  la Meta programada para el año 2021</v>
      </c>
      <c r="AK129" s="11" t="str">
        <f>VLOOKUP(K129,'1197 Salud'!$K$13:$AK$54,27,0)</f>
        <v xml:space="preserve">1. Inoportunidad en el envío de la información para monitoreo de indicadores
2. Rotación del talento humano en los Planes de Intervenciones Colectivas e Instituciones de Salud </v>
      </c>
      <c r="AL129" s="11">
        <v>0.6</v>
      </c>
      <c r="AM129" s="11">
        <v>0</v>
      </c>
      <c r="AN129" s="11">
        <v>0.7</v>
      </c>
      <c r="AO129" s="11">
        <v>0</v>
      </c>
      <c r="AP129" s="11">
        <v>0</v>
      </c>
      <c r="AQ129" s="11">
        <v>0</v>
      </c>
      <c r="AR129" s="51">
        <v>26391150</v>
      </c>
      <c r="AS129" s="54">
        <v>0</v>
      </c>
      <c r="AT129" s="54">
        <f t="shared" si="103"/>
        <v>26391150</v>
      </c>
      <c r="AU129" s="51">
        <v>0</v>
      </c>
      <c r="AV129" s="243">
        <v>101073424</v>
      </c>
      <c r="AW129" s="244"/>
      <c r="AX129" s="244"/>
      <c r="AY129" s="243">
        <v>98333424</v>
      </c>
      <c r="AZ129" s="44">
        <f>R129/Q129</f>
        <v>0.35</v>
      </c>
      <c r="BA129" s="44">
        <v>0.05</v>
      </c>
      <c r="BB129" s="44">
        <v>0</v>
      </c>
      <c r="BC129" s="44">
        <f t="shared" si="207"/>
        <v>0.35</v>
      </c>
      <c r="BD129" s="44" cm="1">
        <f t="array" ref="BD129">_xlfn.IFS(AD129=0,"NA",AD129&gt;0,AH129/AD129)</f>
        <v>1</v>
      </c>
      <c r="BE129" s="44">
        <f t="shared" si="208"/>
        <v>0.3</v>
      </c>
      <c r="BF129" s="44">
        <v>0</v>
      </c>
      <c r="BG129" s="44">
        <f t="shared" si="209"/>
        <v>0.35</v>
      </c>
      <c r="BH129" s="44">
        <v>0</v>
      </c>
      <c r="BI129" s="44">
        <f>AP129/Q129</f>
        <v>0</v>
      </c>
      <c r="BJ129" s="44" t="s">
        <v>115</v>
      </c>
      <c r="BK129" s="44">
        <f t="shared" si="104"/>
        <v>0.35</v>
      </c>
      <c r="BL129" s="44">
        <v>0</v>
      </c>
      <c r="BM129" s="44" cm="1">
        <f t="array" ref="BM129">_xlfn.IFS(BD129="NA","NA",BD129&gt;100%,"100%",BD129&lt;100,BD129)</f>
        <v>1</v>
      </c>
      <c r="BN129" s="44" cm="1">
        <f t="array" ref="BN129">_xlfn.IFS(BF129="NA","NA",BF129&gt;100%,"100%",BF129&lt;100,BF129)</f>
        <v>0</v>
      </c>
      <c r="BO129" s="44" cm="1">
        <f t="array" ref="BO129">_xlfn.IFS(BH129="NA","NA",BH129&gt;100%,"100%",BH129&lt;100,BH129)</f>
        <v>0</v>
      </c>
      <c r="BP129" s="44" t="str" cm="1">
        <f t="array" ref="BP129">_xlfn.IFS(BJ129="NA","NA",BJ129&gt;100%,"100%",BJ129&lt;100,BJ129)</f>
        <v>NA</v>
      </c>
      <c r="BQ129" s="45">
        <v>0.22500000000000001</v>
      </c>
      <c r="BR129" s="45">
        <f t="shared" si="105"/>
        <v>7.8750000000000001E-2</v>
      </c>
      <c r="BS129" s="45">
        <v>1.1299999999999999E-2</v>
      </c>
      <c r="BT129" s="45">
        <v>0</v>
      </c>
      <c r="BU129" s="45">
        <v>0</v>
      </c>
      <c r="BV129" s="45">
        <f t="shared" si="210"/>
        <v>7.8750000000000001E-2</v>
      </c>
      <c r="BW129" s="45">
        <f t="shared" si="113"/>
        <v>7.8750000000000001E-2</v>
      </c>
      <c r="BX129" s="45">
        <f t="shared" si="114"/>
        <v>7.8750000000000001E-2</v>
      </c>
      <c r="BY129" s="45">
        <f t="shared" si="211"/>
        <v>6.7500000000000004E-2</v>
      </c>
      <c r="BZ129" s="45">
        <f t="shared" si="212"/>
        <v>0</v>
      </c>
      <c r="CA129" s="45">
        <f t="shared" si="106"/>
        <v>0</v>
      </c>
      <c r="CB129" s="45">
        <f t="shared" si="213"/>
        <v>7.8750000000000001E-2</v>
      </c>
      <c r="CC129" s="45">
        <f t="shared" si="214"/>
        <v>0</v>
      </c>
      <c r="CD129" s="45">
        <v>0</v>
      </c>
      <c r="CE129" s="45">
        <f>(AP129*BQ129)/Q129</f>
        <v>0</v>
      </c>
      <c r="CF129" s="45" t="str">
        <f>IF(BP129="NA","NA",BP129*CE129)</f>
        <v>NA</v>
      </c>
      <c r="CG129" s="45">
        <v>0</v>
      </c>
      <c r="CH129" s="244"/>
      <c r="CI129" s="244"/>
      <c r="CJ129" s="244"/>
      <c r="CK129" s="244"/>
      <c r="CL129"/>
      <c r="CM129" s="63">
        <v>0.47</v>
      </c>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row>
    <row r="130" spans="1:261" s="48" customFormat="1" ht="18" hidden="1" customHeight="1">
      <c r="A130" s="260" t="s">
        <v>907</v>
      </c>
      <c r="B130" s="260" t="s">
        <v>908</v>
      </c>
      <c r="C130" s="260" t="s">
        <v>100</v>
      </c>
      <c r="D130" s="260" t="s">
        <v>508</v>
      </c>
      <c r="E130" s="260" t="s">
        <v>870</v>
      </c>
      <c r="F130" s="260" t="s">
        <v>909</v>
      </c>
      <c r="G130" s="260" t="s">
        <v>910</v>
      </c>
      <c r="H130" s="260" t="s">
        <v>911</v>
      </c>
      <c r="I130" s="260"/>
      <c r="J130" s="260"/>
      <c r="K130" s="260" t="s">
        <v>912</v>
      </c>
      <c r="L130" s="260" t="s">
        <v>913</v>
      </c>
      <c r="M130" s="260" t="s">
        <v>914</v>
      </c>
      <c r="N130" s="260" t="s">
        <v>111</v>
      </c>
      <c r="O130" s="260" t="s">
        <v>124</v>
      </c>
      <c r="P130" s="10">
        <v>790</v>
      </c>
      <c r="Q130" s="11">
        <v>790</v>
      </c>
      <c r="R130" s="264">
        <f>(Z130+AH130)/(CH130+CI130)</f>
        <v>1009.5</v>
      </c>
      <c r="S130" s="11" t="str">
        <f>VLOOKUP(K130,'1207 Beneficencia'!$K$13:$AK$15,9,0)</f>
        <v xml:space="preserve">996 personas adultas mayores de 60 años, víctimas de una o más violencias, viviendo en medio seguro y con el disfrute de sus derechos fundamentales en 5 centros de la Beneficencia </v>
      </c>
      <c r="T130" s="11">
        <v>0</v>
      </c>
      <c r="U130" s="11">
        <v>790</v>
      </c>
      <c r="V130" s="11">
        <v>0</v>
      </c>
      <c r="W130" s="11">
        <v>790</v>
      </c>
      <c r="X130" s="11" t="s">
        <v>115</v>
      </c>
      <c r="Y130" s="11">
        <v>1377</v>
      </c>
      <c r="Z130" s="11">
        <v>1377</v>
      </c>
      <c r="AA130" s="11" t="s">
        <v>915</v>
      </c>
      <c r="AB130" s="11" t="s">
        <v>916</v>
      </c>
      <c r="AC130" s="11" t="s">
        <v>917</v>
      </c>
      <c r="AD130" s="11">
        <v>0</v>
      </c>
      <c r="AE130" s="11">
        <v>790</v>
      </c>
      <c r="AF130" s="11" t="str">
        <f>VLOOKUP(K130,'1207 Beneficencia'!$K$13:$AK$15,22,0)</f>
        <v>NA</v>
      </c>
      <c r="AG130" s="11">
        <f>VLOOKUP(K130,'1207 Beneficencia'!$K$13:$AK$15,23,0)</f>
        <v>642</v>
      </c>
      <c r="AH130" s="11">
        <f>AG130</f>
        <v>642</v>
      </c>
      <c r="AI130" s="11" t="str">
        <f>VLOOKUP(K130,'1207 Beneficencia'!$K$13:$AK$15,25,0)</f>
        <v>Protección integral institucionalizada donde reciben alojamiento, alimentación, vestido, dotación personal de elementos de aseo, atención especializada en trabajo social, psicología, terapias física y ocupacional, nutrición, gerontología, enfermería, talleres ocupacionales, recreación, acceso a servicios de salud y funerarios</v>
      </c>
      <c r="AJ130" s="11" t="str">
        <f>VLOOKUP(K130,'1207 Beneficencia'!$K$13:$AK$15,26,0)</f>
        <v xml:space="preserve">Se han atendido durante la vigencia 284 mujeres y 358 hombres mayores de 60 años, víctimas de una o más violencias, quienes disfrutan de sus derechos fundamentales en 5 centros de la Beneficencia </v>
      </c>
      <c r="AK130" s="11" t="str">
        <f>VLOOKUP(K130,'1207 Beneficencia'!$K$13:$AK$15,27,0)</f>
        <v>Los recursos económicos propios de la entidad son insuficientes  y se requiere de la articulación y cofinanciación con el Departamento para cumplir a cabalidad con la inversión social en estas metas</v>
      </c>
      <c r="AL130" s="11">
        <v>0</v>
      </c>
      <c r="AM130" s="11">
        <v>790</v>
      </c>
      <c r="AN130" s="11">
        <v>0</v>
      </c>
      <c r="AO130" s="11">
        <v>790</v>
      </c>
      <c r="AP130" s="11">
        <v>0</v>
      </c>
      <c r="AQ130" s="11">
        <v>0</v>
      </c>
      <c r="AR130" s="51">
        <v>1439562282</v>
      </c>
      <c r="AS130" s="54">
        <v>3012462915</v>
      </c>
      <c r="AT130" s="54">
        <f t="shared" si="103"/>
        <v>4452025197</v>
      </c>
      <c r="AU130" s="51">
        <v>1439562282</v>
      </c>
      <c r="AV130" s="243">
        <v>27077074288</v>
      </c>
      <c r="AW130" s="244"/>
      <c r="AX130" s="244"/>
      <c r="AY130" s="243">
        <v>15745961567</v>
      </c>
      <c r="AZ130" s="44" cm="1">
        <f t="array" ref="AZ130">_xlfn.IFS((BA130=0),(BD130/CL130),(BA130&gt;0),((BB130+BD130)/CL130),(BE130&gt;0),((BB130+BD130+BE130)/CL130),(BG130&gt;0),((BB130+BD130+BE130+G130)/CL130))</f>
        <v>0.63891455696202537</v>
      </c>
      <c r="BA130" s="44">
        <v>0.25</v>
      </c>
      <c r="BB130" s="44">
        <v>1.7430000000000001</v>
      </c>
      <c r="BC130" s="44">
        <f>IF(AE130&gt;0,(1/CL130),0)</f>
        <v>0.25</v>
      </c>
      <c r="BD130" s="44" cm="1">
        <f t="array" ref="BD130">_xlfn.IFS(AE130=0,"NA",AE130&gt;0,AH130/AE130)</f>
        <v>0.81265822784810127</v>
      </c>
      <c r="BE130" s="44">
        <f>IF(AM130&gt;0,(1/CL130),0)</f>
        <v>0.25</v>
      </c>
      <c r="BF130" s="44">
        <v>0</v>
      </c>
      <c r="BG130" s="44">
        <f>IF(AO130&gt;0,(1/CL130),0)</f>
        <v>0.25</v>
      </c>
      <c r="BH130" s="44">
        <v>0</v>
      </c>
      <c r="BI130" s="44">
        <v>0</v>
      </c>
      <c r="BJ130" s="44" t="s">
        <v>115</v>
      </c>
      <c r="BK130" s="44" t="str">
        <f>IF(AZ130&gt;50%,"50%",AZ130)</f>
        <v>50%</v>
      </c>
      <c r="BL130" s="44">
        <v>1</v>
      </c>
      <c r="BM130" s="44" cm="1">
        <f t="array" ref="BM130">_xlfn.IFS(BD130="NA","NA",BD130&gt;100%,"100%",BD130&lt;100,BD130)</f>
        <v>0.81265822784810127</v>
      </c>
      <c r="BN130" s="44">
        <v>0</v>
      </c>
      <c r="BO130" s="44">
        <v>0</v>
      </c>
      <c r="BP130" s="44" t="s">
        <v>115</v>
      </c>
      <c r="BQ130" s="45">
        <v>0.22500000000000001</v>
      </c>
      <c r="BR130" s="45">
        <f t="shared" si="105"/>
        <v>0.1125</v>
      </c>
      <c r="BS130" s="45">
        <v>5.6300000000000003E-2</v>
      </c>
      <c r="BT130" s="45">
        <v>5.6300000000000003E-2</v>
      </c>
      <c r="BU130" s="45">
        <v>5.6300000000000003E-2</v>
      </c>
      <c r="BV130" s="45">
        <v>5.6300000000000003E-2</v>
      </c>
      <c r="BW130" s="45">
        <f t="shared" si="113"/>
        <v>4.5752658227848103E-2</v>
      </c>
      <c r="BX130" s="45">
        <f t="shared" si="114"/>
        <v>5.62E-2</v>
      </c>
      <c r="BY130" s="45">
        <v>5.6300000000000003E-2</v>
      </c>
      <c r="BZ130" s="45">
        <v>0</v>
      </c>
      <c r="CA130" s="45">
        <f t="shared" si="106"/>
        <v>0</v>
      </c>
      <c r="CB130" s="45">
        <v>5.6300000000000003E-2</v>
      </c>
      <c r="CC130" s="45">
        <v>0</v>
      </c>
      <c r="CD130" s="45">
        <v>0</v>
      </c>
      <c r="CE130" s="45">
        <v>0</v>
      </c>
      <c r="CF130" s="45" t="s">
        <v>115</v>
      </c>
      <c r="CG130" s="45">
        <v>0</v>
      </c>
      <c r="CH130" s="244">
        <f>IF(W130&gt;0,1,0)</f>
        <v>1</v>
      </c>
      <c r="CI130" s="244">
        <f>IF(AE130&gt;0,1,0)</f>
        <v>1</v>
      </c>
      <c r="CJ130" s="244">
        <f>IF(AM130&gt;0,1,0)</f>
        <v>1</v>
      </c>
      <c r="CK130" s="244">
        <f>IF(AO130&gt;0,1,0)</f>
        <v>1</v>
      </c>
      <c r="CL130">
        <f>CH130+CI130+CJ130+CK130</f>
        <v>4</v>
      </c>
      <c r="CM130" s="63">
        <f>AVERAGE(Z130,AH130)</f>
        <v>1009.5</v>
      </c>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row>
    <row r="131" spans="1:261" s="48" customFormat="1" ht="18" hidden="1" customHeight="1">
      <c r="A131" s="260" t="s">
        <v>248</v>
      </c>
      <c r="B131" s="260" t="s">
        <v>249</v>
      </c>
      <c r="C131" s="260" t="s">
        <v>100</v>
      </c>
      <c r="D131" s="260" t="s">
        <v>508</v>
      </c>
      <c r="E131" s="260" t="s">
        <v>870</v>
      </c>
      <c r="F131" s="260" t="s">
        <v>909</v>
      </c>
      <c r="G131" s="260" t="s">
        <v>910</v>
      </c>
      <c r="H131" s="260" t="s">
        <v>918</v>
      </c>
      <c r="I131" s="260"/>
      <c r="J131" s="260"/>
      <c r="K131" s="260" t="s">
        <v>919</v>
      </c>
      <c r="L131" s="260" t="s">
        <v>920</v>
      </c>
      <c r="M131" s="260" t="s">
        <v>921</v>
      </c>
      <c r="N131" s="260" t="s">
        <v>111</v>
      </c>
      <c r="O131" s="260" t="s">
        <v>112</v>
      </c>
      <c r="P131" s="10">
        <v>10000</v>
      </c>
      <c r="Q131" s="11">
        <v>12000</v>
      </c>
      <c r="R131" s="11">
        <f>Z131+AH131</f>
        <v>5840</v>
      </c>
      <c r="S131" s="11" t="str">
        <f>VLOOKUP(K131,'1208 Indeportes'!$K$13:$AK$39,9,0)</f>
        <v>La buena voluntad de la población a beneficiar, siempre van a estar dispuestos a participar de las actividades. Se desarrolló el día del adulto mayor de manera virtual, donde participaron 135 personas de los diferentes municipios del departamento.</v>
      </c>
      <c r="T131" s="11">
        <v>3000</v>
      </c>
      <c r="U131" s="11">
        <v>0</v>
      </c>
      <c r="V131" s="11">
        <v>3000</v>
      </c>
      <c r="W131" s="11">
        <v>0</v>
      </c>
      <c r="X131" s="11">
        <v>1740</v>
      </c>
      <c r="Y131" s="11">
        <v>0</v>
      </c>
      <c r="Z131" s="11">
        <v>1740</v>
      </c>
      <c r="AA131" s="11">
        <v>0</v>
      </c>
      <c r="AB131" s="11" t="s">
        <v>922</v>
      </c>
      <c r="AC131" s="11">
        <v>0</v>
      </c>
      <c r="AD131" s="11">
        <v>4000</v>
      </c>
      <c r="AE131" s="11">
        <v>0</v>
      </c>
      <c r="AF131" s="11">
        <f>VLOOKUP(K131,'1208 Indeportes'!$K$13:$AH$39,22,0)</f>
        <v>4100</v>
      </c>
      <c r="AG131" s="11">
        <f>VLOOKUP(K131,'1208 Indeportes'!$K$13:$AH$39,23,0)</f>
        <v>0</v>
      </c>
      <c r="AH131" s="11">
        <f>AF131</f>
        <v>4100</v>
      </c>
      <c r="AI131" s="11">
        <f>VLOOKUP(K131,'1208 Indeportes'!$K$13:$AK$39,25,0)</f>
        <v>0</v>
      </c>
      <c r="AJ131" s="11" t="str">
        <f>VLOOKUP(K131,'1208 Indeportes'!$K$13:$AK$39,26,0)</f>
        <v>Se realizarón mesas técnicas, y se definio la participación de 30 adultos mayores por Municipio, para los encuentros provicniales intergeneracionales, esto con el fín de garantizar los protocolos de bioseguridad. Iniciamos nuetsros encuentros intergeneracionales el 18 de agosto con la provincia de Almeidas, municipio anfitrión Manta conm una participación de 235 adultos mayores. Ese mismo día realizamos el encuentro en la provincia del Guavio con Muniicpio anfitrión Guasca con una participación de 163 adultos mayores. El 19 de agosto llegamos a la provincia de Sabana Centro, municipio anfitrión Tenjo con una participación de 272 adultos mayores. El 20 de agosto llegamos a la provincia de Rionegro, municipio anfitrión Yacopí con una participación de 258 adultos mayores. El 23 de agosto llegamos a la provincia de Gualivá, municipio anfitrión San Francisco con una participación de 377 adultos mayores. El 23 de agosto llegamos a la provincia de Sabana Occidente, municipio anfitrión Facatativá con una participación de 285 adultos mayores. El 24 de agosto llegamos a la provincia de Ubaté, municipio anfitrión Guachetá con una participación de 272 adultos mayores.El 25 de agosto llegamos a la provincia del Tequendama, municipio anfitrión San Antonio con una participación de 280 adultos mayores. El 26 de agosto llegamos a la provincia de Sumapaz, municipio anfitrión Silvania con una participación de 250 adultos mayores. El 27 de agosto llegamos a la provincia de Alto Magdalena, municipio anfitrión Girardot con una participación de 227 adultos mayores. El 28 de agosto llegamos a la provincia de Magdalena Centro, municipio anfitrión San Juan de Rioseco (Cambao) con una participación de 120 adultos mayores. El 30 de agosto llegamos a la provincia de Magdalena Centro, municipio anfitrión Bituima con una participación de 271 adultos mayores.El 31 de agosto llegamos a la provincia de Oriente, municipio anfitrión Chipaque con una participación de 263 adultos mayores, y finalmente terminamos nuestro evento en la provincia de Medina, con muniicpio anfitrión Medina y una participación de 77 adultos mayores</v>
      </c>
      <c r="AK131" s="11">
        <f>VLOOKUP(K131,'1208 Indeportes'!$K$13:$AK$39,27,0)</f>
        <v>0</v>
      </c>
      <c r="AL131" s="11">
        <v>3500</v>
      </c>
      <c r="AM131" s="11">
        <v>0</v>
      </c>
      <c r="AN131" s="11">
        <v>2760</v>
      </c>
      <c r="AO131" s="11">
        <v>0</v>
      </c>
      <c r="AP131" s="11">
        <v>0</v>
      </c>
      <c r="AQ131" s="11">
        <v>0</v>
      </c>
      <c r="AR131" s="51">
        <v>82722600</v>
      </c>
      <c r="AS131" s="54">
        <v>0</v>
      </c>
      <c r="AT131" s="54">
        <f t="shared" si="103"/>
        <v>82722600</v>
      </c>
      <c r="AU131" s="51">
        <v>82722600</v>
      </c>
      <c r="AV131" s="243">
        <v>180000000</v>
      </c>
      <c r="AW131" s="244"/>
      <c r="AX131" s="244"/>
      <c r="AY131" s="243">
        <v>179915000</v>
      </c>
      <c r="AZ131" s="44">
        <f>R131/Q131</f>
        <v>0.48666666666666669</v>
      </c>
      <c r="BA131" s="44">
        <v>0.25</v>
      </c>
      <c r="BB131" s="44">
        <v>0.57999999999999996</v>
      </c>
      <c r="BC131" s="44">
        <f>AD131/Q131</f>
        <v>0.33333333333333331</v>
      </c>
      <c r="BD131" s="44" cm="1">
        <f t="array" ref="BD131">_xlfn.IFS(AD131=0,"NA",AD131&gt;0,AH131/AD131)</f>
        <v>1.0249999999999999</v>
      </c>
      <c r="BE131" s="44">
        <f>AL131/Q131</f>
        <v>0.29166666666666669</v>
      </c>
      <c r="BF131" s="44">
        <v>0</v>
      </c>
      <c r="BG131" s="44">
        <f>AN131/Q131</f>
        <v>0.23</v>
      </c>
      <c r="BH131" s="44">
        <v>0</v>
      </c>
      <c r="BI131" s="44">
        <f>AP131/Q131</f>
        <v>0</v>
      </c>
      <c r="BJ131" s="44" t="s">
        <v>115</v>
      </c>
      <c r="BK131" s="44">
        <f t="shared" si="104"/>
        <v>0.48666666666666669</v>
      </c>
      <c r="BL131" s="44">
        <v>0.57999999999999996</v>
      </c>
      <c r="BM131" s="44" t="str" cm="1">
        <f t="array" ref="BM131">_xlfn.IFS(BD131="NA","NA",BD131&gt;100%,"100%",BD131&lt;100,BD131)</f>
        <v>100%</v>
      </c>
      <c r="BN131" s="44" cm="1">
        <f t="array" ref="BN131">_xlfn.IFS(BF131="NA","NA",BF131&gt;100%,"100%",BF131&lt;100,BF131)</f>
        <v>0</v>
      </c>
      <c r="BO131" s="44" cm="1">
        <f t="array" ref="BO131">_xlfn.IFS(BH131="NA","NA",BH131&gt;100%,"100%",BH131&lt;100,BH131)</f>
        <v>0</v>
      </c>
      <c r="BP131" s="44" t="str" cm="1">
        <f t="array" ref="BP131">_xlfn.IFS(BJ131="NA","NA",BJ131&gt;100%,"100%",BJ131&lt;100,BJ131)</f>
        <v>NA</v>
      </c>
      <c r="BQ131" s="45">
        <v>0.22500000000000001</v>
      </c>
      <c r="BR131" s="45">
        <f t="shared" si="105"/>
        <v>0.10950000000000001</v>
      </c>
      <c r="BS131" s="45">
        <v>5.6300000000000003E-2</v>
      </c>
      <c r="BT131" s="45">
        <v>3.27E-2</v>
      </c>
      <c r="BU131" s="45">
        <v>3.2599999999999997E-2</v>
      </c>
      <c r="BV131" s="45">
        <f>(AD131*BQ131)/Q131</f>
        <v>7.4999999999999997E-2</v>
      </c>
      <c r="BW131" s="45">
        <f t="shared" si="113"/>
        <v>7.4999999999999997E-2</v>
      </c>
      <c r="BX131" s="45">
        <f t="shared" si="114"/>
        <v>7.6900000000000024E-2</v>
      </c>
      <c r="BY131" s="45">
        <f>(AL131*BQ131)/Q131</f>
        <v>6.5625000000000003E-2</v>
      </c>
      <c r="BZ131" s="45">
        <f>IF(BN131="NA","NA",BN131*BY131)</f>
        <v>0</v>
      </c>
      <c r="CA131" s="45">
        <f t="shared" si="106"/>
        <v>0</v>
      </c>
      <c r="CB131" s="45">
        <f>(AN131*BQ131)/Q131</f>
        <v>5.1749999999999997E-2</v>
      </c>
      <c r="CC131" s="45">
        <f>IF(BO131="NA","NA",BO131*CB131)</f>
        <v>0</v>
      </c>
      <c r="CD131" s="45">
        <v>0</v>
      </c>
      <c r="CE131" s="45">
        <f>(AP131*BQ131)/Q131</f>
        <v>0</v>
      </c>
      <c r="CF131" s="45" t="str">
        <f>IF(BP131="NA","NA",BP131*CE131)</f>
        <v>NA</v>
      </c>
      <c r="CG131" s="45">
        <v>0</v>
      </c>
      <c r="CH131" s="244"/>
      <c r="CI131" s="244"/>
      <c r="CJ131" s="244"/>
      <c r="CK131" s="244"/>
      <c r="CL131"/>
      <c r="CM131" s="63">
        <v>5090</v>
      </c>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row>
    <row r="132" spans="1:261" s="48" customFormat="1" ht="18" hidden="1" customHeight="1">
      <c r="A132" s="260" t="s">
        <v>144</v>
      </c>
      <c r="B132" s="260" t="s">
        <v>145</v>
      </c>
      <c r="C132" s="260" t="s">
        <v>100</v>
      </c>
      <c r="D132" s="260" t="s">
        <v>508</v>
      </c>
      <c r="E132" s="260" t="s">
        <v>870</v>
      </c>
      <c r="F132" s="260" t="s">
        <v>909</v>
      </c>
      <c r="G132" s="260" t="s">
        <v>910</v>
      </c>
      <c r="H132" s="260" t="s">
        <v>923</v>
      </c>
      <c r="I132" s="260"/>
      <c r="J132" s="260"/>
      <c r="K132" s="260" t="s">
        <v>924</v>
      </c>
      <c r="L132" s="260" t="s">
        <v>925</v>
      </c>
      <c r="M132" s="260" t="s">
        <v>926</v>
      </c>
      <c r="N132" s="260" t="s">
        <v>111</v>
      </c>
      <c r="O132" s="260" t="s">
        <v>124</v>
      </c>
      <c r="P132" s="10">
        <v>2000</v>
      </c>
      <c r="Q132" s="11">
        <v>2500</v>
      </c>
      <c r="R132" s="264">
        <f>(Z132+AH132)/(CH132+CI132)</f>
        <v>2116.5</v>
      </c>
      <c r="S132" s="11" t="str">
        <f>VLOOKUP(K132,'1126 Desarrollo Social'!$K$13:$S$58,9,0)</f>
        <v>El pago de subsidios pendientes del periodo mayo y junio  del programa de gobierno Unidos Podemos masSe elaboro el proyecto de Ordenanza para la continuidad de los subsidios de Adulto Mayor y persona con discapacidad</v>
      </c>
      <c r="T132" s="11">
        <v>0</v>
      </c>
      <c r="U132" s="11">
        <v>2500</v>
      </c>
      <c r="V132" s="11">
        <v>0</v>
      </c>
      <c r="W132" s="11">
        <v>2500</v>
      </c>
      <c r="X132" s="11" t="s">
        <v>115</v>
      </c>
      <c r="Y132" s="11">
        <v>1754</v>
      </c>
      <c r="Z132" s="11">
        <v>1754</v>
      </c>
      <c r="AA132" s="11">
        <v>0</v>
      </c>
      <c r="AB132" s="11" t="s">
        <v>927</v>
      </c>
      <c r="AC132" s="11">
        <v>0</v>
      </c>
      <c r="AD132" s="11">
        <v>0</v>
      </c>
      <c r="AE132" s="11">
        <v>2500</v>
      </c>
      <c r="AF132" s="11">
        <f>VLOOKUP(K132,'1126 Desarrollo Social'!$K$13:$AK$58,22,0)</f>
        <v>0</v>
      </c>
      <c r="AG132" s="11">
        <f>VLOOKUP(K132,'1126 Desarrollo Social'!$K$13:$AK$58,23,0)</f>
        <v>2479</v>
      </c>
      <c r="AH132" s="11">
        <f t="shared" ref="AH132:AH133" si="215">AG132</f>
        <v>2479</v>
      </c>
      <c r="AI132" s="11" t="str">
        <f>VLOOKUP(K132,'1126 Desarrollo Social'!$K$13:$AK$58,25,0)</f>
        <v>Subsidio</v>
      </c>
      <c r="AJ132" s="11" t="str">
        <f>VLOOKUP(K132,'1126 Desarrollo Social'!$K$13:$AK$58,26,0)</f>
        <v xml:space="preserve">socialización de la ordenanza 037 de 2020, aprobacion ordenanza 054 de 2021 inicio de pagos a beneficiarios y validacion de los requisitos para los beneficarios de la meta
Caracterizaciones de los posibles nuevos beneficiarios.
Cruce de datos entre Colombia Mayor y Posibles beneficiarios de la Gobernación
Se aprobo proyecto de ordenanza 054 por parte de la Asamblea Departamental para la ejecucion de los recursos </v>
      </c>
      <c r="AK132" s="11" t="str">
        <f>VLOOKUP(K132,'1126 Desarrollo Social'!$K$13:$AK$58,27,0)</f>
        <v xml:space="preserve">Cambio de clasificación </v>
      </c>
      <c r="AL132" s="11">
        <v>0</v>
      </c>
      <c r="AM132" s="11">
        <v>2500</v>
      </c>
      <c r="AN132" s="11">
        <v>0</v>
      </c>
      <c r="AO132" s="11">
        <v>2500</v>
      </c>
      <c r="AP132" s="11">
        <v>0</v>
      </c>
      <c r="AQ132" s="11">
        <v>0</v>
      </c>
      <c r="AR132" s="51">
        <v>548332284</v>
      </c>
      <c r="AS132" s="54">
        <v>0</v>
      </c>
      <c r="AT132" s="54">
        <f t="shared" si="103"/>
        <v>548332284</v>
      </c>
      <c r="AU132" s="51">
        <v>279666142</v>
      </c>
      <c r="AV132" s="243">
        <v>1300483385</v>
      </c>
      <c r="AW132" s="244"/>
      <c r="AX132" s="244"/>
      <c r="AY132" s="243">
        <v>1101487831</v>
      </c>
      <c r="AZ132" s="44" cm="1">
        <f t="array" ref="AZ132">_xlfn.IFS((BA132=0),(BD132/CL132),(BA132&gt;0),((BB132+BD132)/CL132),(BE132&gt;0),((BB132+BD132+BE132)/CL132),(BG132&gt;0),((BB132+BD132+BE132+G132)/CL132))</f>
        <v>0.42330000000000001</v>
      </c>
      <c r="BA132" s="44">
        <v>0.25</v>
      </c>
      <c r="BB132" s="44">
        <v>0.7016</v>
      </c>
      <c r="BC132" s="44">
        <f t="shared" ref="BC132:BC133" si="216">IF(AE132&gt;0,(1/CL132),0)</f>
        <v>0.25</v>
      </c>
      <c r="BD132" s="44" cm="1">
        <f t="array" ref="BD132">_xlfn.IFS(AE132=0,"NA",AE132&gt;0,AH132/AE132)</f>
        <v>0.99160000000000004</v>
      </c>
      <c r="BE132" s="44">
        <f t="shared" ref="BE132:BE133" si="217">IF(AM132&gt;0,(1/CL132),0)</f>
        <v>0.25</v>
      </c>
      <c r="BF132" s="44">
        <v>0</v>
      </c>
      <c r="BG132" s="44">
        <f t="shared" ref="BG132:BG133" si="218">IF(AO132&gt;0,(1/CL132),0)</f>
        <v>0.25</v>
      </c>
      <c r="BH132" s="44">
        <v>0</v>
      </c>
      <c r="BI132" s="44">
        <v>0</v>
      </c>
      <c r="BJ132" s="44" t="s">
        <v>115</v>
      </c>
      <c r="BK132" s="44">
        <f t="shared" si="104"/>
        <v>0.42330000000000001</v>
      </c>
      <c r="BL132" s="44">
        <v>0.7016</v>
      </c>
      <c r="BM132" s="44" cm="1">
        <f t="array" ref="BM132">_xlfn.IFS(BD132="NA","NA",BD132&gt;100%,"100%",BD132&lt;100,BD132)</f>
        <v>0.99160000000000004</v>
      </c>
      <c r="BN132" s="44">
        <v>0</v>
      </c>
      <c r="BO132" s="44">
        <v>0</v>
      </c>
      <c r="BP132" s="44" t="s">
        <v>115</v>
      </c>
      <c r="BQ132" s="45">
        <v>0.22500000000000001</v>
      </c>
      <c r="BR132" s="45">
        <f t="shared" si="105"/>
        <v>9.5242500000000008E-2</v>
      </c>
      <c r="BS132" s="45">
        <v>5.6300000000000003E-2</v>
      </c>
      <c r="BT132" s="45">
        <v>3.95E-2</v>
      </c>
      <c r="BU132" s="45">
        <v>3.95E-2</v>
      </c>
      <c r="BV132" s="45">
        <v>5.6300000000000003E-2</v>
      </c>
      <c r="BW132" s="45">
        <f t="shared" si="113"/>
        <v>5.5827080000000008E-2</v>
      </c>
      <c r="BX132" s="45">
        <f t="shared" si="114"/>
        <v>5.5742500000000007E-2</v>
      </c>
      <c r="BY132" s="45">
        <v>5.6300000000000003E-2</v>
      </c>
      <c r="BZ132" s="45">
        <v>0</v>
      </c>
      <c r="CA132" s="45">
        <f t="shared" si="106"/>
        <v>0</v>
      </c>
      <c r="CB132" s="45">
        <v>5.6300000000000003E-2</v>
      </c>
      <c r="CC132" s="45">
        <v>0</v>
      </c>
      <c r="CD132" s="45">
        <v>0</v>
      </c>
      <c r="CE132" s="45">
        <v>0</v>
      </c>
      <c r="CF132" s="45" t="s">
        <v>115</v>
      </c>
      <c r="CG132" s="45">
        <v>0</v>
      </c>
      <c r="CH132" s="244">
        <f t="shared" ref="CH132:CH133" si="219">IF(W132&gt;0,1,0)</f>
        <v>1</v>
      </c>
      <c r="CI132" s="244">
        <f t="shared" ref="CI132:CI133" si="220">IF(AE132&gt;0,1,0)</f>
        <v>1</v>
      </c>
      <c r="CJ132" s="244">
        <f t="shared" ref="CJ132:CJ133" si="221">IF(AM132&gt;0,1,0)</f>
        <v>1</v>
      </c>
      <c r="CK132" s="244">
        <f t="shared" ref="CK132:CK133" si="222">IF(AO132&gt;0,1,0)</f>
        <v>1</v>
      </c>
      <c r="CL132">
        <f t="shared" ref="CL132:CL133" si="223">CH132+CI132+CJ132+CK132</f>
        <v>4</v>
      </c>
      <c r="CM132" s="63">
        <f t="shared" ref="CM132:CM133" si="224">AVERAGE(Z132,AH132)</f>
        <v>2116.5</v>
      </c>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row>
    <row r="133" spans="1:261" s="48" customFormat="1" ht="18" hidden="1" customHeight="1">
      <c r="A133" s="260" t="s">
        <v>144</v>
      </c>
      <c r="B133" s="260" t="s">
        <v>145</v>
      </c>
      <c r="C133" s="260" t="s">
        <v>100</v>
      </c>
      <c r="D133" s="260" t="s">
        <v>508</v>
      </c>
      <c r="E133" s="260" t="s">
        <v>870</v>
      </c>
      <c r="F133" s="260" t="s">
        <v>909</v>
      </c>
      <c r="G133" s="260" t="s">
        <v>910</v>
      </c>
      <c r="H133" s="260" t="s">
        <v>928</v>
      </c>
      <c r="I133" s="260"/>
      <c r="J133" s="260"/>
      <c r="K133" s="260" t="s">
        <v>929</v>
      </c>
      <c r="L133" s="260" t="s">
        <v>930</v>
      </c>
      <c r="M133" s="260" t="s">
        <v>931</v>
      </c>
      <c r="N133" s="260" t="s">
        <v>123</v>
      </c>
      <c r="O133" s="260" t="s">
        <v>124</v>
      </c>
      <c r="P133" s="10">
        <v>0</v>
      </c>
      <c r="Q133" s="11">
        <v>100</v>
      </c>
      <c r="R133" s="11">
        <f t="shared" ref="R133" si="225">(Z133+AH133)/CL133</f>
        <v>29.5</v>
      </c>
      <c r="S133" s="11">
        <f>VLOOKUP(K133,'1126 Desarrollo Social'!$K$13:$S$58,9,0)</f>
        <v>0</v>
      </c>
      <c r="T133" s="11">
        <v>0</v>
      </c>
      <c r="U133" s="11">
        <v>100</v>
      </c>
      <c r="V133" s="11">
        <v>0</v>
      </c>
      <c r="W133" s="11">
        <v>100</v>
      </c>
      <c r="X133" s="11" t="s">
        <v>115</v>
      </c>
      <c r="Y133" s="11">
        <v>20</v>
      </c>
      <c r="Z133" s="11">
        <v>20</v>
      </c>
      <c r="AA133" s="11">
        <v>0</v>
      </c>
      <c r="AB133" s="11" t="s">
        <v>932</v>
      </c>
      <c r="AC133" s="11" t="s">
        <v>933</v>
      </c>
      <c r="AD133" s="11">
        <v>0</v>
      </c>
      <c r="AE133" s="11">
        <v>100</v>
      </c>
      <c r="AF133" s="11">
        <f>VLOOKUP(K133,'1126 Desarrollo Social'!$K$13:$AK$58,22,0)</f>
        <v>0</v>
      </c>
      <c r="AG133" s="11">
        <f>VLOOKUP(K133,'1126 Desarrollo Social'!$K$13:$AK$58,23,0)</f>
        <v>98</v>
      </c>
      <c r="AH133" s="11">
        <f t="shared" si="215"/>
        <v>98</v>
      </c>
      <c r="AI133" s="11" t="str">
        <f>VLOOKUP(K133,'1126 Desarrollo Social'!$K$13:$AK$58,25,0)</f>
        <v>Se logro identificar a 1.365 personas residentes en el area rural dispersa, de los cuales 1.335 recibieron el beneficio de transporte, generando un cumplimiento del 98%</v>
      </c>
      <c r="AJ133" s="11" t="str">
        <f>VLOOKUP(K133,'1126 Desarrollo Social'!$K$13:$AK$58,26,0)</f>
        <v>Se apobo ordenanza 055 de 2021 Por la cual se reglamenta el otorgamiento de beneficios que garanticen el transporte a las personas beneficiarias del subsidio monetario para  persona Mayores de 60 años que residan en el sectro rural del territorio del departamento de Cundinamarca. Socialización y e inicio de recoleccion de información para el pago del beneficio. se realizo resolución para el  reconocimeinto del beneficio para cada uno de los municipios</v>
      </c>
      <c r="AK133" s="11">
        <f>VLOOKUP(K133,'1126 Desarrollo Social'!$K$13:$AK$58,27,0)</f>
        <v>0</v>
      </c>
      <c r="AL133" s="11">
        <v>0</v>
      </c>
      <c r="AM133" s="11">
        <v>100</v>
      </c>
      <c r="AN133" s="11">
        <v>0</v>
      </c>
      <c r="AO133" s="11">
        <v>100</v>
      </c>
      <c r="AP133" s="11">
        <v>0</v>
      </c>
      <c r="AQ133" s="11">
        <v>0</v>
      </c>
      <c r="AR133" s="52"/>
      <c r="AS133" s="54">
        <v>0</v>
      </c>
      <c r="AT133" s="54">
        <f t="shared" si="103"/>
        <v>0</v>
      </c>
      <c r="AU133" s="52"/>
      <c r="AV133" s="243">
        <v>400000000</v>
      </c>
      <c r="AW133" s="244"/>
      <c r="AX133" s="244"/>
      <c r="AY133" s="243">
        <v>42619768</v>
      </c>
      <c r="AZ133" s="44" cm="1">
        <f t="array" ref="AZ133">_xlfn.IFS((BA133=0),(BD133/CL133),(BA133&gt;0),((BB133+BD133)/CL133),(BE133&gt;0),((BB133+BD133+BE133)/CL133),(BG133&gt;0),((BB133+BD133+BE133+G133)/CL133))</f>
        <v>0.29499999999999998</v>
      </c>
      <c r="BA133" s="44">
        <v>0.25</v>
      </c>
      <c r="BB133" s="44">
        <v>0.2</v>
      </c>
      <c r="BC133" s="44">
        <f t="shared" si="216"/>
        <v>0.25</v>
      </c>
      <c r="BD133" s="44" cm="1">
        <f t="array" ref="BD133">_xlfn.IFS(AE133=0,"NA",AE133&gt;0,AH133/AE133)</f>
        <v>0.98</v>
      </c>
      <c r="BE133" s="44">
        <f t="shared" si="217"/>
        <v>0.25</v>
      </c>
      <c r="BF133" s="44">
        <v>0</v>
      </c>
      <c r="BG133" s="44">
        <f t="shared" si="218"/>
        <v>0.25</v>
      </c>
      <c r="BH133" s="44">
        <v>0</v>
      </c>
      <c r="BI133" s="44">
        <v>0</v>
      </c>
      <c r="BJ133" s="44" t="s">
        <v>115</v>
      </c>
      <c r="BK133" s="44">
        <f t="shared" si="104"/>
        <v>0.29499999999999998</v>
      </c>
      <c r="BL133" s="44">
        <v>0.2</v>
      </c>
      <c r="BM133" s="44" cm="1">
        <f t="array" ref="BM133">_xlfn.IFS(BD133="NA","NA",BD133&gt;100%,"100%",BD133&lt;100,BD133)</f>
        <v>0.98</v>
      </c>
      <c r="BN133" s="44">
        <v>0</v>
      </c>
      <c r="BO133" s="44">
        <v>0</v>
      </c>
      <c r="BP133" s="44" t="s">
        <v>115</v>
      </c>
      <c r="BQ133" s="45">
        <v>0.22500000000000001</v>
      </c>
      <c r="BR133" s="45">
        <f t="shared" si="105"/>
        <v>6.6375000000000003E-2</v>
      </c>
      <c r="BS133" s="45">
        <v>5.6300000000000003E-2</v>
      </c>
      <c r="BT133" s="45">
        <v>1.1299999999999999E-2</v>
      </c>
      <c r="BU133" s="45">
        <v>1.1299999999999999E-2</v>
      </c>
      <c r="BV133" s="45">
        <v>5.6300000000000003E-2</v>
      </c>
      <c r="BW133" s="45">
        <f t="shared" si="113"/>
        <v>5.5174000000000001E-2</v>
      </c>
      <c r="BX133" s="45">
        <f t="shared" si="114"/>
        <v>5.5075000000000006E-2</v>
      </c>
      <c r="BY133" s="45">
        <v>5.6300000000000003E-2</v>
      </c>
      <c r="BZ133" s="45">
        <v>0</v>
      </c>
      <c r="CA133" s="45">
        <f t="shared" si="106"/>
        <v>0</v>
      </c>
      <c r="CB133" s="45">
        <v>5.6300000000000003E-2</v>
      </c>
      <c r="CC133" s="45">
        <v>0</v>
      </c>
      <c r="CD133" s="45">
        <v>0</v>
      </c>
      <c r="CE133" s="45">
        <v>0</v>
      </c>
      <c r="CF133" s="45" t="s">
        <v>115</v>
      </c>
      <c r="CG133" s="45">
        <v>0</v>
      </c>
      <c r="CH133" s="244">
        <f t="shared" si="219"/>
        <v>1</v>
      </c>
      <c r="CI133" s="244">
        <f t="shared" si="220"/>
        <v>1</v>
      </c>
      <c r="CJ133" s="244">
        <f t="shared" si="221"/>
        <v>1</v>
      </c>
      <c r="CK133" s="244">
        <f t="shared" si="222"/>
        <v>1</v>
      </c>
      <c r="CL133">
        <f t="shared" si="223"/>
        <v>4</v>
      </c>
      <c r="CM133" s="63">
        <f t="shared" si="224"/>
        <v>59</v>
      </c>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row>
    <row r="134" spans="1:261" s="48" customFormat="1" ht="18" hidden="1" customHeight="1">
      <c r="A134" s="260" t="s">
        <v>144</v>
      </c>
      <c r="B134" s="260" t="s">
        <v>145</v>
      </c>
      <c r="C134" s="260" t="s">
        <v>100</v>
      </c>
      <c r="D134" s="260" t="s">
        <v>508</v>
      </c>
      <c r="E134" s="260" t="s">
        <v>870</v>
      </c>
      <c r="F134" s="260" t="s">
        <v>909</v>
      </c>
      <c r="G134" s="260" t="s">
        <v>910</v>
      </c>
      <c r="H134" s="260" t="s">
        <v>934</v>
      </c>
      <c r="I134" s="260"/>
      <c r="J134" s="260"/>
      <c r="K134" s="260" t="s">
        <v>935</v>
      </c>
      <c r="L134" s="260" t="s">
        <v>936</v>
      </c>
      <c r="M134" s="260" t="s">
        <v>937</v>
      </c>
      <c r="N134" s="260" t="s">
        <v>111</v>
      </c>
      <c r="O134" s="260" t="s">
        <v>112</v>
      </c>
      <c r="P134" s="10">
        <v>250</v>
      </c>
      <c r="Q134" s="11">
        <v>250</v>
      </c>
      <c r="R134" s="11">
        <f>Z134+AH134</f>
        <v>0</v>
      </c>
      <c r="S134" s="11" t="str">
        <f>VLOOKUP(K134,'1126 Desarrollo Social'!$K$13:$S$58,9,0)</f>
        <v>Capacitación dirigida a los MunicipiosReglamento  de convocatoria para proyectos productivosCircular de convocatoriaCronograma de ejecución de la meta para 2020</v>
      </c>
      <c r="T134" s="11">
        <v>25</v>
      </c>
      <c r="U134" s="11">
        <v>0</v>
      </c>
      <c r="V134" s="11">
        <v>7</v>
      </c>
      <c r="W134" s="11">
        <v>0</v>
      </c>
      <c r="X134" s="11">
        <v>0</v>
      </c>
      <c r="Y134" s="11">
        <v>0</v>
      </c>
      <c r="Z134" s="11">
        <v>0</v>
      </c>
      <c r="AA134" s="11">
        <v>0</v>
      </c>
      <c r="AB134" s="11" t="s">
        <v>938</v>
      </c>
      <c r="AC134" s="11" t="s">
        <v>939</v>
      </c>
      <c r="AD134" s="11">
        <v>50</v>
      </c>
      <c r="AE134" s="11">
        <v>0</v>
      </c>
      <c r="AF134" s="11">
        <f>VLOOKUP(K134,'1126 Desarrollo Social'!$K$13:$AK$58,22,0)</f>
        <v>0</v>
      </c>
      <c r="AG134" s="11">
        <f>VLOOKUP(K134,'1126 Desarrollo Social'!$K$13:$AK$58,23,0)</f>
        <v>0</v>
      </c>
      <c r="AH134" s="11">
        <f>AF134</f>
        <v>0</v>
      </c>
      <c r="AI134" s="11" t="str">
        <f>VLOOKUP(K134,'1126 Desarrollo Social'!$K$13:$AK$58,25,0)</f>
        <v>contrato entrega -30 proyectos productivos</v>
      </c>
      <c r="AJ134" s="11" t="str">
        <f>VLOOKUP(K134,'1126 Desarrollo Social'!$K$13:$AK$58,26,0)</f>
        <v>. Se focalizaron 33 proyectos productivos. que se encuentran en proceso contractual</v>
      </c>
      <c r="AK134" s="11">
        <f>VLOOKUP(K134,'1126 Desarrollo Social'!$K$13:$AK$58,27,0)</f>
        <v>0</v>
      </c>
      <c r="AL134" s="11">
        <v>100</v>
      </c>
      <c r="AM134" s="11">
        <v>0</v>
      </c>
      <c r="AN134" s="11">
        <v>100</v>
      </c>
      <c r="AO134" s="11">
        <v>0</v>
      </c>
      <c r="AP134" s="11">
        <v>0</v>
      </c>
      <c r="AQ134" s="11">
        <v>0</v>
      </c>
      <c r="AR134" s="51">
        <v>53026660</v>
      </c>
      <c r="AS134" s="54">
        <v>0</v>
      </c>
      <c r="AT134" s="54">
        <f t="shared" si="103"/>
        <v>53026660</v>
      </c>
      <c r="AU134" s="51">
        <v>7290660</v>
      </c>
      <c r="AV134" s="243">
        <v>250000000</v>
      </c>
      <c r="AW134" s="244"/>
      <c r="AX134" s="244"/>
      <c r="AY134" s="243">
        <v>45694999</v>
      </c>
      <c r="AZ134" s="44">
        <f>R134/Q134</f>
        <v>0</v>
      </c>
      <c r="BA134" s="44">
        <v>2.8000000000000001E-2</v>
      </c>
      <c r="BB134" s="44">
        <v>0</v>
      </c>
      <c r="BC134" s="44">
        <f>AD134/Q134</f>
        <v>0.2</v>
      </c>
      <c r="BD134" s="44" cm="1">
        <f t="array" ref="BD134">_xlfn.IFS(AD134=0,"NA",AD134&gt;0,AH134/AD134)</f>
        <v>0</v>
      </c>
      <c r="BE134" s="44">
        <f>AL134/Q134</f>
        <v>0.4</v>
      </c>
      <c r="BF134" s="44">
        <v>0</v>
      </c>
      <c r="BG134" s="44">
        <f>AN134/Q134</f>
        <v>0.4</v>
      </c>
      <c r="BH134" s="44">
        <v>0</v>
      </c>
      <c r="BI134" s="44">
        <f>AP134/Q134</f>
        <v>0</v>
      </c>
      <c r="BJ134" s="44" t="s">
        <v>115</v>
      </c>
      <c r="BK134" s="44">
        <f t="shared" si="104"/>
        <v>0</v>
      </c>
      <c r="BL134" s="44">
        <v>0</v>
      </c>
      <c r="BM134" s="44" cm="1">
        <f t="array" ref="BM134">_xlfn.IFS(BD134="NA","NA",BD134&gt;100%,"100%",BD134&lt;100,BD134)</f>
        <v>0</v>
      </c>
      <c r="BN134" s="44" cm="1">
        <f t="array" ref="BN134">_xlfn.IFS(BF134="NA","NA",BF134&gt;100%,"100%",BF134&lt;100,BF134)</f>
        <v>0</v>
      </c>
      <c r="BO134" s="44" cm="1">
        <f t="array" ref="BO134">_xlfn.IFS(BH134="NA","NA",BH134&gt;100%,"100%",BH134&lt;100,BH134)</f>
        <v>0</v>
      </c>
      <c r="BP134" s="44" t="str" cm="1">
        <f t="array" ref="BP134">_xlfn.IFS(BJ134="NA","NA",BJ134&gt;100%,"100%",BJ134&lt;100,BJ134)</f>
        <v>NA</v>
      </c>
      <c r="BQ134" s="45">
        <v>0.22500000000000001</v>
      </c>
      <c r="BR134" s="45">
        <f t="shared" si="105"/>
        <v>0</v>
      </c>
      <c r="BS134" s="45">
        <v>6.3E-3</v>
      </c>
      <c r="BT134" s="45">
        <v>0</v>
      </c>
      <c r="BU134" s="45">
        <v>0</v>
      </c>
      <c r="BV134" s="45">
        <f>(AD134*BQ134)/Q134</f>
        <v>4.4999999999999998E-2</v>
      </c>
      <c r="BW134" s="45">
        <f t="shared" si="113"/>
        <v>0</v>
      </c>
      <c r="BX134" s="45">
        <f t="shared" si="114"/>
        <v>0</v>
      </c>
      <c r="BY134" s="45">
        <f>(AL134*BQ134)/Q134</f>
        <v>0.09</v>
      </c>
      <c r="BZ134" s="45">
        <f>IF(BN134="NA","NA",BN134*BY134)</f>
        <v>0</v>
      </c>
      <c r="CA134" s="45">
        <f t="shared" si="106"/>
        <v>0</v>
      </c>
      <c r="CB134" s="45">
        <f>(AN134*BQ134)/Q134</f>
        <v>0.09</v>
      </c>
      <c r="CC134" s="45">
        <f>IF(BO134="NA","NA",BO134*CB134)</f>
        <v>0</v>
      </c>
      <c r="CD134" s="45">
        <v>0</v>
      </c>
      <c r="CE134" s="45">
        <f>(AP134*BQ134)/Q134</f>
        <v>0</v>
      </c>
      <c r="CF134" s="45" t="str">
        <f>IF(BP134="NA","NA",BP134*CE134)</f>
        <v>NA</v>
      </c>
      <c r="CG134" s="45">
        <v>0</v>
      </c>
      <c r="CH134" s="244"/>
      <c r="CI134" s="244"/>
      <c r="CJ134" s="244"/>
      <c r="CK134" s="244"/>
      <c r="CL134"/>
      <c r="CM134" s="63">
        <v>0</v>
      </c>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row>
    <row r="135" spans="1:261" s="48" customFormat="1" ht="18" hidden="1" customHeight="1">
      <c r="A135" s="260" t="s">
        <v>144</v>
      </c>
      <c r="B135" s="260" t="s">
        <v>145</v>
      </c>
      <c r="C135" s="260" t="s">
        <v>100</v>
      </c>
      <c r="D135" s="260" t="s">
        <v>508</v>
      </c>
      <c r="E135" s="260" t="s">
        <v>870</v>
      </c>
      <c r="F135" s="260" t="s">
        <v>909</v>
      </c>
      <c r="G135" s="260" t="s">
        <v>910</v>
      </c>
      <c r="H135" s="260" t="s">
        <v>940</v>
      </c>
      <c r="I135" s="260"/>
      <c r="J135" s="260"/>
      <c r="K135" s="260" t="s">
        <v>941</v>
      </c>
      <c r="L135" s="260" t="s">
        <v>942</v>
      </c>
      <c r="M135" s="260" t="s">
        <v>943</v>
      </c>
      <c r="N135" s="260" t="s">
        <v>111</v>
      </c>
      <c r="O135" s="260" t="s">
        <v>124</v>
      </c>
      <c r="P135" s="10">
        <v>116</v>
      </c>
      <c r="Q135" s="11">
        <v>116</v>
      </c>
      <c r="R135" s="11">
        <f>(Z135+AH135)/CL135</f>
        <v>58</v>
      </c>
      <c r="S135" s="11" t="str">
        <f>VLOOKUP(K135,'1126 Desarrollo Social'!$K$13:$S$58,9,0)</f>
        <v>Liquidación convenios de estampilla 2019 (51 de 116)Proyección de los 116 convenios del año 2020Elaboración de resolución de asignación de recursos</v>
      </c>
      <c r="T135" s="11">
        <v>0</v>
      </c>
      <c r="U135" s="11">
        <v>116</v>
      </c>
      <c r="V135" s="11">
        <v>0</v>
      </c>
      <c r="W135" s="11">
        <v>116</v>
      </c>
      <c r="X135" s="11" t="s">
        <v>115</v>
      </c>
      <c r="Y135" s="11">
        <v>116</v>
      </c>
      <c r="Z135" s="11">
        <v>116</v>
      </c>
      <c r="AA135" s="11" t="s">
        <v>944</v>
      </c>
      <c r="AB135" s="11" t="s">
        <v>945</v>
      </c>
      <c r="AC135" s="11" t="s">
        <v>946</v>
      </c>
      <c r="AD135" s="11">
        <v>0</v>
      </c>
      <c r="AE135" s="11">
        <v>116</v>
      </c>
      <c r="AF135" s="11">
        <f>VLOOKUP(K135,'1126 Desarrollo Social'!$K$13:$AK$58,22,0)</f>
        <v>0</v>
      </c>
      <c r="AG135" s="11">
        <f>VLOOKUP(K135,'1126 Desarrollo Social'!$K$13:$AK$58,23,0)</f>
        <v>116</v>
      </c>
      <c r="AH135" s="11">
        <f>AG135</f>
        <v>116</v>
      </c>
      <c r="AI135" s="11" t="str">
        <f>VLOOKUP(K135,'1126 Desarrollo Social'!$K$13:$AK$58,25,0)</f>
        <v>La suscripcion de convenios de adicione N° 1 y N° 2</v>
      </c>
      <c r="AJ135" s="11" t="str">
        <f>VLOOKUP(K135,'1126 Desarrollo Social'!$K$13:$AK$58,26,0)</f>
        <v>Seguimiento a loa 116 convenios de estampilla realizados en el año 2020, se realizó proceso para adicional los recursos de excedentes financieros del año 2020 y $4.000.000.000 del año 2011</v>
      </c>
      <c r="AK135" s="11">
        <f>VLOOKUP(K135,'1126 Desarrollo Social'!$K$13:$AK$58,27,0)</f>
        <v>0</v>
      </c>
      <c r="AL135" s="11">
        <v>0</v>
      </c>
      <c r="AM135" s="11">
        <v>116</v>
      </c>
      <c r="AN135" s="11">
        <v>0</v>
      </c>
      <c r="AO135" s="11">
        <v>116</v>
      </c>
      <c r="AP135" s="11">
        <v>0</v>
      </c>
      <c r="AQ135" s="11">
        <v>0</v>
      </c>
      <c r="AR135" s="51">
        <v>6952011578</v>
      </c>
      <c r="AS135" s="54">
        <v>0</v>
      </c>
      <c r="AT135" s="54">
        <f t="shared" si="103"/>
        <v>6952011578</v>
      </c>
      <c r="AU135" s="51">
        <v>4621386265</v>
      </c>
      <c r="AV135" s="243">
        <v>8670778965</v>
      </c>
      <c r="AW135" s="244"/>
      <c r="AX135" s="244"/>
      <c r="AY135" s="243">
        <v>1750772631</v>
      </c>
      <c r="AZ135" s="44" cm="2">
        <f t="array" ref="AZ135">_xlfn.IFS((BA135=0),(BD135/CL135),(BA135&gt;0),((BB135+BD135)/CL135),(BE135&gt;0),((BB135+BD135+BE135)/CL135),(BG135&gt;0),((BB135+BD135+BE135+G135)/CL135))</f>
        <v>0.5</v>
      </c>
      <c r="BA135" s="44">
        <v>0.25</v>
      </c>
      <c r="BB135" s="44">
        <v>1</v>
      </c>
      <c r="BC135" s="44">
        <f>IF(AE135&gt;0,(1/CL135),0)</f>
        <v>0.25</v>
      </c>
      <c r="BD135" s="44" cm="1">
        <f t="array" ref="BD135">_xlfn.IFS(AE135=0,"NA",AE135&gt;0,AH135/AE135)</f>
        <v>1</v>
      </c>
      <c r="BE135" s="44">
        <f>IF(AM135&gt;0,(1/CL135),0)</f>
        <v>0.25</v>
      </c>
      <c r="BF135" s="44">
        <v>0</v>
      </c>
      <c r="BG135" s="44">
        <f>IF(AO135&gt;0,(1/CL135),0)</f>
        <v>0.25</v>
      </c>
      <c r="BH135" s="44">
        <v>0</v>
      </c>
      <c r="BI135" s="44">
        <v>0</v>
      </c>
      <c r="BJ135" s="44" t="s">
        <v>115</v>
      </c>
      <c r="BK135" s="44">
        <f t="shared" si="104"/>
        <v>0.5</v>
      </c>
      <c r="BL135" s="44">
        <v>1</v>
      </c>
      <c r="BM135" s="44" cm="1">
        <f t="array" ref="BM135">_xlfn.IFS(BD135="NA","NA",BD135&gt;100%,"100%",BD135&lt;100,BD135)</f>
        <v>1</v>
      </c>
      <c r="BN135" s="44">
        <v>0</v>
      </c>
      <c r="BO135" s="44">
        <v>0</v>
      </c>
      <c r="BP135" s="44" t="s">
        <v>115</v>
      </c>
      <c r="BQ135" s="45">
        <v>0.22500000000000001</v>
      </c>
      <c r="BR135" s="45">
        <f t="shared" si="105"/>
        <v>0.1125</v>
      </c>
      <c r="BS135" s="45">
        <v>5.6300000000000003E-2</v>
      </c>
      <c r="BT135" s="45">
        <v>5.6300000000000003E-2</v>
      </c>
      <c r="BU135" s="45">
        <v>5.6300000000000003E-2</v>
      </c>
      <c r="BV135" s="45">
        <v>5.6300000000000003E-2</v>
      </c>
      <c r="BW135" s="45">
        <f t="shared" si="113"/>
        <v>5.6300000000000003E-2</v>
      </c>
      <c r="BX135" s="45">
        <f t="shared" si="114"/>
        <v>5.62E-2</v>
      </c>
      <c r="BY135" s="45">
        <v>5.6300000000000003E-2</v>
      </c>
      <c r="BZ135" s="45">
        <v>0</v>
      </c>
      <c r="CA135" s="45">
        <f t="shared" si="106"/>
        <v>0</v>
      </c>
      <c r="CB135" s="45">
        <v>5.6300000000000003E-2</v>
      </c>
      <c r="CC135" s="45">
        <v>0</v>
      </c>
      <c r="CD135" s="45">
        <v>0</v>
      </c>
      <c r="CE135" s="45">
        <v>0</v>
      </c>
      <c r="CF135" s="45" t="s">
        <v>115</v>
      </c>
      <c r="CG135" s="45">
        <v>0</v>
      </c>
      <c r="CH135" s="244">
        <f>IF(W135&gt;0,1,0)</f>
        <v>1</v>
      </c>
      <c r="CI135" s="244">
        <f>IF(AE135&gt;0,1,0)</f>
        <v>1</v>
      </c>
      <c r="CJ135" s="244">
        <f>IF(AM135&gt;0,1,0)</f>
        <v>1</v>
      </c>
      <c r="CK135" s="244">
        <f>IF(AO135&gt;0,1,0)</f>
        <v>1</v>
      </c>
      <c r="CL135">
        <f>CH135+CI135+CJ135+CK135</f>
        <v>4</v>
      </c>
      <c r="CM135" s="63">
        <f>AVERAGE(Z135,AH135)</f>
        <v>116</v>
      </c>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row>
    <row r="136" spans="1:261" ht="18" hidden="1" customHeight="1">
      <c r="A136" s="260" t="s">
        <v>144</v>
      </c>
      <c r="B136" s="260" t="s">
        <v>145</v>
      </c>
      <c r="C136" s="260" t="s">
        <v>100</v>
      </c>
      <c r="D136" s="260" t="s">
        <v>508</v>
      </c>
      <c r="E136" s="260" t="s">
        <v>870</v>
      </c>
      <c r="F136" s="260" t="s">
        <v>909</v>
      </c>
      <c r="G136" s="260" t="s">
        <v>910</v>
      </c>
      <c r="H136" s="260" t="s">
        <v>947</v>
      </c>
      <c r="I136" s="260"/>
      <c r="J136" s="260"/>
      <c r="K136" s="260" t="s">
        <v>948</v>
      </c>
      <c r="L136" s="260" t="s">
        <v>949</v>
      </c>
      <c r="M136" s="260" t="s">
        <v>950</v>
      </c>
      <c r="N136" s="260" t="s">
        <v>111</v>
      </c>
      <c r="O136" s="260" t="s">
        <v>112</v>
      </c>
      <c r="P136" s="10">
        <v>15</v>
      </c>
      <c r="Q136" s="11">
        <v>15</v>
      </c>
      <c r="R136" s="11">
        <f t="shared" ref="R136:R137" si="226">Z136+AH136</f>
        <v>6</v>
      </c>
      <c r="S136" s="11" t="str">
        <f>VLOOKUP(K136,'1126 Desarrollo Social'!$K$13:$S$58,9,0)</f>
        <v>Identificación de los centros vida día y la población beneficiaria Diagnostico del estado actual y las necesidades de dotación de los centros vida día</v>
      </c>
      <c r="T136" s="11">
        <v>3</v>
      </c>
      <c r="U136" s="11">
        <v>0</v>
      </c>
      <c r="V136" s="11">
        <v>3</v>
      </c>
      <c r="W136" s="11">
        <v>0</v>
      </c>
      <c r="X136" s="11">
        <v>3</v>
      </c>
      <c r="Y136" s="11">
        <v>0</v>
      </c>
      <c r="Z136" s="11">
        <v>3</v>
      </c>
      <c r="AA136" s="11" t="s">
        <v>951</v>
      </c>
      <c r="AB136" s="11" t="s">
        <v>952</v>
      </c>
      <c r="AC136" s="11">
        <v>0</v>
      </c>
      <c r="AD136" s="11">
        <v>3</v>
      </c>
      <c r="AE136" s="11">
        <v>0</v>
      </c>
      <c r="AF136" s="11">
        <f>VLOOKUP(K136,'1126 Desarrollo Social'!$K$13:$AK$58,22,0)</f>
        <v>3</v>
      </c>
      <c r="AG136" s="11">
        <f>VLOOKUP(K136,'1126 Desarrollo Social'!$K$13:$AK$58,23,0)</f>
        <v>0</v>
      </c>
      <c r="AH136" s="11">
        <f t="shared" ref="AH136:AH137" si="227">AF136</f>
        <v>3</v>
      </c>
      <c r="AI136" s="11" t="str">
        <f>VLOOKUP(K136,'1126 Desarrollo Social'!$K$13:$AK$58,25,0)</f>
        <v>Se realzo entrega para centros vida  municipios de cundinamarca</v>
      </c>
      <c r="AJ136" s="11" t="str">
        <f>VLOOKUP(K136,'1126 Desarrollo Social'!$K$13:$AK$58,26,0)</f>
        <v>Se realizo la entrega de dotacion para centros vida en 40 municipios: ( Macheta, Manta, Sesquile, Guataqui, Jerusalen, Nilo, Ricaute, Puerto Salgar, La Peña, Sasaima, Vergara, Gacheta, Gachala, Ubala, Beltran, Caqueza, Fomeque, Gutierrez, La Palma, Pacho, Paime, San Cayetano, Yacopi, Gachancipa, Bojaca, Zipacón, Sibate, Arbelaez, Cabrera, San Bernardo, Silvania, Cachipay, El Colegio, La mesa, Quipile, Guacheta, Simijaca, Sutatausa, Nariño, cubriendo las provincias del Gualiva, Sabana Centro, Sabana Occidente, Ubate, Sumapaz, Oriente, Rionegro, Soacha, Tequendama, Bajo Magdalena , Magdalena Centro.
Actualización por parte de los municipios sobre las necesidades de los centros vida. este contartofue adjudicado y se encuentra en ejecución</v>
      </c>
      <c r="AK136" s="11">
        <f>VLOOKUP(K136,'1126 Desarrollo Social'!$K$13:$AK$58,27,0)</f>
        <v>0</v>
      </c>
      <c r="AL136" s="11">
        <v>4</v>
      </c>
      <c r="AM136" s="11">
        <v>0</v>
      </c>
      <c r="AN136" s="11">
        <v>5</v>
      </c>
      <c r="AO136" s="11">
        <v>0</v>
      </c>
      <c r="AP136" s="11">
        <v>0</v>
      </c>
      <c r="AQ136" s="11">
        <v>0</v>
      </c>
      <c r="AR136" s="51">
        <v>45420000</v>
      </c>
      <c r="AS136" s="54">
        <v>0</v>
      </c>
      <c r="AT136" s="54">
        <f t="shared" si="103"/>
        <v>45420000</v>
      </c>
      <c r="AU136" s="51">
        <v>42888000</v>
      </c>
      <c r="AV136" s="243">
        <v>489000000</v>
      </c>
      <c r="AW136" s="244"/>
      <c r="AX136" s="244"/>
      <c r="AY136" s="243">
        <v>376220000</v>
      </c>
      <c r="AZ136" s="44">
        <f>R136/Q136</f>
        <v>0.4</v>
      </c>
      <c r="BA136" s="44">
        <v>0.2</v>
      </c>
      <c r="BB136" s="44">
        <v>1</v>
      </c>
      <c r="BC136" s="44">
        <f t="shared" ref="BC136:BC137" si="228">AD136/Q136</f>
        <v>0.2</v>
      </c>
      <c r="BD136" s="44" cm="1">
        <f t="array" ref="BD136">_xlfn.IFS(AD136=0,"NA",AD136&gt;0,AH136/AD136)</f>
        <v>1</v>
      </c>
      <c r="BE136" s="44">
        <f t="shared" ref="BE136:BE137" si="229">AL136/Q136</f>
        <v>0.26666666666666666</v>
      </c>
      <c r="BF136" s="44">
        <v>0</v>
      </c>
      <c r="BG136" s="44">
        <f t="shared" ref="BG136:BG137" si="230">AN136/Q136</f>
        <v>0.33333333333333331</v>
      </c>
      <c r="BH136" s="44">
        <v>0</v>
      </c>
      <c r="BI136" s="44">
        <f>AP136/Q136</f>
        <v>0</v>
      </c>
      <c r="BJ136" s="44" t="s">
        <v>115</v>
      </c>
      <c r="BK136" s="44">
        <f t="shared" si="104"/>
        <v>0.4</v>
      </c>
      <c r="BL136" s="44">
        <v>1</v>
      </c>
      <c r="BM136" s="44" cm="1">
        <f t="array" ref="BM136">_xlfn.IFS(BD136="NA","NA",BD136&gt;100%,"100%",BD136&lt;100,BD136)</f>
        <v>1</v>
      </c>
      <c r="BN136" s="44" cm="1">
        <f t="array" ref="BN136">_xlfn.IFS(BF136="NA","NA",BF136&gt;100%,"100%",BF136&lt;100,BF136)</f>
        <v>0</v>
      </c>
      <c r="BO136" s="44" cm="1">
        <f t="array" ref="BO136">_xlfn.IFS(BH136="NA","NA",BH136&gt;100%,"100%",BH136&lt;100,BH136)</f>
        <v>0</v>
      </c>
      <c r="BP136" s="44" t="str" cm="1">
        <f t="array" ref="BP136">_xlfn.IFS(BJ136="NA","NA",BJ136&gt;100%,"100%",BJ136&lt;100,BJ136)</f>
        <v>NA</v>
      </c>
      <c r="BQ136" s="45">
        <v>0.22500000000000001</v>
      </c>
      <c r="BR136" s="45">
        <f t="shared" si="105"/>
        <v>9.0000000000000011E-2</v>
      </c>
      <c r="BS136" s="45">
        <v>4.4999999999999998E-2</v>
      </c>
      <c r="BT136" s="45">
        <v>4.4999999999999998E-2</v>
      </c>
      <c r="BU136" s="45">
        <v>4.4999999999999998E-2</v>
      </c>
      <c r="BV136" s="45">
        <f t="shared" ref="BV136:BV137" si="231">(AD136*BQ136)/Q136</f>
        <v>4.5000000000000005E-2</v>
      </c>
      <c r="BW136" s="45">
        <f t="shared" si="113"/>
        <v>4.5000000000000005E-2</v>
      </c>
      <c r="BX136" s="45">
        <f t="shared" si="114"/>
        <v>4.5000000000000012E-2</v>
      </c>
      <c r="BY136" s="45">
        <f t="shared" ref="BY136:BY137" si="232">(AL136*BQ136)/Q136</f>
        <v>6.0000000000000005E-2</v>
      </c>
      <c r="BZ136" s="45">
        <f t="shared" ref="BZ136:BZ137" si="233">IF(BN136="NA","NA",BN136*BY136)</f>
        <v>0</v>
      </c>
      <c r="CA136" s="45">
        <f t="shared" si="106"/>
        <v>0</v>
      </c>
      <c r="CB136" s="45">
        <f t="shared" ref="CB136:CB137" si="234">(AN136*BQ136)/Q136</f>
        <v>7.4999999999999997E-2</v>
      </c>
      <c r="CC136" s="45">
        <f t="shared" ref="CC136:CC137" si="235">IF(BO136="NA","NA",BO136*CB136)</f>
        <v>0</v>
      </c>
      <c r="CD136" s="45">
        <v>0</v>
      </c>
      <c r="CE136" s="45">
        <f>(AP136*BQ136)/Q136</f>
        <v>0</v>
      </c>
      <c r="CF136" s="45" t="str">
        <f>IF(BP136="NA","NA",BP136*CE136)</f>
        <v>NA</v>
      </c>
      <c r="CG136" s="45">
        <v>0</v>
      </c>
      <c r="CH136" s="244"/>
      <c r="CI136" s="244"/>
      <c r="CJ136" s="244"/>
      <c r="CK136" s="244"/>
      <c r="CM136" s="63">
        <v>4</v>
      </c>
    </row>
    <row r="137" spans="1:261" ht="18" hidden="1" customHeight="1">
      <c r="A137" s="260" t="s">
        <v>144</v>
      </c>
      <c r="B137" s="260" t="s">
        <v>145</v>
      </c>
      <c r="C137" s="260" t="s">
        <v>100</v>
      </c>
      <c r="D137" s="260" t="s">
        <v>508</v>
      </c>
      <c r="E137" s="260" t="s">
        <v>870</v>
      </c>
      <c r="F137" s="260" t="s">
        <v>909</v>
      </c>
      <c r="G137" s="260" t="s">
        <v>910</v>
      </c>
      <c r="H137" s="260" t="s">
        <v>953</v>
      </c>
      <c r="I137" s="260"/>
      <c r="J137" s="260"/>
      <c r="K137" s="260" t="s">
        <v>954</v>
      </c>
      <c r="L137" s="260" t="s">
        <v>955</v>
      </c>
      <c r="M137" s="260" t="s">
        <v>956</v>
      </c>
      <c r="N137" s="260" t="s">
        <v>111</v>
      </c>
      <c r="O137" s="260" t="s">
        <v>112</v>
      </c>
      <c r="P137" s="10">
        <v>4000</v>
      </c>
      <c r="Q137" s="11">
        <v>4000</v>
      </c>
      <c r="R137" s="11">
        <f t="shared" si="226"/>
        <v>2056</v>
      </c>
      <c r="S137" s="11" t="str">
        <f>VLOOKUP(K137,'1126 Desarrollo Social'!$K$13:$S$58,9,0)</f>
        <v>Conmemoración de la semana del adulto mayor: Actividades recreativas, deportivas, culturales, experiencias de vida, musicales y conferencias.Capacitaciones en temas de covid dirigidas a los centros de protección y centros vida díaTrabajo interdisciplinario con secretaria de salud en tema de red de apoyoEl personal contratado para el desarrollo de las actividades de esta meta con vigencia del plan de desarrollo 2016-2020</v>
      </c>
      <c r="T137" s="11">
        <v>400</v>
      </c>
      <c r="U137" s="11">
        <v>0</v>
      </c>
      <c r="V137" s="11">
        <v>400</v>
      </c>
      <c r="W137" s="11">
        <v>0</v>
      </c>
      <c r="X137" s="11">
        <v>400</v>
      </c>
      <c r="Y137" s="11">
        <v>0</v>
      </c>
      <c r="Z137" s="11">
        <v>400</v>
      </c>
      <c r="AA137" s="11" t="s">
        <v>957</v>
      </c>
      <c r="AB137" s="11" t="s">
        <v>958</v>
      </c>
      <c r="AC137" s="11" t="s">
        <v>959</v>
      </c>
      <c r="AD137" s="11">
        <v>1600</v>
      </c>
      <c r="AE137" s="11">
        <v>0</v>
      </c>
      <c r="AF137" s="11">
        <f>VLOOKUP(K137,'1126 Desarrollo Social'!$K$13:$AK$58,22,0)</f>
        <v>1656</v>
      </c>
      <c r="AG137" s="11">
        <f>VLOOKUP(K137,'1126 Desarrollo Social'!$K$13:$AK$58,23,0)</f>
        <v>0</v>
      </c>
      <c r="AH137" s="11">
        <f t="shared" si="227"/>
        <v>1656</v>
      </c>
      <c r="AI137" s="11" t="str">
        <f>VLOOKUP(K137,'1126 Desarrollo Social'!$K$13:$AK$58,25,0)</f>
        <v>Se brindo asistencia a un total de 1.659 adultos mayores</v>
      </c>
      <c r="AJ137" s="11" t="str">
        <f>VLOOKUP(K137,'1126 Desarrollo Social'!$K$13:$AK$58,26,0)</f>
        <v xml:space="preserve">Se esta prestando asistencia a personas mayores en el proceso de vacunación adelantado por el Departamento. se atendieron los 1656 adultos mayores en capacitaciones sicologicas y emocionales y Se socializó la ruta de apoyo sicosocial a 58 cuidadores. </v>
      </c>
      <c r="AK137" s="11">
        <f>VLOOKUP(K137,'1126 Desarrollo Social'!$K$13:$AK$58,27,0)</f>
        <v>0</v>
      </c>
      <c r="AL137" s="11">
        <v>2000</v>
      </c>
      <c r="AM137" s="11">
        <v>0</v>
      </c>
      <c r="AN137" s="11">
        <v>0</v>
      </c>
      <c r="AO137" s="11">
        <v>0</v>
      </c>
      <c r="AP137" s="11">
        <v>0</v>
      </c>
      <c r="AQ137" s="11">
        <v>0</v>
      </c>
      <c r="AR137" s="51">
        <v>8735000</v>
      </c>
      <c r="AS137" s="54">
        <v>0</v>
      </c>
      <c r="AT137" s="54">
        <f t="shared" si="103"/>
        <v>8735000</v>
      </c>
      <c r="AU137" s="51">
        <v>4148333</v>
      </c>
      <c r="AV137" s="243">
        <v>170000000</v>
      </c>
      <c r="AW137" s="244"/>
      <c r="AX137" s="244"/>
      <c r="AY137" s="243">
        <v>165385500</v>
      </c>
      <c r="AZ137" s="44">
        <f>R137/Q137</f>
        <v>0.51400000000000001</v>
      </c>
      <c r="BA137" s="44">
        <v>0.1</v>
      </c>
      <c r="BB137" s="44">
        <v>1</v>
      </c>
      <c r="BC137" s="44">
        <f t="shared" si="228"/>
        <v>0.4</v>
      </c>
      <c r="BD137" s="44" cm="1">
        <f t="array" ref="BD137">_xlfn.IFS(AD137=0,"NA",AD137&gt;0,AH137/AD137)</f>
        <v>1.0349999999999999</v>
      </c>
      <c r="BE137" s="44">
        <f t="shared" si="229"/>
        <v>0.5</v>
      </c>
      <c r="BF137" s="44">
        <v>0</v>
      </c>
      <c r="BG137" s="44">
        <f t="shared" si="230"/>
        <v>0</v>
      </c>
      <c r="BH137" s="44">
        <v>0</v>
      </c>
      <c r="BI137" s="44">
        <f>AP137/Q137</f>
        <v>0</v>
      </c>
      <c r="BJ137" s="44" t="s">
        <v>115</v>
      </c>
      <c r="BK137" s="44">
        <f t="shared" si="104"/>
        <v>0.51400000000000001</v>
      </c>
      <c r="BL137" s="44">
        <v>1</v>
      </c>
      <c r="BM137" s="44" t="str" cm="1">
        <f t="array" ref="BM137">_xlfn.IFS(BD137="NA","NA",BD137&gt;100%,"100%",BD137&lt;100,BD137)</f>
        <v>100%</v>
      </c>
      <c r="BN137" s="44" cm="1">
        <f t="array" ref="BN137">_xlfn.IFS(BF137="NA","NA",BF137&gt;100%,"100%",BF137&lt;100,BF137)</f>
        <v>0</v>
      </c>
      <c r="BO137" s="44" cm="1">
        <f t="array" ref="BO137">_xlfn.IFS(BH137="NA","NA",BH137&gt;100%,"100%",BH137&lt;100,BH137)</f>
        <v>0</v>
      </c>
      <c r="BP137" s="44" t="str" cm="1">
        <f t="array" ref="BP137">_xlfn.IFS(BJ137="NA","NA",BJ137&gt;100%,"100%",BJ137&lt;100,BJ137)</f>
        <v>NA</v>
      </c>
      <c r="BQ137" s="45">
        <v>0.22500000000000001</v>
      </c>
      <c r="BR137" s="45">
        <f t="shared" si="105"/>
        <v>0.11565</v>
      </c>
      <c r="BS137" s="45">
        <v>2.2499999999999999E-2</v>
      </c>
      <c r="BT137" s="45">
        <v>2.2499999999999999E-2</v>
      </c>
      <c r="BU137" s="45">
        <v>2.2499999999999999E-2</v>
      </c>
      <c r="BV137" s="45">
        <f t="shared" si="231"/>
        <v>0.09</v>
      </c>
      <c r="BW137" s="45">
        <f t="shared" si="113"/>
        <v>0.09</v>
      </c>
      <c r="BX137" s="45">
        <f t="shared" si="114"/>
        <v>9.3150000000000011E-2</v>
      </c>
      <c r="BY137" s="45">
        <f t="shared" si="232"/>
        <v>0.1125</v>
      </c>
      <c r="BZ137" s="45">
        <f t="shared" si="233"/>
        <v>0</v>
      </c>
      <c r="CA137" s="45">
        <f t="shared" si="106"/>
        <v>0</v>
      </c>
      <c r="CB137" s="45">
        <f t="shared" si="234"/>
        <v>0</v>
      </c>
      <c r="CC137" s="45">
        <f t="shared" si="235"/>
        <v>0</v>
      </c>
      <c r="CD137" s="45">
        <v>0</v>
      </c>
      <c r="CE137" s="45">
        <f>(AP137*BQ137)/Q137</f>
        <v>0</v>
      </c>
      <c r="CF137" s="45" t="str">
        <f>IF(BP137="NA","NA",BP137*CE137)</f>
        <v>NA</v>
      </c>
      <c r="CG137" s="45">
        <v>0</v>
      </c>
      <c r="CH137" s="244"/>
      <c r="CI137" s="244"/>
      <c r="CJ137" s="244"/>
      <c r="CK137" s="244"/>
      <c r="CM137" s="63">
        <v>2056</v>
      </c>
    </row>
    <row r="138" spans="1:261" ht="18" hidden="1" customHeight="1">
      <c r="A138" s="260" t="s">
        <v>292</v>
      </c>
      <c r="B138" s="260" t="s">
        <v>293</v>
      </c>
      <c r="C138" s="260" t="s">
        <v>100</v>
      </c>
      <c r="D138" s="260" t="s">
        <v>508</v>
      </c>
      <c r="E138" s="260" t="s">
        <v>870</v>
      </c>
      <c r="F138" s="260" t="s">
        <v>909</v>
      </c>
      <c r="G138" s="260" t="s">
        <v>910</v>
      </c>
      <c r="H138" s="260" t="s">
        <v>960</v>
      </c>
      <c r="I138" s="260"/>
      <c r="J138" s="260" t="s">
        <v>961</v>
      </c>
      <c r="K138" s="260" t="s">
        <v>962</v>
      </c>
      <c r="L138" s="260" t="s">
        <v>963</v>
      </c>
      <c r="M138" s="260" t="s">
        <v>964</v>
      </c>
      <c r="N138" s="260" t="s">
        <v>123</v>
      </c>
      <c r="O138" s="260" t="s">
        <v>302</v>
      </c>
      <c r="P138" s="10">
        <v>100</v>
      </c>
      <c r="Q138" s="11">
        <v>100</v>
      </c>
      <c r="R138" s="11">
        <f>AVERAGE(Z138,AH138)</f>
        <v>100</v>
      </c>
      <c r="S138" s="11" t="str">
        <f>VLOOKUP(K138,'1108 Educación'!$K$13:$AK$40,9,0)</f>
        <v xml:space="preserve">Se ha realizado el pago oportuno al 100% del  personal que pertenece a la nomina de pensionados del magisterio que corresponde a  3.867 pensionados del magisterio en el Departamento. </v>
      </c>
      <c r="T138" s="11">
        <v>0</v>
      </c>
      <c r="U138" s="11">
        <v>100</v>
      </c>
      <c r="V138" s="11">
        <v>0</v>
      </c>
      <c r="W138" s="11">
        <v>100</v>
      </c>
      <c r="X138" s="11" t="s">
        <v>115</v>
      </c>
      <c r="Y138" s="11">
        <v>100</v>
      </c>
      <c r="Z138" s="11">
        <v>100</v>
      </c>
      <c r="AA138" s="11">
        <v>0</v>
      </c>
      <c r="AB138" s="11" t="s">
        <v>965</v>
      </c>
      <c r="AC138" s="11">
        <v>0</v>
      </c>
      <c r="AD138" s="11">
        <v>0</v>
      </c>
      <c r="AE138" s="11">
        <v>100</v>
      </c>
      <c r="AF138" s="11">
        <f>VLOOKUP(K138,'1108 Educación'!$K$13:$AK$40,22,0)</f>
        <v>0</v>
      </c>
      <c r="AG138" s="11">
        <f>VLOOKUP(K138,'1108 Educación'!$K$13:$AK$40,23,0)</f>
        <v>100</v>
      </c>
      <c r="AH138" s="11">
        <f>AG138</f>
        <v>100</v>
      </c>
      <c r="AI138" s="11" t="str">
        <f>VLOOKUP(K138,'1108 Educación'!$K$13:$AK$40,25,0)</f>
        <v>Pago de Nomina de Pensionados</v>
      </c>
      <c r="AJ138" s="11" t="str">
        <f>VLOOKUP(K138,'1108 Educación'!$K$13:$AK$40,26,0)</f>
        <v>Se ha realizado el pago oportuno al 100% del  personal que pertenece a la nomina de pensionados del magisterio que corresponde a  1.458 pensionados.</v>
      </c>
      <c r="AK138" s="11">
        <f>VLOOKUP(K138,'1108 Educación'!$K$13:$AK$40,27,0)</f>
        <v>0</v>
      </c>
      <c r="AL138" s="11">
        <v>0</v>
      </c>
      <c r="AM138" s="11">
        <v>100</v>
      </c>
      <c r="AN138" s="11">
        <v>0</v>
      </c>
      <c r="AO138" s="11">
        <v>100</v>
      </c>
      <c r="AP138" s="11">
        <v>0</v>
      </c>
      <c r="AQ138" s="11">
        <v>0</v>
      </c>
      <c r="AR138" s="51">
        <v>26183016906</v>
      </c>
      <c r="AS138" s="54">
        <v>0</v>
      </c>
      <c r="AT138" s="54">
        <f t="shared" si="103"/>
        <v>26183016906</v>
      </c>
      <c r="AU138" s="51">
        <v>22489402577</v>
      </c>
      <c r="AV138" s="243">
        <v>47846214000</v>
      </c>
      <c r="AW138" s="244"/>
      <c r="AX138" s="244"/>
      <c r="AY138" s="243">
        <v>40999519588</v>
      </c>
      <c r="AZ138" s="44" cm="1">
        <f t="array" ref="AZ138">_xlfn.IFS((BA138=0),(BD138/CL138),(BA138&gt;0),((BB138+BD138)/CL138),(BE138&gt;0),((BB138+BD138+BE138)/CL138),(BG138&gt;0),((BB138+BD138+BE138+G138)/CL138))</f>
        <v>0.45832499999999998</v>
      </c>
      <c r="BA138" s="44">
        <v>0.25</v>
      </c>
      <c r="BB138" s="44">
        <v>1</v>
      </c>
      <c r="BC138" s="44">
        <v>0.25</v>
      </c>
      <c r="BD138" s="44" cm="2">
        <f t="array" ref="BD138">_xlfn.IFS(AE138=0,"NA",AE138&gt;0,((AH138/AE138)*0.8333))</f>
        <v>0.83330000000000004</v>
      </c>
      <c r="BE138" s="44">
        <v>0.25</v>
      </c>
      <c r="BF138" s="44">
        <v>0</v>
      </c>
      <c r="BG138" s="44">
        <v>0.25</v>
      </c>
      <c r="BH138" s="44">
        <v>0</v>
      </c>
      <c r="BI138" s="44">
        <v>0</v>
      </c>
      <c r="BJ138" s="44" t="s">
        <v>115</v>
      </c>
      <c r="BK138" s="44">
        <f t="shared" si="104"/>
        <v>0.45832499999999998</v>
      </c>
      <c r="BL138" s="44">
        <v>1</v>
      </c>
      <c r="BM138" s="44" cm="1">
        <f t="array" ref="BM138">_xlfn.IFS(BD138="NA","NA",BD138&gt;100%,"100%",BD138&lt;100,BD138)</f>
        <v>0.83330000000000004</v>
      </c>
      <c r="BN138" s="44">
        <v>0</v>
      </c>
      <c r="BO138" s="44">
        <v>0</v>
      </c>
      <c r="BP138" s="44" t="s">
        <v>115</v>
      </c>
      <c r="BQ138" s="220">
        <v>0.22500000000000001</v>
      </c>
      <c r="BR138" s="45">
        <f t="shared" si="105"/>
        <v>0.103123125</v>
      </c>
      <c r="BS138" s="45">
        <v>5.6300000000000003E-2</v>
      </c>
      <c r="BT138" s="45">
        <v>5.6300000000000003E-2</v>
      </c>
      <c r="BU138" s="45">
        <v>5.6300000000000003E-2</v>
      </c>
      <c r="BV138" s="45">
        <v>5.6300000000000003E-2</v>
      </c>
      <c r="BW138" s="45">
        <f t="shared" si="113"/>
        <v>4.6914790000000005E-2</v>
      </c>
      <c r="BX138" s="45">
        <f t="shared" si="114"/>
        <v>4.6823124999999993E-2</v>
      </c>
      <c r="BY138" s="45">
        <v>5.6300000000000003E-2</v>
      </c>
      <c r="BZ138" s="45">
        <v>0</v>
      </c>
      <c r="CA138" s="45">
        <f t="shared" si="106"/>
        <v>0</v>
      </c>
      <c r="CB138" s="45">
        <v>5.6300000000000003E-2</v>
      </c>
      <c r="CC138" s="45">
        <v>0</v>
      </c>
      <c r="CD138" s="45">
        <v>0</v>
      </c>
      <c r="CE138" s="45">
        <v>0</v>
      </c>
      <c r="CF138" s="45" t="s">
        <v>115</v>
      </c>
      <c r="CG138" s="45">
        <v>0</v>
      </c>
      <c r="CH138" s="244">
        <f>IF(W138&gt;0,1,0)</f>
        <v>1</v>
      </c>
      <c r="CI138" s="244">
        <f>IF(AE138&gt;0,1,0)</f>
        <v>1</v>
      </c>
      <c r="CJ138" s="244">
        <f>IF(AM138&gt;0,1,0)</f>
        <v>1</v>
      </c>
      <c r="CK138" s="244">
        <f>IF(AO138&gt;0,1,0)</f>
        <v>1</v>
      </c>
      <c r="CL138">
        <f>CH138+CI138+CJ138+CK138</f>
        <v>4</v>
      </c>
      <c r="CM138" s="63">
        <v>100</v>
      </c>
    </row>
    <row r="139" spans="1:261" ht="18" hidden="1" customHeight="1">
      <c r="A139" s="260" t="s">
        <v>98</v>
      </c>
      <c r="B139" s="260" t="s">
        <v>99</v>
      </c>
      <c r="C139" s="260" t="s">
        <v>100</v>
      </c>
      <c r="D139" s="260" t="s">
        <v>508</v>
      </c>
      <c r="E139" s="260" t="s">
        <v>870</v>
      </c>
      <c r="F139" s="260" t="s">
        <v>909</v>
      </c>
      <c r="G139" s="260" t="s">
        <v>910</v>
      </c>
      <c r="H139" s="260" t="s">
        <v>966</v>
      </c>
      <c r="I139" s="260"/>
      <c r="J139" s="12" t="s">
        <v>323</v>
      </c>
      <c r="K139" s="260" t="s">
        <v>967</v>
      </c>
      <c r="L139" s="260" t="s">
        <v>968</v>
      </c>
      <c r="M139" s="260" t="s">
        <v>969</v>
      </c>
      <c r="N139" s="260" t="s">
        <v>111</v>
      </c>
      <c r="O139" s="260" t="s">
        <v>112</v>
      </c>
      <c r="P139" s="10">
        <v>0</v>
      </c>
      <c r="Q139" s="11">
        <v>116</v>
      </c>
      <c r="R139" s="11">
        <f t="shared" ref="R139:R142" si="236">Z139+AH139</f>
        <v>58</v>
      </c>
      <c r="S139" s="11" t="str">
        <f>VLOOKUP(K139,'1197 Salud'!$K$13:$AK$54,9,0)</f>
        <v>Mejorar la estadia de los residentes en centros de protección mediante la implementacion de estandares de calidad habitacionales y la aplicación de  programas integrales con el uso de escalas de valoracion de motricidad, psicosocial individuales a cada residente para realizar  actividades en el tiempo libre de acuerdo a lineamientos sugeridos para una  mejor calidad de vida en los  a los municipios de   Albán ,Beltrán,Cachipay,Cajicá,Chipaque,Choachí ,Cogua ,Cota ,El Peñón ,Fomeque ,Gachala ,Girardot ,Guaduas ,Gutiérrez, Jerusalén.Nocaima ,Pandi .Quebradanegra ,Quipile .San Antonio del Tequendama ,Sasaima , Sibaté ,Soacha ,Tabio ,Tena ,Tenjo ,Tibirita ,Topaipí ,Viotá,Agua de Dios, Anolaima, Anapoima, Apulo,  Bituima,   Caparrapí, Caqueza, Chaguani,  Gacheta, Girardot, Guasca, Junín,  La Calera, La Mesa,   Mesitas del Colegio,   Medina, Nariño , Nilo,  Pacho, Puerto Salgar,   San Francisco,  San Juan de Rioseco, Sopo, Tausa,  Tocancipa ,Tocaima, Villeta, Ubaté, Zipaquirá</v>
      </c>
      <c r="T139" s="11">
        <v>29</v>
      </c>
      <c r="U139" s="11">
        <v>0</v>
      </c>
      <c r="V139" s="11">
        <v>29</v>
      </c>
      <c r="W139" s="11">
        <v>0</v>
      </c>
      <c r="X139" s="11">
        <v>29</v>
      </c>
      <c r="Y139" s="11">
        <v>0</v>
      </c>
      <c r="Z139" s="11">
        <v>29</v>
      </c>
      <c r="AA139" s="11" t="s">
        <v>969</v>
      </c>
      <c r="AB139" s="11" t="s">
        <v>970</v>
      </c>
      <c r="AC139" s="11" t="s">
        <v>971</v>
      </c>
      <c r="AD139" s="11">
        <v>29</v>
      </c>
      <c r="AE139" s="11">
        <v>0</v>
      </c>
      <c r="AF139" s="11">
        <f>VLOOKUP(K139,'1197 Salud'!$K$13:$AK$54,22,0)</f>
        <v>29</v>
      </c>
      <c r="AG139" s="11">
        <f>VLOOKUP(K139,'1197 Salud'!$K$13:$AK$54,23,0)</f>
        <v>0</v>
      </c>
      <c r="AH139" s="11">
        <f t="shared" ref="AH139:AH142" si="237">AF139</f>
        <v>29</v>
      </c>
      <c r="AI139" s="11" t="str">
        <f>VLOOKUP(K139,'1197 Salud'!$K$13:$AK$54,25,0)</f>
        <v>Municipios con criterios de atención integral implementados</v>
      </c>
      <c r="AJ139" s="11" t="str">
        <f>VLOOKUP(K139,'1197 Salud'!$K$13:$AK$54,26,0)</f>
        <v>Mejorar la estadia de los residentes en centros de protección mediante la implementacion de estandares de calidad habitacionales y la aplicación de  programas integrales con el uso de escalas de valoracion de motricidad, psicosocial individuales a cada residente para realizar  actividades en el tiempo libre de acuerdo a lineamientos sugeridos para una  mejor calidad de vida en los  a los municipios de  Agua de Dios, Anolaima, Anapoima, Apulo, Arbelaez, Beltran, Bituima,   Caparrapí, Carupa, Cogua, Cota, Chaguani, Chia, Chipaque, Choachi, Choconta, Facatativa, Funza, Gacheta, Girardot, Guaduas,  Guatavita, Junín,  La Calera, La Mesa,  Manta, Medina,  Nariño , Nimaima, Nilo, Nocaima, Sesquile, Subachoque, Suesca,  Pacho, Puerto Salgar,  Quebradanegra, Sasaima,  San Francisco,  San Juan de Rioseco, Subachoque, Suesca,Tabio, Tausa,  Tibirita,Tocaima, Topaipi,  Villeta, Viota.Zipaquirá.</v>
      </c>
      <c r="AK139" s="11" t="str">
        <f>VLOOKUP(K139,'1197 Salud'!$K$13:$AK$54,27,0)</f>
        <v xml:space="preserve">Por la pandemia COVID las actividades se realizan de manera virtual, se priorizó la vacunación en población mayor,  con el único talento humano contratado, </v>
      </c>
      <c r="AL139" s="11">
        <v>29</v>
      </c>
      <c r="AM139" s="11">
        <v>0</v>
      </c>
      <c r="AN139" s="11">
        <v>29</v>
      </c>
      <c r="AO139" s="11">
        <v>0</v>
      </c>
      <c r="AP139" s="11">
        <v>0</v>
      </c>
      <c r="AQ139" s="11">
        <v>0</v>
      </c>
      <c r="AR139" s="51">
        <v>275100000</v>
      </c>
      <c r="AS139" s="54">
        <v>0</v>
      </c>
      <c r="AT139" s="54">
        <f t="shared" si="103"/>
        <v>275100000</v>
      </c>
      <c r="AU139" s="51">
        <v>262607487</v>
      </c>
      <c r="AV139" s="243">
        <v>555971632</v>
      </c>
      <c r="AW139" s="244"/>
      <c r="AX139" s="244"/>
      <c r="AY139" s="243">
        <v>543071632</v>
      </c>
      <c r="AZ139" s="44">
        <f>R139/Q139</f>
        <v>0.5</v>
      </c>
      <c r="BA139" s="44">
        <v>0.25</v>
      </c>
      <c r="BB139" s="44">
        <v>1</v>
      </c>
      <c r="BC139" s="44">
        <f t="shared" ref="BC139:BC142" si="238">AD139/Q139</f>
        <v>0.25</v>
      </c>
      <c r="BD139" s="44" cm="1">
        <f t="array" ref="BD139">_xlfn.IFS(AD139=0,"NA",AD139&gt;0,AH139/AD139)</f>
        <v>1</v>
      </c>
      <c r="BE139" s="44">
        <f t="shared" ref="BE139:BE142" si="239">AL139/Q139</f>
        <v>0.25</v>
      </c>
      <c r="BF139" s="44">
        <v>0</v>
      </c>
      <c r="BG139" s="44">
        <f t="shared" ref="BG139:BG142" si="240">AN139/Q139</f>
        <v>0.25</v>
      </c>
      <c r="BH139" s="44">
        <v>0</v>
      </c>
      <c r="BI139" s="44">
        <f>AP139/Q139</f>
        <v>0</v>
      </c>
      <c r="BJ139" s="44" t="s">
        <v>115</v>
      </c>
      <c r="BK139" s="44">
        <f t="shared" si="104"/>
        <v>0.5</v>
      </c>
      <c r="BL139" s="44">
        <v>1</v>
      </c>
      <c r="BM139" s="44" cm="1">
        <f t="array" ref="BM139">_xlfn.IFS(BD139="NA","NA",BD139&gt;100%,"100%",BD139&lt;100,BD139)</f>
        <v>1</v>
      </c>
      <c r="BN139" s="44" cm="1">
        <f t="array" ref="BN139">_xlfn.IFS(BF139="NA","NA",BF139&gt;100%,"100%",BF139&lt;100,BF139)</f>
        <v>0</v>
      </c>
      <c r="BO139" s="44" cm="1">
        <f t="array" ref="BO139">_xlfn.IFS(BH139="NA","NA",BH139&gt;100%,"100%",BH139&lt;100,BH139)</f>
        <v>0</v>
      </c>
      <c r="BP139" s="44" t="str" cm="1">
        <f t="array" ref="BP139">_xlfn.IFS(BJ139="NA","NA",BJ139&gt;100%,"100%",BJ139&lt;100,BJ139)</f>
        <v>NA</v>
      </c>
      <c r="BQ139" s="45">
        <v>0.22500000000000001</v>
      </c>
      <c r="BR139" s="45">
        <f t="shared" si="105"/>
        <v>0.1125</v>
      </c>
      <c r="BS139" s="45">
        <v>5.6300000000000003E-2</v>
      </c>
      <c r="BT139" s="45">
        <v>5.6300000000000003E-2</v>
      </c>
      <c r="BU139" s="45">
        <v>5.6300000000000003E-2</v>
      </c>
      <c r="BV139" s="45">
        <f t="shared" ref="BV139:BV142" si="241">(AD139*BQ139)/Q139</f>
        <v>5.6250000000000001E-2</v>
      </c>
      <c r="BW139" s="45">
        <f t="shared" si="113"/>
        <v>5.6250000000000001E-2</v>
      </c>
      <c r="BX139" s="45">
        <f t="shared" si="114"/>
        <v>5.62E-2</v>
      </c>
      <c r="BY139" s="45">
        <f t="shared" ref="BY139:BY142" si="242">(AL139*BQ139)/Q139</f>
        <v>5.6250000000000001E-2</v>
      </c>
      <c r="BZ139" s="45">
        <f t="shared" ref="BZ139:BZ142" si="243">IF(BN139="NA","NA",BN139*BY139)</f>
        <v>0</v>
      </c>
      <c r="CA139" s="45">
        <f t="shared" si="106"/>
        <v>0</v>
      </c>
      <c r="CB139" s="45">
        <f t="shared" ref="CB139:CB142" si="244">(AN139*BQ139)/Q139</f>
        <v>5.6250000000000001E-2</v>
      </c>
      <c r="CC139" s="45">
        <f t="shared" ref="CC139:CC142" si="245">IF(BO139="NA","NA",BO139*CB139)</f>
        <v>0</v>
      </c>
      <c r="CD139" s="45">
        <v>0</v>
      </c>
      <c r="CE139" s="45">
        <f>(AP139*BQ139)/Q139</f>
        <v>0</v>
      </c>
      <c r="CF139" s="45" t="str">
        <f>IF(BP139="NA","NA",BP139*CE139)</f>
        <v>NA</v>
      </c>
      <c r="CG139" s="45">
        <v>0</v>
      </c>
      <c r="CH139" s="244"/>
      <c r="CI139" s="244"/>
      <c r="CJ139" s="244"/>
      <c r="CK139" s="244"/>
      <c r="CM139" s="63">
        <v>58</v>
      </c>
    </row>
    <row r="140" spans="1:261" ht="18" hidden="1" customHeight="1">
      <c r="A140" s="260" t="s">
        <v>907</v>
      </c>
      <c r="B140" s="260" t="s">
        <v>908</v>
      </c>
      <c r="C140" s="260" t="s">
        <v>100</v>
      </c>
      <c r="D140" s="260" t="s">
        <v>508</v>
      </c>
      <c r="E140" s="260" t="s">
        <v>870</v>
      </c>
      <c r="F140" s="260" t="s">
        <v>909</v>
      </c>
      <c r="G140" s="260" t="s">
        <v>910</v>
      </c>
      <c r="H140" s="260" t="s">
        <v>972</v>
      </c>
      <c r="I140" s="260" t="s">
        <v>973</v>
      </c>
      <c r="J140" s="260"/>
      <c r="K140" s="260" t="s">
        <v>974</v>
      </c>
      <c r="L140" s="260" t="s">
        <v>975</v>
      </c>
      <c r="M140" s="260" t="s">
        <v>976</v>
      </c>
      <c r="N140" s="260" t="s">
        <v>111</v>
      </c>
      <c r="O140" s="260" t="s">
        <v>112</v>
      </c>
      <c r="P140" s="10">
        <v>0</v>
      </c>
      <c r="Q140" s="11">
        <v>200</v>
      </c>
      <c r="R140" s="11">
        <f t="shared" si="236"/>
        <v>0</v>
      </c>
      <c r="S140" s="11">
        <f>VLOOKUP(K140,'1207 Beneficencia'!$K$13:$AK$15,9,0)</f>
        <v>0</v>
      </c>
      <c r="T140" s="11">
        <v>0</v>
      </c>
      <c r="U140" s="11">
        <v>0</v>
      </c>
      <c r="V140" s="11">
        <v>0</v>
      </c>
      <c r="W140" s="11">
        <v>0</v>
      </c>
      <c r="X140" s="11">
        <v>0</v>
      </c>
      <c r="Y140" s="11">
        <v>0</v>
      </c>
      <c r="Z140" s="11">
        <v>0</v>
      </c>
      <c r="AA140" s="11"/>
      <c r="AB140" s="11"/>
      <c r="AC140" s="11"/>
      <c r="AD140" s="11">
        <v>0</v>
      </c>
      <c r="AE140" s="11">
        <v>0</v>
      </c>
      <c r="AF140" s="11">
        <f>VLOOKUP(K140,'1207 Beneficencia'!$K$13:$AK$15,22,0)</f>
        <v>0</v>
      </c>
      <c r="AG140" s="11">
        <f>VLOOKUP(K140,'1207 Beneficencia'!$K$13:$AK$15,23,0)</f>
        <v>0</v>
      </c>
      <c r="AH140" s="11">
        <f t="shared" si="237"/>
        <v>0</v>
      </c>
      <c r="AI140" s="11">
        <f>VLOOKUP(K140,'1207 Beneficencia'!$K$13:$AK$15,25,0)</f>
        <v>0</v>
      </c>
      <c r="AJ140" s="11" t="str">
        <f>VLOOKUP(K140,'1207 Beneficencia'!$K$13:$AK$15,26,0)</f>
        <v>No se ha iniciado con el programa de atención a personas consumidoras de sustancias psicoactivas</v>
      </c>
      <c r="AK140" s="11" t="str">
        <f>VLOOKUP(K140,'1207 Beneficencia'!$K$13:$AK$15,27,0)</f>
        <v>Los recursos económicos propios de la entidad son insuficientes y se requiere de la articulación y cofinanciación con el Departamento para cumplir a cabalidad con la inversión social en estas metas</v>
      </c>
      <c r="AL140" s="11">
        <v>50</v>
      </c>
      <c r="AM140" s="11">
        <v>0</v>
      </c>
      <c r="AN140" s="11">
        <v>150</v>
      </c>
      <c r="AO140" s="11">
        <v>0</v>
      </c>
      <c r="AP140" s="11">
        <v>0</v>
      </c>
      <c r="AQ140" s="11">
        <v>0</v>
      </c>
      <c r="AR140" s="52"/>
      <c r="AS140" s="54">
        <v>0</v>
      </c>
      <c r="AT140" s="54">
        <f t="shared" ref="AT140:AT203" si="246">AR140+AS140</f>
        <v>0</v>
      </c>
      <c r="AU140" s="52"/>
      <c r="AV140" s="243">
        <v>4000000000</v>
      </c>
      <c r="AW140" s="244"/>
      <c r="AX140" s="244"/>
      <c r="AY140" s="243"/>
      <c r="AZ140" s="44">
        <f>R140/Q140</f>
        <v>0</v>
      </c>
      <c r="BA140" s="44">
        <v>0</v>
      </c>
      <c r="BB140" s="44" t="s">
        <v>115</v>
      </c>
      <c r="BC140" s="44">
        <f t="shared" si="238"/>
        <v>0</v>
      </c>
      <c r="BD140" s="44" t="str" cm="1">
        <f t="array" ref="BD140">_xlfn.IFS(AD140=0,"NA",AD140&gt;0,AH140/AD140)</f>
        <v>NA</v>
      </c>
      <c r="BE140" s="44">
        <f t="shared" si="239"/>
        <v>0.25</v>
      </c>
      <c r="BF140" s="44">
        <v>0</v>
      </c>
      <c r="BG140" s="44">
        <f t="shared" si="240"/>
        <v>0.75</v>
      </c>
      <c r="BH140" s="44">
        <v>0</v>
      </c>
      <c r="BI140" s="44">
        <f>AP140/Q140</f>
        <v>0</v>
      </c>
      <c r="BJ140" s="44" t="s">
        <v>115</v>
      </c>
      <c r="BK140" s="44">
        <f t="shared" ref="BK140:BK203" si="247">IF(AZ140&gt;100%,"100%",AZ140)</f>
        <v>0</v>
      </c>
      <c r="BL140" s="44" t="s">
        <v>115</v>
      </c>
      <c r="BM140" s="44" t="str" cm="1">
        <f t="array" ref="BM140">_xlfn.IFS(BD140="NA","NA",BD140&gt;100%,"100%",BD140&lt;100,BD140)</f>
        <v>NA</v>
      </c>
      <c r="BN140" s="44" cm="1">
        <f t="array" ref="BN140">_xlfn.IFS(BF140="NA","NA",BF140&gt;100%,"100%",BF140&lt;100,BF140)</f>
        <v>0</v>
      </c>
      <c r="BO140" s="44" cm="1">
        <f t="array" ref="BO140">_xlfn.IFS(BH140="NA","NA",BH140&gt;100%,"100%",BH140&lt;100,BH140)</f>
        <v>0</v>
      </c>
      <c r="BP140" s="44" t="str" cm="1">
        <f t="array" ref="BP140">_xlfn.IFS(BJ140="NA","NA",BJ140&gt;100%,"100%",BJ140&lt;100,BJ140)</f>
        <v>NA</v>
      </c>
      <c r="BQ140" s="45">
        <v>0.22500000000000001</v>
      </c>
      <c r="BR140" s="45">
        <f t="shared" ref="BR140:BR142" si="248">BQ140*BK140</f>
        <v>0</v>
      </c>
      <c r="BS140" s="45">
        <v>0</v>
      </c>
      <c r="BT140" s="45" t="s">
        <v>115</v>
      </c>
      <c r="BU140" s="45">
        <v>0</v>
      </c>
      <c r="BV140" s="45">
        <f t="shared" si="241"/>
        <v>0</v>
      </c>
      <c r="BW140" s="45" t="str">
        <f t="shared" ref="BW140:BW143" si="249">IF(BM140="NA","NA",BM140*BV140)</f>
        <v>NA</v>
      </c>
      <c r="BX140" s="45">
        <f t="shared" ref="BX140:BX143" si="250">BR140-BU140</f>
        <v>0</v>
      </c>
      <c r="BY140" s="45">
        <f t="shared" si="242"/>
        <v>5.6250000000000001E-2</v>
      </c>
      <c r="BZ140" s="45">
        <f t="shared" si="243"/>
        <v>0</v>
      </c>
      <c r="CA140" s="45">
        <f t="shared" ref="CA140:CA142" si="251">BR140-BU140-BX140</f>
        <v>0</v>
      </c>
      <c r="CB140" s="45">
        <f t="shared" si="244"/>
        <v>0.16875000000000001</v>
      </c>
      <c r="CC140" s="45">
        <f t="shared" si="245"/>
        <v>0</v>
      </c>
      <c r="CD140" s="45">
        <v>0</v>
      </c>
      <c r="CE140" s="45">
        <f>(AP140*BQ140)/Q140</f>
        <v>0</v>
      </c>
      <c r="CF140" s="45" t="str">
        <f>IF(BP140="NA","NA",BP140*CE140)</f>
        <v>NA</v>
      </c>
      <c r="CG140" s="45">
        <v>0</v>
      </c>
      <c r="CH140" s="244"/>
      <c r="CI140" s="244"/>
      <c r="CJ140" s="244"/>
      <c r="CK140" s="244"/>
      <c r="CM140" s="63">
        <v>0</v>
      </c>
    </row>
    <row r="141" spans="1:261" ht="18" hidden="1" customHeight="1">
      <c r="A141" s="260" t="s">
        <v>98</v>
      </c>
      <c r="B141" s="260" t="s">
        <v>99</v>
      </c>
      <c r="C141" s="260" t="s">
        <v>100</v>
      </c>
      <c r="D141" s="260" t="s">
        <v>508</v>
      </c>
      <c r="E141" s="260" t="s">
        <v>870</v>
      </c>
      <c r="F141" s="260" t="s">
        <v>977</v>
      </c>
      <c r="G141" s="260" t="s">
        <v>978</v>
      </c>
      <c r="H141" s="260" t="s">
        <v>979</v>
      </c>
      <c r="I141" s="260" t="s">
        <v>677</v>
      </c>
      <c r="J141" s="260" t="s">
        <v>119</v>
      </c>
      <c r="K141" s="260" t="s">
        <v>980</v>
      </c>
      <c r="L141" s="260" t="s">
        <v>981</v>
      </c>
      <c r="M141" s="260" t="s">
        <v>670</v>
      </c>
      <c r="N141" s="260" t="s">
        <v>111</v>
      </c>
      <c r="O141" s="260" t="s">
        <v>112</v>
      </c>
      <c r="P141" s="10">
        <v>20</v>
      </c>
      <c r="Q141" s="11">
        <v>96</v>
      </c>
      <c r="R141" s="11">
        <f t="shared" si="236"/>
        <v>40</v>
      </c>
      <c r="S141" s="11" t="str">
        <f>VLOOKUP(K141,'1197 Salud'!$K$13:$AK$54,9,0)</f>
        <v>Se logro implementar la La estrategia preventiva: " Mi fortaleza mi familia" en 41 municipios: Anolaima, Apulo, Cachipay, Chaguaní, Chipaque,El colegio,EL peñon, Fomeque, Guaduas,Guataqui, Guayabal de siquima, Gutierrez, La palma, La Peña, Leguazaque, Medina,Nariño, Pandi, Paratebueno,Ricaurte,  San Antonio del Tequendama, San Cayetano Sasaima, Supata,  Tausa,Tibacuy, Tocaima,Utica, Villa Gomez, Villapinzón,  Vergara,    Venecia, Yacopi, Zipacon , cabrera. 
Se desarrollo el proyecto Scala: Deteccion del riesgo de consumo de alcohol y depresiòn asociada en 5 municipios: Funza, Madrid, Nemocon Soachay  Suesca, donde se hicieron 11.821 tamizaje e intervenciones breves, Total de capacitaciones realizadas 147. 
Se apoyo  implementacion  Zoec en 5 municipios: Cogua, Silvania, Ubate, Chia y Tocancipà.En el mes de octubre se recibiò reconocimiento por parte del Min de salud y proteccion social como entidad comprometida con la prevenciòn de consumo, abuso y adicciòn a las sustancias psicoactivas. Ley 1566 de 2012. 
Se realizò la semana de la salud mental, con una participacion de 800 personas.Se brindò lineamientos del PAS a los 116 municipios del depto</v>
      </c>
      <c r="T141" s="11">
        <v>5</v>
      </c>
      <c r="U141" s="11">
        <v>0</v>
      </c>
      <c r="V141" s="11">
        <v>5</v>
      </c>
      <c r="W141" s="11">
        <v>0</v>
      </c>
      <c r="X141" s="11">
        <v>5</v>
      </c>
      <c r="Y141" s="11">
        <v>0</v>
      </c>
      <c r="Z141" s="11">
        <v>5</v>
      </c>
      <c r="AA141" s="11" t="s">
        <v>982</v>
      </c>
      <c r="AB141" s="11" t="s">
        <v>983</v>
      </c>
      <c r="AC141" s="11" t="s">
        <v>984</v>
      </c>
      <c r="AD141" s="11">
        <v>35</v>
      </c>
      <c r="AE141" s="11">
        <v>0</v>
      </c>
      <c r="AF141" s="11">
        <f>VLOOKUP(K141,'1197 Salud'!$K$13:$AK$54,22,0)</f>
        <v>35</v>
      </c>
      <c r="AG141" s="11">
        <f>VLOOKUP(K141,'1197 Salud'!$K$13:$AK$54,23,0)</f>
        <v>0</v>
      </c>
      <c r="AH141" s="11">
        <f t="shared" si="237"/>
        <v>35</v>
      </c>
      <c r="AI141" s="11" t="str">
        <f>VLOOKUP(K141,'1197 Salud'!$K$13:$AK$54,25,0)</f>
        <v>Municipios con estrategias implementadas</v>
      </c>
      <c r="AJ141" s="11" t="str">
        <f>VLOOKUP(K141,'1197 Salud'!$K$13:$AK$54,26,0)</f>
        <v>Se logro implementar la La estrategia preventiva: " Mi fortaleza mi familia", con sius tres areas tematicas : Comunicativa, supervision control, y expresion del afecto</v>
      </c>
      <c r="AK141" s="11" t="str">
        <f>VLOOKUP(K141,'1197 Salud'!$K$13:$AK$54,27,0)</f>
        <v>Rotaciòn del talento humano encargado de coordinar o ejecutar las actividades de salud mental</v>
      </c>
      <c r="AL141" s="11">
        <v>30</v>
      </c>
      <c r="AM141" s="11">
        <v>0</v>
      </c>
      <c r="AN141" s="11">
        <v>26</v>
      </c>
      <c r="AO141" s="11">
        <v>0</v>
      </c>
      <c r="AP141" s="11">
        <v>0</v>
      </c>
      <c r="AQ141" s="11">
        <v>0</v>
      </c>
      <c r="AR141" s="51">
        <v>156393643</v>
      </c>
      <c r="AS141" s="54">
        <v>0</v>
      </c>
      <c r="AT141" s="54">
        <f t="shared" si="246"/>
        <v>156393643</v>
      </c>
      <c r="AU141" s="51">
        <v>150468632</v>
      </c>
      <c r="AV141" s="243">
        <v>601106656</v>
      </c>
      <c r="AW141" s="244"/>
      <c r="AX141" s="244"/>
      <c r="AY141" s="243">
        <v>464667783</v>
      </c>
      <c r="AZ141" s="44">
        <f>R141/Q141</f>
        <v>0.41666666666666669</v>
      </c>
      <c r="BA141" s="44">
        <v>5.21E-2</v>
      </c>
      <c r="BB141" s="44">
        <v>1</v>
      </c>
      <c r="BC141" s="44">
        <f t="shared" si="238"/>
        <v>0.36458333333333331</v>
      </c>
      <c r="BD141" s="44" cm="1">
        <f t="array" ref="BD141">_xlfn.IFS(AD141=0,"NA",AD141&gt;0,AH141/AD141)</f>
        <v>1</v>
      </c>
      <c r="BE141" s="44">
        <f t="shared" si="239"/>
        <v>0.3125</v>
      </c>
      <c r="BF141" s="44">
        <v>0</v>
      </c>
      <c r="BG141" s="44">
        <f t="shared" si="240"/>
        <v>0.27083333333333331</v>
      </c>
      <c r="BH141" s="44">
        <v>0</v>
      </c>
      <c r="BI141" s="44">
        <f>AP141/Q141</f>
        <v>0</v>
      </c>
      <c r="BJ141" s="44" t="s">
        <v>115</v>
      </c>
      <c r="BK141" s="44">
        <f t="shared" si="247"/>
        <v>0.41666666666666669</v>
      </c>
      <c r="BL141" s="44">
        <v>1</v>
      </c>
      <c r="BM141" s="44" cm="1">
        <f t="array" ref="BM141">_xlfn.IFS(BD141="NA","NA",BD141&gt;100%,"100%",BD141&lt;100,BD141)</f>
        <v>1</v>
      </c>
      <c r="BN141" s="44" cm="1">
        <f t="array" ref="BN141">_xlfn.IFS(BF141="NA","NA",BF141&gt;100%,"100%",BF141&lt;100,BF141)</f>
        <v>0</v>
      </c>
      <c r="BO141" s="44" cm="1">
        <f t="array" ref="BO141">_xlfn.IFS(BH141="NA","NA",BH141&gt;100%,"100%",BH141&lt;100,BH141)</f>
        <v>0</v>
      </c>
      <c r="BP141" s="44" t="str" cm="1">
        <f t="array" ref="BP141">_xlfn.IFS(BJ141="NA","NA",BJ141&gt;100%,"100%",BJ141&lt;100,BJ141)</f>
        <v>NA</v>
      </c>
      <c r="BQ141" s="45">
        <v>0.22500000000000001</v>
      </c>
      <c r="BR141" s="45">
        <f t="shared" si="248"/>
        <v>9.375E-2</v>
      </c>
      <c r="BS141" s="45">
        <v>1.17E-2</v>
      </c>
      <c r="BT141" s="45">
        <v>1.17E-2</v>
      </c>
      <c r="BU141" s="45">
        <v>1.17E-2</v>
      </c>
      <c r="BV141" s="45">
        <f t="shared" si="241"/>
        <v>8.203125E-2</v>
      </c>
      <c r="BW141" s="45">
        <f t="shared" si="249"/>
        <v>8.203125E-2</v>
      </c>
      <c r="BX141" s="45">
        <f t="shared" si="250"/>
        <v>8.2049999999999998E-2</v>
      </c>
      <c r="BY141" s="45">
        <f t="shared" si="242"/>
        <v>7.03125E-2</v>
      </c>
      <c r="BZ141" s="45">
        <f t="shared" si="243"/>
        <v>0</v>
      </c>
      <c r="CA141" s="45">
        <f t="shared" si="251"/>
        <v>0</v>
      </c>
      <c r="CB141" s="45">
        <f t="shared" si="244"/>
        <v>6.0937500000000006E-2</v>
      </c>
      <c r="CC141" s="45">
        <f t="shared" si="245"/>
        <v>0</v>
      </c>
      <c r="CD141" s="45">
        <v>0</v>
      </c>
      <c r="CE141" s="45">
        <f>(AP141*BQ141)/Q141</f>
        <v>0</v>
      </c>
      <c r="CF141" s="45" t="str">
        <f>IF(BP141="NA","NA",BP141*CE141)</f>
        <v>NA</v>
      </c>
      <c r="CG141" s="45">
        <v>0</v>
      </c>
      <c r="CH141" s="244"/>
      <c r="CI141" s="244"/>
      <c r="CJ141" s="244"/>
      <c r="CK141" s="244"/>
      <c r="CM141" s="63">
        <v>40</v>
      </c>
    </row>
    <row r="142" spans="1:261" ht="18" hidden="1" customHeight="1">
      <c r="A142" s="260" t="s">
        <v>98</v>
      </c>
      <c r="B142" s="260" t="s">
        <v>99</v>
      </c>
      <c r="C142" s="260" t="s">
        <v>100</v>
      </c>
      <c r="D142" s="260" t="s">
        <v>508</v>
      </c>
      <c r="E142" s="260" t="s">
        <v>870</v>
      </c>
      <c r="F142" s="260" t="s">
        <v>985</v>
      </c>
      <c r="G142" s="260" t="s">
        <v>986</v>
      </c>
      <c r="H142" s="260" t="s">
        <v>987</v>
      </c>
      <c r="I142" s="260" t="s">
        <v>106</v>
      </c>
      <c r="J142" s="260" t="s">
        <v>961</v>
      </c>
      <c r="K142" s="260" t="s">
        <v>988</v>
      </c>
      <c r="L142" s="260" t="s">
        <v>989</v>
      </c>
      <c r="M142" s="260" t="s">
        <v>990</v>
      </c>
      <c r="N142" s="260" t="s">
        <v>123</v>
      </c>
      <c r="O142" s="260" t="s">
        <v>112</v>
      </c>
      <c r="P142" s="10">
        <v>0</v>
      </c>
      <c r="Q142" s="11">
        <v>100</v>
      </c>
      <c r="R142" s="11">
        <f t="shared" si="236"/>
        <v>45</v>
      </c>
      <c r="S142" s="11" t="str">
        <f>VLOOKUP(K142,'1197 Salud'!$K$13:$AK$54,9,0)</f>
        <v xml:space="preserve">Se implementaron las Fases de Alistamiento (con sus componentes: caracterización situacional, levantamiento de barreras) y el Desarrollo de Capacidades con los actores del sistema General de Salud a nivel departamental y municipal, lográndose un avance del 45% en la Implementación de las Rutas Integrales de Atención del cáncer.
POBLACION BENEFICIADA:
116 Entes Territoriales Municipales con sus IPS 
9 EAPB
1033 Hombres y mujeres capacitados 
</v>
      </c>
      <c r="T142" s="11">
        <v>15</v>
      </c>
      <c r="U142" s="11">
        <v>0</v>
      </c>
      <c r="V142" s="11">
        <v>15</v>
      </c>
      <c r="W142" s="11">
        <v>0</v>
      </c>
      <c r="X142" s="11">
        <v>10</v>
      </c>
      <c r="Y142" s="11">
        <v>0</v>
      </c>
      <c r="Z142" s="11">
        <v>10</v>
      </c>
      <c r="AA142" s="11" t="s">
        <v>990</v>
      </c>
      <c r="AB142" s="11" t="s">
        <v>991</v>
      </c>
      <c r="AC142" s="11">
        <v>0</v>
      </c>
      <c r="AD142" s="11">
        <v>35</v>
      </c>
      <c r="AE142" s="11">
        <v>0</v>
      </c>
      <c r="AF142" s="11">
        <f>VLOOKUP(K142,'1197 Salud'!$K$13:$AK$54,22,0)</f>
        <v>35</v>
      </c>
      <c r="AG142" s="11">
        <f>VLOOKUP(K142,'1197 Salud'!$K$13:$AK$54,23,0)</f>
        <v>0</v>
      </c>
      <c r="AH142" s="11">
        <f t="shared" si="237"/>
        <v>35</v>
      </c>
      <c r="AI142" s="11" t="str">
        <f>VLOOKUP(K142,'1197 Salud'!$K$13:$AK$54,25,0)</f>
        <v>Aseguradoras en proceso de implementación de la Ruta Integral de Atención del cáncer</v>
      </c>
      <c r="AJ142" s="11" t="str">
        <f>VLOOKUP(K142,'1197 Salud'!$K$13:$AK$54,26,0)</f>
        <v xml:space="preserve">Se implementaron las Fases de Alistamiento (con sus componentes: caracterización situacional, levantamiento de barreras) y el Desarrollo de Capacidades con los actores del sistema General de Salud a nivel departamental y municipal, lográndose un avance del 45% en la Implementación de las Rutas Integrales de Atención del cáncer.
POBLACION BENEFICIADA:
116 Entes Territoriales Municipales con sus IPS 
9 EAPB
1033 Hombres y mujeres capacitados 
</v>
      </c>
      <c r="AK142" s="11" t="str">
        <f>VLOOKUP(K142,'1197 Salud'!$K$13:$AK$54,27,0)</f>
        <v xml:space="preserve">1.Disponibilidad de tiempo por parte del Talento humano para el desarrollo de las diferentes Fases. 
2.Escasa participación por parte de algunas Direcciones del Ente Territorial Departamental para el desarrollo de las fases propuestas
3.Implementación de la Ruta de Promoción y mantenimiento de la Salud </v>
      </c>
      <c r="AL142" s="11">
        <v>30</v>
      </c>
      <c r="AM142" s="11">
        <v>0</v>
      </c>
      <c r="AN142" s="11">
        <v>25</v>
      </c>
      <c r="AO142" s="11">
        <v>0</v>
      </c>
      <c r="AP142" s="11">
        <v>0</v>
      </c>
      <c r="AQ142" s="11">
        <v>0</v>
      </c>
      <c r="AR142" s="51">
        <v>47547610</v>
      </c>
      <c r="AS142" s="54">
        <v>0</v>
      </c>
      <c r="AT142" s="54">
        <f t="shared" si="246"/>
        <v>47547610</v>
      </c>
      <c r="AU142" s="51">
        <v>10556460</v>
      </c>
      <c r="AV142" s="243">
        <v>419209384</v>
      </c>
      <c r="AW142" s="244"/>
      <c r="AX142" s="244"/>
      <c r="AY142" s="243">
        <v>401538404</v>
      </c>
      <c r="AZ142" s="44">
        <f>R142/Q142</f>
        <v>0.45</v>
      </c>
      <c r="BA142" s="44">
        <v>0.15</v>
      </c>
      <c r="BB142" s="44">
        <v>0.66669999999999996</v>
      </c>
      <c r="BC142" s="44">
        <f t="shared" si="238"/>
        <v>0.35</v>
      </c>
      <c r="BD142" s="44" cm="1">
        <f t="array" ref="BD142">_xlfn.IFS(AD142=0,"NA",AD142&gt;0,AH142/AD142)</f>
        <v>1</v>
      </c>
      <c r="BE142" s="44">
        <f t="shared" si="239"/>
        <v>0.3</v>
      </c>
      <c r="BF142" s="44">
        <v>0</v>
      </c>
      <c r="BG142" s="44">
        <f t="shared" si="240"/>
        <v>0.25</v>
      </c>
      <c r="BH142" s="44">
        <v>0</v>
      </c>
      <c r="BI142" s="44">
        <f>AP142/Q142</f>
        <v>0</v>
      </c>
      <c r="BJ142" s="44" t="s">
        <v>115</v>
      </c>
      <c r="BK142" s="44">
        <f t="shared" si="247"/>
        <v>0.45</v>
      </c>
      <c r="BL142" s="44">
        <v>0.66669999999999996</v>
      </c>
      <c r="BM142" s="44" cm="1">
        <f t="array" ref="BM142">_xlfn.IFS(BD142="NA","NA",BD142&gt;100%,"100%",BD142&lt;100,BD142)</f>
        <v>1</v>
      </c>
      <c r="BN142" s="44" cm="1">
        <f t="array" ref="BN142">_xlfn.IFS(BF142="NA","NA",BF142&gt;100%,"100%",BF142&lt;100,BF142)</f>
        <v>0</v>
      </c>
      <c r="BO142" s="44" cm="1">
        <f t="array" ref="BO142">_xlfn.IFS(BH142="NA","NA",BH142&gt;100%,"100%",BH142&lt;100,BH142)</f>
        <v>0</v>
      </c>
      <c r="BP142" s="44" t="str" cm="1">
        <f t="array" ref="BP142">_xlfn.IFS(BJ142="NA","NA",BJ142&gt;100%,"100%",BJ142&lt;100,BJ142)</f>
        <v>NA</v>
      </c>
      <c r="BQ142" s="45">
        <v>0.22500000000000001</v>
      </c>
      <c r="BR142" s="45">
        <f t="shared" si="248"/>
        <v>0.10125000000000001</v>
      </c>
      <c r="BS142" s="45">
        <v>3.3799999999999997E-2</v>
      </c>
      <c r="BT142" s="45">
        <v>2.2499999999999999E-2</v>
      </c>
      <c r="BU142" s="45">
        <v>2.2499999999999999E-2</v>
      </c>
      <c r="BV142" s="45">
        <f t="shared" si="241"/>
        <v>7.8750000000000001E-2</v>
      </c>
      <c r="BW142" s="45">
        <f t="shared" si="249"/>
        <v>7.8750000000000001E-2</v>
      </c>
      <c r="BX142" s="45">
        <f t="shared" si="250"/>
        <v>7.8750000000000014E-2</v>
      </c>
      <c r="BY142" s="45">
        <f t="shared" si="242"/>
        <v>6.7500000000000004E-2</v>
      </c>
      <c r="BZ142" s="45">
        <f t="shared" si="243"/>
        <v>0</v>
      </c>
      <c r="CA142" s="45">
        <f t="shared" si="251"/>
        <v>0</v>
      </c>
      <c r="CB142" s="45">
        <f t="shared" si="244"/>
        <v>5.6250000000000001E-2</v>
      </c>
      <c r="CC142" s="45">
        <f t="shared" si="245"/>
        <v>0</v>
      </c>
      <c r="CD142" s="45">
        <v>0</v>
      </c>
      <c r="CE142" s="45">
        <f>(AP142*BQ142)/Q142</f>
        <v>0</v>
      </c>
      <c r="CF142" s="45" t="str">
        <f>IF(BP142="NA","NA",BP142*CE142)</f>
        <v>NA</v>
      </c>
      <c r="CG142" s="45">
        <v>0</v>
      </c>
      <c r="CH142" s="244"/>
      <c r="CI142" s="244"/>
      <c r="CJ142" s="244"/>
      <c r="CK142" s="244"/>
      <c r="CM142" s="63">
        <v>29.6</v>
      </c>
    </row>
    <row r="143" spans="1:261" ht="18" hidden="1" customHeight="1">
      <c r="A143" s="260" t="s">
        <v>992</v>
      </c>
      <c r="B143" s="260" t="s">
        <v>993</v>
      </c>
      <c r="C143" s="260" t="s">
        <v>100</v>
      </c>
      <c r="D143" s="260" t="s">
        <v>994</v>
      </c>
      <c r="E143" s="260" t="s">
        <v>995</v>
      </c>
      <c r="F143" s="260" t="s">
        <v>996</v>
      </c>
      <c r="G143" s="260" t="s">
        <v>997</v>
      </c>
      <c r="H143" s="260" t="s">
        <v>998</v>
      </c>
      <c r="I143" s="260"/>
      <c r="J143" s="260"/>
      <c r="K143" s="260" t="s">
        <v>999</v>
      </c>
      <c r="L143" s="260" t="s">
        <v>1000</v>
      </c>
      <c r="M143" s="260" t="s">
        <v>1001</v>
      </c>
      <c r="N143" s="260" t="s">
        <v>111</v>
      </c>
      <c r="O143" s="260" t="s">
        <v>124</v>
      </c>
      <c r="P143" s="10">
        <v>2</v>
      </c>
      <c r="Q143" s="11">
        <v>2</v>
      </c>
      <c r="R143" s="11">
        <f>(Z143+AH143)/CL143</f>
        <v>1</v>
      </c>
      <c r="S143" s="11" t="str">
        <f>VLOOKUP(K143,'1105 Gobierno'!$K$12:$AK$31,9,0)</f>
        <v>Se garantiza el funcionamiento de 2 casas de acogida las cuales tienen como propósito garantizar a las mujeres que viven situaciones de violencia o que han vivido hechos victimizante, cuenten con un lugar para salvaguardarse temporalmente en el que les sea posible a ellas y a sus personas dependientes proteger su vida e integridad personal. Hasta la fecha han sido beneficiados 123 personas, entre ellos 40 mujeres y 73 niños, niñas y adolescentes. Adicional a ello, se ha logrado aumentar el número a 25 cupos más con relación al cuatrienio anterior de las casas de acogida, propiciando entornos de bienestar en el territorio en pro de las mujeres y fortalecimiento a la dignidad e integridad personal de las mismas. Adicional a ello, se benefician 73 niños, niñas y adolescentes hijos de estas mamás víctimas de violencia. La casa de acogida, presta servicios de alojamiento, alimentación, kit de aseo, traslado, vestuario de ser necesario, seguridad, orientación psicológica, jurídica y de trabajo social, además de disponibilidad de área de enfermería. El funcionamiento de las casas se realiza mediante el convenio de la Cruz Roja el cual se suscribió en el mes del 10 de junio de 6 meses y 20 días por lo cual el funcionamiento se garantiza hasta el 31 de diciembre de la presente vigencia (convenio 175 de 2020). Adicional a ello se brinda asistencia técnica para la ruta y servicio de la casa de acogida a 33 municipios de 10 provincias asesorando a los mismos a cómo funciona el servicio brindado. Actualmente en 2021 tiene 25 cupos.
Para el año 2021  el convenio ya se encuentra firmado, bajo el siguiente número de convenio  SGO-CDCASO-298-2021, este convenio  de asociación se encuentra firmado con la cruz roja colombiana seccional Cundinamarca y Bogotá para el programa en la vigencia 2021. Se disponen de dos inmuebles para el funcionamientos de Casa de Acogida, uno de los inmuebles se dispone por parte de la Secretaria General y el otro por parte del asociado. Los dos inmuebles cumplen con los requisitos minimos de infraestructura contemplados en la resolución 595 del 2020 mediante la operación del convenio 175 del 2020 se han atendido de enero al mes de abril del 2021, 33 casos.
Se remite certificacion a ministerio de salud para solicitar focalizacion del departamento en asignacion de recursos para medidas de atencion en la vigencia 2021 (actividad que se desarrolla en un solo momento del año).</v>
      </c>
      <c r="T143" s="11">
        <v>0</v>
      </c>
      <c r="U143" s="11">
        <v>2</v>
      </c>
      <c r="V143" s="11">
        <v>0</v>
      </c>
      <c r="W143" s="11">
        <v>2</v>
      </c>
      <c r="X143" s="11" t="s">
        <v>115</v>
      </c>
      <c r="Y143" s="11">
        <v>2</v>
      </c>
      <c r="Z143" s="11">
        <v>2</v>
      </c>
      <c r="AA143" s="11" t="s">
        <v>1002</v>
      </c>
      <c r="AB143" s="11" t="s">
        <v>1003</v>
      </c>
      <c r="AC143" s="11" t="s">
        <v>1004</v>
      </c>
      <c r="AD143" s="11">
        <v>0</v>
      </c>
      <c r="AE143" s="11">
        <v>2</v>
      </c>
      <c r="AF143" s="11" t="str">
        <f>VLOOKUP(K143,'1105 Gobierno'!$K$12:$AK$31,22,0)</f>
        <v> </v>
      </c>
      <c r="AG143" s="11">
        <f>VLOOKUP(K143,'1105 Gobierno'!$K$12:$AK$31,23,0)</f>
        <v>2</v>
      </c>
      <c r="AH143" s="11">
        <f>AG143</f>
        <v>2</v>
      </c>
      <c r="AI143" s="11" t="str">
        <f>VLOOKUP(K143,'1105 Gobierno'!$K$12:$AK$31,25,0)</f>
        <v>Casas de acogida en funcionamiento</v>
      </c>
      <c r="AJ143" s="11" t="str">
        <f>VLOOKUP(K143,'1105 Gobierno'!$K$12:$AK$31,26,0)</f>
        <v xml:space="preserve">Durante los meses de enero a abril el programa casa de acogida funcionó mediante el convenio de asociación 175 del 2020, el convenio ya se encuentra firmado SGO-CDCASO-298-2021 con la cruz roja colombiana seccional Cundinamarca y Bogotá para el programa en la vigencia 2021.
En la actualidad existen dos inmuebles para el funcionamiento de las Casas de Acogida, uno de los inmuebles lo dispone la Secretaria General y el otro por parte del asociado.
Los Inmuebles están adecuados para el alojamiento de mujeres víctimas y sus dependientes, los cumplen con los requisitos mínimos de infraestructura contemplados en la resolución 595 del 2020, se remite certificación a ministerio de salud para solicitar focalización del departamento en asignación de recursos para medidas de atención en la vigencia 2021 (actividad que se desarrolla en un solo momento del año).
El programa de casa de acogida se dividen 2 infraestructuras e identificadas como: Casa Azul y Casa amarilla, en la casa azul cuenta con población distribuida así: 5 Mujeres, 6 NNA, para un total de 11 personas, dicha casa cuenta con 9 cupos disponibles. Se realiza ingreso de sistema familiar proveniente de Girardot, En la casa de acogida amarilla, la población está distribuida así: 5 Mujeres, 5 NNA, 5 Sistemas familiares, para un total de 10 personas atendidas.   25 cupos disponibles.  
En la actualidad a 31 de Octubre la casa de acogida azul cuenta con poblacion distribuida asi: 5 Mujeres, 9 NNA, 5 Sistemas familiares, para un total de 14 personas, dicha casa cuenta con 6 cupos disponibles. Se realiza ingreso de sistema familiar proveniente de La Mesa , Frente a la casa de acogida amarilla, la poblacion esta distribuida asi: 6 Mujeres, 6 NNA, 6 Sistemas familiares, para un total de 12 personas atendidas y 23 cupos disponibles.                                                               </v>
      </c>
      <c r="AK143" s="11">
        <f>VLOOKUP(K143,'1105 Gobierno'!$K$12:$AK$31,27,0)</f>
        <v>0</v>
      </c>
      <c r="AL143" s="11">
        <v>0</v>
      </c>
      <c r="AM143" s="11">
        <v>2</v>
      </c>
      <c r="AN143" s="11">
        <v>0</v>
      </c>
      <c r="AO143" s="11">
        <v>2</v>
      </c>
      <c r="AP143" s="11">
        <v>0</v>
      </c>
      <c r="AQ143" s="11">
        <v>0</v>
      </c>
      <c r="AR143" s="51">
        <v>827543390</v>
      </c>
      <c r="AS143" s="54">
        <v>0</v>
      </c>
      <c r="AT143" s="54">
        <f t="shared" si="246"/>
        <v>827543390</v>
      </c>
      <c r="AU143" s="51">
        <v>18472248</v>
      </c>
      <c r="AV143" s="243">
        <v>1404807993</v>
      </c>
      <c r="AW143" s="244"/>
      <c r="AX143" s="244"/>
      <c r="AY143" s="243">
        <v>808471377</v>
      </c>
      <c r="AZ143" s="44" cm="2">
        <f t="array" ref="AZ143">_xlfn.IFS((BA143=0),(BD143/CL143),(BA143&gt;0),((BB143+BD143)/CL143),(BE143&gt;0),((BB143+BD143+BE143)/CL143),(BG143&gt;0),((BB143+BD143+BE143+G143)/CL143))</f>
        <v>0.5</v>
      </c>
      <c r="BA143" s="44">
        <v>0.25</v>
      </c>
      <c r="BB143" s="44">
        <v>1</v>
      </c>
      <c r="BC143" s="44">
        <f>IF(AE143&gt;0,(1/CL143),0)</f>
        <v>0.25</v>
      </c>
      <c r="BD143" s="44" cm="2">
        <f t="array" ref="BD143">_xlfn.IFS(AE143=0,"NA",AE143&gt;0,AH143/AE143)</f>
        <v>1</v>
      </c>
      <c r="BE143" s="44">
        <f>IF(AM143&gt;0,(1/CL143),0)</f>
        <v>0.25</v>
      </c>
      <c r="BF143" s="44">
        <v>0</v>
      </c>
      <c r="BG143" s="44">
        <f>IF(AO143&gt;0,(1/CL143),0)</f>
        <v>0.25</v>
      </c>
      <c r="BH143" s="44">
        <v>0</v>
      </c>
      <c r="BI143" s="44">
        <v>0</v>
      </c>
      <c r="BJ143" s="44" t="s">
        <v>115</v>
      </c>
      <c r="BK143" s="44">
        <f>IF(AZ143&gt;100%,"100%",AZ143)</f>
        <v>0.5</v>
      </c>
      <c r="BL143" s="44">
        <v>1</v>
      </c>
      <c r="BM143" s="44" cm="1">
        <f t="array" ref="BM143">_xlfn.IFS(BD143="NA","NA",BD143&gt;100%,"100%",BD143&lt;100,BD143)</f>
        <v>1</v>
      </c>
      <c r="BN143" s="44">
        <v>0</v>
      </c>
      <c r="BO143" s="44">
        <v>0</v>
      </c>
      <c r="BP143" s="44" t="s">
        <v>115</v>
      </c>
      <c r="BQ143" s="45">
        <v>0.22500000000000001</v>
      </c>
      <c r="BR143" s="45">
        <f t="shared" ref="BR143:BR203" si="252">BQ143*BK143</f>
        <v>0.1125</v>
      </c>
      <c r="BS143" s="45">
        <v>5.6300000000000003E-2</v>
      </c>
      <c r="BT143" s="45">
        <v>5.6300000000000003E-2</v>
      </c>
      <c r="BU143" s="45">
        <v>5.6300000000000003E-2</v>
      </c>
      <c r="BV143" s="45">
        <v>5.6300000000000003E-2</v>
      </c>
      <c r="BW143" s="45">
        <f t="shared" si="249"/>
        <v>5.6300000000000003E-2</v>
      </c>
      <c r="BX143" s="45">
        <f t="shared" si="250"/>
        <v>5.62E-2</v>
      </c>
      <c r="BY143" s="45">
        <v>5.6300000000000003E-2</v>
      </c>
      <c r="BZ143" s="45">
        <v>0</v>
      </c>
      <c r="CA143" s="45">
        <f t="shared" ref="CA143:CA203" si="253">BR143-BU143-BX143</f>
        <v>0</v>
      </c>
      <c r="CB143" s="45">
        <v>5.6300000000000003E-2</v>
      </c>
      <c r="CC143" s="45">
        <v>0</v>
      </c>
      <c r="CD143" s="45">
        <v>0</v>
      </c>
      <c r="CE143" s="45">
        <v>0</v>
      </c>
      <c r="CF143" s="45" t="s">
        <v>115</v>
      </c>
      <c r="CG143" s="45">
        <v>0</v>
      </c>
      <c r="CH143" s="244">
        <f>IF(W143&gt;0,1,0)</f>
        <v>1</v>
      </c>
      <c r="CI143" s="244">
        <f>IF(AE143&gt;0,1,0)</f>
        <v>1</v>
      </c>
      <c r="CJ143" s="244">
        <f>IF(AM143&gt;0,1,0)</f>
        <v>1</v>
      </c>
      <c r="CK143" s="244">
        <f>IF(AO143&gt;0,1,0)</f>
        <v>1</v>
      </c>
      <c r="CL143">
        <f>CH143+CI143+CJ143+CK143</f>
        <v>4</v>
      </c>
      <c r="CM143" s="63">
        <f>AVERAGE(Z143,AH143)</f>
        <v>2</v>
      </c>
    </row>
    <row r="144" spans="1:261" ht="18" hidden="1" customHeight="1">
      <c r="A144" s="260" t="s">
        <v>1005</v>
      </c>
      <c r="B144" s="260" t="s">
        <v>1006</v>
      </c>
      <c r="C144" s="260" t="s">
        <v>100</v>
      </c>
      <c r="D144" s="260" t="s">
        <v>994</v>
      </c>
      <c r="E144" s="260" t="s">
        <v>995</v>
      </c>
      <c r="F144" s="260" t="s">
        <v>1007</v>
      </c>
      <c r="G144" s="260" t="s">
        <v>1008</v>
      </c>
      <c r="H144" s="260" t="s">
        <v>1009</v>
      </c>
      <c r="I144" s="260"/>
      <c r="J144" s="260"/>
      <c r="K144" s="260" t="s">
        <v>1010</v>
      </c>
      <c r="L144" s="260" t="s">
        <v>1011</v>
      </c>
      <c r="M144" s="260" t="s">
        <v>1012</v>
      </c>
      <c r="N144" s="260" t="s">
        <v>111</v>
      </c>
      <c r="O144" s="260" t="s">
        <v>112</v>
      </c>
      <c r="P144" s="10">
        <v>8</v>
      </c>
      <c r="Q144" s="11">
        <v>13</v>
      </c>
      <c r="R144" s="11">
        <f>Z144+AH144</f>
        <v>5</v>
      </c>
      <c r="S144" s="11">
        <f>VLOOKUP(K144,'1130 Mujer'!$K$13:$AK$19,9,0)</f>
        <v>0</v>
      </c>
      <c r="T144" s="11">
        <v>4</v>
      </c>
      <c r="U144" s="11">
        <v>0</v>
      </c>
      <c r="V144" s="11">
        <v>4</v>
      </c>
      <c r="W144" s="11">
        <v>0</v>
      </c>
      <c r="X144" s="11">
        <v>5</v>
      </c>
      <c r="Y144" s="11">
        <v>0</v>
      </c>
      <c r="Z144" s="11">
        <v>5</v>
      </c>
      <c r="AA144" s="11" t="s">
        <v>1013</v>
      </c>
      <c r="AB144" s="11" t="s">
        <v>1014</v>
      </c>
      <c r="AC144" s="11" t="s">
        <v>1015</v>
      </c>
      <c r="AD144" s="11">
        <v>3</v>
      </c>
      <c r="AE144" s="11">
        <v>0</v>
      </c>
      <c r="AF144" s="11">
        <f>VLOOKUP(K144,'1130 Mujer'!$K$13:$AK$19,22,0)</f>
        <v>0</v>
      </c>
      <c r="AG144" s="11">
        <f>VLOOKUP(K144,'1130 Mujer'!$K$13:$AK$19,23,0)</f>
        <v>0</v>
      </c>
      <c r="AH144" s="11">
        <f>AF144</f>
        <v>0</v>
      </c>
      <c r="AI144" s="11">
        <f>VLOOKUP(K144,'1130 Mujer'!$K$13:$AK$19,25,0)</f>
        <v>0</v>
      </c>
      <c r="AJ144" s="11" t="str">
        <f>VLOOKUP(K144,'1130 Mujer'!$K$13:$AK$19,26,0)</f>
        <v>Convenios suscritos con 8 municipios para la dotación de sus respectivas Casas Sociales. Se proyecta entrega de dotación en el mes de diciembre..</v>
      </c>
      <c r="AK144" s="11" t="str">
        <f>VLOOKUP(K144,'1130 Mujer'!$K$13:$AK$19,27,0)</f>
        <v>na</v>
      </c>
      <c r="AL144" s="11">
        <v>3</v>
      </c>
      <c r="AM144" s="11">
        <v>0</v>
      </c>
      <c r="AN144" s="11">
        <v>3</v>
      </c>
      <c r="AO144" s="11">
        <v>0</v>
      </c>
      <c r="AP144" s="11">
        <v>0</v>
      </c>
      <c r="AQ144" s="11">
        <v>0</v>
      </c>
      <c r="AR144" s="51">
        <v>268715847</v>
      </c>
      <c r="AS144" s="54">
        <v>800000000</v>
      </c>
      <c r="AT144" s="54">
        <f t="shared" si="246"/>
        <v>1068715847</v>
      </c>
      <c r="AU144" s="51">
        <v>64260000</v>
      </c>
      <c r="AV144" s="243">
        <v>400000000</v>
      </c>
      <c r="AW144" s="244"/>
      <c r="AX144" s="244"/>
      <c r="AY144" s="243">
        <v>400000000</v>
      </c>
      <c r="AZ144" s="44">
        <f>R144/Q144</f>
        <v>0.38461538461538464</v>
      </c>
      <c r="BA144" s="44">
        <v>0.30769999999999997</v>
      </c>
      <c r="BB144" s="44">
        <v>1.25</v>
      </c>
      <c r="BC144" s="44">
        <f>AD144/Q144</f>
        <v>0.23076923076923078</v>
      </c>
      <c r="BD144" s="44" cm="1">
        <f t="array" ref="BD144">_xlfn.IFS(AD144=0,"NA",AD144&gt;0,AH144/AD144)</f>
        <v>0</v>
      </c>
      <c r="BE144" s="44">
        <f>AL144/Q144</f>
        <v>0.23076923076923078</v>
      </c>
      <c r="BF144" s="44">
        <v>0</v>
      </c>
      <c r="BG144" s="44">
        <f>AN144/Q144</f>
        <v>0.23076923076923078</v>
      </c>
      <c r="BH144" s="44">
        <v>0</v>
      </c>
      <c r="BI144" s="44">
        <f>AP144/Q144</f>
        <v>0</v>
      </c>
      <c r="BJ144" s="44" t="s">
        <v>115</v>
      </c>
      <c r="BK144" s="44">
        <f t="shared" si="247"/>
        <v>0.38461538461538464</v>
      </c>
      <c r="BL144" s="44">
        <v>1</v>
      </c>
      <c r="BM144" s="44" cm="1">
        <f t="array" ref="BM144">_xlfn.IFS(BD144="NA","NA",BD144&gt;100%,"100%",BD144&lt;100,BD144)</f>
        <v>0</v>
      </c>
      <c r="BN144" s="44" cm="1">
        <f t="array" ref="BN144">_xlfn.IFS(BF144="NA","NA",BF144&gt;100%,"100%",BF144&lt;100,BF144)</f>
        <v>0</v>
      </c>
      <c r="BO144" s="44" cm="1">
        <f t="array" ref="BO144">_xlfn.IFS(BH144="NA","NA",BH144&gt;100%,"100%",BH144&lt;100,BH144)</f>
        <v>0</v>
      </c>
      <c r="BP144" s="44" t="str" cm="1">
        <f t="array" ref="BP144">_xlfn.IFS(BJ144="NA","NA",BJ144&gt;100%,"100%",BJ144&lt;100,BJ144)</f>
        <v>NA</v>
      </c>
      <c r="BQ144" s="45">
        <v>0.22500000000000001</v>
      </c>
      <c r="BR144" s="45">
        <f t="shared" si="252"/>
        <v>8.653846153846155E-2</v>
      </c>
      <c r="BS144" s="45">
        <v>6.9199999999999998E-2</v>
      </c>
      <c r="BT144" s="45">
        <v>6.9199999999999998E-2</v>
      </c>
      <c r="BU144" s="45">
        <v>8.6499999999999994E-2</v>
      </c>
      <c r="BV144" s="45">
        <f>(AD144*BQ144)/Q144</f>
        <v>5.1923076923076926E-2</v>
      </c>
      <c r="BW144" s="45">
        <f t="shared" ref="BW144:BW203" si="254">IF(BM144="NA","NA",BM144*BV144)</f>
        <v>0</v>
      </c>
      <c r="BX144" s="45">
        <f t="shared" ref="BX144:BX203" si="255">BR144-BU144</f>
        <v>3.8461538461556644E-5</v>
      </c>
      <c r="BY144" s="45">
        <f>(AL144*BQ144)/Q144</f>
        <v>5.1923076923076926E-2</v>
      </c>
      <c r="BZ144" s="45">
        <f>IF(BN144="NA","NA",BN144*BY144)</f>
        <v>0</v>
      </c>
      <c r="CA144" s="45">
        <f t="shared" si="253"/>
        <v>0</v>
      </c>
      <c r="CB144" s="45">
        <f>(AN144*BQ144)/Q144</f>
        <v>5.1923076923076926E-2</v>
      </c>
      <c r="CC144" s="45">
        <f>IF(BO144="NA","NA",BO144*CB144)</f>
        <v>0</v>
      </c>
      <c r="CD144" s="45">
        <v>0</v>
      </c>
      <c r="CE144" s="45">
        <f>(AP144*BQ144)/Q144</f>
        <v>0</v>
      </c>
      <c r="CF144" s="45" t="str">
        <f>IF(BP144="NA","NA",BP144*CE144)</f>
        <v>NA</v>
      </c>
      <c r="CG144" s="45">
        <v>0</v>
      </c>
      <c r="CH144" s="244"/>
      <c r="CI144" s="244"/>
      <c r="CJ144" s="244"/>
      <c r="CK144" s="244"/>
      <c r="CM144" s="63">
        <v>5</v>
      </c>
    </row>
    <row r="145" spans="1:91" ht="18" hidden="1" customHeight="1">
      <c r="A145" s="260" t="s">
        <v>248</v>
      </c>
      <c r="B145" s="260" t="s">
        <v>249</v>
      </c>
      <c r="C145" s="260" t="s">
        <v>100</v>
      </c>
      <c r="D145" s="260" t="s">
        <v>994</v>
      </c>
      <c r="E145" s="260" t="s">
        <v>995</v>
      </c>
      <c r="F145" s="260" t="s">
        <v>1007</v>
      </c>
      <c r="G145" s="260" t="s">
        <v>1008</v>
      </c>
      <c r="H145" s="260" t="s">
        <v>1016</v>
      </c>
      <c r="I145" s="260"/>
      <c r="J145" s="260"/>
      <c r="K145" s="260" t="s">
        <v>1017</v>
      </c>
      <c r="L145" s="260" t="s">
        <v>1018</v>
      </c>
      <c r="M145" s="260" t="s">
        <v>1019</v>
      </c>
      <c r="N145" s="260" t="s">
        <v>111</v>
      </c>
      <c r="O145" s="260" t="s">
        <v>124</v>
      </c>
      <c r="P145" s="10">
        <v>1</v>
      </c>
      <c r="Q145" s="11">
        <v>1</v>
      </c>
      <c r="R145" s="11">
        <f>(Z145+AH145)/CL145</f>
        <v>0</v>
      </c>
      <c r="S145" s="11" t="str">
        <f>VLOOKUP(K145,'1208 Indeportes'!$K$13:$AK$39,9,0)</f>
        <v>En el marco del convenio No. 257 celebrado con FONDECUN, esta meta se encuentra en ejecución y se pretende realizar el evento de reconocimiento a las mujeres en el mes de diciembre en la noche de los mejores.</v>
      </c>
      <c r="T145" s="11">
        <v>0</v>
      </c>
      <c r="U145" s="11">
        <v>1</v>
      </c>
      <c r="V145" s="11">
        <v>0</v>
      </c>
      <c r="W145" s="11">
        <v>1</v>
      </c>
      <c r="X145" s="11" t="s">
        <v>115</v>
      </c>
      <c r="Y145" s="11">
        <v>0</v>
      </c>
      <c r="Z145" s="11">
        <v>0</v>
      </c>
      <c r="AA145" s="11">
        <v>0</v>
      </c>
      <c r="AB145" s="11"/>
      <c r="AC145" s="11">
        <v>0</v>
      </c>
      <c r="AD145" s="11">
        <v>0</v>
      </c>
      <c r="AE145" s="11">
        <v>1</v>
      </c>
      <c r="AF145" s="11">
        <f>VLOOKUP(K145,'1208 Indeportes'!$K$13:$AH$39,22,0)</f>
        <v>0</v>
      </c>
      <c r="AG145" s="11">
        <f>VLOOKUP(K145,'1208 Indeportes'!$K$13:$AH$39,23,0)</f>
        <v>0</v>
      </c>
      <c r="AH145" s="11">
        <f>AG145</f>
        <v>0</v>
      </c>
      <c r="AI145" s="11">
        <f>VLOOKUP(K145,'1208 Indeportes'!$K$13:$AK$39,25,0)</f>
        <v>0</v>
      </c>
      <c r="AJ145" s="11" t="str">
        <f>VLOOKUP(K145,'1208 Indeportes'!$K$13:$AK$39,26,0)</f>
        <v xml:space="preserve">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 </v>
      </c>
      <c r="AK145" s="11">
        <f>VLOOKUP(K145,'1208 Indeportes'!$K$13:$AK$39,27,0)</f>
        <v>0</v>
      </c>
      <c r="AL145" s="11">
        <v>0</v>
      </c>
      <c r="AM145" s="11">
        <v>1</v>
      </c>
      <c r="AN145" s="11">
        <v>0</v>
      </c>
      <c r="AO145" s="11">
        <v>1</v>
      </c>
      <c r="AP145" s="11">
        <v>0</v>
      </c>
      <c r="AQ145" s="11">
        <v>0</v>
      </c>
      <c r="AR145" s="51">
        <v>20000000</v>
      </c>
      <c r="AS145" s="54">
        <v>0</v>
      </c>
      <c r="AT145" s="54">
        <f t="shared" si="246"/>
        <v>20000000</v>
      </c>
      <c r="AU145" s="51">
        <v>17582400</v>
      </c>
      <c r="AV145" s="243">
        <v>30000000</v>
      </c>
      <c r="AW145" s="244"/>
      <c r="AX145" s="244"/>
      <c r="AY145" s="243">
        <v>30000000</v>
      </c>
      <c r="AZ145" s="44" cm="1">
        <f t="array" ref="AZ145">_xlfn.IFS((BA145=0),(BD145/CL145),(BA145&gt;0),((BB145+BD145)/CL145),(BE145&gt;0),((BB145+BD145+BE145)/CL145),(BG145&gt;0),((BB145+BD145+BE145+G145)/CL145))</f>
        <v>0</v>
      </c>
      <c r="BA145" s="44">
        <v>0.25</v>
      </c>
      <c r="BB145" s="44">
        <v>0</v>
      </c>
      <c r="BC145" s="44">
        <f>IF(AE145&gt;0,(1/CL145),0)</f>
        <v>0.25</v>
      </c>
      <c r="BD145" s="44" cm="1">
        <f t="array" ref="BD145">_xlfn.IFS(AE145=0,"NA",AE145&gt;0,AH145/AE145)</f>
        <v>0</v>
      </c>
      <c r="BE145" s="44">
        <f>IF(AM145&gt;0,(1/CL145),0)</f>
        <v>0.25</v>
      </c>
      <c r="BF145" s="44">
        <v>0</v>
      </c>
      <c r="BG145" s="44">
        <f>IF(AO145&gt;0,(1/CL145),0)</f>
        <v>0.25</v>
      </c>
      <c r="BH145" s="44">
        <v>0</v>
      </c>
      <c r="BI145" s="44">
        <v>0</v>
      </c>
      <c r="BJ145" s="44" t="s">
        <v>115</v>
      </c>
      <c r="BK145" s="44">
        <f t="shared" si="247"/>
        <v>0</v>
      </c>
      <c r="BL145" s="44">
        <v>0</v>
      </c>
      <c r="BM145" s="44" cm="1">
        <f t="array" ref="BM145">_xlfn.IFS(BD145="NA","NA",BD145&gt;100%,"100%",BD145&lt;100,BD145)</f>
        <v>0</v>
      </c>
      <c r="BN145" s="44">
        <v>0</v>
      </c>
      <c r="BO145" s="44">
        <v>0</v>
      </c>
      <c r="BP145" s="44" t="s">
        <v>115</v>
      </c>
      <c r="BQ145" s="45">
        <v>0.22500000000000001</v>
      </c>
      <c r="BR145" s="45">
        <f t="shared" si="252"/>
        <v>0</v>
      </c>
      <c r="BS145" s="45">
        <v>5.6300000000000003E-2</v>
      </c>
      <c r="BT145" s="45">
        <v>0</v>
      </c>
      <c r="BU145" s="45">
        <v>0</v>
      </c>
      <c r="BV145" s="45">
        <v>5.6300000000000003E-2</v>
      </c>
      <c r="BW145" s="45">
        <f t="shared" si="254"/>
        <v>0</v>
      </c>
      <c r="BX145" s="45">
        <f t="shared" si="255"/>
        <v>0</v>
      </c>
      <c r="BY145" s="45">
        <v>5.6300000000000003E-2</v>
      </c>
      <c r="BZ145" s="45">
        <v>0</v>
      </c>
      <c r="CA145" s="45">
        <f t="shared" si="253"/>
        <v>0</v>
      </c>
      <c r="CB145" s="45">
        <v>5.6300000000000003E-2</v>
      </c>
      <c r="CC145" s="45">
        <v>0</v>
      </c>
      <c r="CD145" s="45">
        <v>0</v>
      </c>
      <c r="CE145" s="45">
        <v>0</v>
      </c>
      <c r="CF145" s="45" t="s">
        <v>115</v>
      </c>
      <c r="CG145" s="45">
        <v>0</v>
      </c>
      <c r="CH145" s="244">
        <f>IF(W145&gt;0,1,0)</f>
        <v>1</v>
      </c>
      <c r="CI145" s="244">
        <f>IF(AE145&gt;0,1,0)</f>
        <v>1</v>
      </c>
      <c r="CJ145" s="244">
        <f>IF(AM145&gt;0,1,0)</f>
        <v>1</v>
      </c>
      <c r="CK145" s="244">
        <f>IF(AO145&gt;0,1,0)</f>
        <v>1</v>
      </c>
      <c r="CL145">
        <f>CH145+CI145+CJ145+CK145</f>
        <v>4</v>
      </c>
      <c r="CM145" s="63">
        <f>AVERAGE(Z145,AH145)</f>
        <v>0</v>
      </c>
    </row>
    <row r="146" spans="1:91" ht="18" hidden="1" customHeight="1">
      <c r="A146" s="260" t="s">
        <v>248</v>
      </c>
      <c r="B146" s="260" t="s">
        <v>249</v>
      </c>
      <c r="C146" s="260" t="s">
        <v>100</v>
      </c>
      <c r="D146" s="260" t="s">
        <v>994</v>
      </c>
      <c r="E146" s="260" t="s">
        <v>995</v>
      </c>
      <c r="F146" s="260" t="s">
        <v>1007</v>
      </c>
      <c r="G146" s="260" t="s">
        <v>1008</v>
      </c>
      <c r="H146" s="260" t="s">
        <v>1020</v>
      </c>
      <c r="I146" s="260"/>
      <c r="J146" s="260"/>
      <c r="K146" s="260" t="s">
        <v>1021</v>
      </c>
      <c r="L146" s="260" t="s">
        <v>1022</v>
      </c>
      <c r="M146" s="260" t="s">
        <v>1023</v>
      </c>
      <c r="N146" s="260" t="s">
        <v>111</v>
      </c>
      <c r="O146" s="260" t="s">
        <v>112</v>
      </c>
      <c r="P146" s="10">
        <v>40</v>
      </c>
      <c r="Q146" s="11">
        <v>50</v>
      </c>
      <c r="R146" s="11">
        <f t="shared" ref="R146:R158" si="256">Z146+AH146</f>
        <v>11</v>
      </c>
      <c r="S146" s="11">
        <f>VLOOKUP(K146,'1208 Indeportes'!$K$13:$AK$39,9,0)</f>
        <v>0</v>
      </c>
      <c r="T146" s="11">
        <v>3</v>
      </c>
      <c r="U146" s="11">
        <v>0</v>
      </c>
      <c r="V146" s="11">
        <v>0</v>
      </c>
      <c r="W146" s="11">
        <v>0</v>
      </c>
      <c r="X146" s="11">
        <v>0</v>
      </c>
      <c r="Y146" s="11">
        <v>0</v>
      </c>
      <c r="Z146" s="11">
        <v>0</v>
      </c>
      <c r="AA146" s="11"/>
      <c r="AB146" s="11"/>
      <c r="AC146" s="11"/>
      <c r="AD146" s="11">
        <v>15</v>
      </c>
      <c r="AE146" s="11">
        <v>0</v>
      </c>
      <c r="AF146" s="11">
        <f>VLOOKUP(K146,'1208 Indeportes'!$K$13:$AH$39,22,0)</f>
        <v>11</v>
      </c>
      <c r="AG146" s="11">
        <f>VLOOKUP(K146,'1208 Indeportes'!$K$13:$AH$39,23,0)</f>
        <v>0</v>
      </c>
      <c r="AH146" s="11">
        <f t="shared" ref="AH146:AH158" si="257">AF146</f>
        <v>11</v>
      </c>
      <c r="AI146" s="11">
        <f>VLOOKUP(K146,'1208 Indeportes'!$K$13:$AK$39,25,0)</f>
        <v>0</v>
      </c>
      <c r="AJ146" s="11" t="str">
        <f>VLOOKUP(K146,'1208 Indeportes'!$K$13:$AK$39,26,0)</f>
        <v xml:space="preserve">Se firmo contrato interadministrativo con el Municipio de Sopó, por un valor de $10.000.000 para desarrollar la carrera de la mujer durante el mes de julio. Durante el mes de noviembre se suscribieron los siguientes contratos interadministrativos:
 Zipaquirá por un valor de $20.000.000, para la realización de la carrera atlética de la mujer.
Fusagasugá por un valor de $24.000.000, para la realización de la carrera atlética de la mujer.
San Juan de Rioseco por un valor de $10.000.000, para la realización de la carrera atlética de la mujer.
Adicional a los convenios suscritos anteriormente, se ha brindado la cofinanciación a través de la entrega de camisetas, gorras y diferentes implementos deportivos a los municipios de Guaduas inspección La Paz, Guaduas centro, Cachipay, San Antonio del Tequendama, Apulo, Nemocón, y Guasca.
</v>
      </c>
      <c r="AK146" s="11">
        <f>VLOOKUP(K146,'1208 Indeportes'!$K$13:$AK$39,27,0)</f>
        <v>0</v>
      </c>
      <c r="AL146" s="11">
        <v>18</v>
      </c>
      <c r="AM146" s="11">
        <v>0</v>
      </c>
      <c r="AN146" s="11">
        <v>17</v>
      </c>
      <c r="AO146" s="11">
        <v>0</v>
      </c>
      <c r="AP146" s="11">
        <v>0</v>
      </c>
      <c r="AQ146" s="11">
        <v>0</v>
      </c>
      <c r="AR146" s="52"/>
      <c r="AS146" s="54">
        <v>0</v>
      </c>
      <c r="AT146" s="54">
        <f t="shared" si="246"/>
        <v>0</v>
      </c>
      <c r="AU146" s="52"/>
      <c r="AV146" s="243">
        <v>180000000</v>
      </c>
      <c r="AW146" s="244"/>
      <c r="AX146" s="244"/>
      <c r="AY146" s="243">
        <v>64000000</v>
      </c>
      <c r="AZ146" s="44">
        <f t="shared" ref="AZ146:AZ158" si="258">R146/Q146</f>
        <v>0.22</v>
      </c>
      <c r="BA146" s="44">
        <v>0</v>
      </c>
      <c r="BB146" s="44" t="s">
        <v>115</v>
      </c>
      <c r="BC146" s="44">
        <f t="shared" ref="BC146:BC158" si="259">AD146/Q146</f>
        <v>0.3</v>
      </c>
      <c r="BD146" s="44" cm="1">
        <f t="array" ref="BD146">_xlfn.IFS(AD146=0,"NA",AD146&gt;0,AH146/AD146)</f>
        <v>0.73333333333333328</v>
      </c>
      <c r="BE146" s="44">
        <f t="shared" ref="BE146:BE158" si="260">AL146/Q146</f>
        <v>0.36</v>
      </c>
      <c r="BF146" s="44">
        <v>0</v>
      </c>
      <c r="BG146" s="44">
        <f t="shared" ref="BG146:BG158" si="261">AN146/Q146</f>
        <v>0.34</v>
      </c>
      <c r="BH146" s="44">
        <v>0</v>
      </c>
      <c r="BI146" s="44">
        <f t="shared" ref="BI146:BI158" si="262">AP146/Q146</f>
        <v>0</v>
      </c>
      <c r="BJ146" s="44" t="s">
        <v>115</v>
      </c>
      <c r="BK146" s="44">
        <f t="shared" si="247"/>
        <v>0.22</v>
      </c>
      <c r="BL146" s="44" t="s">
        <v>115</v>
      </c>
      <c r="BM146" s="44" cm="1">
        <f t="array" ref="BM146">_xlfn.IFS(BD146="NA","NA",BD146&gt;100%,"100%",BD146&lt;100,BD146)</f>
        <v>0.73333333333333328</v>
      </c>
      <c r="BN146" s="44" cm="1">
        <f t="array" ref="BN146">_xlfn.IFS(BF146="NA","NA",BF146&gt;100%,"100%",BF146&lt;100,BF146)</f>
        <v>0</v>
      </c>
      <c r="BO146" s="44" cm="1">
        <f t="array" ref="BO146">_xlfn.IFS(BH146="NA","NA",BH146&gt;100%,"100%",BH146&lt;100,BH146)</f>
        <v>0</v>
      </c>
      <c r="BP146" s="44" t="str" cm="1">
        <f t="array" ref="BP146">_xlfn.IFS(BJ146="NA","NA",BJ146&gt;100%,"100%",BJ146&lt;100,BJ146)</f>
        <v>NA</v>
      </c>
      <c r="BQ146" s="45">
        <v>0.22500000000000001</v>
      </c>
      <c r="BR146" s="45">
        <f t="shared" si="252"/>
        <v>4.9500000000000002E-2</v>
      </c>
      <c r="BS146" s="45">
        <v>0</v>
      </c>
      <c r="BT146" s="45" t="s">
        <v>115</v>
      </c>
      <c r="BU146" s="45">
        <v>0</v>
      </c>
      <c r="BV146" s="45">
        <f t="shared" ref="BV146:BV158" si="263">(AD146*BQ146)/Q146</f>
        <v>6.7500000000000004E-2</v>
      </c>
      <c r="BW146" s="45">
        <f t="shared" si="254"/>
        <v>4.9500000000000002E-2</v>
      </c>
      <c r="BX146" s="45">
        <f t="shared" si="255"/>
        <v>4.9500000000000002E-2</v>
      </c>
      <c r="BY146" s="45">
        <f t="shared" ref="BY146:BY158" si="264">(AL146*BQ146)/Q146</f>
        <v>8.1000000000000003E-2</v>
      </c>
      <c r="BZ146" s="45">
        <f t="shared" ref="BZ146:BZ158" si="265">IF(BN146="NA","NA",BN146*BY146)</f>
        <v>0</v>
      </c>
      <c r="CA146" s="45">
        <f t="shared" si="253"/>
        <v>0</v>
      </c>
      <c r="CB146" s="45">
        <f t="shared" ref="CB146:CB158" si="266">(AN146*BQ146)/Q146</f>
        <v>7.6499999999999999E-2</v>
      </c>
      <c r="CC146" s="45">
        <f t="shared" ref="CC146:CC158" si="267">IF(BO146="NA","NA",BO146*CB146)</f>
        <v>0</v>
      </c>
      <c r="CD146" s="45">
        <v>0</v>
      </c>
      <c r="CE146" s="45">
        <f t="shared" ref="CE146:CE158" si="268">(AP146*BQ146)/Q146</f>
        <v>0</v>
      </c>
      <c r="CF146" s="45" t="str">
        <f t="shared" ref="CF146:CF158" si="269">IF(BP146="NA","NA",BP146*CE146)</f>
        <v>NA</v>
      </c>
      <c r="CG146" s="45">
        <v>0</v>
      </c>
      <c r="CH146" s="244"/>
      <c r="CI146" s="244"/>
      <c r="CJ146" s="244"/>
      <c r="CK146" s="244"/>
      <c r="CM146" s="63">
        <v>1</v>
      </c>
    </row>
    <row r="147" spans="1:91" ht="18" hidden="1" customHeight="1">
      <c r="A147" s="260" t="s">
        <v>1005</v>
      </c>
      <c r="B147" s="260" t="s">
        <v>1006</v>
      </c>
      <c r="C147" s="260" t="s">
        <v>100</v>
      </c>
      <c r="D147" s="260" t="s">
        <v>994</v>
      </c>
      <c r="E147" s="260" t="s">
        <v>995</v>
      </c>
      <c r="F147" s="260" t="s">
        <v>1007</v>
      </c>
      <c r="G147" s="260" t="s">
        <v>1008</v>
      </c>
      <c r="H147" s="260" t="s">
        <v>1024</v>
      </c>
      <c r="I147" s="260"/>
      <c r="J147" s="260"/>
      <c r="K147" s="260" t="s">
        <v>1025</v>
      </c>
      <c r="L147" s="260" t="s">
        <v>1026</v>
      </c>
      <c r="M147" s="260" t="s">
        <v>1027</v>
      </c>
      <c r="N147" s="260" t="s">
        <v>111</v>
      </c>
      <c r="O147" s="260" t="s">
        <v>112</v>
      </c>
      <c r="P147" s="10">
        <v>1</v>
      </c>
      <c r="Q147" s="11">
        <v>1</v>
      </c>
      <c r="R147" s="11">
        <f t="shared" si="256"/>
        <v>0.3</v>
      </c>
      <c r="S147" s="11">
        <f>VLOOKUP(K147,'1130 Mujer'!$K$13:$AK$19,9,0)</f>
        <v>0</v>
      </c>
      <c r="T147" s="11">
        <v>0.25</v>
      </c>
      <c r="U147" s="11">
        <v>0</v>
      </c>
      <c r="V147" s="11">
        <v>0.25</v>
      </c>
      <c r="W147" s="11">
        <v>0</v>
      </c>
      <c r="X147" s="11">
        <v>0.25</v>
      </c>
      <c r="Y147" s="11">
        <v>0</v>
      </c>
      <c r="Z147" s="11">
        <v>0.25</v>
      </c>
      <c r="AA147" s="11">
        <v>0</v>
      </c>
      <c r="AB147" s="11" t="s">
        <v>1028</v>
      </c>
      <c r="AC147" s="11" t="s">
        <v>1029</v>
      </c>
      <c r="AD147" s="11">
        <v>0.25</v>
      </c>
      <c r="AE147" s="11">
        <v>0</v>
      </c>
      <c r="AF147" s="11">
        <f>VLOOKUP(K147,'1130 Mujer'!$K$13:$AK$19,22,0)</f>
        <v>0.05</v>
      </c>
      <c r="AG147" s="11">
        <f>VLOOKUP(K147,'1130 Mujer'!$K$13:$AK$19,23,0)</f>
        <v>0</v>
      </c>
      <c r="AH147" s="11">
        <f t="shared" si="257"/>
        <v>0.05</v>
      </c>
      <c r="AI147" s="11">
        <f>VLOOKUP(K147,'1130 Mujer'!$K$13:$AK$19,25,0)</f>
        <v>0</v>
      </c>
      <c r="AJ147" s="11" t="str">
        <f>VLOOKUP(K147,'1130 Mujer'!$K$13:$AK$19,26,0)</f>
        <v>Inicio de ejecución del contrato interamdinistrativo suscrito con la UDEC.   Pendiente por validar el primer entregable del contrato.</v>
      </c>
      <c r="AK147" s="11" t="str">
        <f>VLOOKUP(K147,'1130 Mujer'!$K$13:$AK$19,27,0)</f>
        <v>na</v>
      </c>
      <c r="AL147" s="11">
        <v>0.25</v>
      </c>
      <c r="AM147" s="11">
        <v>0</v>
      </c>
      <c r="AN147" s="11">
        <v>0.25</v>
      </c>
      <c r="AO147" s="11">
        <v>0</v>
      </c>
      <c r="AP147" s="11">
        <v>0</v>
      </c>
      <c r="AQ147" s="11">
        <v>0</v>
      </c>
      <c r="AR147" s="51">
        <v>54578799</v>
      </c>
      <c r="AS147" s="54">
        <v>85379652</v>
      </c>
      <c r="AT147" s="54">
        <f t="shared" si="246"/>
        <v>139958451</v>
      </c>
      <c r="AU147" s="51">
        <v>32260000</v>
      </c>
      <c r="AV147" s="243">
        <v>150000000</v>
      </c>
      <c r="AW147" s="244"/>
      <c r="AX147" s="244"/>
      <c r="AY147" s="243">
        <v>150000000</v>
      </c>
      <c r="AZ147" s="44">
        <f t="shared" si="258"/>
        <v>0.3</v>
      </c>
      <c r="BA147" s="44">
        <v>0.25</v>
      </c>
      <c r="BB147" s="44">
        <v>1</v>
      </c>
      <c r="BC147" s="44">
        <f t="shared" si="259"/>
        <v>0.25</v>
      </c>
      <c r="BD147" s="44" cm="1">
        <f t="array" ref="BD147">_xlfn.IFS(AD147=0,"NA",AD147&gt;0,AH147/AD147)</f>
        <v>0.2</v>
      </c>
      <c r="BE147" s="44">
        <f t="shared" si="260"/>
        <v>0.25</v>
      </c>
      <c r="BF147" s="44">
        <v>0</v>
      </c>
      <c r="BG147" s="44">
        <f t="shared" si="261"/>
        <v>0.25</v>
      </c>
      <c r="BH147" s="44">
        <v>0</v>
      </c>
      <c r="BI147" s="44">
        <f t="shared" si="262"/>
        <v>0</v>
      </c>
      <c r="BJ147" s="44" t="s">
        <v>115</v>
      </c>
      <c r="BK147" s="44">
        <f t="shared" si="247"/>
        <v>0.3</v>
      </c>
      <c r="BL147" s="44">
        <v>1</v>
      </c>
      <c r="BM147" s="44" cm="1">
        <f t="array" ref="BM147">_xlfn.IFS(BD147="NA","NA",BD147&gt;100%,"100%",BD147&lt;100,BD147)</f>
        <v>0.2</v>
      </c>
      <c r="BN147" s="44" cm="1">
        <f t="array" ref="BN147">_xlfn.IFS(BF147="NA","NA",BF147&gt;100%,"100%",BF147&lt;100,BF147)</f>
        <v>0</v>
      </c>
      <c r="BO147" s="44" cm="1">
        <f t="array" ref="BO147">_xlfn.IFS(BH147="NA","NA",BH147&gt;100%,"100%",BH147&lt;100,BH147)</f>
        <v>0</v>
      </c>
      <c r="BP147" s="44" t="str" cm="1">
        <f t="array" ref="BP147">_xlfn.IFS(BJ147="NA","NA",BJ147&gt;100%,"100%",BJ147&lt;100,BJ147)</f>
        <v>NA</v>
      </c>
      <c r="BQ147" s="45">
        <v>0.22500000000000001</v>
      </c>
      <c r="BR147" s="45">
        <f t="shared" si="252"/>
        <v>6.7500000000000004E-2</v>
      </c>
      <c r="BS147" s="45">
        <v>5.6300000000000003E-2</v>
      </c>
      <c r="BT147" s="45">
        <v>5.6300000000000003E-2</v>
      </c>
      <c r="BU147" s="45">
        <v>5.6300000000000003E-2</v>
      </c>
      <c r="BV147" s="45">
        <f t="shared" si="263"/>
        <v>5.6250000000000001E-2</v>
      </c>
      <c r="BW147" s="45">
        <f t="shared" si="254"/>
        <v>1.1250000000000001E-2</v>
      </c>
      <c r="BX147" s="45">
        <f t="shared" si="255"/>
        <v>1.1200000000000002E-2</v>
      </c>
      <c r="BY147" s="45">
        <f t="shared" si="264"/>
        <v>5.6250000000000001E-2</v>
      </c>
      <c r="BZ147" s="45">
        <f t="shared" si="265"/>
        <v>0</v>
      </c>
      <c r="CA147" s="45">
        <f t="shared" si="253"/>
        <v>0</v>
      </c>
      <c r="CB147" s="45">
        <f t="shared" si="266"/>
        <v>5.6250000000000001E-2</v>
      </c>
      <c r="CC147" s="45">
        <f t="shared" si="267"/>
        <v>0</v>
      </c>
      <c r="CD147" s="45">
        <v>0</v>
      </c>
      <c r="CE147" s="45">
        <f t="shared" si="268"/>
        <v>0</v>
      </c>
      <c r="CF147" s="45" t="str">
        <f t="shared" si="269"/>
        <v>NA</v>
      </c>
      <c r="CG147" s="45">
        <v>0</v>
      </c>
      <c r="CH147" s="244"/>
      <c r="CI147" s="244"/>
      <c r="CJ147" s="244"/>
      <c r="CK147" s="244"/>
      <c r="CM147" s="63">
        <v>0.25</v>
      </c>
    </row>
    <row r="148" spans="1:91" ht="18" hidden="1" customHeight="1">
      <c r="A148" s="260" t="s">
        <v>1005</v>
      </c>
      <c r="B148" s="260" t="s">
        <v>1006</v>
      </c>
      <c r="C148" s="260" t="s">
        <v>100</v>
      </c>
      <c r="D148" s="260" t="s">
        <v>994</v>
      </c>
      <c r="E148" s="260" t="s">
        <v>995</v>
      </c>
      <c r="F148" s="260" t="s">
        <v>1007</v>
      </c>
      <c r="G148" s="260" t="s">
        <v>1008</v>
      </c>
      <c r="H148" s="260" t="s">
        <v>1030</v>
      </c>
      <c r="I148" s="260"/>
      <c r="J148" s="260"/>
      <c r="K148" s="260" t="s">
        <v>1031</v>
      </c>
      <c r="L148" s="260" t="s">
        <v>1032</v>
      </c>
      <c r="M148" s="260" t="s">
        <v>1033</v>
      </c>
      <c r="N148" s="260" t="s">
        <v>111</v>
      </c>
      <c r="O148" s="260" t="s">
        <v>112</v>
      </c>
      <c r="P148" s="10">
        <v>0</v>
      </c>
      <c r="Q148" s="11">
        <v>1</v>
      </c>
      <c r="R148" s="11">
        <f t="shared" si="256"/>
        <v>1.25</v>
      </c>
      <c r="S148" s="11">
        <f>VLOOKUP(K148,'1130 Mujer'!$K$13:$AK$19,9,0)</f>
        <v>0</v>
      </c>
      <c r="T148" s="11">
        <v>0.25</v>
      </c>
      <c r="U148" s="11">
        <v>0</v>
      </c>
      <c r="V148" s="11">
        <v>0.25</v>
      </c>
      <c r="W148" s="11">
        <v>0</v>
      </c>
      <c r="X148" s="11">
        <v>0.25</v>
      </c>
      <c r="Y148" s="11">
        <v>0</v>
      </c>
      <c r="Z148" s="11">
        <v>0.25</v>
      </c>
      <c r="AA148" s="11">
        <v>0</v>
      </c>
      <c r="AB148" s="11" t="s">
        <v>1034</v>
      </c>
      <c r="AC148" s="11" t="s">
        <v>1035</v>
      </c>
      <c r="AD148" s="11">
        <v>0.25</v>
      </c>
      <c r="AE148" s="11">
        <v>0</v>
      </c>
      <c r="AF148" s="11">
        <f>VLOOKUP(K148,'1130 Mujer'!$K$13:$AK$19,22,0)</f>
        <v>1</v>
      </c>
      <c r="AG148" s="11">
        <f>VLOOKUP(K148,'1130 Mujer'!$K$13:$AK$19,23,0)</f>
        <v>0</v>
      </c>
      <c r="AH148" s="11">
        <f t="shared" si="257"/>
        <v>1</v>
      </c>
      <c r="AI148" s="11" t="str">
        <f>VLOOKUP(K148,'1130 Mujer'!$K$13:$AK$19,25,0)</f>
        <v>Validación dle primer componente  del documento técnico para la puesta en marcha del observatorio</v>
      </c>
      <c r="AJ148" s="11" t="str">
        <f>VLOOKUP(K148,'1130 Mujer'!$K$13:$AK$19,26,0)</f>
        <v>Inicio de ejecución del contrato interamdinistrativo suscrito con la UDEC. Aprobación del Plan de trabajo con los 5 municiios priorizados y la correspondiente metodología.  Validado el primer entregable del contrato.</v>
      </c>
      <c r="AK148" s="11" t="str">
        <f>VLOOKUP(K148,'1130 Mujer'!$K$13:$AK$19,27,0)</f>
        <v>na</v>
      </c>
      <c r="AL148" s="11">
        <v>0.25</v>
      </c>
      <c r="AM148" s="11">
        <v>0</v>
      </c>
      <c r="AN148" s="11">
        <v>0.25</v>
      </c>
      <c r="AO148" s="11">
        <v>0</v>
      </c>
      <c r="AP148" s="11">
        <v>0</v>
      </c>
      <c r="AQ148" s="11">
        <v>0</v>
      </c>
      <c r="AR148" s="51">
        <v>107885523</v>
      </c>
      <c r="AS148" s="54">
        <v>86806536</v>
      </c>
      <c r="AT148" s="54">
        <f t="shared" si="246"/>
        <v>194692059</v>
      </c>
      <c r="AU148" s="51">
        <v>84225000</v>
      </c>
      <c r="AV148" s="243">
        <v>579127260</v>
      </c>
      <c r="AW148" s="244"/>
      <c r="AX148" s="244"/>
      <c r="AY148" s="243">
        <v>579120000</v>
      </c>
      <c r="AZ148" s="44">
        <f t="shared" si="258"/>
        <v>1.25</v>
      </c>
      <c r="BA148" s="44">
        <v>0.25</v>
      </c>
      <c r="BB148" s="44">
        <v>1</v>
      </c>
      <c r="BC148" s="44">
        <f t="shared" si="259"/>
        <v>0.25</v>
      </c>
      <c r="BD148" s="44" cm="1">
        <f t="array" ref="BD148">_xlfn.IFS(AD148=0,"NA",AD148&gt;0,AH148/AD148)</f>
        <v>4</v>
      </c>
      <c r="BE148" s="44">
        <f t="shared" si="260"/>
        <v>0.25</v>
      </c>
      <c r="BF148" s="44">
        <v>0</v>
      </c>
      <c r="BG148" s="44">
        <f t="shared" si="261"/>
        <v>0.25</v>
      </c>
      <c r="BH148" s="44">
        <v>0</v>
      </c>
      <c r="BI148" s="44">
        <f t="shared" si="262"/>
        <v>0</v>
      </c>
      <c r="BJ148" s="44" t="s">
        <v>115</v>
      </c>
      <c r="BK148" s="44" t="str">
        <f t="shared" si="247"/>
        <v>100%</v>
      </c>
      <c r="BL148" s="44">
        <v>1</v>
      </c>
      <c r="BM148" s="44" t="str" cm="1">
        <f t="array" ref="BM148">_xlfn.IFS(BD148="NA","NA",BD148&gt;100%,"100%",BD148&lt;100,BD148)</f>
        <v>100%</v>
      </c>
      <c r="BN148" s="44" cm="1">
        <f t="array" ref="BN148">_xlfn.IFS(BF148="NA","NA",BF148&gt;100%,"100%",BF148&lt;100,BF148)</f>
        <v>0</v>
      </c>
      <c r="BO148" s="44" cm="1">
        <f t="array" ref="BO148">_xlfn.IFS(BH148="NA","NA",BH148&gt;100%,"100%",BH148&lt;100,BH148)</f>
        <v>0</v>
      </c>
      <c r="BP148" s="44" t="str" cm="1">
        <f t="array" ref="BP148">_xlfn.IFS(BJ148="NA","NA",BJ148&gt;100%,"100%",BJ148&lt;100,BJ148)</f>
        <v>NA</v>
      </c>
      <c r="BQ148" s="45">
        <v>0.22500000000000001</v>
      </c>
      <c r="BR148" s="45">
        <f t="shared" si="252"/>
        <v>0.22500000000000001</v>
      </c>
      <c r="BS148" s="45">
        <v>5.6300000000000003E-2</v>
      </c>
      <c r="BT148" s="45">
        <v>5.6300000000000003E-2</v>
      </c>
      <c r="BU148" s="45">
        <v>5.6300000000000003E-2</v>
      </c>
      <c r="BV148" s="45">
        <f t="shared" si="263"/>
        <v>5.6250000000000001E-2</v>
      </c>
      <c r="BW148" s="45">
        <f t="shared" si="254"/>
        <v>5.6250000000000001E-2</v>
      </c>
      <c r="BX148" s="45">
        <f t="shared" si="255"/>
        <v>0.16870000000000002</v>
      </c>
      <c r="BY148" s="45">
        <f t="shared" si="264"/>
        <v>5.6250000000000001E-2</v>
      </c>
      <c r="BZ148" s="45">
        <f t="shared" si="265"/>
        <v>0</v>
      </c>
      <c r="CA148" s="45">
        <f t="shared" si="253"/>
        <v>0</v>
      </c>
      <c r="CB148" s="45">
        <f t="shared" si="266"/>
        <v>5.6250000000000001E-2</v>
      </c>
      <c r="CC148" s="45">
        <f t="shared" si="267"/>
        <v>0</v>
      </c>
      <c r="CD148" s="45">
        <v>0</v>
      </c>
      <c r="CE148" s="45">
        <f t="shared" si="268"/>
        <v>0</v>
      </c>
      <c r="CF148" s="45" t="str">
        <f t="shared" si="269"/>
        <v>NA</v>
      </c>
      <c r="CG148" s="45">
        <v>0</v>
      </c>
      <c r="CH148" s="244"/>
      <c r="CI148" s="244"/>
      <c r="CJ148" s="244"/>
      <c r="CK148" s="244"/>
      <c r="CM148" s="63">
        <v>0.3</v>
      </c>
    </row>
    <row r="149" spans="1:91" ht="18" hidden="1" customHeight="1">
      <c r="A149" s="260" t="s">
        <v>1005</v>
      </c>
      <c r="B149" s="260" t="s">
        <v>1006</v>
      </c>
      <c r="C149" s="260" t="s">
        <v>100</v>
      </c>
      <c r="D149" s="260" t="s">
        <v>994</v>
      </c>
      <c r="E149" s="260" t="s">
        <v>995</v>
      </c>
      <c r="F149" s="260" t="s">
        <v>1007</v>
      </c>
      <c r="G149" s="260" t="s">
        <v>1008</v>
      </c>
      <c r="H149" s="260" t="s">
        <v>1036</v>
      </c>
      <c r="I149" s="260"/>
      <c r="J149" s="260"/>
      <c r="K149" s="260" t="s">
        <v>1037</v>
      </c>
      <c r="L149" s="260" t="s">
        <v>1038</v>
      </c>
      <c r="M149" s="260" t="s">
        <v>1039</v>
      </c>
      <c r="N149" s="260" t="s">
        <v>111</v>
      </c>
      <c r="O149" s="260" t="s">
        <v>112</v>
      </c>
      <c r="P149" s="10">
        <v>8</v>
      </c>
      <c r="Q149" s="11">
        <v>30</v>
      </c>
      <c r="R149" s="11">
        <f t="shared" si="256"/>
        <v>5</v>
      </c>
      <c r="S149" s="11">
        <f>VLOOKUP(K149,'1130 Mujer'!$K$13:$AK$19,9,0)</f>
        <v>0</v>
      </c>
      <c r="T149" s="11">
        <v>4</v>
      </c>
      <c r="U149" s="11">
        <v>0</v>
      </c>
      <c r="V149" s="11">
        <v>4</v>
      </c>
      <c r="W149" s="11">
        <v>0</v>
      </c>
      <c r="X149" s="11">
        <v>5</v>
      </c>
      <c r="Y149" s="11">
        <v>0</v>
      </c>
      <c r="Z149" s="11">
        <v>5</v>
      </c>
      <c r="AA149" s="11" t="s">
        <v>1040</v>
      </c>
      <c r="AB149" s="11" t="s">
        <v>1041</v>
      </c>
      <c r="AC149" s="11" t="s">
        <v>1042</v>
      </c>
      <c r="AD149" s="11">
        <v>9</v>
      </c>
      <c r="AE149" s="11">
        <v>0</v>
      </c>
      <c r="AF149" s="11">
        <f>VLOOKUP(K149,'1130 Mujer'!$K$13:$AK$19,22,0)</f>
        <v>0</v>
      </c>
      <c r="AG149" s="11">
        <f>VLOOKUP(K149,'1130 Mujer'!$K$13:$AK$19,23,0)</f>
        <v>0</v>
      </c>
      <c r="AH149" s="11">
        <f t="shared" si="257"/>
        <v>0</v>
      </c>
      <c r="AI149" s="11">
        <f>VLOOKUP(K149,'1130 Mujer'!$K$13:$AK$19,25,0)</f>
        <v>0</v>
      </c>
      <c r="AJ149" s="11" t="str">
        <f>VLOOKUP(K149,'1130 Mujer'!$K$13:$AK$19,26,0)</f>
        <v>En desarrollo del priomer concurso para el fortalecimiento de organizaciones sociales. finaliza en la segunda semana de diciembre.</v>
      </c>
      <c r="AK149" s="11" t="str">
        <f>VLOOKUP(K149,'1130 Mujer'!$K$13:$AK$19,27,0)</f>
        <v>na</v>
      </c>
      <c r="AL149" s="11">
        <v>10</v>
      </c>
      <c r="AM149" s="11">
        <v>0</v>
      </c>
      <c r="AN149" s="11">
        <v>6</v>
      </c>
      <c r="AO149" s="11">
        <v>0</v>
      </c>
      <c r="AP149" s="11">
        <v>0</v>
      </c>
      <c r="AQ149" s="11">
        <v>0</v>
      </c>
      <c r="AR149" s="51">
        <v>87277650</v>
      </c>
      <c r="AS149" s="54">
        <v>89336952</v>
      </c>
      <c r="AT149" s="54">
        <f t="shared" si="246"/>
        <v>176614602</v>
      </c>
      <c r="AU149" s="51">
        <v>85281899</v>
      </c>
      <c r="AV149" s="243">
        <v>100000000</v>
      </c>
      <c r="AW149" s="244"/>
      <c r="AX149" s="244"/>
      <c r="AY149" s="243">
        <v>78670900</v>
      </c>
      <c r="AZ149" s="44">
        <f t="shared" si="258"/>
        <v>0.16666666666666666</v>
      </c>
      <c r="BA149" s="44">
        <v>0.1333</v>
      </c>
      <c r="BB149" s="44">
        <v>1.25</v>
      </c>
      <c r="BC149" s="44">
        <f t="shared" si="259"/>
        <v>0.3</v>
      </c>
      <c r="BD149" s="44" cm="1">
        <f t="array" ref="BD149">_xlfn.IFS(AD149=0,"NA",AD149&gt;0,AH149/AD149)</f>
        <v>0</v>
      </c>
      <c r="BE149" s="44">
        <f t="shared" si="260"/>
        <v>0.33333333333333331</v>
      </c>
      <c r="BF149" s="44">
        <v>0</v>
      </c>
      <c r="BG149" s="44">
        <f t="shared" si="261"/>
        <v>0.2</v>
      </c>
      <c r="BH149" s="44">
        <v>0</v>
      </c>
      <c r="BI149" s="44">
        <f t="shared" si="262"/>
        <v>0</v>
      </c>
      <c r="BJ149" s="44" t="s">
        <v>115</v>
      </c>
      <c r="BK149" s="44">
        <f t="shared" si="247"/>
        <v>0.16666666666666666</v>
      </c>
      <c r="BL149" s="44">
        <v>1</v>
      </c>
      <c r="BM149" s="44" cm="1">
        <f t="array" ref="BM149">_xlfn.IFS(BD149="NA","NA",BD149&gt;100%,"100%",BD149&lt;100,BD149)</f>
        <v>0</v>
      </c>
      <c r="BN149" s="44" cm="1">
        <f t="array" ref="BN149">_xlfn.IFS(BF149="NA","NA",BF149&gt;100%,"100%",BF149&lt;100,BF149)</f>
        <v>0</v>
      </c>
      <c r="BO149" s="44" cm="1">
        <f t="array" ref="BO149">_xlfn.IFS(BH149="NA","NA",BH149&gt;100%,"100%",BH149&lt;100,BH149)</f>
        <v>0</v>
      </c>
      <c r="BP149" s="44" t="str" cm="1">
        <f t="array" ref="BP149">_xlfn.IFS(BJ149="NA","NA",BJ149&gt;100%,"100%",BJ149&lt;100,BJ149)</f>
        <v>NA</v>
      </c>
      <c r="BQ149" s="45">
        <v>0.22500000000000001</v>
      </c>
      <c r="BR149" s="45">
        <f t="shared" si="252"/>
        <v>3.7499999999999999E-2</v>
      </c>
      <c r="BS149" s="45">
        <v>0.03</v>
      </c>
      <c r="BT149" s="45">
        <v>0.03</v>
      </c>
      <c r="BU149" s="45">
        <v>3.7499999999999999E-2</v>
      </c>
      <c r="BV149" s="45">
        <f t="shared" si="263"/>
        <v>6.7499999999999991E-2</v>
      </c>
      <c r="BW149" s="45">
        <f t="shared" si="254"/>
        <v>0</v>
      </c>
      <c r="BX149" s="45">
        <f t="shared" si="255"/>
        <v>0</v>
      </c>
      <c r="BY149" s="45">
        <f t="shared" si="264"/>
        <v>7.4999999999999997E-2</v>
      </c>
      <c r="BZ149" s="45">
        <f t="shared" si="265"/>
        <v>0</v>
      </c>
      <c r="CA149" s="45">
        <f t="shared" si="253"/>
        <v>0</v>
      </c>
      <c r="CB149" s="45">
        <f t="shared" si="266"/>
        <v>4.5000000000000005E-2</v>
      </c>
      <c r="CC149" s="45">
        <f t="shared" si="267"/>
        <v>0</v>
      </c>
      <c r="CD149" s="45">
        <v>0</v>
      </c>
      <c r="CE149" s="45">
        <f t="shared" si="268"/>
        <v>0</v>
      </c>
      <c r="CF149" s="45" t="str">
        <f t="shared" si="269"/>
        <v>NA</v>
      </c>
      <c r="CG149" s="45">
        <v>0</v>
      </c>
      <c r="CH149" s="244"/>
      <c r="CI149" s="244"/>
      <c r="CJ149" s="244"/>
      <c r="CK149" s="244"/>
      <c r="CM149" s="63">
        <v>5</v>
      </c>
    </row>
    <row r="150" spans="1:91" ht="18" hidden="1" customHeight="1">
      <c r="A150" s="260" t="s">
        <v>1005</v>
      </c>
      <c r="B150" s="260" t="s">
        <v>1006</v>
      </c>
      <c r="C150" s="260" t="s">
        <v>100</v>
      </c>
      <c r="D150" s="260" t="s">
        <v>994</v>
      </c>
      <c r="E150" s="260" t="s">
        <v>995</v>
      </c>
      <c r="F150" s="260" t="s">
        <v>1007</v>
      </c>
      <c r="G150" s="260" t="s">
        <v>1008</v>
      </c>
      <c r="H150" s="260" t="s">
        <v>1043</v>
      </c>
      <c r="I150" s="260"/>
      <c r="J150" s="260"/>
      <c r="K150" s="260" t="s">
        <v>1044</v>
      </c>
      <c r="L150" s="260" t="s">
        <v>1045</v>
      </c>
      <c r="M150" s="260" t="s">
        <v>1046</v>
      </c>
      <c r="N150" s="260" t="s">
        <v>111</v>
      </c>
      <c r="O150" s="260" t="s">
        <v>112</v>
      </c>
      <c r="P150" s="10">
        <v>117</v>
      </c>
      <c r="Q150" s="11">
        <v>117</v>
      </c>
      <c r="R150" s="11">
        <f t="shared" si="256"/>
        <v>45</v>
      </c>
      <c r="S150" s="11" t="str">
        <f>VLOOKUP(K150,'1130 Mujer'!$K$13:$AK$19,9,0)</f>
        <v>SE LLEVA UN ACUMULADO DE 15 CONSEJOS CONSULTIVOS</v>
      </c>
      <c r="T150" s="11">
        <v>15</v>
      </c>
      <c r="U150" s="11">
        <v>0</v>
      </c>
      <c r="V150" s="11">
        <v>15</v>
      </c>
      <c r="W150" s="11">
        <v>0</v>
      </c>
      <c r="X150" s="11">
        <v>15</v>
      </c>
      <c r="Y150" s="11">
        <v>0</v>
      </c>
      <c r="Z150" s="11">
        <v>15</v>
      </c>
      <c r="AA150" s="11" t="s">
        <v>1047</v>
      </c>
      <c r="AB150" s="11" t="s">
        <v>1048</v>
      </c>
      <c r="AC150" s="11" t="s">
        <v>1049</v>
      </c>
      <c r="AD150" s="11">
        <v>30</v>
      </c>
      <c r="AE150" s="11">
        <v>0</v>
      </c>
      <c r="AF150" s="11">
        <f>VLOOKUP(K150,'1130 Mujer'!$K$13:$AK$19,22,0)</f>
        <v>30</v>
      </c>
      <c r="AG150" s="11">
        <f>VLOOKUP(K150,'1130 Mujer'!$K$13:$AK$19,23,0)</f>
        <v>0</v>
      </c>
      <c r="AH150" s="11">
        <f t="shared" si="257"/>
        <v>30</v>
      </c>
      <c r="AI150" s="11" t="str">
        <f>VLOOKUP(K150,'1130 Mujer'!$K$13:$AK$19,25,0)</f>
        <v>Asistencia técnica Y elección del Consejo Consultivo Departamental de Mujeres</v>
      </c>
      <c r="AJ150" s="11" t="str">
        <f>VLOOKUP(K150,'1130 Mujer'!$K$13:$AK$19,26,0)</f>
        <v>Se adelantan asistencias técnicas a diferentes municipios con el personal adscrito a la secretaría. Elecciones del Consejo consultivo Departamental realizadas en el mes de Noviembre.</v>
      </c>
      <c r="AK150" s="11" t="str">
        <f>VLOOKUP(K150,'1130 Mujer'!$K$13:$AK$19,27,0)</f>
        <v>na</v>
      </c>
      <c r="AL150" s="11">
        <v>40</v>
      </c>
      <c r="AM150" s="11">
        <v>0</v>
      </c>
      <c r="AN150" s="11">
        <v>32</v>
      </c>
      <c r="AO150" s="11">
        <v>0</v>
      </c>
      <c r="AP150" s="11">
        <v>0</v>
      </c>
      <c r="AQ150" s="11">
        <v>0</v>
      </c>
      <c r="AR150" s="52"/>
      <c r="AS150" s="54">
        <v>35000000</v>
      </c>
      <c r="AT150" s="54">
        <f t="shared" si="246"/>
        <v>35000000</v>
      </c>
      <c r="AU150" s="52"/>
      <c r="AV150" s="243">
        <v>100000000</v>
      </c>
      <c r="AW150" s="244"/>
      <c r="AX150" s="244"/>
      <c r="AY150" s="243">
        <v>95521896</v>
      </c>
      <c r="AZ150" s="44">
        <f t="shared" si="258"/>
        <v>0.38461538461538464</v>
      </c>
      <c r="BA150" s="44">
        <v>0.12820000000000001</v>
      </c>
      <c r="BB150" s="44">
        <v>1</v>
      </c>
      <c r="BC150" s="44">
        <f t="shared" si="259"/>
        <v>0.25641025641025639</v>
      </c>
      <c r="BD150" s="44" cm="1">
        <f t="array" ref="BD150">_xlfn.IFS(AD150=0,"NA",AD150&gt;0,AH150/AD150)</f>
        <v>1</v>
      </c>
      <c r="BE150" s="44">
        <f t="shared" si="260"/>
        <v>0.34188034188034189</v>
      </c>
      <c r="BF150" s="44">
        <v>0</v>
      </c>
      <c r="BG150" s="44">
        <f t="shared" si="261"/>
        <v>0.27350427350427353</v>
      </c>
      <c r="BH150" s="44">
        <v>0</v>
      </c>
      <c r="BI150" s="44">
        <f t="shared" si="262"/>
        <v>0</v>
      </c>
      <c r="BJ150" s="44" t="s">
        <v>115</v>
      </c>
      <c r="BK150" s="44">
        <f t="shared" si="247"/>
        <v>0.38461538461538464</v>
      </c>
      <c r="BL150" s="44">
        <v>1</v>
      </c>
      <c r="BM150" s="44" cm="1">
        <f t="array" ref="BM150">_xlfn.IFS(BD150="NA","NA",BD150&gt;100%,"100%",BD150&lt;100,BD150)</f>
        <v>1</v>
      </c>
      <c r="BN150" s="44" cm="1">
        <f t="array" ref="BN150">_xlfn.IFS(BF150="NA","NA",BF150&gt;100%,"100%",BF150&lt;100,BF150)</f>
        <v>0</v>
      </c>
      <c r="BO150" s="44" cm="1">
        <f t="array" ref="BO150">_xlfn.IFS(BH150="NA","NA",BH150&gt;100%,"100%",BH150&lt;100,BH150)</f>
        <v>0</v>
      </c>
      <c r="BP150" s="44" t="str" cm="1">
        <f t="array" ref="BP150">_xlfn.IFS(BJ150="NA","NA",BJ150&gt;100%,"100%",BJ150&lt;100,BJ150)</f>
        <v>NA</v>
      </c>
      <c r="BQ150" s="45">
        <v>0.22500000000000001</v>
      </c>
      <c r="BR150" s="45">
        <f t="shared" si="252"/>
        <v>8.653846153846155E-2</v>
      </c>
      <c r="BS150" s="45">
        <v>2.8799999999999999E-2</v>
      </c>
      <c r="BT150" s="45">
        <v>2.8799999999999999E-2</v>
      </c>
      <c r="BU150" s="45">
        <v>2.8899999999999999E-2</v>
      </c>
      <c r="BV150" s="45">
        <f t="shared" si="263"/>
        <v>5.7692307692307696E-2</v>
      </c>
      <c r="BW150" s="45">
        <f t="shared" si="254"/>
        <v>5.7692307692307696E-2</v>
      </c>
      <c r="BX150" s="45">
        <f t="shared" si="255"/>
        <v>5.7638461538461555E-2</v>
      </c>
      <c r="BY150" s="45">
        <f t="shared" si="264"/>
        <v>7.6923076923076927E-2</v>
      </c>
      <c r="BZ150" s="45">
        <f t="shared" si="265"/>
        <v>0</v>
      </c>
      <c r="CA150" s="45">
        <f t="shared" si="253"/>
        <v>0</v>
      </c>
      <c r="CB150" s="45">
        <f t="shared" si="266"/>
        <v>6.1538461538461542E-2</v>
      </c>
      <c r="CC150" s="45">
        <f t="shared" si="267"/>
        <v>0</v>
      </c>
      <c r="CD150" s="45">
        <v>0</v>
      </c>
      <c r="CE150" s="45">
        <f t="shared" si="268"/>
        <v>0</v>
      </c>
      <c r="CF150" s="45" t="str">
        <f t="shared" si="269"/>
        <v>NA</v>
      </c>
      <c r="CG150" s="45">
        <v>0</v>
      </c>
      <c r="CH150" s="244"/>
      <c r="CI150" s="244"/>
      <c r="CJ150" s="244"/>
      <c r="CK150" s="244"/>
      <c r="CM150" s="63">
        <v>15</v>
      </c>
    </row>
    <row r="151" spans="1:91" ht="18" hidden="1" customHeight="1">
      <c r="A151" s="260" t="s">
        <v>1005</v>
      </c>
      <c r="B151" s="260" t="s">
        <v>1006</v>
      </c>
      <c r="C151" s="260" t="s">
        <v>100</v>
      </c>
      <c r="D151" s="260" t="s">
        <v>994</v>
      </c>
      <c r="E151" s="260" t="s">
        <v>995</v>
      </c>
      <c r="F151" s="260" t="s">
        <v>1007</v>
      </c>
      <c r="G151" s="260" t="s">
        <v>1008</v>
      </c>
      <c r="H151" s="260" t="s">
        <v>1050</v>
      </c>
      <c r="I151" s="260"/>
      <c r="J151" s="260"/>
      <c r="K151" s="260" t="s">
        <v>1051</v>
      </c>
      <c r="L151" s="260" t="s">
        <v>1052</v>
      </c>
      <c r="M151" s="260" t="s">
        <v>1053</v>
      </c>
      <c r="N151" s="260" t="s">
        <v>111</v>
      </c>
      <c r="O151" s="260" t="s">
        <v>112</v>
      </c>
      <c r="P151" s="10">
        <v>0</v>
      </c>
      <c r="Q151" s="11">
        <v>116</v>
      </c>
      <c r="R151" s="11">
        <f t="shared" si="256"/>
        <v>50</v>
      </c>
      <c r="S151" s="11">
        <f>VLOOKUP(K151,'1130 Mujer'!$K$13:$AK$19,9,0)</f>
        <v>0</v>
      </c>
      <c r="T151" s="11">
        <v>15</v>
      </c>
      <c r="U151" s="11">
        <v>0</v>
      </c>
      <c r="V151" s="11">
        <v>15</v>
      </c>
      <c r="W151" s="11">
        <v>0</v>
      </c>
      <c r="X151" s="11">
        <v>15</v>
      </c>
      <c r="Y151" s="11">
        <v>0</v>
      </c>
      <c r="Z151" s="11">
        <v>15</v>
      </c>
      <c r="AA151" s="11" t="s">
        <v>1054</v>
      </c>
      <c r="AB151" s="11" t="s">
        <v>1055</v>
      </c>
      <c r="AC151" s="11" t="s">
        <v>1056</v>
      </c>
      <c r="AD151" s="11">
        <v>35</v>
      </c>
      <c r="AE151" s="11">
        <v>0</v>
      </c>
      <c r="AF151" s="11">
        <f>VLOOKUP(K151,'1130 Mujer'!$K$13:$AK$19,22,0)</f>
        <v>35</v>
      </c>
      <c r="AG151" s="11">
        <f>VLOOKUP(K151,'1130 Mujer'!$K$13:$AK$19,23,0)</f>
        <v>0</v>
      </c>
      <c r="AH151" s="11">
        <f t="shared" si="257"/>
        <v>35</v>
      </c>
      <c r="AI151" s="11" t="str">
        <f>VLOOKUP(K151,'1130 Mujer'!$K$13:$AK$19,25,0)</f>
        <v>Capacitaciones a través de la "Escuela de Liderazgo" en sdiferentes provincias del departamento e implementación de la "Ruta M" en la provincia del Sumapaz"</v>
      </c>
      <c r="AJ151" s="11" t="str">
        <f>VLOOKUP(K151,'1130 Mujer'!$K$13:$AK$19,26,0)</f>
        <v>Desarrollo de en todo el departamento en el marco de la Escuela de Liderazgo 2451 beneficiarios a la fecha. Ruta M implementada en provincia Sumapaz</v>
      </c>
      <c r="AK151" s="11" t="str">
        <f>VLOOKUP(K151,'1130 Mujer'!$K$13:$AK$19,27,0)</f>
        <v>na</v>
      </c>
      <c r="AL151" s="11">
        <v>50</v>
      </c>
      <c r="AM151" s="11">
        <v>0</v>
      </c>
      <c r="AN151" s="11">
        <v>16</v>
      </c>
      <c r="AO151" s="11">
        <v>0</v>
      </c>
      <c r="AP151" s="11">
        <v>0</v>
      </c>
      <c r="AQ151" s="11">
        <v>0</v>
      </c>
      <c r="AR151" s="51">
        <v>1382162786</v>
      </c>
      <c r="AS151" s="54">
        <v>164091486</v>
      </c>
      <c r="AT151" s="54">
        <f t="shared" si="246"/>
        <v>1546254272</v>
      </c>
      <c r="AU151" s="51">
        <v>1000634157</v>
      </c>
      <c r="AV151" s="243">
        <v>1600000000</v>
      </c>
      <c r="AW151" s="244"/>
      <c r="AX151" s="244"/>
      <c r="AY151" s="243">
        <v>1381628998</v>
      </c>
      <c r="AZ151" s="44">
        <f t="shared" si="258"/>
        <v>0.43103448275862066</v>
      </c>
      <c r="BA151" s="44">
        <v>0.1293</v>
      </c>
      <c r="BB151" s="44">
        <v>1</v>
      </c>
      <c r="BC151" s="44">
        <f t="shared" si="259"/>
        <v>0.30172413793103448</v>
      </c>
      <c r="BD151" s="44" cm="1">
        <f t="array" ref="BD151">_xlfn.IFS(AD151=0,"NA",AD151&gt;0,AH151/AD151)</f>
        <v>1</v>
      </c>
      <c r="BE151" s="44">
        <f t="shared" si="260"/>
        <v>0.43103448275862066</v>
      </c>
      <c r="BF151" s="44">
        <v>0</v>
      </c>
      <c r="BG151" s="44">
        <f t="shared" si="261"/>
        <v>0.13793103448275862</v>
      </c>
      <c r="BH151" s="44">
        <v>0</v>
      </c>
      <c r="BI151" s="44">
        <f t="shared" si="262"/>
        <v>0</v>
      </c>
      <c r="BJ151" s="44" t="s">
        <v>115</v>
      </c>
      <c r="BK151" s="44">
        <f t="shared" si="247"/>
        <v>0.43103448275862066</v>
      </c>
      <c r="BL151" s="44">
        <v>1</v>
      </c>
      <c r="BM151" s="44" cm="1">
        <f t="array" ref="BM151">_xlfn.IFS(BD151="NA","NA",BD151&gt;100%,"100%",BD151&lt;100,BD151)</f>
        <v>1</v>
      </c>
      <c r="BN151" s="44" cm="1">
        <f t="array" ref="BN151">_xlfn.IFS(BF151="NA","NA",BF151&gt;100%,"100%",BF151&lt;100,BF151)</f>
        <v>0</v>
      </c>
      <c r="BO151" s="44" cm="1">
        <f t="array" ref="BO151">_xlfn.IFS(BH151="NA","NA",BH151&gt;100%,"100%",BH151&lt;100,BH151)</f>
        <v>0</v>
      </c>
      <c r="BP151" s="44" t="str" cm="1">
        <f t="array" ref="BP151">_xlfn.IFS(BJ151="NA","NA",BJ151&gt;100%,"100%",BJ151&lt;100,BJ151)</f>
        <v>NA</v>
      </c>
      <c r="BQ151" s="45">
        <v>0.22500000000000001</v>
      </c>
      <c r="BR151" s="45">
        <f t="shared" si="252"/>
        <v>9.6982758620689655E-2</v>
      </c>
      <c r="BS151" s="45">
        <v>2.9100000000000001E-2</v>
      </c>
      <c r="BT151" s="45">
        <v>2.9100000000000001E-2</v>
      </c>
      <c r="BU151" s="45">
        <v>2.9100000000000001E-2</v>
      </c>
      <c r="BV151" s="45">
        <f t="shared" si="263"/>
        <v>6.7887931034482762E-2</v>
      </c>
      <c r="BW151" s="45">
        <f t="shared" si="254"/>
        <v>6.7887931034482762E-2</v>
      </c>
      <c r="BX151" s="45">
        <f t="shared" si="255"/>
        <v>6.7882758620689654E-2</v>
      </c>
      <c r="BY151" s="45">
        <f t="shared" si="264"/>
        <v>9.6982758620689655E-2</v>
      </c>
      <c r="BZ151" s="45">
        <f t="shared" si="265"/>
        <v>0</v>
      </c>
      <c r="CA151" s="45">
        <f t="shared" si="253"/>
        <v>0</v>
      </c>
      <c r="CB151" s="45">
        <f t="shared" si="266"/>
        <v>3.1034482758620689E-2</v>
      </c>
      <c r="CC151" s="45">
        <f t="shared" si="267"/>
        <v>0</v>
      </c>
      <c r="CD151" s="45">
        <v>0</v>
      </c>
      <c r="CE151" s="45">
        <f t="shared" si="268"/>
        <v>0</v>
      </c>
      <c r="CF151" s="45" t="str">
        <f t="shared" si="269"/>
        <v>NA</v>
      </c>
      <c r="CG151" s="45">
        <v>0</v>
      </c>
      <c r="CH151" s="244"/>
      <c r="CI151" s="244"/>
      <c r="CJ151" s="244"/>
      <c r="CK151" s="244"/>
      <c r="CM151" s="63">
        <v>20.8</v>
      </c>
    </row>
    <row r="152" spans="1:91" ht="18" hidden="1" customHeight="1">
      <c r="A152" s="260" t="s">
        <v>144</v>
      </c>
      <c r="B152" s="260" t="s">
        <v>145</v>
      </c>
      <c r="C152" s="260" t="s">
        <v>100</v>
      </c>
      <c r="D152" s="260" t="s">
        <v>994</v>
      </c>
      <c r="E152" s="260" t="s">
        <v>1057</v>
      </c>
      <c r="F152" s="260" t="s">
        <v>1058</v>
      </c>
      <c r="G152" s="260" t="s">
        <v>1059</v>
      </c>
      <c r="H152" s="260" t="s">
        <v>1060</v>
      </c>
      <c r="I152" s="260"/>
      <c r="J152" s="260"/>
      <c r="K152" s="260" t="s">
        <v>1061</v>
      </c>
      <c r="L152" s="260" t="s">
        <v>1062</v>
      </c>
      <c r="M152" s="260" t="s">
        <v>1063</v>
      </c>
      <c r="N152" s="260" t="s">
        <v>111</v>
      </c>
      <c r="O152" s="260" t="s">
        <v>112</v>
      </c>
      <c r="P152" s="10">
        <v>0</v>
      </c>
      <c r="Q152" s="11">
        <v>1</v>
      </c>
      <c r="R152" s="11">
        <f t="shared" si="256"/>
        <v>0.79999999999999993</v>
      </c>
      <c r="S152" s="11" t="str">
        <f>VLOOKUP(K152,'1126 Desarrollo Social'!$K$13:$S$58,9,0)</f>
        <v>Creación de mesas en diferentes municipios para construcción del proyecto</v>
      </c>
      <c r="T152" s="11">
        <v>0.1</v>
      </c>
      <c r="U152" s="11">
        <v>0</v>
      </c>
      <c r="V152" s="11">
        <v>0.1</v>
      </c>
      <c r="W152" s="11">
        <v>0</v>
      </c>
      <c r="X152" s="11">
        <v>0.1</v>
      </c>
      <c r="Y152" s="11">
        <v>0</v>
      </c>
      <c r="Z152" s="11">
        <v>0.1</v>
      </c>
      <c r="AA152" s="11">
        <v>0</v>
      </c>
      <c r="AB152" s="11" t="s">
        <v>1064</v>
      </c>
      <c r="AC152" s="11" t="s">
        <v>1065</v>
      </c>
      <c r="AD152" s="11">
        <v>0.8</v>
      </c>
      <c r="AE152" s="11">
        <v>0</v>
      </c>
      <c r="AF152" s="11">
        <f>VLOOKUP(K152,'1126 Desarrollo Social'!$K$13:$AK$58,22,0)</f>
        <v>0.7</v>
      </c>
      <c r="AG152" s="11">
        <f>VLOOKUP(K152,'1126 Desarrollo Social'!$K$13:$AK$58,23,0)</f>
        <v>0</v>
      </c>
      <c r="AH152" s="11">
        <f t="shared" si="257"/>
        <v>0.7</v>
      </c>
      <c r="AI152" s="11">
        <f>VLOOKUP(K152,'1126 Desarrollo Social'!$K$13:$AK$58,25,0)</f>
        <v>0</v>
      </c>
      <c r="AJ152" s="11" t="str">
        <f>VLOOKUP(K152,'1126 Desarrollo Social'!$K$13:$AK$58,26,0)</f>
        <v>Participación del sector social LGBTI en el segundo encuentro de proyecto participativo  donde se detrmino los proyectos para votación y ejecución  en el periodo de gobierno - se realizo la seleccion de los proyectos casa refugio y atencion a personas de LGTBI , en proceso de contratacion</v>
      </c>
      <c r="AK152" s="11">
        <f>VLOOKUP(K152,'1126 Desarrollo Social'!$K$13:$AK$58,27,0)</f>
        <v>0</v>
      </c>
      <c r="AL152" s="11">
        <v>0.1</v>
      </c>
      <c r="AM152" s="11">
        <v>0</v>
      </c>
      <c r="AN152" s="11">
        <v>0</v>
      </c>
      <c r="AO152" s="11">
        <v>0</v>
      </c>
      <c r="AP152" s="11">
        <v>0</v>
      </c>
      <c r="AQ152" s="11">
        <v>0</v>
      </c>
      <c r="AR152" s="51">
        <v>30000000</v>
      </c>
      <c r="AS152" s="54">
        <v>0</v>
      </c>
      <c r="AT152" s="54">
        <f t="shared" si="246"/>
        <v>30000000</v>
      </c>
      <c r="AU152" s="51">
        <v>30000000</v>
      </c>
      <c r="AV152" s="243">
        <v>50000000</v>
      </c>
      <c r="AW152" s="244"/>
      <c r="AX152" s="244"/>
      <c r="AY152" s="243">
        <v>12233433</v>
      </c>
      <c r="AZ152" s="44">
        <f t="shared" si="258"/>
        <v>0.79999999999999993</v>
      </c>
      <c r="BA152" s="44">
        <v>0.1</v>
      </c>
      <c r="BB152" s="44">
        <v>1</v>
      </c>
      <c r="BC152" s="44">
        <f t="shared" si="259"/>
        <v>0.8</v>
      </c>
      <c r="BD152" s="44" cm="1">
        <f t="array" ref="BD152">_xlfn.IFS(AD152=0,"NA",AD152&gt;0,AH152/AD152)</f>
        <v>0.87499999999999989</v>
      </c>
      <c r="BE152" s="44">
        <f t="shared" si="260"/>
        <v>0.1</v>
      </c>
      <c r="BF152" s="44">
        <v>0</v>
      </c>
      <c r="BG152" s="44">
        <f t="shared" si="261"/>
        <v>0</v>
      </c>
      <c r="BH152" s="44">
        <v>0</v>
      </c>
      <c r="BI152" s="44">
        <f t="shared" si="262"/>
        <v>0</v>
      </c>
      <c r="BJ152" s="44" t="s">
        <v>115</v>
      </c>
      <c r="BK152" s="44">
        <f t="shared" si="247"/>
        <v>0.79999999999999993</v>
      </c>
      <c r="BL152" s="44">
        <v>1</v>
      </c>
      <c r="BM152" s="44" cm="1">
        <f t="array" ref="BM152">_xlfn.IFS(BD152="NA","NA",BD152&gt;100%,"100%",BD152&lt;100,BD152)</f>
        <v>0.87499999999999989</v>
      </c>
      <c r="BN152" s="44" cm="1">
        <f t="array" ref="BN152">_xlfn.IFS(BF152="NA","NA",BF152&gt;100%,"100%",BF152&lt;100,BF152)</f>
        <v>0</v>
      </c>
      <c r="BO152" s="44" cm="1">
        <f t="array" ref="BO152">_xlfn.IFS(BH152="NA","NA",BH152&gt;100%,"100%",BH152&lt;100,BH152)</f>
        <v>0</v>
      </c>
      <c r="BP152" s="44" t="str" cm="1">
        <f t="array" ref="BP152">_xlfn.IFS(BJ152="NA","NA",BJ152&gt;100%,"100%",BJ152&lt;100,BJ152)</f>
        <v>NA</v>
      </c>
      <c r="BQ152" s="45">
        <v>0.22500000000000001</v>
      </c>
      <c r="BR152" s="45">
        <f t="shared" si="252"/>
        <v>0.18</v>
      </c>
      <c r="BS152" s="45">
        <v>2.2499999999999999E-2</v>
      </c>
      <c r="BT152" s="45">
        <v>2.2499999999999999E-2</v>
      </c>
      <c r="BU152" s="45">
        <v>2.2499999999999999E-2</v>
      </c>
      <c r="BV152" s="45">
        <f t="shared" si="263"/>
        <v>0.18000000000000002</v>
      </c>
      <c r="BW152" s="45">
        <f t="shared" si="254"/>
        <v>0.1575</v>
      </c>
      <c r="BX152" s="45">
        <f t="shared" si="255"/>
        <v>0.1575</v>
      </c>
      <c r="BY152" s="45">
        <f t="shared" si="264"/>
        <v>2.2500000000000003E-2</v>
      </c>
      <c r="BZ152" s="45">
        <f t="shared" si="265"/>
        <v>0</v>
      </c>
      <c r="CA152" s="45">
        <f t="shared" si="253"/>
        <v>0</v>
      </c>
      <c r="CB152" s="45">
        <f t="shared" si="266"/>
        <v>0</v>
      </c>
      <c r="CC152" s="45">
        <f t="shared" si="267"/>
        <v>0</v>
      </c>
      <c r="CD152" s="45">
        <v>0</v>
      </c>
      <c r="CE152" s="45">
        <f t="shared" si="268"/>
        <v>0</v>
      </c>
      <c r="CF152" s="45" t="str">
        <f t="shared" si="269"/>
        <v>NA</v>
      </c>
      <c r="CG152" s="45">
        <v>0</v>
      </c>
      <c r="CH152" s="244"/>
      <c r="CI152" s="244"/>
      <c r="CJ152" s="244"/>
      <c r="CK152" s="244"/>
      <c r="CM152" s="63">
        <v>0.6</v>
      </c>
    </row>
    <row r="153" spans="1:91" ht="18" hidden="1" customHeight="1">
      <c r="A153" s="260" t="s">
        <v>144</v>
      </c>
      <c r="B153" s="260" t="s">
        <v>145</v>
      </c>
      <c r="C153" s="260" t="s">
        <v>100</v>
      </c>
      <c r="D153" s="260" t="s">
        <v>994</v>
      </c>
      <c r="E153" s="260" t="s">
        <v>1057</v>
      </c>
      <c r="F153" s="260" t="s">
        <v>1058</v>
      </c>
      <c r="G153" s="260" t="s">
        <v>1059</v>
      </c>
      <c r="H153" s="260" t="s">
        <v>1066</v>
      </c>
      <c r="I153" s="260"/>
      <c r="J153" s="260"/>
      <c r="K153" s="260" t="s">
        <v>1067</v>
      </c>
      <c r="L153" s="260" t="s">
        <v>1068</v>
      </c>
      <c r="M153" s="260" t="s">
        <v>1069</v>
      </c>
      <c r="N153" s="260" t="s">
        <v>111</v>
      </c>
      <c r="O153" s="260" t="s">
        <v>112</v>
      </c>
      <c r="P153" s="10">
        <v>0</v>
      </c>
      <c r="Q153" s="11">
        <v>1</v>
      </c>
      <c r="R153" s="11">
        <f t="shared" si="256"/>
        <v>0.9</v>
      </c>
      <c r="S153" s="11" t="str">
        <f>VLOOKUP(K153,'1126 Desarrollo Social'!$K$13:$S$58,9,0)</f>
        <v>Vinculación de la Gobernación de Cundinamarca a la estrategia laboral de la comunidad LGBTI del Min Interior.articulación con el SENA para formación y cualificación del Sector SocialArticulación con la agencia de empleo del Sena en temas de LGBTICapacitación en normatividad LGBTI a los 116 Municipios y personerías</v>
      </c>
      <c r="T153" s="11">
        <v>0.1</v>
      </c>
      <c r="U153" s="11">
        <v>0</v>
      </c>
      <c r="V153" s="11">
        <v>0.1</v>
      </c>
      <c r="W153" s="11">
        <v>0</v>
      </c>
      <c r="X153" s="11">
        <v>0.1</v>
      </c>
      <c r="Y153" s="11">
        <v>0</v>
      </c>
      <c r="Z153" s="11">
        <v>0.1</v>
      </c>
      <c r="AA153" s="11">
        <v>0</v>
      </c>
      <c r="AB153" s="11" t="s">
        <v>1070</v>
      </c>
      <c r="AC153" s="11" t="s">
        <v>1071</v>
      </c>
      <c r="AD153" s="11">
        <v>0.8</v>
      </c>
      <c r="AE153" s="11">
        <v>0</v>
      </c>
      <c r="AF153" s="11">
        <f>VLOOKUP(K153,'1126 Desarrollo Social'!$K$13:$AK$58,22,0)</f>
        <v>0.8</v>
      </c>
      <c r="AG153" s="11">
        <f>VLOOKUP(K153,'1126 Desarrollo Social'!$K$13:$AK$58,23,0)</f>
        <v>0</v>
      </c>
      <c r="AH153" s="11">
        <f t="shared" si="257"/>
        <v>0.8</v>
      </c>
      <c r="AI153" s="11">
        <f>VLOOKUP(K153,'1126 Desarrollo Social'!$K$13:$AK$58,25,0)</f>
        <v>0</v>
      </c>
      <c r="AJ153" s="11" t="str">
        <f>VLOOKUP(K153,'1126 Desarrollo Social'!$K$13:$AK$58,26,0)</f>
        <v>1. Se realizó la convocatoria para la  socialización de la oferta laboral en articulación con  la caja de compensación familiar Compensar para  los grupos étnicos y comunidad LGBTi, para los 116 municipios del departamento.  donde se han contratado 5 personas de la comunidad LGBTI. Se gestionó con el director de planeación distrital Dr. Marcial el 31 de marzo solicitud para proceso educativo de la comunidad y el proceso de caraterización de organizaciones sociales LGBTI. 3. Con el Alcalde de Tocancipa y su  Director de Planeación para revisar ofertas laborfales de las empresas del sector. 4. Socialización de oferta educativa institucional con el Sena y Secretaria de Educacion Departamental para programas de educacion superior.</v>
      </c>
      <c r="AK153" s="11">
        <f>VLOOKUP(K153,'1126 Desarrollo Social'!$K$13:$AK$58,27,0)</f>
        <v>0</v>
      </c>
      <c r="AL153" s="11">
        <v>0.1</v>
      </c>
      <c r="AM153" s="11">
        <v>0</v>
      </c>
      <c r="AN153" s="11">
        <v>0</v>
      </c>
      <c r="AO153" s="11">
        <v>0</v>
      </c>
      <c r="AP153" s="11">
        <v>0</v>
      </c>
      <c r="AQ153" s="11">
        <v>0</v>
      </c>
      <c r="AR153" s="52"/>
      <c r="AS153" s="54">
        <v>0</v>
      </c>
      <c r="AT153" s="54">
        <f t="shared" si="246"/>
        <v>0</v>
      </c>
      <c r="AU153" s="52"/>
      <c r="AV153" s="243">
        <v>30000000</v>
      </c>
      <c r="AW153" s="244"/>
      <c r="AX153" s="244"/>
      <c r="AY153" s="243">
        <v>25434900</v>
      </c>
      <c r="AZ153" s="44">
        <f t="shared" si="258"/>
        <v>0.9</v>
      </c>
      <c r="BA153" s="44">
        <v>0.1</v>
      </c>
      <c r="BB153" s="44">
        <v>1</v>
      </c>
      <c r="BC153" s="44">
        <f t="shared" si="259"/>
        <v>0.8</v>
      </c>
      <c r="BD153" s="44" cm="1">
        <f t="array" ref="BD153">_xlfn.IFS(AD153=0,"NA",AD153&gt;0,AH153/AD153)</f>
        <v>1</v>
      </c>
      <c r="BE153" s="44">
        <f t="shared" si="260"/>
        <v>0.1</v>
      </c>
      <c r="BF153" s="44">
        <v>0</v>
      </c>
      <c r="BG153" s="44">
        <f t="shared" si="261"/>
        <v>0</v>
      </c>
      <c r="BH153" s="44">
        <v>0</v>
      </c>
      <c r="BI153" s="44">
        <f t="shared" si="262"/>
        <v>0</v>
      </c>
      <c r="BJ153" s="44" t="s">
        <v>115</v>
      </c>
      <c r="BK153" s="44">
        <f t="shared" si="247"/>
        <v>0.9</v>
      </c>
      <c r="BL153" s="44">
        <v>1</v>
      </c>
      <c r="BM153" s="44" cm="1">
        <f t="array" ref="BM153">_xlfn.IFS(BD153="NA","NA",BD153&gt;100%,"100%",BD153&lt;100,BD153)</f>
        <v>1</v>
      </c>
      <c r="BN153" s="44" cm="1">
        <f t="array" ref="BN153">_xlfn.IFS(BF153="NA","NA",BF153&gt;100%,"100%",BF153&lt;100,BF153)</f>
        <v>0</v>
      </c>
      <c r="BO153" s="44" cm="1">
        <f t="array" ref="BO153">_xlfn.IFS(BH153="NA","NA",BH153&gt;100%,"100%",BH153&lt;100,BH153)</f>
        <v>0</v>
      </c>
      <c r="BP153" s="44" t="str" cm="1">
        <f t="array" ref="BP153">_xlfn.IFS(BJ153="NA","NA",BJ153&gt;100%,"100%",BJ153&lt;100,BJ153)</f>
        <v>NA</v>
      </c>
      <c r="BQ153" s="45">
        <v>0.22500000000000001</v>
      </c>
      <c r="BR153" s="45">
        <f t="shared" si="252"/>
        <v>0.20250000000000001</v>
      </c>
      <c r="BS153" s="45">
        <v>2.2499999999999999E-2</v>
      </c>
      <c r="BT153" s="45">
        <v>2.2499999999999999E-2</v>
      </c>
      <c r="BU153" s="45">
        <v>2.2499999999999999E-2</v>
      </c>
      <c r="BV153" s="45">
        <f t="shared" si="263"/>
        <v>0.18000000000000002</v>
      </c>
      <c r="BW153" s="45">
        <f t="shared" si="254"/>
        <v>0.18000000000000002</v>
      </c>
      <c r="BX153" s="45">
        <f t="shared" si="255"/>
        <v>0.18000000000000002</v>
      </c>
      <c r="BY153" s="45">
        <f t="shared" si="264"/>
        <v>2.2500000000000003E-2</v>
      </c>
      <c r="BZ153" s="45">
        <f t="shared" si="265"/>
        <v>0</v>
      </c>
      <c r="CA153" s="45">
        <f t="shared" si="253"/>
        <v>0</v>
      </c>
      <c r="CB153" s="45">
        <f t="shared" si="266"/>
        <v>0</v>
      </c>
      <c r="CC153" s="45">
        <f t="shared" si="267"/>
        <v>0</v>
      </c>
      <c r="CD153" s="45">
        <v>0</v>
      </c>
      <c r="CE153" s="45">
        <f t="shared" si="268"/>
        <v>0</v>
      </c>
      <c r="CF153" s="45" t="str">
        <f t="shared" si="269"/>
        <v>NA</v>
      </c>
      <c r="CG153" s="45">
        <v>0</v>
      </c>
      <c r="CH153" s="244"/>
      <c r="CI153" s="244"/>
      <c r="CJ153" s="244"/>
      <c r="CK153" s="244"/>
      <c r="CM153" s="63">
        <v>0.79999999999999993</v>
      </c>
    </row>
    <row r="154" spans="1:91" ht="18" hidden="1" customHeight="1">
      <c r="A154" s="260" t="s">
        <v>1072</v>
      </c>
      <c r="B154" s="260" t="s">
        <v>1073</v>
      </c>
      <c r="C154" s="260" t="s">
        <v>100</v>
      </c>
      <c r="D154" s="260" t="s">
        <v>1074</v>
      </c>
      <c r="E154" s="260" t="s">
        <v>1075</v>
      </c>
      <c r="F154" s="260" t="s">
        <v>1076</v>
      </c>
      <c r="G154" s="260" t="s">
        <v>1077</v>
      </c>
      <c r="H154" s="260" t="s">
        <v>1078</v>
      </c>
      <c r="I154" s="260"/>
      <c r="J154" s="260"/>
      <c r="K154" s="260" t="s">
        <v>1079</v>
      </c>
      <c r="L154" s="260" t="s">
        <v>1080</v>
      </c>
      <c r="M154" s="260" t="s">
        <v>1081</v>
      </c>
      <c r="N154" s="260" t="s">
        <v>123</v>
      </c>
      <c r="O154" s="260" t="s">
        <v>112</v>
      </c>
      <c r="P154" s="10">
        <v>0</v>
      </c>
      <c r="Q154" s="11">
        <v>100</v>
      </c>
      <c r="R154" s="11">
        <f>15+AH154</f>
        <v>48</v>
      </c>
      <c r="S154" s="11" t="str">
        <f>VLOOKUP(K154,'1231 PAZ'!$K$13:$AK$15,9,0)</f>
        <v>se realizó asistencia técnica para la conformación de los CMPRC en las provincias del DepartamentoSe inicio articulación con la provincia de magdalena centro para la recuperación de la memoria histórica Se avanzó en el diseño metodológico del sistema de monitoreo y análisis de conflictividades.se elaboró justificación de la formulación de la política pública de paz y se sustentó esta ante el CODEPS y se recibió visto bueno de este para realizar formulación. Se diseñó plan de trabajo para la formulación.</v>
      </c>
      <c r="T154" s="11">
        <v>0.15</v>
      </c>
      <c r="U154" s="11">
        <v>0</v>
      </c>
      <c r="V154" s="11">
        <v>0.15</v>
      </c>
      <c r="W154" s="11">
        <v>0</v>
      </c>
      <c r="X154" s="11">
        <v>0.15</v>
      </c>
      <c r="Y154" s="11">
        <v>0</v>
      </c>
      <c r="Z154" s="11">
        <v>0.15</v>
      </c>
      <c r="AA154" s="11">
        <v>0</v>
      </c>
      <c r="AB154" s="11" t="s">
        <v>1082</v>
      </c>
      <c r="AC154" s="11">
        <v>0</v>
      </c>
      <c r="AD154" s="11">
        <v>35</v>
      </c>
      <c r="AE154" s="11">
        <v>0</v>
      </c>
      <c r="AF154" s="11">
        <f>VLOOKUP(K154,'1231 PAZ'!$K$13:$AK$15,22,0)</f>
        <v>33</v>
      </c>
      <c r="AG154" s="11">
        <f>VLOOKUP(K154,'1231 PAZ'!$K$13:$AK$15,23,0)</f>
        <v>0</v>
      </c>
      <c r="AH154" s="11">
        <f t="shared" si="257"/>
        <v>33</v>
      </c>
      <c r="AI154" s="11">
        <f>VLOOKUP(K154,'1231 PAZ'!$K$13:$AK$15,25,0)</f>
        <v>0</v>
      </c>
      <c r="AJ154" s="11" t="str">
        <f>VLOOKUP(K154,'1231 PAZ'!$K$13:$AK$15,26,0)</f>
        <v>Se realizó asistencia técnica para la creación y actualización de los CMPRC, se consolido y envió documento a la universidad de cundinamarca  con el fin de que esta universidad presente una propuesta para la segunda etapa de recolección de información diagnóstica para la Formulación de la Política Pública que tiene como objetivo "Identificar, analizar y priorizar los problemas, necesidades, que se presentan en el departamento de Cundinamarca respecto a la construcción de paz desde la perspectiva de las comunidades, Se consolido y envió documento a la universidad de cundinamarca con el fin de que esta universidad presente una propuesta para operar plan piloto del sistema de monitoreo que tiene como objetivo "Identificar y analizar las conflictividades sociales territoriales, y su vinculación con movilizaciones sociales y alteración de la orden pública presentada durante el 2021 en diez municipios del Departamento con mayor presencia de ellas. fue firmado convenio con la universidad de cundinamarca y se avanzó en cada uno de los procesos propios de la meta sus componentes especificos para su avance y complimiento. se firmo Contrato interadministrativo entre ACPC y Red Colombiana de Instituciones de Educación Superior - EDURED</v>
      </c>
      <c r="AK154" s="11">
        <f>VLOOKUP(K154,'1231 PAZ'!$K$13:$AK$15,27,0)</f>
        <v>0</v>
      </c>
      <c r="AL154" s="11">
        <v>35</v>
      </c>
      <c r="AM154" s="11">
        <v>0</v>
      </c>
      <c r="AN154" s="11">
        <v>15</v>
      </c>
      <c r="AO154" s="11">
        <v>0</v>
      </c>
      <c r="AP154" s="11">
        <v>0</v>
      </c>
      <c r="AQ154" s="11">
        <v>0</v>
      </c>
      <c r="AR154" s="51">
        <v>52590000</v>
      </c>
      <c r="AS154" s="54">
        <v>0</v>
      </c>
      <c r="AT154" s="54">
        <f t="shared" si="246"/>
        <v>52590000</v>
      </c>
      <c r="AU154" s="51">
        <v>52590000</v>
      </c>
      <c r="AV154" s="243">
        <v>445598000</v>
      </c>
      <c r="AW154" s="244"/>
      <c r="AX154" s="244"/>
      <c r="AY154" s="243">
        <v>445598000</v>
      </c>
      <c r="AZ154" s="44">
        <f>R154/Q154</f>
        <v>0.48</v>
      </c>
      <c r="BA154" s="44">
        <v>0.15</v>
      </c>
      <c r="BB154" s="44">
        <v>1</v>
      </c>
      <c r="BC154" s="44">
        <f t="shared" si="259"/>
        <v>0.35</v>
      </c>
      <c r="BD154" s="44" cm="1">
        <f t="array" ref="BD154">_xlfn.IFS(AD154=0,"NA",AD154&gt;0,AH154/AD154)</f>
        <v>0.94285714285714284</v>
      </c>
      <c r="BE154" s="44">
        <f t="shared" si="260"/>
        <v>0.35</v>
      </c>
      <c r="BF154" s="44">
        <v>0</v>
      </c>
      <c r="BG154" s="44">
        <f t="shared" si="261"/>
        <v>0.15</v>
      </c>
      <c r="BH154" s="44">
        <v>0</v>
      </c>
      <c r="BI154" s="44">
        <f t="shared" si="262"/>
        <v>0</v>
      </c>
      <c r="BJ154" s="44" t="s">
        <v>115</v>
      </c>
      <c r="BK154" s="44">
        <f t="shared" si="247"/>
        <v>0.48</v>
      </c>
      <c r="BL154" s="44">
        <v>1</v>
      </c>
      <c r="BM154" s="44" cm="1">
        <f t="array" ref="BM154">_xlfn.IFS(BD154="NA","NA",BD154&gt;100%,"100%",BD154&lt;100,BD154)</f>
        <v>0.94285714285714284</v>
      </c>
      <c r="BN154" s="44" cm="1">
        <f t="array" ref="BN154">_xlfn.IFS(BF154="NA","NA",BF154&gt;100%,"100%",BF154&lt;100,BF154)</f>
        <v>0</v>
      </c>
      <c r="BO154" s="44" cm="1">
        <f t="array" ref="BO154">_xlfn.IFS(BH154="NA","NA",BH154&gt;100%,"100%",BH154&lt;100,BH154)</f>
        <v>0</v>
      </c>
      <c r="BP154" s="44" t="str" cm="1">
        <f t="array" ref="BP154">_xlfn.IFS(BJ154="NA","NA",BJ154&gt;100%,"100%",BJ154&lt;100,BJ154)</f>
        <v>NA</v>
      </c>
      <c r="BQ154" s="45">
        <v>0.22500000000000001</v>
      </c>
      <c r="BR154" s="45">
        <f t="shared" si="252"/>
        <v>0.108</v>
      </c>
      <c r="BS154" s="45">
        <v>3.3799999999999997E-2</v>
      </c>
      <c r="BT154" s="45">
        <v>3.3799999999999997E-2</v>
      </c>
      <c r="BU154" s="45">
        <v>3.3799999999999997E-2</v>
      </c>
      <c r="BV154" s="45">
        <f t="shared" si="263"/>
        <v>7.8750000000000001E-2</v>
      </c>
      <c r="BW154" s="45">
        <f t="shared" si="254"/>
        <v>7.4249999999999997E-2</v>
      </c>
      <c r="BX154" s="45">
        <f t="shared" si="255"/>
        <v>7.4200000000000002E-2</v>
      </c>
      <c r="BY154" s="45">
        <f t="shared" si="264"/>
        <v>7.8750000000000001E-2</v>
      </c>
      <c r="BZ154" s="45">
        <f t="shared" si="265"/>
        <v>0</v>
      </c>
      <c r="CA154" s="45">
        <f t="shared" si="253"/>
        <v>0</v>
      </c>
      <c r="CB154" s="45">
        <f t="shared" si="266"/>
        <v>3.3750000000000002E-2</v>
      </c>
      <c r="CC154" s="45">
        <f t="shared" si="267"/>
        <v>0</v>
      </c>
      <c r="CD154" s="45">
        <v>0</v>
      </c>
      <c r="CE154" s="45">
        <f t="shared" si="268"/>
        <v>0</v>
      </c>
      <c r="CF154" s="45" t="str">
        <f t="shared" si="269"/>
        <v>NA</v>
      </c>
      <c r="CG154" s="45">
        <v>0</v>
      </c>
      <c r="CH154" s="244"/>
      <c r="CI154" s="244"/>
      <c r="CJ154" s="244"/>
      <c r="CK154" s="244"/>
      <c r="CM154" s="63">
        <v>45</v>
      </c>
    </row>
    <row r="155" spans="1:91" ht="18" hidden="1" customHeight="1">
      <c r="A155" s="260" t="s">
        <v>1072</v>
      </c>
      <c r="B155" s="260" t="s">
        <v>1073</v>
      </c>
      <c r="C155" s="260" t="s">
        <v>100</v>
      </c>
      <c r="D155" s="260" t="s">
        <v>1074</v>
      </c>
      <c r="E155" s="260" t="s">
        <v>1075</v>
      </c>
      <c r="F155" s="260" t="s">
        <v>1076</v>
      </c>
      <c r="G155" s="260" t="s">
        <v>1077</v>
      </c>
      <c r="H155" s="260" t="s">
        <v>1083</v>
      </c>
      <c r="I155" s="260"/>
      <c r="J155" s="260"/>
      <c r="K155" s="260" t="s">
        <v>1084</v>
      </c>
      <c r="L155" s="260" t="s">
        <v>1085</v>
      </c>
      <c r="M155" s="260" t="s">
        <v>1086</v>
      </c>
      <c r="N155" s="260" t="s">
        <v>123</v>
      </c>
      <c r="O155" s="260" t="s">
        <v>112</v>
      </c>
      <c r="P155" s="10">
        <v>0</v>
      </c>
      <c r="Q155" s="11">
        <v>100</v>
      </c>
      <c r="R155" s="11">
        <f t="shared" si="256"/>
        <v>50</v>
      </c>
      <c r="S155" s="11">
        <f>VLOOKUP(K155,'1231 PAZ'!$K$13:$AK$15,9,0)</f>
        <v>0</v>
      </c>
      <c r="T155" s="11">
        <v>0</v>
      </c>
      <c r="U155" s="11">
        <v>0</v>
      </c>
      <c r="V155" s="11">
        <v>0</v>
      </c>
      <c r="W155" s="11">
        <v>0</v>
      </c>
      <c r="X155" s="11">
        <v>0</v>
      </c>
      <c r="Y155" s="11">
        <v>0</v>
      </c>
      <c r="Z155" s="11">
        <v>0</v>
      </c>
      <c r="AA155" s="11"/>
      <c r="AB155" s="11"/>
      <c r="AC155" s="11"/>
      <c r="AD155" s="11">
        <v>50</v>
      </c>
      <c r="AE155" s="11">
        <v>0</v>
      </c>
      <c r="AF155" s="11">
        <f>VLOOKUP(K155,'1231 PAZ'!$K$13:$AK$15,22,0)</f>
        <v>50</v>
      </c>
      <c r="AG155" s="11">
        <f>VLOOKUP(K155,'1231 PAZ'!$K$13:$AK$15,23,0)</f>
        <v>0</v>
      </c>
      <c r="AH155" s="11">
        <f t="shared" si="257"/>
        <v>50</v>
      </c>
      <c r="AI155" s="11">
        <f>VLOOKUP(K155,'1231 PAZ'!$K$13:$AK$15,25,0)</f>
        <v>0</v>
      </c>
      <c r="AJ155" s="11" t="str">
        <f>VLOOKUP(K155,'1231 PAZ'!$K$13:$AK$15,26,0)</f>
        <v>Realización de mesas técnicas para la Formulación y presentación de proyectos al mecanismo OXI en los municipios de Paratebueno y Medina, Seguimiento en la presentación de la manifestación de interés para la ejecución del proyecto de Dotación de los CDI en los municipios Zomac (La Palma,  Cabrera, Puli, Viota, Medina),  Alianza con la Fundacion Catalina Muñoz, alcaldia Municipal de Viotá, Fundación Arturo calle, en la gestión de recursos para la  construcción de dos (2) viviendas para la poblacion vulnerable del Departamento de Cundinamarca,  Asistencia Técnica  para fortalecimiento organizacional de las asociaciones en el Departamento de Cundinamarca.
Dotación no fungible para modalidad institucional de CENTROS DE DESARROLLO INFANTIL para el desarrollo integral de primera infancia en 5 municipios ZOMAC, tales como LA PALMA, CABRERA, MEDINA, PULI  Y VIOTA, con cada uno de los municipios se avanza en mesas tecnicas con el fin de aterrizar y estructurar proyecto de inversion mediante el mecanismo OxI, se ejecuto todas las obras mediante el mecanismo OxI por un valor aproximado de gestion no incorporada por 9mil millones de pesos</v>
      </c>
      <c r="AK155" s="11" t="str">
        <f>VLOOKUP(K155,'1231 PAZ'!$K$13:$AK$15,27,0)</f>
        <v>no se ha presentado dificultades para el cumplimiento de la meta</v>
      </c>
      <c r="AL155" s="11">
        <v>35</v>
      </c>
      <c r="AM155" s="11">
        <v>0</v>
      </c>
      <c r="AN155" s="11">
        <v>15</v>
      </c>
      <c r="AO155" s="11">
        <v>0</v>
      </c>
      <c r="AP155" s="11">
        <v>0</v>
      </c>
      <c r="AQ155" s="11">
        <v>0</v>
      </c>
      <c r="AR155" s="52"/>
      <c r="AS155" s="54">
        <v>0</v>
      </c>
      <c r="AT155" s="54">
        <f t="shared" si="246"/>
        <v>0</v>
      </c>
      <c r="AU155" s="52"/>
      <c r="AV155" s="243">
        <v>212622951</v>
      </c>
      <c r="AW155" s="244"/>
      <c r="AX155" s="244"/>
      <c r="AY155" s="243">
        <v>212622951</v>
      </c>
      <c r="AZ155" s="44">
        <f t="shared" si="258"/>
        <v>0.5</v>
      </c>
      <c r="BA155" s="44">
        <v>0</v>
      </c>
      <c r="BB155" s="44" t="s">
        <v>115</v>
      </c>
      <c r="BC155" s="44">
        <f t="shared" si="259"/>
        <v>0.5</v>
      </c>
      <c r="BD155" s="44" cm="1">
        <f t="array" ref="BD155">_xlfn.IFS(AD155=0,"NA",AD155&gt;0,AH155/AD155)</f>
        <v>1</v>
      </c>
      <c r="BE155" s="44">
        <f t="shared" si="260"/>
        <v>0.35</v>
      </c>
      <c r="BF155" s="44">
        <v>0</v>
      </c>
      <c r="BG155" s="44">
        <f t="shared" si="261"/>
        <v>0.15</v>
      </c>
      <c r="BH155" s="44">
        <v>0</v>
      </c>
      <c r="BI155" s="44">
        <f t="shared" si="262"/>
        <v>0</v>
      </c>
      <c r="BJ155" s="44" t="s">
        <v>115</v>
      </c>
      <c r="BK155" s="44">
        <f t="shared" si="247"/>
        <v>0.5</v>
      </c>
      <c r="BL155" s="44" t="s">
        <v>115</v>
      </c>
      <c r="BM155" s="44" cm="1">
        <f t="array" ref="BM155">_xlfn.IFS(BD155="NA","NA",BD155&gt;100%,"100%",BD155&lt;100,BD155)</f>
        <v>1</v>
      </c>
      <c r="BN155" s="44" cm="1">
        <f t="array" ref="BN155">_xlfn.IFS(BF155="NA","NA",BF155&gt;100%,"100%",BF155&lt;100,BF155)</f>
        <v>0</v>
      </c>
      <c r="BO155" s="44" cm="1">
        <f t="array" ref="BO155">_xlfn.IFS(BH155="NA","NA",BH155&gt;100%,"100%",BH155&lt;100,BH155)</f>
        <v>0</v>
      </c>
      <c r="BP155" s="44" t="str" cm="1">
        <f t="array" ref="BP155">_xlfn.IFS(BJ155="NA","NA",BJ155&gt;100%,"100%",BJ155&lt;100,BJ155)</f>
        <v>NA</v>
      </c>
      <c r="BQ155" s="45">
        <v>0.22500000000000001</v>
      </c>
      <c r="BR155" s="45">
        <f t="shared" si="252"/>
        <v>0.1125</v>
      </c>
      <c r="BS155" s="45">
        <v>0</v>
      </c>
      <c r="BT155" s="45" t="s">
        <v>115</v>
      </c>
      <c r="BU155" s="45">
        <v>0</v>
      </c>
      <c r="BV155" s="45">
        <f t="shared" si="263"/>
        <v>0.1125</v>
      </c>
      <c r="BW155" s="45">
        <f t="shared" si="254"/>
        <v>0.1125</v>
      </c>
      <c r="BX155" s="45">
        <f t="shared" si="255"/>
        <v>0.1125</v>
      </c>
      <c r="BY155" s="45">
        <f t="shared" si="264"/>
        <v>7.8750000000000001E-2</v>
      </c>
      <c r="BZ155" s="45">
        <f t="shared" si="265"/>
        <v>0</v>
      </c>
      <c r="CA155" s="45">
        <f t="shared" si="253"/>
        <v>0</v>
      </c>
      <c r="CB155" s="45">
        <f t="shared" si="266"/>
        <v>3.3750000000000002E-2</v>
      </c>
      <c r="CC155" s="45">
        <f t="shared" si="267"/>
        <v>0</v>
      </c>
      <c r="CD155" s="45">
        <v>0</v>
      </c>
      <c r="CE155" s="45">
        <f t="shared" si="268"/>
        <v>0</v>
      </c>
      <c r="CF155" s="45" t="str">
        <f t="shared" si="269"/>
        <v>NA</v>
      </c>
      <c r="CG155" s="45">
        <v>0</v>
      </c>
      <c r="CH155" s="244"/>
      <c r="CI155" s="244"/>
      <c r="CJ155" s="244"/>
      <c r="CK155" s="244"/>
      <c r="CM155" s="63">
        <v>45</v>
      </c>
    </row>
    <row r="156" spans="1:91" ht="18" hidden="1" customHeight="1">
      <c r="A156" s="260" t="s">
        <v>1072</v>
      </c>
      <c r="B156" s="260" t="s">
        <v>1073</v>
      </c>
      <c r="C156" s="260" t="s">
        <v>100</v>
      </c>
      <c r="D156" s="260" t="s">
        <v>1074</v>
      </c>
      <c r="E156" s="260" t="s">
        <v>1075</v>
      </c>
      <c r="F156" s="260" t="s">
        <v>1076</v>
      </c>
      <c r="G156" s="260" t="s">
        <v>1077</v>
      </c>
      <c r="H156" s="260" t="s">
        <v>1087</v>
      </c>
      <c r="I156" s="260"/>
      <c r="J156" s="260"/>
      <c r="K156" s="260" t="s">
        <v>1088</v>
      </c>
      <c r="L156" s="260" t="s">
        <v>1089</v>
      </c>
      <c r="M156" s="260" t="s">
        <v>1090</v>
      </c>
      <c r="N156" s="260" t="s">
        <v>111</v>
      </c>
      <c r="O156" s="260" t="s">
        <v>112</v>
      </c>
      <c r="P156" s="10">
        <v>15</v>
      </c>
      <c r="Q156" s="11">
        <v>15</v>
      </c>
      <c r="R156" s="11">
        <f t="shared" si="256"/>
        <v>6</v>
      </c>
      <c r="S156" s="11" t="str">
        <f>VLOOKUP(K156,'1231 PAZ'!$K$13:$AK$15,9,0)</f>
        <v>Se diseñó proyecto de formación Se estableció articulación con JEP y FARC para la implementación de los TOAR con el acompañamiento de la ARN y misión de observación de la ONU.</v>
      </c>
      <c r="T156" s="11">
        <v>1</v>
      </c>
      <c r="U156" s="11">
        <v>0</v>
      </c>
      <c r="V156" s="11">
        <v>1</v>
      </c>
      <c r="W156" s="11">
        <v>0</v>
      </c>
      <c r="X156" s="11">
        <v>1</v>
      </c>
      <c r="Y156" s="11">
        <v>0</v>
      </c>
      <c r="Z156" s="11">
        <v>1</v>
      </c>
      <c r="AA156" s="11">
        <v>0</v>
      </c>
      <c r="AB156" s="11" t="s">
        <v>1091</v>
      </c>
      <c r="AC156" s="11">
        <v>0</v>
      </c>
      <c r="AD156" s="11">
        <v>6</v>
      </c>
      <c r="AE156" s="11">
        <v>0</v>
      </c>
      <c r="AF156" s="11">
        <f>VLOOKUP(K156,'1231 PAZ'!$K$13:$AK$15,22,0)</f>
        <v>5</v>
      </c>
      <c r="AG156" s="11">
        <f>VLOOKUP(K156,'1231 PAZ'!$K$13:$AK$15,23,0)</f>
        <v>0</v>
      </c>
      <c r="AH156" s="11">
        <f t="shared" si="257"/>
        <v>5</v>
      </c>
      <c r="AI156" s="11">
        <f>VLOOKUP(K156,'1231 PAZ'!$K$13:$AK$15,25,0)</f>
        <v>0</v>
      </c>
      <c r="AJ156" s="11" t="str">
        <f>VLOOKUP(K156,'1231 PAZ'!$K$13:$AK$15,26,0)</f>
        <v xml:space="preserve">Asistencia técnica para la formulación de proyectos, Acompañamiento a la presentación de proyectos TOAR ante la JEP Acompañamiento y asesoría de los informes destino JEP, </v>
      </c>
      <c r="AK156" s="11">
        <f>VLOOKUP(K156,'1231 PAZ'!$K$13:$AK$15,27,0)</f>
        <v>0</v>
      </c>
      <c r="AL156" s="11">
        <v>6</v>
      </c>
      <c r="AM156" s="11">
        <v>0</v>
      </c>
      <c r="AN156" s="11">
        <v>2</v>
      </c>
      <c r="AO156" s="11">
        <v>0</v>
      </c>
      <c r="AP156" s="11">
        <v>0</v>
      </c>
      <c r="AQ156" s="11">
        <v>0</v>
      </c>
      <c r="AR156" s="51">
        <v>12930000</v>
      </c>
      <c r="AS156" s="54">
        <v>0</v>
      </c>
      <c r="AT156" s="54">
        <f t="shared" si="246"/>
        <v>12930000</v>
      </c>
      <c r="AU156" s="51">
        <v>12930000</v>
      </c>
      <c r="AV156" s="243">
        <v>357476455</v>
      </c>
      <c r="AW156" s="244"/>
      <c r="AX156" s="244"/>
      <c r="AY156" s="243">
        <v>357476455</v>
      </c>
      <c r="AZ156" s="44">
        <f t="shared" si="258"/>
        <v>0.4</v>
      </c>
      <c r="BA156" s="44">
        <v>6.6699999999999995E-2</v>
      </c>
      <c r="BB156" s="44">
        <v>1</v>
      </c>
      <c r="BC156" s="44">
        <f t="shared" si="259"/>
        <v>0.4</v>
      </c>
      <c r="BD156" s="44" cm="1">
        <f t="array" ref="BD156">_xlfn.IFS(AD156=0,"NA",AD156&gt;0,AH156/AD156)</f>
        <v>0.83333333333333337</v>
      </c>
      <c r="BE156" s="44">
        <f t="shared" si="260"/>
        <v>0.4</v>
      </c>
      <c r="BF156" s="44">
        <v>0</v>
      </c>
      <c r="BG156" s="44">
        <f t="shared" si="261"/>
        <v>0.13333333333333333</v>
      </c>
      <c r="BH156" s="44">
        <v>0</v>
      </c>
      <c r="BI156" s="44">
        <f t="shared" si="262"/>
        <v>0</v>
      </c>
      <c r="BJ156" s="44" t="s">
        <v>115</v>
      </c>
      <c r="BK156" s="44">
        <f t="shared" si="247"/>
        <v>0.4</v>
      </c>
      <c r="BL156" s="44">
        <v>1</v>
      </c>
      <c r="BM156" s="44" cm="1">
        <f t="array" ref="BM156">_xlfn.IFS(BD156="NA","NA",BD156&gt;100%,"100%",BD156&lt;100,BD156)</f>
        <v>0.83333333333333337</v>
      </c>
      <c r="BN156" s="44" cm="1">
        <f t="array" ref="BN156">_xlfn.IFS(BF156="NA","NA",BF156&gt;100%,"100%",BF156&lt;100,BF156)</f>
        <v>0</v>
      </c>
      <c r="BO156" s="44" cm="1">
        <f t="array" ref="BO156">_xlfn.IFS(BH156="NA","NA",BH156&gt;100%,"100%",BH156&lt;100,BH156)</f>
        <v>0</v>
      </c>
      <c r="BP156" s="44" t="str" cm="1">
        <f t="array" ref="BP156">_xlfn.IFS(BJ156="NA","NA",BJ156&gt;100%,"100%",BJ156&lt;100,BJ156)</f>
        <v>NA</v>
      </c>
      <c r="BQ156" s="45">
        <v>0.22500000000000001</v>
      </c>
      <c r="BR156" s="45">
        <f t="shared" si="252"/>
        <v>9.0000000000000011E-2</v>
      </c>
      <c r="BS156" s="45">
        <v>1.4999999999999999E-2</v>
      </c>
      <c r="BT156" s="45">
        <v>1.4999999999999999E-2</v>
      </c>
      <c r="BU156" s="45">
        <v>1.4999999999999999E-2</v>
      </c>
      <c r="BV156" s="45">
        <f t="shared" si="263"/>
        <v>9.0000000000000011E-2</v>
      </c>
      <c r="BW156" s="45">
        <f t="shared" si="254"/>
        <v>7.5000000000000011E-2</v>
      </c>
      <c r="BX156" s="45">
        <f t="shared" si="255"/>
        <v>7.5000000000000011E-2</v>
      </c>
      <c r="BY156" s="45">
        <f t="shared" si="264"/>
        <v>9.0000000000000011E-2</v>
      </c>
      <c r="BZ156" s="45">
        <f t="shared" si="265"/>
        <v>0</v>
      </c>
      <c r="CA156" s="45">
        <f t="shared" si="253"/>
        <v>0</v>
      </c>
      <c r="CB156" s="45">
        <f t="shared" si="266"/>
        <v>3.0000000000000002E-2</v>
      </c>
      <c r="CC156" s="45">
        <f t="shared" si="267"/>
        <v>0</v>
      </c>
      <c r="CD156" s="45">
        <v>0</v>
      </c>
      <c r="CE156" s="45">
        <f t="shared" si="268"/>
        <v>0</v>
      </c>
      <c r="CF156" s="45" t="str">
        <f t="shared" si="269"/>
        <v>NA</v>
      </c>
      <c r="CG156" s="45">
        <v>0</v>
      </c>
      <c r="CH156" s="244"/>
      <c r="CI156" s="244"/>
      <c r="CJ156" s="244"/>
      <c r="CK156" s="244"/>
      <c r="CM156" s="63">
        <v>5</v>
      </c>
    </row>
    <row r="157" spans="1:91" ht="18" hidden="1" customHeight="1">
      <c r="A157" s="260" t="s">
        <v>248</v>
      </c>
      <c r="B157" s="260" t="s">
        <v>249</v>
      </c>
      <c r="C157" s="260" t="s">
        <v>100</v>
      </c>
      <c r="D157" s="260" t="s">
        <v>1074</v>
      </c>
      <c r="E157" s="260" t="s">
        <v>1075</v>
      </c>
      <c r="F157" s="260" t="s">
        <v>1076</v>
      </c>
      <c r="G157" s="260" t="s">
        <v>1077</v>
      </c>
      <c r="H157" s="260" t="s">
        <v>1092</v>
      </c>
      <c r="I157" s="260"/>
      <c r="J157" s="260"/>
      <c r="K157" s="260" t="s">
        <v>1093</v>
      </c>
      <c r="L157" s="260" t="s">
        <v>1094</v>
      </c>
      <c r="M157" s="260" t="s">
        <v>1095</v>
      </c>
      <c r="N157" s="260" t="s">
        <v>111</v>
      </c>
      <c r="O157" s="260" t="s">
        <v>112</v>
      </c>
      <c r="P157" s="10">
        <v>40</v>
      </c>
      <c r="Q157" s="11">
        <v>40</v>
      </c>
      <c r="R157" s="11">
        <f t="shared" si="256"/>
        <v>20</v>
      </c>
      <c r="S157" s="11" t="str">
        <f>VLOOKUP(K157,'1208 Indeportes'!$K$13:$AK$39,9,0)</f>
        <v>La meta se encuentra en ejecución. Se han contratado monitores para llevar a cabo el desarrollo de esta meta. PRESTACIÓN DE SERVICIOS PARA DESARROLLAR ACTIVIDADES COMO PROMOTOR MUNICIPAL EN LA ESTRATEGIA “TODOS POR COLOMBIA" SEGUN CONVENIO COID N° 527-2020 MINISTERIO DEL DEPORTE. Se suscribió un convenio con el Ministerio del Deporte: COFINANCIACIÓN CONVENIO PARA EL DESARROLLO DEL PROYECTO DE RECREACIÓN, CON EL MINISTERIO DEL DEPORTE.Se contrató la logística para llevar a cabo esta meta: GERENCIA INTEGRAL DE PROYECTOS PARA LA PLANEACIÓN, ADMINISTRACIÓN Y EJECUCIÓN DE ACCIONES TENDIENTES A MEJORAR LA CALIDAD, LA COMPETITIVIDAD Y LA PROMOCIÓN DEL DEPORTE EN CUNDINAMARCA, DE ACUERDO CON LOS LINEAMIENTOS DEL PLAN DE DESARROLLO “CUNDINAMARCA REGIÓN QUE PROGRESA"</v>
      </c>
      <c r="T157" s="11">
        <v>5</v>
      </c>
      <c r="U157" s="11">
        <v>0</v>
      </c>
      <c r="V157" s="11">
        <v>5</v>
      </c>
      <c r="W157" s="11">
        <v>0</v>
      </c>
      <c r="X157" s="11">
        <v>7</v>
      </c>
      <c r="Y157" s="11">
        <v>0</v>
      </c>
      <c r="Z157" s="11">
        <v>7</v>
      </c>
      <c r="AA157" s="11">
        <v>0</v>
      </c>
      <c r="AB157" s="11" t="s">
        <v>1096</v>
      </c>
      <c r="AC157" s="11">
        <v>0</v>
      </c>
      <c r="AD157" s="11">
        <v>12</v>
      </c>
      <c r="AE157" s="11">
        <v>0</v>
      </c>
      <c r="AF157" s="11">
        <f>VLOOKUP(K157,'1208 Indeportes'!$K$13:$AH$39,22,0)</f>
        <v>13</v>
      </c>
      <c r="AG157" s="11">
        <f>VLOOKUP(K157,'1208 Indeportes'!$K$13:$AH$39,23,0)</f>
        <v>0</v>
      </c>
      <c r="AH157" s="11">
        <f t="shared" si="257"/>
        <v>13</v>
      </c>
      <c r="AI157" s="11">
        <f>VLOOKUP(K157,'1208 Indeportes'!$K$13:$AK$39,25,0)</f>
        <v>0</v>
      </c>
      <c r="AJ157" s="11" t="str">
        <f>VLOOKUP(K157,'1208 Indeportes'!$K$13:$AK$39,26,0)</f>
        <v xml:space="preserve">En el mes de septiembre realizamos reunión con la mesa departamental de participación de víctimas del conflicto armado, para definir el cronograma de ejecución de la meta de producto.
El 9 de septiembre se realizó evento dirigido a los niños y niñas víctimas del conflicto armado en el parque Mundo Aventura, con una participación de 250 niños, niñas jóvenes y adolescentes, provenientes de los municipios de: San Juan de Rioseco, Sesquilé, Agua de Dios, Guaduas, Fómeque, Nocaima, Pacho, Vergara, Viotá y Vianí.
En el mes de octubre realizamos eventos deportivos y recreativos con la población víctima del conflicto armado de los municipios de Gama, Chocontá, San Juan de Rioseco y Cambao, Une, Zipacón, Supatá, Beltrán, Guataquí y Caparrapí.
En el mes de noviembre realizamos eventos deportivos y recreativos con la población víctima del conflicto armado de los municipios de Quipile, Cabrera y Silvania. Se tiene programado realizar el último evento en el municipio del Peñón el 09 de diciembre.
</v>
      </c>
      <c r="AK157" s="11">
        <f>VLOOKUP(K157,'1208 Indeportes'!$K$13:$AK$39,27,0)</f>
        <v>0</v>
      </c>
      <c r="AL157" s="11">
        <v>10</v>
      </c>
      <c r="AM157" s="11">
        <v>0</v>
      </c>
      <c r="AN157" s="11">
        <v>11</v>
      </c>
      <c r="AO157" s="11">
        <v>0</v>
      </c>
      <c r="AP157" s="11">
        <v>0</v>
      </c>
      <c r="AQ157" s="11">
        <v>0</v>
      </c>
      <c r="AR157" s="51">
        <v>212085085</v>
      </c>
      <c r="AS157" s="54">
        <v>0</v>
      </c>
      <c r="AT157" s="54">
        <f t="shared" si="246"/>
        <v>212085085</v>
      </c>
      <c r="AU157" s="51">
        <v>79978296</v>
      </c>
      <c r="AV157" s="243">
        <v>87000000</v>
      </c>
      <c r="AW157" s="244"/>
      <c r="AX157" s="244"/>
      <c r="AY157" s="243">
        <v>84307693</v>
      </c>
      <c r="AZ157" s="44">
        <f t="shared" si="258"/>
        <v>0.5</v>
      </c>
      <c r="BA157" s="44">
        <v>0.125</v>
      </c>
      <c r="BB157" s="44">
        <v>1.4</v>
      </c>
      <c r="BC157" s="44">
        <f t="shared" si="259"/>
        <v>0.3</v>
      </c>
      <c r="BD157" s="44" cm="1">
        <f t="array" ref="BD157">_xlfn.IFS(AD157=0,"NA",AD157&gt;0,AH157/AD157)</f>
        <v>1.0833333333333333</v>
      </c>
      <c r="BE157" s="44">
        <f t="shared" si="260"/>
        <v>0.25</v>
      </c>
      <c r="BF157" s="44">
        <v>0</v>
      </c>
      <c r="BG157" s="44">
        <f t="shared" si="261"/>
        <v>0.27500000000000002</v>
      </c>
      <c r="BH157" s="44">
        <v>0</v>
      </c>
      <c r="BI157" s="44">
        <f t="shared" si="262"/>
        <v>0</v>
      </c>
      <c r="BJ157" s="44" t="s">
        <v>115</v>
      </c>
      <c r="BK157" s="44">
        <f t="shared" si="247"/>
        <v>0.5</v>
      </c>
      <c r="BL157" s="44">
        <v>1</v>
      </c>
      <c r="BM157" s="44" t="str" cm="1">
        <f t="array" ref="BM157">_xlfn.IFS(BD157="NA","NA",BD157&gt;100%,"100%",BD157&lt;100,BD157)</f>
        <v>100%</v>
      </c>
      <c r="BN157" s="44" cm="1">
        <f t="array" ref="BN157">_xlfn.IFS(BF157="NA","NA",BF157&gt;100%,"100%",BF157&lt;100,BF157)</f>
        <v>0</v>
      </c>
      <c r="BO157" s="44" cm="1">
        <f t="array" ref="BO157">_xlfn.IFS(BH157="NA","NA",BH157&gt;100%,"100%",BH157&lt;100,BH157)</f>
        <v>0</v>
      </c>
      <c r="BP157" s="44" t="str" cm="1">
        <f t="array" ref="BP157">_xlfn.IFS(BJ157="NA","NA",BJ157&gt;100%,"100%",BJ157&lt;100,BJ157)</f>
        <v>NA</v>
      </c>
      <c r="BQ157" s="45">
        <v>0.22500000000000001</v>
      </c>
      <c r="BR157" s="45">
        <f t="shared" si="252"/>
        <v>0.1125</v>
      </c>
      <c r="BS157" s="45">
        <v>2.81E-2</v>
      </c>
      <c r="BT157" s="45">
        <v>2.81E-2</v>
      </c>
      <c r="BU157" s="45">
        <v>3.9399999999999998E-2</v>
      </c>
      <c r="BV157" s="45">
        <f t="shared" si="263"/>
        <v>6.7500000000000004E-2</v>
      </c>
      <c r="BW157" s="45">
        <f t="shared" si="254"/>
        <v>6.7500000000000004E-2</v>
      </c>
      <c r="BX157" s="45">
        <f t="shared" si="255"/>
        <v>7.3099999999999998E-2</v>
      </c>
      <c r="BY157" s="45">
        <f t="shared" si="264"/>
        <v>5.6250000000000001E-2</v>
      </c>
      <c r="BZ157" s="45">
        <f t="shared" si="265"/>
        <v>0</v>
      </c>
      <c r="CA157" s="45">
        <f t="shared" si="253"/>
        <v>0</v>
      </c>
      <c r="CB157" s="45">
        <f t="shared" si="266"/>
        <v>6.1874999999999999E-2</v>
      </c>
      <c r="CC157" s="45">
        <f t="shared" si="267"/>
        <v>0</v>
      </c>
      <c r="CD157" s="45">
        <v>0</v>
      </c>
      <c r="CE157" s="45">
        <f t="shared" si="268"/>
        <v>0</v>
      </c>
      <c r="CF157" s="45" t="str">
        <f t="shared" si="269"/>
        <v>NA</v>
      </c>
      <c r="CG157" s="45">
        <v>0</v>
      </c>
      <c r="CH157" s="244"/>
      <c r="CI157" s="244"/>
      <c r="CJ157" s="244"/>
      <c r="CK157" s="244"/>
      <c r="CM157" s="63">
        <v>9</v>
      </c>
    </row>
    <row r="158" spans="1:91" ht="18" hidden="1" customHeight="1">
      <c r="A158" s="260" t="s">
        <v>992</v>
      </c>
      <c r="B158" s="260" t="s">
        <v>993</v>
      </c>
      <c r="C158" s="260" t="s">
        <v>100</v>
      </c>
      <c r="D158" s="260" t="s">
        <v>1074</v>
      </c>
      <c r="E158" s="260" t="s">
        <v>1075</v>
      </c>
      <c r="F158" s="260" t="s">
        <v>1076</v>
      </c>
      <c r="G158" s="260" t="s">
        <v>1077</v>
      </c>
      <c r="H158" s="260" t="s">
        <v>1097</v>
      </c>
      <c r="I158" s="260"/>
      <c r="J158" s="260"/>
      <c r="K158" s="260" t="s">
        <v>1098</v>
      </c>
      <c r="L158" s="260" t="s">
        <v>1099</v>
      </c>
      <c r="M158" s="260" t="s">
        <v>1090</v>
      </c>
      <c r="N158" s="260" t="s">
        <v>111</v>
      </c>
      <c r="O158" s="260" t="s">
        <v>112</v>
      </c>
      <c r="P158" s="10">
        <v>3</v>
      </c>
      <c r="Q158" s="11">
        <v>12</v>
      </c>
      <c r="R158" s="11">
        <f t="shared" si="256"/>
        <v>0</v>
      </c>
      <c r="S158" s="11" t="str">
        <f>VLOOKUP(K158,'1105 Gobierno'!$K$12:$AK$31,9,0)</f>
        <v>Se ajustó y actualizó la estrategia de reconstrucción del tejido social al marco del posconflicto y la memoria histórica. El logro ha sido la articulación interinstitucional con la Agencia de Cundinamarca para la Paz y el Posconflicto para que la estrategia sea integral así como la presentación ante la mesa departamental de víctimas para aprobar la estrategia.</v>
      </c>
      <c r="T158" s="11">
        <v>0</v>
      </c>
      <c r="U158" s="11">
        <v>0</v>
      </c>
      <c r="V158" s="11">
        <v>0</v>
      </c>
      <c r="W158" s="11">
        <v>0</v>
      </c>
      <c r="X158" s="11">
        <v>0</v>
      </c>
      <c r="Y158" s="11">
        <v>0</v>
      </c>
      <c r="Z158" s="11">
        <v>0</v>
      </c>
      <c r="AA158" s="11">
        <v>0</v>
      </c>
      <c r="AB158" s="11" t="s">
        <v>1100</v>
      </c>
      <c r="AC158" s="11" t="s">
        <v>1101</v>
      </c>
      <c r="AD158" s="11">
        <v>3</v>
      </c>
      <c r="AE158" s="11">
        <v>0</v>
      </c>
      <c r="AF158" s="11">
        <f>VLOOKUP(K158,'1105 Gobierno'!$K$12:$AK$31,22,0)</f>
        <v>0</v>
      </c>
      <c r="AG158" s="11" t="str">
        <f>VLOOKUP(K158,'1105 Gobierno'!$K$12:$AK$31,23,0)</f>
        <v> </v>
      </c>
      <c r="AH158" s="11">
        <f t="shared" si="257"/>
        <v>0</v>
      </c>
      <c r="AI158" s="11" t="str">
        <f>VLOOKUP(K158,'1105 Gobierno'!$K$12:$AK$31,25,0)</f>
        <v xml:space="preserve">Asistencia técnica </v>
      </c>
      <c r="AJ158" s="11" t="str">
        <f>VLOOKUP(K158,'1105 Gobierno'!$K$12:$AK$31,26,0)</f>
        <v>Implementar la estrategia de tejido social, en el marco del posconflicto y memoria historica.</v>
      </c>
      <c r="AK158" s="11">
        <f>VLOOKUP(K158,'1105 Gobierno'!$K$12:$AK$31,27,0)</f>
        <v>0</v>
      </c>
      <c r="AL158" s="11">
        <v>5</v>
      </c>
      <c r="AM158" s="11">
        <v>0</v>
      </c>
      <c r="AN158" s="11">
        <v>4</v>
      </c>
      <c r="AO158" s="11">
        <v>0</v>
      </c>
      <c r="AP158" s="11">
        <v>0</v>
      </c>
      <c r="AQ158" s="11">
        <v>0</v>
      </c>
      <c r="AR158" s="51">
        <v>8960016</v>
      </c>
      <c r="AS158" s="54">
        <v>0</v>
      </c>
      <c r="AT158" s="54">
        <f t="shared" si="246"/>
        <v>8960016</v>
      </c>
      <c r="AU158" s="51">
        <v>8960016</v>
      </c>
      <c r="AV158" s="243">
        <v>100000000</v>
      </c>
      <c r="AW158" s="244"/>
      <c r="AX158" s="244"/>
      <c r="AY158" s="243">
        <v>99999900</v>
      </c>
      <c r="AZ158" s="44">
        <f t="shared" si="258"/>
        <v>0</v>
      </c>
      <c r="BA158" s="44">
        <v>0</v>
      </c>
      <c r="BB158" s="44" t="s">
        <v>115</v>
      </c>
      <c r="BC158" s="44">
        <f t="shared" si="259"/>
        <v>0.25</v>
      </c>
      <c r="BD158" s="44" cm="1">
        <f t="array" ref="BD158">_xlfn.IFS(AD158=0,"NA",AD158&gt;0,AH158/AD158)</f>
        <v>0</v>
      </c>
      <c r="BE158" s="44">
        <f t="shared" si="260"/>
        <v>0.41666666666666669</v>
      </c>
      <c r="BF158" s="44">
        <v>0</v>
      </c>
      <c r="BG158" s="44">
        <f t="shared" si="261"/>
        <v>0.33333333333333331</v>
      </c>
      <c r="BH158" s="44">
        <v>0</v>
      </c>
      <c r="BI158" s="44">
        <f t="shared" si="262"/>
        <v>0</v>
      </c>
      <c r="BJ158" s="44" t="s">
        <v>115</v>
      </c>
      <c r="BK158" s="44">
        <f t="shared" si="247"/>
        <v>0</v>
      </c>
      <c r="BL158" s="44" t="s">
        <v>115</v>
      </c>
      <c r="BM158" s="44" cm="1">
        <f t="array" ref="BM158">_xlfn.IFS(BD158="NA","NA",BD158&gt;100%,"100%",BD158&lt;100,BD158)</f>
        <v>0</v>
      </c>
      <c r="BN158" s="44" cm="1">
        <f t="array" ref="BN158">_xlfn.IFS(BF158="NA","NA",BF158&gt;100%,"100%",BF158&lt;100,BF158)</f>
        <v>0</v>
      </c>
      <c r="BO158" s="44" cm="1">
        <f t="array" ref="BO158">_xlfn.IFS(BH158="NA","NA",BH158&gt;100%,"100%",BH158&lt;100,BH158)</f>
        <v>0</v>
      </c>
      <c r="BP158" s="44" t="str" cm="1">
        <f t="array" ref="BP158">_xlfn.IFS(BJ158="NA","NA",BJ158&gt;100%,"100%",BJ158&lt;100,BJ158)</f>
        <v>NA</v>
      </c>
      <c r="BQ158" s="45">
        <v>0.22500000000000001</v>
      </c>
      <c r="BR158" s="45">
        <f t="shared" si="252"/>
        <v>0</v>
      </c>
      <c r="BS158" s="45">
        <v>0</v>
      </c>
      <c r="BT158" s="45" t="s">
        <v>115</v>
      </c>
      <c r="BU158" s="45">
        <v>0</v>
      </c>
      <c r="BV158" s="45">
        <f t="shared" si="263"/>
        <v>5.6250000000000001E-2</v>
      </c>
      <c r="BW158" s="45">
        <f t="shared" si="254"/>
        <v>0</v>
      </c>
      <c r="BX158" s="45">
        <f t="shared" si="255"/>
        <v>0</v>
      </c>
      <c r="BY158" s="45">
        <f t="shared" si="264"/>
        <v>9.375E-2</v>
      </c>
      <c r="BZ158" s="45">
        <f t="shared" si="265"/>
        <v>0</v>
      </c>
      <c r="CA158" s="45">
        <f t="shared" si="253"/>
        <v>0</v>
      </c>
      <c r="CB158" s="45">
        <f t="shared" si="266"/>
        <v>7.4999999999999997E-2</v>
      </c>
      <c r="CC158" s="45">
        <f t="shared" si="267"/>
        <v>0</v>
      </c>
      <c r="CD158" s="45">
        <v>0</v>
      </c>
      <c r="CE158" s="45">
        <f t="shared" si="268"/>
        <v>0</v>
      </c>
      <c r="CF158" s="45" t="str">
        <f t="shared" si="269"/>
        <v>NA</v>
      </c>
      <c r="CG158" s="45">
        <v>0</v>
      </c>
      <c r="CH158" s="244"/>
      <c r="CI158" s="244"/>
      <c r="CJ158" s="244"/>
      <c r="CK158" s="244"/>
      <c r="CM158" s="63">
        <v>0</v>
      </c>
    </row>
    <row r="159" spans="1:91" ht="18" hidden="1" customHeight="1">
      <c r="A159" s="260" t="s">
        <v>992</v>
      </c>
      <c r="B159" s="260" t="s">
        <v>993</v>
      </c>
      <c r="C159" s="260" t="s">
        <v>100</v>
      </c>
      <c r="D159" s="260" t="s">
        <v>1074</v>
      </c>
      <c r="E159" s="260" t="s">
        <v>1075</v>
      </c>
      <c r="F159" s="260" t="s">
        <v>1076</v>
      </c>
      <c r="G159" s="260" t="s">
        <v>1077</v>
      </c>
      <c r="H159" s="260" t="s">
        <v>1102</v>
      </c>
      <c r="I159" s="260"/>
      <c r="J159" s="260"/>
      <c r="K159" s="260" t="s">
        <v>1103</v>
      </c>
      <c r="L159" s="260" t="s">
        <v>1104</v>
      </c>
      <c r="M159" s="260" t="s">
        <v>1105</v>
      </c>
      <c r="N159" s="260" t="s">
        <v>123</v>
      </c>
      <c r="O159" s="260" t="s">
        <v>124</v>
      </c>
      <c r="P159" s="10">
        <v>100</v>
      </c>
      <c r="Q159" s="11">
        <v>100</v>
      </c>
      <c r="R159" s="11">
        <f t="shared" ref="R159:R161" si="270">(Z159+AH159)/CL159</f>
        <v>50</v>
      </c>
      <c r="S159" s="11" t="str">
        <f>VLOOKUP(K159,'1105 Gobierno'!$K$12:$AK$31,9,0)</f>
        <v xml:space="preserve">Se realizó asistencia técnica a 360 funcionarios de los 116 municipios en las plataformas de información de la política pública de víctimas, dando a conocer los lineamientos de la política e impartiendo directrices normativas y el acompañamiento a los planes de prevención y protección de los 116 municipios junto con su caracterización. A través de la capacitación de 116 municipios en temas de sistemas de información, se fortaleció el departamento en herramientas digitales como son RUSICST, tablero PAT Vivanto, PAT, herramienta de caracterización y SIGO. De igual forma, se acompañaron 6 municipios en jornadas de caracterización con todos los protocolos de bioseguridad (Chaguaní, Vianí, Topaipí, Cabrera, Gutiérrez y Soacha). A su vez, se realizó el acompañamiento a los planes de prevención y protección a los 116 municipios. Asimismo se está realizando la actualización del plan de contigencia del departamento el cual está para su aprobación en el marco del subcomité de prevención y protección de no repetición. Adicional a ello se ha canalizado 25 solicitudes de presuntas amenazas de activación de ruta y la impresión de 500 cartillas de la ruta de prevención y protección en el departamento . </v>
      </c>
      <c r="T159" s="11">
        <v>0</v>
      </c>
      <c r="U159" s="11">
        <v>100</v>
      </c>
      <c r="V159" s="11">
        <v>0</v>
      </c>
      <c r="W159" s="11">
        <v>100</v>
      </c>
      <c r="X159" s="11" t="s">
        <v>115</v>
      </c>
      <c r="Y159" s="11">
        <v>100</v>
      </c>
      <c r="Z159" s="11">
        <v>100</v>
      </c>
      <c r="AA159" s="11" t="s">
        <v>1106</v>
      </c>
      <c r="AB159" s="11" t="s">
        <v>1107</v>
      </c>
      <c r="AC159" s="11" t="s">
        <v>1108</v>
      </c>
      <c r="AD159" s="11">
        <v>0</v>
      </c>
      <c r="AE159" s="11">
        <v>100</v>
      </c>
      <c r="AF159" s="11" t="str">
        <f>VLOOKUP(K159,'1105 Gobierno'!$K$12:$AK$31,22,0)</f>
        <v> </v>
      </c>
      <c r="AG159" s="11">
        <f>VLOOKUP(K159,'1105 Gobierno'!$K$12:$AK$31,23,0)</f>
        <v>100</v>
      </c>
      <c r="AH159" s="11">
        <f t="shared" ref="AH159:AH161" si="271">AG159</f>
        <v>100</v>
      </c>
      <c r="AI159" s="11" t="str">
        <f>VLOOKUP(K159,'1105 Gobierno'!$K$12:$AK$31,25,0)</f>
        <v xml:space="preserve">Solicitudes atentidas </v>
      </c>
      <c r="AJ159" s="11" t="str">
        <f>VLOOKUP(K159,'1105 Gobierno'!$K$12:$AK$31,26,0)</f>
        <v>Se realizó actualización del plan de contigencia del departamento el cual está para su aprobación en el marco del subcomité de prevención y protección de no repetición.  Adicional a ello se ha canalizado 25 solicitudes de presuntas amenazas de activación de ruta y la impresión de 500 cartillas de la ruta de prevención y protección en el departamento. Se realizo capacitación a la vez que se entrego cartillas como refuerzo de la inducción.  Se realizo seguimiento a alerta temprana 010 - 21 y  Se celebró el Segundo Subcomité de Prevención y Protección de Garantías de no Repetición. Se celebró la Sexta Sesón de la Mesa Técnica de Amanezados y se llevo a cabo seguimiento a alerta temprana 010 - 21, los Municipios beneficiados fueron Mosquera, Funza, Cota, Chía, Sopo, La Calera, Guasca, Choachií Ubaque, chipaque, se solicitaron los CDP Número: 7100011759 $31231847  - 7100012018 $31231847  - 7100012387 $ 4984281 - 7100015863 $ 7552025, con el fin de asesorias, asistencias tecnicas en la formulacion y actualizacion de los planes de prevencion, proteccion y de contingencia de los municipios y del departamento, Acompañamiento y asesoramiento a Comites de Justicia Transicional, Impresión y publicación documentos.</v>
      </c>
      <c r="AK159" s="11">
        <f>VLOOKUP(K159,'1105 Gobierno'!$K$12:$AK$31,27,0)</f>
        <v>0</v>
      </c>
      <c r="AL159" s="11">
        <v>0</v>
      </c>
      <c r="AM159" s="11">
        <v>100</v>
      </c>
      <c r="AN159" s="11">
        <v>0</v>
      </c>
      <c r="AO159" s="11">
        <v>100</v>
      </c>
      <c r="AP159" s="11">
        <v>0</v>
      </c>
      <c r="AQ159" s="11">
        <v>0</v>
      </c>
      <c r="AR159" s="51">
        <v>27626716</v>
      </c>
      <c r="AS159" s="54">
        <v>0</v>
      </c>
      <c r="AT159" s="54">
        <f t="shared" si="246"/>
        <v>27626716</v>
      </c>
      <c r="AU159" s="51">
        <v>27626716</v>
      </c>
      <c r="AV159" s="243">
        <v>91700000</v>
      </c>
      <c r="AW159" s="244"/>
      <c r="AX159" s="244"/>
      <c r="AY159" s="243">
        <v>78750923</v>
      </c>
      <c r="AZ159" s="44" cm="1">
        <f t="array" ref="AZ159">_xlfn.IFS((BA159=0),(BD159/CL159),(BA159&gt;0),((BB159+BD159)/CL159),(BE159&gt;0),((BB159+BD159+BE159)/CL159),(BG159&gt;0),((BB159+BD159+BE159+G159)/CL159))</f>
        <v>0.5</v>
      </c>
      <c r="BA159" s="44">
        <v>0.25</v>
      </c>
      <c r="BB159" s="44">
        <v>1</v>
      </c>
      <c r="BC159" s="44">
        <f t="shared" ref="BC159:BC161" si="272">IF(AE159&gt;0,(1/CL159),0)</f>
        <v>0.25</v>
      </c>
      <c r="BD159" s="44" cm="1">
        <f t="array" ref="BD159">_xlfn.IFS(AE159=0,"NA",AE159&gt;0,AH159/AE159)</f>
        <v>1</v>
      </c>
      <c r="BE159" s="44">
        <f t="shared" ref="BE159:BE161" si="273">IF(AM159&gt;0,(1/CL159),0)</f>
        <v>0.25</v>
      </c>
      <c r="BF159" s="44">
        <v>0</v>
      </c>
      <c r="BG159" s="44">
        <f t="shared" ref="BG159:BG161" si="274">IF(AO159&gt;0,(1/CL159),0)</f>
        <v>0.25</v>
      </c>
      <c r="BH159" s="44">
        <v>0</v>
      </c>
      <c r="BI159" s="44">
        <v>0</v>
      </c>
      <c r="BJ159" s="44" t="s">
        <v>115</v>
      </c>
      <c r="BK159" s="44">
        <f t="shared" si="247"/>
        <v>0.5</v>
      </c>
      <c r="BL159" s="44">
        <v>1</v>
      </c>
      <c r="BM159" s="44" cm="1">
        <f t="array" ref="BM159">_xlfn.IFS(BD159="NA","NA",BD159&gt;100%,"100%",BD159&lt;100,BD159)</f>
        <v>1</v>
      </c>
      <c r="BN159" s="44">
        <v>0</v>
      </c>
      <c r="BO159" s="44">
        <v>0</v>
      </c>
      <c r="BP159" s="44" t="s">
        <v>115</v>
      </c>
      <c r="BQ159" s="45">
        <v>0.22500000000000001</v>
      </c>
      <c r="BR159" s="45">
        <f t="shared" si="252"/>
        <v>0.1125</v>
      </c>
      <c r="BS159" s="45">
        <v>5.6300000000000003E-2</v>
      </c>
      <c r="BT159" s="45">
        <v>5.6300000000000003E-2</v>
      </c>
      <c r="BU159" s="45">
        <v>5.6300000000000003E-2</v>
      </c>
      <c r="BV159" s="45">
        <v>5.6300000000000003E-2</v>
      </c>
      <c r="BW159" s="45">
        <f t="shared" si="254"/>
        <v>5.6300000000000003E-2</v>
      </c>
      <c r="BX159" s="45">
        <f t="shared" si="255"/>
        <v>5.62E-2</v>
      </c>
      <c r="BY159" s="45">
        <v>5.6300000000000003E-2</v>
      </c>
      <c r="BZ159" s="45">
        <v>0</v>
      </c>
      <c r="CA159" s="45">
        <f t="shared" si="253"/>
        <v>0</v>
      </c>
      <c r="CB159" s="45">
        <v>5.6300000000000003E-2</v>
      </c>
      <c r="CC159" s="45">
        <v>0</v>
      </c>
      <c r="CD159" s="45">
        <v>0</v>
      </c>
      <c r="CE159" s="45">
        <v>0</v>
      </c>
      <c r="CF159" s="45" t="s">
        <v>115</v>
      </c>
      <c r="CG159" s="45">
        <v>0</v>
      </c>
      <c r="CH159" s="244">
        <f t="shared" ref="CH159:CH161" si="275">IF(W159&gt;0,1,0)</f>
        <v>1</v>
      </c>
      <c r="CI159" s="244">
        <f t="shared" ref="CI159:CI161" si="276">IF(AE159&gt;0,1,0)</f>
        <v>1</v>
      </c>
      <c r="CJ159" s="244">
        <f t="shared" ref="CJ159:CJ161" si="277">IF(AM159&gt;0,1,0)</f>
        <v>1</v>
      </c>
      <c r="CK159" s="244">
        <f t="shared" ref="CK159:CK161" si="278">IF(AO159&gt;0,1,0)</f>
        <v>1</v>
      </c>
      <c r="CL159">
        <f t="shared" ref="CL159:CL161" si="279">CH159+CI159+CJ159+CK159</f>
        <v>4</v>
      </c>
      <c r="CM159" s="63">
        <f t="shared" ref="CM159:CM162" si="280">AVERAGE(Z159,AH159)</f>
        <v>100</v>
      </c>
    </row>
    <row r="160" spans="1:91" ht="18" hidden="1" customHeight="1">
      <c r="A160" s="260" t="s">
        <v>992</v>
      </c>
      <c r="B160" s="260" t="s">
        <v>993</v>
      </c>
      <c r="C160" s="260" t="s">
        <v>100</v>
      </c>
      <c r="D160" s="260" t="s">
        <v>1074</v>
      </c>
      <c r="E160" s="260" t="s">
        <v>1075</v>
      </c>
      <c r="F160" s="260" t="s">
        <v>1076</v>
      </c>
      <c r="G160" s="260" t="s">
        <v>1077</v>
      </c>
      <c r="H160" s="260" t="s">
        <v>1109</v>
      </c>
      <c r="I160" s="260"/>
      <c r="J160" s="260"/>
      <c r="K160" s="260" t="s">
        <v>1110</v>
      </c>
      <c r="L160" s="260" t="s">
        <v>1111</v>
      </c>
      <c r="M160" s="260" t="s">
        <v>122</v>
      </c>
      <c r="N160" s="260" t="s">
        <v>123</v>
      </c>
      <c r="O160" s="260" t="s">
        <v>124</v>
      </c>
      <c r="P160" s="10">
        <v>100</v>
      </c>
      <c r="Q160" s="11">
        <v>100</v>
      </c>
      <c r="R160" s="11">
        <f t="shared" si="270"/>
        <v>50</v>
      </c>
      <c r="S160" s="11" t="str">
        <f>VLOOKUP(K160,'1105 Gobierno'!$K$12:$AK$31,9,0)</f>
        <v>Se han entregado 4400 ayudas humanitarias a población víctima del conflicto armado en articulación con la unidad de gestión de riesgos de desastres, lo anterior benefició a 13.200 víctimas del conflicto armado de 38 municipios. Adicional a ello, se realizó oferta y asistencia por parte de los profesionales a los 3 centros regionales en temas relacionados con asistencia humanitaria.  Para 2021 se está adelantando el proceso a través de la plataforma colombia compra eficiente por un valor de 100.000.000 para 1.000 mercados y se han visitado 20 municipios (Soacha, Albán, Fusagusagá, Vianí, Villapinzón, PuertoSalgar, Caparrapí, Pulí, Pasca, Guaduas, San Juan de Rioseco, Nilo, Ricaurte, La Peña, Quebradanegra, Guataquí, Sasaima, Utica, Facatativá y Girardot) de entrega de 505 mercados. Se está realizando el proceso contractual para la adqusicion de cerca de dos mil ayudas humanitarias en la vigencia del año 2021. Ya se cuenta con CDP, los respectivos conceptos precontractuales y estudios previos, con los que se busca beneficiar a las familias victimas del conflicto de los Municipios de: Nocaima, Apulo, Silvania, Villagomez, Cachipay, Simijaca, Venecia, Pandi, Guatavita, San Cayetano, Granada, Agua De Dios, Villeta, Chipaque, Medina, Guayabetal.</v>
      </c>
      <c r="T160" s="11">
        <v>0</v>
      </c>
      <c r="U160" s="11">
        <v>100</v>
      </c>
      <c r="V160" s="11">
        <v>0</v>
      </c>
      <c r="W160" s="11">
        <v>100</v>
      </c>
      <c r="X160" s="11" t="s">
        <v>115</v>
      </c>
      <c r="Y160" s="11">
        <v>100</v>
      </c>
      <c r="Z160" s="11">
        <v>100</v>
      </c>
      <c r="AA160" s="11" t="s">
        <v>1112</v>
      </c>
      <c r="AB160" s="11" t="s">
        <v>1113</v>
      </c>
      <c r="AC160" s="11">
        <v>0</v>
      </c>
      <c r="AD160" s="11">
        <v>0</v>
      </c>
      <c r="AE160" s="11">
        <v>100</v>
      </c>
      <c r="AF160" s="11" t="str">
        <f>VLOOKUP(K160,'1105 Gobierno'!$K$12:$AK$31,22,0)</f>
        <v> </v>
      </c>
      <c r="AG160" s="11">
        <f>VLOOKUP(K160,'1105 Gobierno'!$K$12:$AK$31,23,0)</f>
        <v>100</v>
      </c>
      <c r="AH160" s="11">
        <f t="shared" si="271"/>
        <v>100</v>
      </c>
      <c r="AI160" s="11" t="str">
        <f>VLOOKUP(K160,'1105 Gobierno'!$K$12:$AK$31,25,0)</f>
        <v xml:space="preserve">Mercados </v>
      </c>
      <c r="AJ160" s="11" t="str">
        <f>VLOOKUP(K160,'1105 Gobierno'!$K$12:$AK$31,26,0)</f>
        <v>Se está adelantando el proceso a través de la plataforma colombia compra eficiente por un valor de 195.000.000 con dos CDP No. 7100012311 por valor de  $ 100.000.000 y CDP No. 7100012685 por valor de $ 95.000.000 para 2.000 mercados y se han visitado 20 municipios (Soacha, Albán, Fusagusagá, Vianí, Villapinzón, PuertoSalgar, Caparrapí, Pulí,Pasca, Guaduas, San Juan de Rioseco, Nilo, Ricaurte, La Peña, Quebradanegra, Guataquí, Sasaima, Utica, Facatativá y Girardot) y se han entregado  505 mercados y se focalizo a la población mas vulnerable. Se está realizando el proceso contractual para la adqusicion de cerca de dos mil ayudas humanitarias en la vigencia del año 2021. Ya se cuenta con CDP, los respectivos conceptos precontractuales y estudios previos, se tienen priorizados los Municipios de:  Nocaima, Apulo, Silvania, Villagomez, Cachipay, Simijaca, Venecia, Pandi, Guatavita, San Cayetano, Granada, Agua De Dios, Villeta, Chipaque, Medina, Guayabetal. Se realizó la suscripcion del contrato sgo-sasi-302-2021 para la adquisicion de mercados como ayuda humanitaria para la poblacion victima. Los Municipios beneficiados estan por definirse, se estan ejecutando el contrato SGO-SASI-302-2021, por valor de $ 99.961.091 para la adquisición y entrega de mercados a victimas del conflcto armado, las cuales han sido previamente priorizadas.</v>
      </c>
      <c r="AK160" s="11">
        <f>VLOOKUP(K160,'1105 Gobierno'!$K$12:$AK$31,27,0)</f>
        <v>0</v>
      </c>
      <c r="AL160" s="11">
        <v>0</v>
      </c>
      <c r="AM160" s="11">
        <v>100</v>
      </c>
      <c r="AN160" s="11">
        <v>0</v>
      </c>
      <c r="AO160" s="11">
        <v>100</v>
      </c>
      <c r="AP160" s="11">
        <v>0</v>
      </c>
      <c r="AQ160" s="11">
        <v>0</v>
      </c>
      <c r="AR160" s="51">
        <v>39000000</v>
      </c>
      <c r="AS160" s="54">
        <v>0</v>
      </c>
      <c r="AT160" s="54">
        <f t="shared" si="246"/>
        <v>39000000</v>
      </c>
      <c r="AU160" s="51">
        <v>38951419</v>
      </c>
      <c r="AV160" s="243">
        <v>200000000</v>
      </c>
      <c r="AW160" s="244"/>
      <c r="AX160" s="244"/>
      <c r="AY160" s="243">
        <v>194961091</v>
      </c>
      <c r="AZ160" s="44" cm="1">
        <f t="array" ref="AZ160">_xlfn.IFS((BA160=0),(BD160/CL160),(BA160&gt;0),((BB160+BD160)/CL160),(BE160&gt;0),((BB160+BD160+BE160)/CL160),(BG160&gt;0),((BB160+BD160+BE160+G160)/CL160))</f>
        <v>0.5</v>
      </c>
      <c r="BA160" s="44">
        <v>0.25</v>
      </c>
      <c r="BB160" s="44">
        <v>1</v>
      </c>
      <c r="BC160" s="44">
        <f t="shared" si="272"/>
        <v>0.25</v>
      </c>
      <c r="BD160" s="44" cm="1">
        <f t="array" ref="BD160">_xlfn.IFS(AE160=0,"NA",AE160&gt;0,AH160/AE160)</f>
        <v>1</v>
      </c>
      <c r="BE160" s="44">
        <f t="shared" si="273"/>
        <v>0.25</v>
      </c>
      <c r="BF160" s="44">
        <v>0</v>
      </c>
      <c r="BG160" s="44">
        <f t="shared" si="274"/>
        <v>0.25</v>
      </c>
      <c r="BH160" s="44">
        <v>0</v>
      </c>
      <c r="BI160" s="44">
        <v>0</v>
      </c>
      <c r="BJ160" s="44" t="s">
        <v>115</v>
      </c>
      <c r="BK160" s="44">
        <f t="shared" si="247"/>
        <v>0.5</v>
      </c>
      <c r="BL160" s="44">
        <v>1</v>
      </c>
      <c r="BM160" s="44" cm="1">
        <f t="array" ref="BM160">_xlfn.IFS(BD160="NA","NA",BD160&gt;100%,"100%",BD160&lt;100,BD160)</f>
        <v>1</v>
      </c>
      <c r="BN160" s="44">
        <v>0</v>
      </c>
      <c r="BO160" s="44">
        <v>0</v>
      </c>
      <c r="BP160" s="44" t="s">
        <v>115</v>
      </c>
      <c r="BQ160" s="45">
        <v>0.22500000000000001</v>
      </c>
      <c r="BR160" s="45">
        <f t="shared" si="252"/>
        <v>0.1125</v>
      </c>
      <c r="BS160" s="45">
        <v>5.6300000000000003E-2</v>
      </c>
      <c r="BT160" s="45">
        <v>5.6300000000000003E-2</v>
      </c>
      <c r="BU160" s="45">
        <v>5.6300000000000003E-2</v>
      </c>
      <c r="BV160" s="45">
        <v>5.6300000000000003E-2</v>
      </c>
      <c r="BW160" s="45">
        <f t="shared" si="254"/>
        <v>5.6300000000000003E-2</v>
      </c>
      <c r="BX160" s="45">
        <f t="shared" si="255"/>
        <v>5.62E-2</v>
      </c>
      <c r="BY160" s="45">
        <v>5.6300000000000003E-2</v>
      </c>
      <c r="BZ160" s="45">
        <v>0</v>
      </c>
      <c r="CA160" s="45">
        <f t="shared" si="253"/>
        <v>0</v>
      </c>
      <c r="CB160" s="45">
        <v>5.6300000000000003E-2</v>
      </c>
      <c r="CC160" s="45">
        <v>0</v>
      </c>
      <c r="CD160" s="45">
        <v>0</v>
      </c>
      <c r="CE160" s="45">
        <v>0</v>
      </c>
      <c r="CF160" s="45" t="s">
        <v>115</v>
      </c>
      <c r="CG160" s="45">
        <v>0</v>
      </c>
      <c r="CH160" s="244">
        <f t="shared" si="275"/>
        <v>1</v>
      </c>
      <c r="CI160" s="244">
        <f t="shared" si="276"/>
        <v>1</v>
      </c>
      <c r="CJ160" s="244">
        <f t="shared" si="277"/>
        <v>1</v>
      </c>
      <c r="CK160" s="244">
        <f t="shared" si="278"/>
        <v>1</v>
      </c>
      <c r="CL160">
        <f t="shared" si="279"/>
        <v>4</v>
      </c>
      <c r="CM160" s="63">
        <f t="shared" si="280"/>
        <v>100</v>
      </c>
    </row>
    <row r="161" spans="1:91" ht="18" hidden="1" customHeight="1">
      <c r="A161" s="260" t="s">
        <v>992</v>
      </c>
      <c r="B161" s="260" t="s">
        <v>993</v>
      </c>
      <c r="C161" s="260" t="s">
        <v>100</v>
      </c>
      <c r="D161" s="260" t="s">
        <v>1074</v>
      </c>
      <c r="E161" s="260" t="s">
        <v>1075</v>
      </c>
      <c r="F161" s="260" t="s">
        <v>1076</v>
      </c>
      <c r="G161" s="260" t="s">
        <v>1077</v>
      </c>
      <c r="H161" s="260" t="s">
        <v>1114</v>
      </c>
      <c r="I161" s="260"/>
      <c r="J161" s="260"/>
      <c r="K161" s="260" t="s">
        <v>1115</v>
      </c>
      <c r="L161" s="260" t="s">
        <v>1116</v>
      </c>
      <c r="M161" s="260" t="s">
        <v>1117</v>
      </c>
      <c r="N161" s="260" t="s">
        <v>123</v>
      </c>
      <c r="O161" s="260" t="s">
        <v>124</v>
      </c>
      <c r="P161" s="10">
        <v>100</v>
      </c>
      <c r="Q161" s="11">
        <v>100</v>
      </c>
      <c r="R161" s="11">
        <f t="shared" si="270"/>
        <v>41.65</v>
      </c>
      <c r="S161" s="11" t="str">
        <f>VLOOKUP(K161,'1105 Gobierno'!$K$12:$AK$31,9,0)</f>
        <v xml:space="preserve">En cumplimiento a la meta producto se ha realizado 21 mesas conjuntas de trabajo en 17 municipios del departamento 1 mesa de trabajo con el Ministerio de Medio ambiente, 1 mesa de trabajo con el juzgado de restitución de tierras y se ha hecho registro, seguimiento, control y asesoría en el cumplimiento de las ordenes emitidas dentro de los 166 procesos de restitución de tierras donde el departamento o sus entidades territoriales tiene ordenes judiciales por cumplir y apoyado a 20 municipios con procesos de restitución de tierras y actualización de rutas de cumplimiento judiciales logrando que las familias víctimas tengan mejorías con la informalidad en la tenencia de la tierra y en la estructura agraria inequitativa.Referente a asesorías, acompañamientos, estudios y análisis técnicos de los proyectos de generación de ingresos se han realizado el acompañamiento a 25 solicitudes. En 2021 se realizó una asistencia técnica a los 116 municipios beneficiando a 127 enlaces de víctimas y 15 asistencias provinciales de proceso para solicitud de generación de ingresos. Se realizo asesoría y acompañamiento en la formulación de proyectos de generación de ingresos en MGA para vincular en el banco de proyectos a 5 Municipios: Viota, Gutierrez, Pandi, Facatativa y Gachala. Los días 16 y 27 de abril y 6 y 14 de mayo de 2021 se asistio a las  mesas técnicas con la URT, la Procuraduría, la Defensoría del Pueblo y el Juzgado de restitución de tierras con la finalidad de revisar la estrategia y evento de la feria de servicios en los municipios de La Palma y Yacopí . se genero reporte de cumplimiento dentro de los procesos de restitución de tierras,  realizaron mesa de trabajo con el enlace municipal de víctimas del municipio Yacopí, donde se identificaron las posibles estrategias para socializar el protocolo ante la población víctima. Se realizorevisión, registro y traslado de los autos y sentencias notificadas al departamento de Cundinamarca provenientes de los juzgados de restitución de tierras, se  Realizo la revisión de los procesos de restitución de tierras donde los municipios han reportado que no han podido cumplir la orden de exoneración del pago del impuesto predial a causa de la falta de actualización por parte del IGAC o de notariado y registro. Se realizó una mesa de trabajo con la Unidad de Restitución de Tierras donde se revisó uno a uno los procesos, Se asistio a mesa de trabajo con la Agencias para la Paz y el Posconflicto de Cundinamarca para revisar el cumplimiento de las ordenes emitidas dentro de los procesos de justicia y paz, se brindo asesoría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Brinde asesoría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mesa técnica con la CAR, Gestión del Riesgo, Secretaría del Medio Ambiente y Gobierno para revisar los avances en el cumplimiento del proceso 2015-00015-00. mesa técnica convocada por la URT, el Juzgado de Restitución de Tierras, la Procuraduría, la Agencia Catastral de Cundinamarca y Dirección de Víctimas para revisar el avance en el cumplimiento de ordenes respecto de catastro. Convoque y realicé la primera sesión del  grupo interinstitucional para el seguimiento  cumplimiento de las ordenes judiciales emanadas de los procesos de restitución de tierras del departamento de Cundinamarca.  Comité Territorial de Justicia Transicional del municipio de La Palma. asesoría a los enlaces municipales de víctimas de Bituima y La Calera sobre el proceso y procedimiento que se debe adelantar para la exoneración del pago del impuesto predial de los predios restituidos.  Realice la revisiónen la plataforma de la rama judicial de los procesos de restitución de tierras donde los municipios han reportado imposibilidad en la exoneración del pago del impuesto predial de los procesos. </v>
      </c>
      <c r="T161" s="11">
        <v>0</v>
      </c>
      <c r="U161" s="11">
        <v>100</v>
      </c>
      <c r="V161" s="11">
        <v>0</v>
      </c>
      <c r="W161" s="11">
        <v>100</v>
      </c>
      <c r="X161" s="11" t="s">
        <v>115</v>
      </c>
      <c r="Y161" s="11">
        <v>66.599999999999994</v>
      </c>
      <c r="Z161" s="11">
        <v>66.599999999999994</v>
      </c>
      <c r="AA161" s="11" t="s">
        <v>1106</v>
      </c>
      <c r="AB161" s="11" t="s">
        <v>1118</v>
      </c>
      <c r="AC161" s="11" t="s">
        <v>1119</v>
      </c>
      <c r="AD161" s="11">
        <v>0</v>
      </c>
      <c r="AE161" s="11">
        <v>100</v>
      </c>
      <c r="AF161" s="11" t="str">
        <f>VLOOKUP(K161,'1105 Gobierno'!$K$12:$AK$31,22,0)</f>
        <v> </v>
      </c>
      <c r="AG161" s="11">
        <f>VLOOKUP(K161,'1105 Gobierno'!$K$12:$AK$31,23,0)</f>
        <v>100</v>
      </c>
      <c r="AH161" s="11">
        <f t="shared" si="271"/>
        <v>100</v>
      </c>
      <c r="AI161" s="11" t="str">
        <f>VLOOKUP(K161,'1105 Gobierno'!$K$12:$AK$31,25,0)</f>
        <v xml:space="preserve">Asistencia técnica </v>
      </c>
      <c r="AJ161" s="11" t="str">
        <f>VLOOKUP(K161,'1105 Gobierno'!$K$12:$AK$31,26,0)</f>
        <v>Se brindó asistencia técnica a los 116 municipios con una asistencia de 127  enlaces municipales de víctimas para lo relacionado con los trámites del proceso de restitución de tierras y se realizó una capacitación de la ruta y la metodología para la presentación de proyectos de generación de ingresos con una asistencia de 97 enlaces. Se realizan asesorias y acompañamientos relacionados con la formulacion de proyectos de generacion de ingresos en MGA para vincular en el banco de proyectos a 5 municipios  a de Viota, Gutierrez, Pandi, Facatativa y Gachala.  Mesas técnicas con la URT, la Procuraduría, la Defensoría del Pueblo y el Juzgado de restitución de tierras con la finalidad de revisar la estrategia y evento de la feria de servicios en los municipios de La Palma y Yacopí donde se va a capacitar a la población sobre los proyectos de generación de ingresos. revisión, registro y traslado de los autos y sentencias notificadas al departamento de Cundinamarca provenientes de los juzgados de restitución de tierras, revisión de los procesos de restitución de tierras donde los municipios han reportado que no han podido cumplir la orden de exoneración del pago del impuesto predial a causa de la falta de actualización por parte del IGAC o de notariado y registro. Mesa de trabajo con la Agencias para la Paz y el Posconflicto de Cundinamarca para revisar el cumplimiento de las ordenes emitidas dentro de los procesos de justicia y paz. aAesoría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SeCONTRATO- Sonia Lizeth Lombana
RPC 4600006338 SONIA LIZETH LOMBANA AMORTEGUI. Se realizo mesa de trabajo con el enlace municipal de víctimas de Yacopí donde revisamos unos a unos los procesos de restitución de tierras donde se tienen pendientes por cumplir, Asistí a la mesa técnica con la CAR, Gestión del Riesgo, Secretaría del Medio Ambiente y Gobierno para revisar los avances en el cumplimiento del proceso 2015-00015-00.
Asistí a mesa técnica convocada por la URT, el Juzgado de Restitución de Tierras, la Procuraduría, la Agencia Catastral de Cundinamarca y Dirección de Víctimas para revisar el avance en el cumplimiento de ordenes respecto de catastro. Convoque y realicé la primera sesión del  grupo interinstitucional para el seguimiento  cumplimiento de las ordenes judiciales emanadas de los procesos de restitución de tierras del departamento de Cundinamarca. Asistí a la continuación del Comité Territorial de Justicia Transicional del municipio de La Palma. Brinde asesoría a los enlaces municipales de víctimas de Bituima y La Calera sobre el proceso y procedimiento que se debe adelantar para la exoneración del pago del impuesto predial de los predios restituidos.  Realice la revisiónen la plataforma de la rama judicial de los procesos de restitución de tierras donde los municipios han reportado imposibilidad en la exoneración del pago del impuesto predial, Municipios beneficiados La Palma, Yacopí, Quipile, Puerto Salgar, Bituima y Pacho. Se realizo solicitud de CDP Número 7100017788 por valor de $ 50.000.000 para el Municipio de Pulí dentro del Proyecto de generación de ingresos para familias victimas de la violencia, así mismo se solicicto RPC Número 4600007812 para el Municipio de Granada por valor de $ 32.000.000 con el fin de apoyar proyectos de generación de ingresos para familias victimas del conflicto armado.</v>
      </c>
      <c r="AK161" s="11">
        <f>VLOOKUP(K161,'1105 Gobierno'!$K$12:$AK$31,27,0)</f>
        <v>0</v>
      </c>
      <c r="AL161" s="11">
        <v>0</v>
      </c>
      <c r="AM161" s="11">
        <v>100</v>
      </c>
      <c r="AN161" s="11">
        <v>0</v>
      </c>
      <c r="AO161" s="11">
        <v>100</v>
      </c>
      <c r="AP161" s="11">
        <v>0</v>
      </c>
      <c r="AQ161" s="11">
        <v>0</v>
      </c>
      <c r="AR161" s="51">
        <v>11200020</v>
      </c>
      <c r="AS161" s="54">
        <v>0</v>
      </c>
      <c r="AT161" s="54">
        <f t="shared" si="246"/>
        <v>11200020</v>
      </c>
      <c r="AU161" s="51">
        <v>11200020</v>
      </c>
      <c r="AV161" s="243">
        <v>513200000</v>
      </c>
      <c r="AW161" s="244"/>
      <c r="AX161" s="244"/>
      <c r="AY161" s="243">
        <v>420743507</v>
      </c>
      <c r="AZ161" s="44" cm="1">
        <f t="array" ref="AZ161">_xlfn.IFS((BA161=0),(BD161/CL161),(BA161&gt;0),((BB161+BD161)/CL161),(BE161&gt;0),((BB161+BD161+BE161)/CL161),(BG161&gt;0),((BB161+BD161+BE161+G161)/CL161))</f>
        <v>0.41649999999999998</v>
      </c>
      <c r="BA161" s="44">
        <v>0.25</v>
      </c>
      <c r="BB161" s="44">
        <v>0.66600000000000004</v>
      </c>
      <c r="BC161" s="44">
        <f t="shared" si="272"/>
        <v>0.25</v>
      </c>
      <c r="BD161" s="44" cm="1">
        <f t="array" ref="BD161">_xlfn.IFS(AE161=0,"NA",AE161&gt;0,AH161/AE161)</f>
        <v>1</v>
      </c>
      <c r="BE161" s="44">
        <f t="shared" si="273"/>
        <v>0.25</v>
      </c>
      <c r="BF161" s="44">
        <v>0</v>
      </c>
      <c r="BG161" s="44">
        <f t="shared" si="274"/>
        <v>0.25</v>
      </c>
      <c r="BH161" s="44">
        <v>0</v>
      </c>
      <c r="BI161" s="44">
        <v>0</v>
      </c>
      <c r="BJ161" s="44" t="s">
        <v>115</v>
      </c>
      <c r="BK161" s="44">
        <f t="shared" si="247"/>
        <v>0.41649999999999998</v>
      </c>
      <c r="BL161" s="44">
        <v>0.66600000000000004</v>
      </c>
      <c r="BM161" s="44" cm="1">
        <f t="array" ref="BM161">_xlfn.IFS(BD161="NA","NA",BD161&gt;100%,"100%",BD161&lt;100,BD161)</f>
        <v>1</v>
      </c>
      <c r="BN161" s="44">
        <v>0</v>
      </c>
      <c r="BO161" s="44">
        <v>0</v>
      </c>
      <c r="BP161" s="44" t="s">
        <v>115</v>
      </c>
      <c r="BQ161" s="45">
        <v>0.22500000000000001</v>
      </c>
      <c r="BR161" s="45">
        <f t="shared" si="252"/>
        <v>9.3712500000000004E-2</v>
      </c>
      <c r="BS161" s="45">
        <v>5.6300000000000003E-2</v>
      </c>
      <c r="BT161" s="45">
        <v>3.7499999999999999E-2</v>
      </c>
      <c r="BU161" s="45">
        <v>3.7499999999999999E-2</v>
      </c>
      <c r="BV161" s="45">
        <v>5.6300000000000003E-2</v>
      </c>
      <c r="BW161" s="45">
        <f t="shared" si="254"/>
        <v>5.6300000000000003E-2</v>
      </c>
      <c r="BX161" s="45">
        <f t="shared" si="255"/>
        <v>5.6212500000000006E-2</v>
      </c>
      <c r="BY161" s="45">
        <v>5.6300000000000003E-2</v>
      </c>
      <c r="BZ161" s="45">
        <v>0</v>
      </c>
      <c r="CA161" s="45">
        <f t="shared" si="253"/>
        <v>0</v>
      </c>
      <c r="CB161" s="45">
        <v>5.6300000000000003E-2</v>
      </c>
      <c r="CC161" s="45">
        <v>0</v>
      </c>
      <c r="CD161" s="45">
        <v>0</v>
      </c>
      <c r="CE161" s="45">
        <v>0</v>
      </c>
      <c r="CF161" s="45" t="s">
        <v>115</v>
      </c>
      <c r="CG161" s="45">
        <v>0</v>
      </c>
      <c r="CH161" s="244">
        <f t="shared" si="275"/>
        <v>1</v>
      </c>
      <c r="CI161" s="244">
        <f t="shared" si="276"/>
        <v>1</v>
      </c>
      <c r="CJ161" s="244">
        <f t="shared" si="277"/>
        <v>1</v>
      </c>
      <c r="CK161" s="244">
        <f t="shared" si="278"/>
        <v>1</v>
      </c>
      <c r="CL161">
        <f t="shared" si="279"/>
        <v>4</v>
      </c>
      <c r="CM161" s="63">
        <f t="shared" si="280"/>
        <v>83.3</v>
      </c>
    </row>
    <row r="162" spans="1:91" s="324" customFormat="1" ht="18" hidden="1" customHeight="1">
      <c r="A162" s="316" t="s">
        <v>992</v>
      </c>
      <c r="B162" s="316" t="s">
        <v>993</v>
      </c>
      <c r="C162" s="316" t="s">
        <v>100</v>
      </c>
      <c r="D162" s="316" t="s">
        <v>1074</v>
      </c>
      <c r="E162" s="316" t="s">
        <v>1075</v>
      </c>
      <c r="F162" s="316" t="s">
        <v>1076</v>
      </c>
      <c r="G162" s="316" t="s">
        <v>1077</v>
      </c>
      <c r="H162" s="316" t="s">
        <v>1120</v>
      </c>
      <c r="I162" s="316"/>
      <c r="J162" s="316"/>
      <c r="K162" s="316" t="s">
        <v>1121</v>
      </c>
      <c r="L162" s="316" t="s">
        <v>1122</v>
      </c>
      <c r="M162" s="316" t="s">
        <v>1123</v>
      </c>
      <c r="N162" s="316" t="s">
        <v>123</v>
      </c>
      <c r="O162" s="316" t="s">
        <v>124</v>
      </c>
      <c r="P162" s="317">
        <v>100</v>
      </c>
      <c r="Q162" s="318">
        <v>100</v>
      </c>
      <c r="R162" s="318">
        <v>60</v>
      </c>
      <c r="S162" s="318" t="str">
        <f>VLOOKUP(K162,'1105 Gobierno'!$K$12:$AK$31,9,0)</f>
        <v>Durante la vigencia se ha realizado el reconocimiento y garantía frente a los escenarios de participación a las víctimas enmarcados en las disposiciones legales. Asimismo se realizó la conmemoración del día de la memoria y la solidaridad de las víctimas de conflicto armado, y se ha brindado apoyo, asistencia técnica, asesorías y capacitación a los 25 miembros de la mesa de participación. A su vez, se realizó rendición de cuentas en el marco del diálogo de más bienestar. Actualmente se están realizando compras de computadores y elementos de identificación a las víctimas representantes de la mesa.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Desde la Dirección de Atención Integral a Victimas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v>
      </c>
      <c r="T162" s="318">
        <v>20</v>
      </c>
      <c r="U162" s="318">
        <v>0</v>
      </c>
      <c r="V162" s="318">
        <v>20</v>
      </c>
      <c r="W162" s="318">
        <v>0</v>
      </c>
      <c r="X162" s="318">
        <v>20</v>
      </c>
      <c r="Y162" s="318">
        <v>0</v>
      </c>
      <c r="Z162" s="318">
        <v>20</v>
      </c>
      <c r="AA162" s="318" t="s">
        <v>1124</v>
      </c>
      <c r="AB162" s="318" t="s">
        <v>1125</v>
      </c>
      <c r="AC162" s="318">
        <v>0</v>
      </c>
      <c r="AD162" s="318">
        <v>0</v>
      </c>
      <c r="AE162" s="318">
        <v>100</v>
      </c>
      <c r="AF162" s="318">
        <f>VLOOKUP(K162,'1105 Gobierno'!$K$12:$AK$31,22,0)</f>
        <v>0</v>
      </c>
      <c r="AG162" s="318">
        <f>VLOOKUP(K162,'1105 Gobierno'!$K$12:$AK$31,23,0)</f>
        <v>100</v>
      </c>
      <c r="AH162" s="318">
        <f>AG162</f>
        <v>100</v>
      </c>
      <c r="AI162" s="318" t="str">
        <f>VLOOKUP(K162,'1105 Gobierno'!$K$12:$AK$31,25,0)</f>
        <v xml:space="preserve">Garantía de participación a víctimas </v>
      </c>
      <c r="AJ162" s="318" t="str">
        <f>VLOOKUP(K162,'1105 Gobierno'!$K$12:$AK$31,26,0)</f>
        <v>Se ha avanzado en 3 asistencias técnicas a los miembros de la mesa departamental de víctimas. Se ha realizado el pago de tres resoluciones a los miembros de la mesa departamental de Participación efectiva de victimas.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Los beneficiarios son los 26 miembros de la Mesa Departamental de Participación Efectiva de Victimas, de acuerdo a la ley 1448 de 2011 y sus decretos reglamentarios. Desde la Dirección de Atención Integral a Victimas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 Se realizó convenio con los municipios de VILLETA y RICAURTE para la conmemoracion del dia de la memoria y solidaridad con las victimas. Los beneficiarios son los 26 miembros de la Mesa Departamental de Participación Efectiva de Victimas, de acuerdo a la ley 1448 de 2011 y sus decretos reglamentarios, se ejecutarón los contratos Número: SGO-CDCVI-309-2021 con el Municipio de Villeta por valor de $ 20.000.000 para la conmemoración del día de la memoría y solidaridad con las victimas y contrato Número SGO-CDCVI-310-2021 con el Municipio de Ricaurte por valor de $ 20.000.000 para la conmemoración del día de la memoría y solidaridad con las victimas, se realizo contrato Número SGO-CMC-270-2021 con Excellence Colombia SAS por valor de $ 4.000.000 para el Desarrollo de los requerimientos para la ejecucion del plan de trabajo de la Mesa Departamental. pago de la resolución Número 68 de 2021 por valor de $ 30.570.713 para los integrantes de la Mesa Departamental de Victimas.</v>
      </c>
      <c r="AK162" s="318">
        <f>VLOOKUP(K162,'1105 Gobierno'!$K$12:$AK$31,27,0)</f>
        <v>0</v>
      </c>
      <c r="AL162" s="318">
        <v>0</v>
      </c>
      <c r="AM162" s="318">
        <v>100</v>
      </c>
      <c r="AN162" s="318">
        <v>0</v>
      </c>
      <c r="AO162" s="318">
        <v>100</v>
      </c>
      <c r="AP162" s="318">
        <v>0</v>
      </c>
      <c r="AQ162" s="318">
        <v>0</v>
      </c>
      <c r="AR162" s="319">
        <v>50000000</v>
      </c>
      <c r="AS162" s="320">
        <v>0</v>
      </c>
      <c r="AT162" s="320">
        <f t="shared" si="246"/>
        <v>50000000</v>
      </c>
      <c r="AU162" s="319">
        <v>36073360</v>
      </c>
      <c r="AV162" s="400">
        <v>400000000</v>
      </c>
      <c r="AW162" s="321"/>
      <c r="AX162" s="321"/>
      <c r="AY162" s="400">
        <v>372144703</v>
      </c>
      <c r="AZ162" s="322" cm="1">
        <f t="array" ref="AZ162">_xlfn.IFS((BA162=0),(BD162/CL162),(BA162&gt;0),((BB162+BD162)/CL162),(BE162&gt;0),((BB162+BD162+BE162)/CL162),(BG162&gt;0),((BB162+BD162+BE162+G162)/CL162))</f>
        <v>0.5</v>
      </c>
      <c r="BA162" s="322">
        <v>0.2</v>
      </c>
      <c r="BB162" s="322">
        <v>1</v>
      </c>
      <c r="BC162" s="322">
        <f>IF(AE162&gt;0,(1/CL162),0)</f>
        <v>0.25</v>
      </c>
      <c r="BD162" s="322" cm="2">
        <f t="array" ref="BD162">_xlfn.IFS(AE162=0,"NA",AE162&gt;0,AH162/AE162)</f>
        <v>1</v>
      </c>
      <c r="BE162" s="322">
        <f t="shared" ref="BE162:BE163" si="281">AL162/Q162</f>
        <v>0</v>
      </c>
      <c r="BF162" s="322">
        <v>0</v>
      </c>
      <c r="BG162" s="322">
        <f t="shared" ref="BG162:BG163" si="282">AN162/Q162</f>
        <v>0</v>
      </c>
      <c r="BH162" s="322">
        <v>0</v>
      </c>
      <c r="BI162" s="322">
        <f>AP162/Q162</f>
        <v>0</v>
      </c>
      <c r="BJ162" s="322" t="s">
        <v>115</v>
      </c>
      <c r="BK162" s="322">
        <f t="shared" si="247"/>
        <v>0.5</v>
      </c>
      <c r="BL162" s="322">
        <v>1</v>
      </c>
      <c r="BM162" s="322" cm="1">
        <f t="array" ref="BM162">_xlfn.IFS(BD162="NA","NA",BD162&gt;100%,"100%",BD162&lt;100,BD162)</f>
        <v>1</v>
      </c>
      <c r="BN162" s="322" cm="1">
        <f t="array" ref="BN162">_xlfn.IFS(BF162="NA","NA",BF162&gt;100%,"100%",BF162&lt;100,BF162)</f>
        <v>0</v>
      </c>
      <c r="BO162" s="322" cm="1">
        <f t="array" ref="BO162">_xlfn.IFS(BH162="NA","NA",BH162&gt;100%,"100%",BH162&lt;100,BH162)</f>
        <v>0</v>
      </c>
      <c r="BP162" s="322" t="str" cm="1">
        <f t="array" ref="BP162">_xlfn.IFS(BJ162="NA","NA",BJ162&gt;100%,"100%",BJ162&lt;100,BJ162)</f>
        <v>NA</v>
      </c>
      <c r="BQ162" s="323">
        <v>0.22500000000000001</v>
      </c>
      <c r="BR162" s="323">
        <f t="shared" si="252"/>
        <v>0.1125</v>
      </c>
      <c r="BS162" s="323">
        <v>4.4999999999999998E-2</v>
      </c>
      <c r="BT162" s="323">
        <v>4.4999999999999998E-2</v>
      </c>
      <c r="BU162" s="323">
        <v>4.4999999999999998E-2</v>
      </c>
      <c r="BV162" s="323">
        <f t="shared" ref="BV162:BV163" si="283">(AD162*BQ162)/Q162</f>
        <v>0</v>
      </c>
      <c r="BW162" s="323">
        <f t="shared" si="254"/>
        <v>0</v>
      </c>
      <c r="BX162" s="323">
        <f t="shared" si="255"/>
        <v>6.7500000000000004E-2</v>
      </c>
      <c r="BY162" s="323">
        <f t="shared" ref="BY162:BY163" si="284">(AL162*BQ162)/Q162</f>
        <v>0</v>
      </c>
      <c r="BZ162" s="323">
        <f t="shared" ref="BZ162:BZ163" si="285">IF(BN162="NA","NA",BN162*BY162)</f>
        <v>0</v>
      </c>
      <c r="CA162" s="323">
        <f t="shared" si="253"/>
        <v>0</v>
      </c>
      <c r="CB162" s="323">
        <f t="shared" ref="CB162:CB163" si="286">(AN162*BQ162)/Q162</f>
        <v>0</v>
      </c>
      <c r="CC162" s="323">
        <f t="shared" ref="CC162:CC163" si="287">IF(BO162="NA","NA",BO162*CB162)</f>
        <v>0</v>
      </c>
      <c r="CD162" s="323">
        <v>0</v>
      </c>
      <c r="CE162" s="323">
        <f>(AP162*BQ162)/Q162</f>
        <v>0</v>
      </c>
      <c r="CF162" s="323" t="str">
        <f>IF(BP162="NA","NA",BP162*CE162)</f>
        <v>NA</v>
      </c>
      <c r="CG162" s="323">
        <v>0</v>
      </c>
      <c r="CH162" s="321">
        <v>1</v>
      </c>
      <c r="CI162" s="244">
        <f t="shared" ref="CI162" si="288">IF(AE162&gt;0,1,0)</f>
        <v>1</v>
      </c>
      <c r="CJ162" s="244">
        <f t="shared" ref="CJ162" si="289">IF(AM162&gt;0,1,0)</f>
        <v>1</v>
      </c>
      <c r="CK162" s="244">
        <f t="shared" ref="CK162" si="290">IF(AO162&gt;0,1,0)</f>
        <v>1</v>
      </c>
      <c r="CL162">
        <f t="shared" ref="CL162" si="291">CH162+CI162+CJ162+CK162</f>
        <v>4</v>
      </c>
      <c r="CM162" s="63">
        <f t="shared" si="280"/>
        <v>60</v>
      </c>
    </row>
    <row r="163" spans="1:91" ht="18" hidden="1" customHeight="1">
      <c r="A163" s="260" t="s">
        <v>98</v>
      </c>
      <c r="B163" s="260" t="s">
        <v>99</v>
      </c>
      <c r="C163" s="260" t="s">
        <v>100</v>
      </c>
      <c r="D163" s="260" t="s">
        <v>1074</v>
      </c>
      <c r="E163" s="260" t="s">
        <v>1075</v>
      </c>
      <c r="F163" s="260" t="s">
        <v>1076</v>
      </c>
      <c r="G163" s="260" t="s">
        <v>1077</v>
      </c>
      <c r="H163" s="260" t="s">
        <v>1126</v>
      </c>
      <c r="I163" s="260"/>
      <c r="J163" s="12" t="s">
        <v>1127</v>
      </c>
      <c r="K163" s="260" t="s">
        <v>1128</v>
      </c>
      <c r="L163" s="260" t="s">
        <v>1129</v>
      </c>
      <c r="M163" s="260" t="s">
        <v>1130</v>
      </c>
      <c r="N163" s="260" t="s">
        <v>111</v>
      </c>
      <c r="O163" s="260" t="s">
        <v>112</v>
      </c>
      <c r="P163" s="10">
        <v>0</v>
      </c>
      <c r="Q163" s="11">
        <v>6</v>
      </c>
      <c r="R163" s="11">
        <f t="shared" ref="R163" si="292">Z163+AH163</f>
        <v>3</v>
      </c>
      <c r="S163" s="11" t="str">
        <f>VLOOKUP(K163,'1197 Salud'!$K$13:$AK$54,9,0)</f>
        <v xml:space="preserve">Implementación  del  protocolo  atención integral en salud con  enfoque psicosocial y diferencial diseñado por el Ministerio de Salud con base en la ley 1448 de 2011.en   el muncipios de La palma y avance en Soacha y zipaquira </v>
      </c>
      <c r="T163" s="11">
        <v>1</v>
      </c>
      <c r="U163" s="11">
        <v>0</v>
      </c>
      <c r="V163" s="11">
        <v>1</v>
      </c>
      <c r="W163" s="11">
        <v>0</v>
      </c>
      <c r="X163" s="11">
        <v>1</v>
      </c>
      <c r="Y163" s="11">
        <v>0</v>
      </c>
      <c r="Z163" s="11">
        <v>1</v>
      </c>
      <c r="AA163" s="11" t="s">
        <v>1131</v>
      </c>
      <c r="AB163" s="11" t="s">
        <v>1132</v>
      </c>
      <c r="AC163" s="11" t="s">
        <v>1133</v>
      </c>
      <c r="AD163" s="11">
        <v>2</v>
      </c>
      <c r="AE163" s="11">
        <v>0</v>
      </c>
      <c r="AF163" s="11">
        <f>VLOOKUP(K163,'1197 Salud'!$K$13:$AK$54,22,0)</f>
        <v>2</v>
      </c>
      <c r="AG163" s="11">
        <f>VLOOKUP(K163,'1197 Salud'!$K$13:$AK$54,23,0)</f>
        <v>0</v>
      </c>
      <c r="AH163" s="11">
        <f t="shared" ref="AH163" si="293">AF163</f>
        <v>2</v>
      </c>
      <c r="AI163" s="11" t="str">
        <f>VLOOKUP(K163,'1197 Salud'!$K$13:$AK$54,25,0)</f>
        <v>municipio con la implementación del protocolo  atención integral en salud con  enfoque psicosocial y diferencial diseñado por el Ministerio de Salud con base en la ley 1448 de 2011.</v>
      </c>
      <c r="AJ163" s="11">
        <f>VLOOKUP(K163,'1197 Salud'!$K$13:$AK$54,26,0)</f>
        <v>0</v>
      </c>
      <c r="AK163" s="11" t="str">
        <f>VLOOKUP(K163,'1197 Salud'!$K$13:$AK$54,27,0)</f>
        <v>N/A</v>
      </c>
      <c r="AL163" s="11">
        <v>2</v>
      </c>
      <c r="AM163" s="11">
        <v>0</v>
      </c>
      <c r="AN163" s="11">
        <v>1</v>
      </c>
      <c r="AO163" s="11">
        <v>0</v>
      </c>
      <c r="AP163" s="11">
        <v>0</v>
      </c>
      <c r="AQ163" s="11">
        <v>0</v>
      </c>
      <c r="AR163" s="51">
        <v>466259449</v>
      </c>
      <c r="AS163" s="54">
        <v>0</v>
      </c>
      <c r="AT163" s="54">
        <f t="shared" si="246"/>
        <v>466259449</v>
      </c>
      <c r="AU163" s="51">
        <v>448828397</v>
      </c>
      <c r="AV163" s="243">
        <v>1111101906</v>
      </c>
      <c r="AW163" s="244"/>
      <c r="AX163" s="244"/>
      <c r="AY163" s="243">
        <v>706547406</v>
      </c>
      <c r="AZ163" s="44">
        <f>R163/Q163</f>
        <v>0.5</v>
      </c>
      <c r="BA163" s="44">
        <v>0.16669999999999999</v>
      </c>
      <c r="BB163" s="44">
        <v>1</v>
      </c>
      <c r="BC163" s="44">
        <f t="shared" ref="BC163" si="294">AD163/Q163</f>
        <v>0.33333333333333331</v>
      </c>
      <c r="BD163" s="44" cm="1">
        <f t="array" ref="BD163">_xlfn.IFS(AD163=0,"NA",AD163&gt;0,AH163/AD163)</f>
        <v>1</v>
      </c>
      <c r="BE163" s="44">
        <f t="shared" si="281"/>
        <v>0.33333333333333331</v>
      </c>
      <c r="BF163" s="44">
        <v>0</v>
      </c>
      <c r="BG163" s="44">
        <f t="shared" si="282"/>
        <v>0.16666666666666666</v>
      </c>
      <c r="BH163" s="44">
        <v>0</v>
      </c>
      <c r="BI163" s="44">
        <f>AP163/Q163</f>
        <v>0</v>
      </c>
      <c r="BJ163" s="44" t="s">
        <v>115</v>
      </c>
      <c r="BK163" s="44">
        <f t="shared" si="247"/>
        <v>0.5</v>
      </c>
      <c r="BL163" s="44">
        <v>1</v>
      </c>
      <c r="BM163" s="44" cm="1">
        <f t="array" ref="BM163">_xlfn.IFS(BD163="NA","NA",BD163&gt;100%,"100%",BD163&lt;100,BD163)</f>
        <v>1</v>
      </c>
      <c r="BN163" s="44" cm="1">
        <f t="array" ref="BN163">_xlfn.IFS(BF163="NA","NA",BF163&gt;100%,"100%",BF163&lt;100,BF163)</f>
        <v>0</v>
      </c>
      <c r="BO163" s="44" cm="1">
        <f t="array" ref="BO163">_xlfn.IFS(BH163="NA","NA",BH163&gt;100%,"100%",BH163&lt;100,BH163)</f>
        <v>0</v>
      </c>
      <c r="BP163" s="44" t="str" cm="1">
        <f t="array" ref="BP163">_xlfn.IFS(BJ163="NA","NA",BJ163&gt;100%,"100%",BJ163&lt;100,BJ163)</f>
        <v>NA</v>
      </c>
      <c r="BQ163" s="45">
        <v>0.22500000000000001</v>
      </c>
      <c r="BR163" s="45">
        <f t="shared" si="252"/>
        <v>0.1125</v>
      </c>
      <c r="BS163" s="45">
        <v>3.7499999999999999E-2</v>
      </c>
      <c r="BT163" s="45">
        <v>3.7499999999999999E-2</v>
      </c>
      <c r="BU163" s="45">
        <v>3.7499999999999999E-2</v>
      </c>
      <c r="BV163" s="45">
        <f t="shared" si="283"/>
        <v>7.4999999999999997E-2</v>
      </c>
      <c r="BW163" s="45">
        <f t="shared" si="254"/>
        <v>7.4999999999999997E-2</v>
      </c>
      <c r="BX163" s="45">
        <f t="shared" si="255"/>
        <v>7.5000000000000011E-2</v>
      </c>
      <c r="BY163" s="45">
        <f t="shared" si="284"/>
        <v>7.4999999999999997E-2</v>
      </c>
      <c r="BZ163" s="45">
        <f t="shared" si="285"/>
        <v>0</v>
      </c>
      <c r="CA163" s="45">
        <f t="shared" si="253"/>
        <v>0</v>
      </c>
      <c r="CB163" s="45">
        <f t="shared" si="286"/>
        <v>3.7499999999999999E-2</v>
      </c>
      <c r="CC163" s="45">
        <f t="shared" si="287"/>
        <v>0</v>
      </c>
      <c r="CD163" s="45">
        <v>0</v>
      </c>
      <c r="CE163" s="45">
        <f>(AP163*BQ163)/Q163</f>
        <v>0</v>
      </c>
      <c r="CF163" s="45" t="str">
        <f>IF(BP163="NA","NA",BP163*CE163)</f>
        <v>NA</v>
      </c>
      <c r="CG163" s="45">
        <v>0</v>
      </c>
      <c r="CH163" s="244"/>
      <c r="CI163" s="244"/>
      <c r="CJ163" s="244"/>
      <c r="CK163" s="244"/>
      <c r="CM163" s="63">
        <v>3</v>
      </c>
    </row>
    <row r="164" spans="1:91" ht="18" hidden="1" customHeight="1">
      <c r="A164" s="260" t="s">
        <v>907</v>
      </c>
      <c r="B164" s="260" t="s">
        <v>908</v>
      </c>
      <c r="C164" s="260" t="s">
        <v>100</v>
      </c>
      <c r="D164" s="260" t="s">
        <v>1074</v>
      </c>
      <c r="E164" s="260" t="s">
        <v>1134</v>
      </c>
      <c r="F164" s="260" t="s">
        <v>1135</v>
      </c>
      <c r="G164" s="260" t="s">
        <v>1136</v>
      </c>
      <c r="H164" s="260" t="s">
        <v>1137</v>
      </c>
      <c r="I164" s="260" t="s">
        <v>973</v>
      </c>
      <c r="J164" s="260"/>
      <c r="K164" s="260" t="s">
        <v>1138</v>
      </c>
      <c r="L164" s="260" t="s">
        <v>1139</v>
      </c>
      <c r="M164" s="260" t="s">
        <v>1140</v>
      </c>
      <c r="N164" s="260" t="s">
        <v>111</v>
      </c>
      <c r="O164" s="260" t="s">
        <v>124</v>
      </c>
      <c r="P164" s="10">
        <v>1500</v>
      </c>
      <c r="Q164" s="11">
        <v>650</v>
      </c>
      <c r="R164" s="11">
        <f>(Z164+AH164)/CL164</f>
        <v>674.75</v>
      </c>
      <c r="S164" s="11" t="str">
        <f>VLOOKUP(K164,'1207 Beneficencia'!$K$13:$AK$15,9,0)</f>
        <v xml:space="preserve">1311 personas con discapacidad mental y cognitiva mayores de 18 años, víctimas de una o más violencias, viviendo en medio seguro y con el disfrute de sus derechos fundamentales en tres centros de la Beneficencia </v>
      </c>
      <c r="T164" s="11">
        <v>0</v>
      </c>
      <c r="U164" s="11">
        <v>1500</v>
      </c>
      <c r="V164" s="11">
        <v>0</v>
      </c>
      <c r="W164" s="11">
        <v>1500</v>
      </c>
      <c r="X164" s="11" t="s">
        <v>115</v>
      </c>
      <c r="Y164" s="11">
        <v>1365</v>
      </c>
      <c r="Z164" s="11">
        <v>1365</v>
      </c>
      <c r="AA164" s="11" t="s">
        <v>1141</v>
      </c>
      <c r="AB164" s="11" t="s">
        <v>1142</v>
      </c>
      <c r="AC164" s="11" t="s">
        <v>1143</v>
      </c>
      <c r="AD164" s="11">
        <v>0</v>
      </c>
      <c r="AE164" s="11">
        <v>1500</v>
      </c>
      <c r="AF164" s="11" t="str">
        <f>VLOOKUP(K164,'1207 Beneficencia'!$K$13:$AK$15,22,0)</f>
        <v>NA</v>
      </c>
      <c r="AG164" s="11">
        <f>VLOOKUP(K164,'1207 Beneficencia'!$K$13:$AK$15,23,0)</f>
        <v>1334</v>
      </c>
      <c r="AH164" s="11">
        <f>AG164</f>
        <v>1334</v>
      </c>
      <c r="AI164" s="11" t="str">
        <f>VLOOKUP(K164,'1207 Beneficencia'!$K$13:$AK$15,25,0)</f>
        <v>Protección integral institucionalizada donde reciben alojamiento, alimentación, vestido, dotación personal de elementos de aseo, atención especializada en psiquiatría,  psicología, trabajo social, gerontología, enfermería, terapias física y ocupacional, nutrición, talleres ocupacionales, recreación, acceso a servicios de salud y funerarios</v>
      </c>
      <c r="AJ164" s="11" t="str">
        <f>VLOOKUP(K164,'1207 Beneficencia'!$K$13:$AK$15,26,0)</f>
        <v>Se han atendido durante la vigencia 660 mujeres y 674 hombres mayores de 18 años, con discapacidad mental y cognitiva, víctimas de una o más violencias, quienes disfrutan de sus derechos fundamentales en 3 centros de la Beneficencia de Cundinamarca</v>
      </c>
      <c r="AK164" s="11" t="str">
        <f>VLOOKUP(K164,'1207 Beneficencia'!$K$13:$AK$15,27,0)</f>
        <v>Los recursos económicos propios de la entidad son insuficientes y se requiere de la articulación y cofinanciación con el Departamento para cumplir a cabalidad con la inversión social en estas metas</v>
      </c>
      <c r="AL164" s="11">
        <v>0</v>
      </c>
      <c r="AM164" s="11">
        <v>1500</v>
      </c>
      <c r="AN164" s="11">
        <v>0</v>
      </c>
      <c r="AO164" s="11">
        <v>1500</v>
      </c>
      <c r="AP164" s="11">
        <v>0</v>
      </c>
      <c r="AQ164" s="11">
        <v>0</v>
      </c>
      <c r="AR164" s="51">
        <v>1560437718</v>
      </c>
      <c r="AS164" s="54">
        <v>3939290206</v>
      </c>
      <c r="AT164" s="54">
        <f t="shared" si="246"/>
        <v>5499727924</v>
      </c>
      <c r="AU164" s="51">
        <v>1560437718</v>
      </c>
      <c r="AV164" s="243">
        <v>42222925712</v>
      </c>
      <c r="AW164" s="244"/>
      <c r="AX164" s="244"/>
      <c r="AY164" s="243">
        <v>27762654546</v>
      </c>
      <c r="AZ164" s="44" cm="1">
        <f t="array" ref="AZ164">_xlfn.IFS((BA164=0),(BD164/CL164),(BA164&gt;0),((BB164+BD164)/CL164),(BE164&gt;0),((BB164+BD164+BE164)/CL164),(BG164&gt;0),((BB164+BD164+BE164+G164)/CL164))</f>
        <v>0.44983333333333331</v>
      </c>
      <c r="BA164" s="44">
        <v>0.25</v>
      </c>
      <c r="BB164" s="44">
        <v>0.91</v>
      </c>
      <c r="BC164" s="44">
        <f>IF(AE164&gt;0,(1/CL164),0)</f>
        <v>0.25</v>
      </c>
      <c r="BD164" s="44" cm="1">
        <f t="array" ref="BD164">_xlfn.IFS(AE164=0,"NA",AE164&gt;0,AH164/AE164)</f>
        <v>0.88933333333333331</v>
      </c>
      <c r="BE164" s="44">
        <f>IF(AM164&gt;0,(1/CL164),0)</f>
        <v>0.25</v>
      </c>
      <c r="BF164" s="44">
        <v>0</v>
      </c>
      <c r="BG164" s="44">
        <f>IF(AO164&gt;0,(1/CL164),0)</f>
        <v>0.25</v>
      </c>
      <c r="BH164" s="44">
        <v>0</v>
      </c>
      <c r="BI164" s="44">
        <v>0</v>
      </c>
      <c r="BJ164" s="44" t="s">
        <v>115</v>
      </c>
      <c r="BK164" s="44">
        <f t="shared" si="247"/>
        <v>0.44983333333333331</v>
      </c>
      <c r="BL164" s="44">
        <v>0.91</v>
      </c>
      <c r="BM164" s="44" cm="1">
        <f t="array" ref="BM164">_xlfn.IFS(BD164="NA","NA",BD164&gt;100%,"100%",BD164&lt;100,BD164)</f>
        <v>0.88933333333333331</v>
      </c>
      <c r="BN164" s="44">
        <v>0</v>
      </c>
      <c r="BO164" s="44">
        <v>0</v>
      </c>
      <c r="BP164" s="44" t="s">
        <v>115</v>
      </c>
      <c r="BQ164" s="45">
        <v>0.22500000000000001</v>
      </c>
      <c r="BR164" s="45">
        <f t="shared" si="252"/>
        <v>0.1012125</v>
      </c>
      <c r="BS164" s="45">
        <v>5.6300000000000003E-2</v>
      </c>
      <c r="BT164" s="45">
        <v>5.1200000000000002E-2</v>
      </c>
      <c r="BU164" s="45">
        <v>5.1200000000000002E-2</v>
      </c>
      <c r="BV164" s="45">
        <v>5.6300000000000003E-2</v>
      </c>
      <c r="BW164" s="45">
        <f t="shared" si="254"/>
        <v>5.0069466666666666E-2</v>
      </c>
      <c r="BX164" s="45">
        <f t="shared" si="255"/>
        <v>5.0012499999999994E-2</v>
      </c>
      <c r="BY164" s="45">
        <v>5.6300000000000003E-2</v>
      </c>
      <c r="BZ164" s="45">
        <v>0</v>
      </c>
      <c r="CA164" s="45">
        <f t="shared" si="253"/>
        <v>0</v>
      </c>
      <c r="CB164" s="45">
        <v>5.6300000000000003E-2</v>
      </c>
      <c r="CC164" s="45">
        <v>0</v>
      </c>
      <c r="CD164" s="45">
        <v>0</v>
      </c>
      <c r="CE164" s="45">
        <v>0</v>
      </c>
      <c r="CF164" s="45" t="s">
        <v>115</v>
      </c>
      <c r="CG164" s="45">
        <v>0</v>
      </c>
      <c r="CH164" s="244">
        <f>IF(W164&gt;0,1,0)</f>
        <v>1</v>
      </c>
      <c r="CI164" s="244">
        <f>IF(AE164&gt;0,1,0)</f>
        <v>1</v>
      </c>
      <c r="CJ164" s="244">
        <f>IF(AM164&gt;0,1,0)</f>
        <v>1</v>
      </c>
      <c r="CK164" s="244">
        <f>IF(AO164&gt;0,1,0)</f>
        <v>1</v>
      </c>
      <c r="CL164">
        <f>CH164+CI164+CJ164+CK164</f>
        <v>4</v>
      </c>
      <c r="CM164" s="63">
        <f>AVERAGE(Z164,AH164)</f>
        <v>1349.5</v>
      </c>
    </row>
    <row r="165" spans="1:91" ht="18" hidden="1" customHeight="1">
      <c r="A165" s="260" t="s">
        <v>221</v>
      </c>
      <c r="B165" s="260" t="s">
        <v>222</v>
      </c>
      <c r="C165" s="260" t="s">
        <v>100</v>
      </c>
      <c r="D165" s="260" t="s">
        <v>1074</v>
      </c>
      <c r="E165" s="260" t="s">
        <v>1134</v>
      </c>
      <c r="F165" s="260" t="s">
        <v>1135</v>
      </c>
      <c r="G165" s="260" t="s">
        <v>1136</v>
      </c>
      <c r="H165" s="260" t="s">
        <v>1144</v>
      </c>
      <c r="I165" s="260"/>
      <c r="J165" s="260"/>
      <c r="K165" s="260" t="s">
        <v>1145</v>
      </c>
      <c r="L165" s="260" t="s">
        <v>1146</v>
      </c>
      <c r="M165" s="260" t="s">
        <v>1147</v>
      </c>
      <c r="N165" s="260" t="s">
        <v>111</v>
      </c>
      <c r="O165" s="260" t="s">
        <v>112</v>
      </c>
      <c r="P165" s="10">
        <v>0</v>
      </c>
      <c r="Q165" s="11">
        <v>6</v>
      </c>
      <c r="R165" s="11">
        <f t="shared" ref="R165:R166" ca="1" si="295">Z165+AH165</f>
        <v>2</v>
      </c>
      <c r="S165" s="11" t="str">
        <f ca="1">VLOOKUP(K165,'1220 IDECUT'!$K$13:$AK$48,9,0)</f>
        <v xml:space="preserve">En el 2020 se aunaron esfuerzos con el municipio de Fusagasugá para el fortalecimiento de los procesos de formación artística dirigida a la población en condición de discapacidad a través de la suscripción de un convenio para la  dotación de elementos acorde con las necesidades de las áreas artísticas, con el cual se benefició a 278 personas en condición de discapacidad física, sensorial auditiva, sensorial visual, sistémica, cognitiva, mental, psicosocial y múltiple. En 2021. Se ha apoyado un proceso cultural que beneficie a la población en condicion de discapacidad, especificamente en el municipio de Funza, el cual se encuentra en etapa de  convocatoria y tramite administrativo para firma. EL proyecto que tiene como objeto la creación de  "el vuelo de las aves"como un espacio  para la creacion de  artes escénicas y medios de comunicación con personas en discapacidad. </v>
      </c>
      <c r="T165" s="11">
        <v>1</v>
      </c>
      <c r="U165" s="11">
        <v>0</v>
      </c>
      <c r="V165" s="11">
        <v>1</v>
      </c>
      <c r="W165" s="11">
        <v>0</v>
      </c>
      <c r="X165" s="11">
        <v>1</v>
      </c>
      <c r="Y165" s="11">
        <v>0</v>
      </c>
      <c r="Z165" s="11">
        <v>1</v>
      </c>
      <c r="AA165" s="11" t="s">
        <v>1148</v>
      </c>
      <c r="AB165" s="11" t="s">
        <v>1149</v>
      </c>
      <c r="AC165" s="11" t="s">
        <v>1150</v>
      </c>
      <c r="AD165" s="11">
        <v>2</v>
      </c>
      <c r="AE165" s="11">
        <v>0</v>
      </c>
      <c r="AF165" s="11">
        <f ca="1">VLOOKUP(K165,'1220 IDECUT'!$K$13:$AK$48,22,0)</f>
        <v>1</v>
      </c>
      <c r="AG165" s="11">
        <f ca="1">VLOOKUP(K165,'1220 IDECUT'!$K$13:$AK$48,23,0)</f>
        <v>0</v>
      </c>
      <c r="AH165" s="11">
        <f t="shared" ref="AH165:AH166" ca="1" si="296">AF165</f>
        <v>1</v>
      </c>
      <c r="AI165" s="11" t="str">
        <f ca="1">VLOOKUP(K165,'1220 IDECUT'!$K$13:$AK$48,25,0)</f>
        <v>Proceso</v>
      </c>
      <c r="AJ165" s="11" t="str">
        <f ca="1">VLOOKUP(K165,'1220 IDECUT'!$K$13:$AK$48,26,0)</f>
        <v xml:space="preserve">Se ha apoyado un proceso cultural que beneficie a la población en condicion de discapacidad, especificamente en el municipio de Funza, el cual se encuentra en etapa de  convocatoria y tramite administrativo para firma. EL proyecto que tiene como objeto la creación de  "el vuelo de las aves"como un espacio  para la creacion de  artes escénicas y medios de comunicación con personas en discapacidad. </v>
      </c>
      <c r="AK165" s="11">
        <f ca="1">VLOOKUP(K165,'1220 IDECUT'!$K$13:$AK$48,27,0)</f>
        <v>0</v>
      </c>
      <c r="AL165" s="11">
        <v>2</v>
      </c>
      <c r="AM165" s="11">
        <v>0</v>
      </c>
      <c r="AN165" s="11">
        <v>1</v>
      </c>
      <c r="AO165" s="11">
        <v>0</v>
      </c>
      <c r="AP165" s="11">
        <v>0</v>
      </c>
      <c r="AQ165" s="11">
        <v>0</v>
      </c>
      <c r="AR165" s="51">
        <v>20000000</v>
      </c>
      <c r="AS165" s="54">
        <v>0</v>
      </c>
      <c r="AT165" s="54">
        <f t="shared" si="246"/>
        <v>20000000</v>
      </c>
      <c r="AU165" s="51">
        <v>20000000</v>
      </c>
      <c r="AV165" s="89">
        <v>71518220</v>
      </c>
      <c r="AW165" s="89"/>
      <c r="AX165" s="89"/>
      <c r="AY165" s="89">
        <v>24000000</v>
      </c>
      <c r="AZ165" s="44">
        <f ca="1">R165/Q165</f>
        <v>0.33333333333333331</v>
      </c>
      <c r="BA165" s="44">
        <v>0.16669999999999999</v>
      </c>
      <c r="BB165" s="44">
        <v>1</v>
      </c>
      <c r="BC165" s="44">
        <f t="shared" ref="BC165:BC166" si="297">AD165/Q165</f>
        <v>0.33333333333333331</v>
      </c>
      <c r="BD165" s="44" cm="1">
        <f t="array" aca="1" ref="BD165" ca="1">_xlfn.IFS(AD165=0,"NA",AD165&gt;0,AH165/AD165)</f>
        <v>0.5</v>
      </c>
      <c r="BE165" s="44">
        <f t="shared" ref="BE165:BE166" si="298">AL165/Q165</f>
        <v>0.33333333333333331</v>
      </c>
      <c r="BF165" s="44">
        <v>0</v>
      </c>
      <c r="BG165" s="44">
        <f t="shared" ref="BG165:BG166" si="299">AN165/Q165</f>
        <v>0.16666666666666666</v>
      </c>
      <c r="BH165" s="44">
        <v>0</v>
      </c>
      <c r="BI165" s="44">
        <f>AP165/Q165</f>
        <v>0</v>
      </c>
      <c r="BJ165" s="44" t="s">
        <v>115</v>
      </c>
      <c r="BK165" s="44">
        <f t="shared" ca="1" si="247"/>
        <v>0.33333333333333331</v>
      </c>
      <c r="BL165" s="44">
        <v>1</v>
      </c>
      <c r="BM165" s="44" cm="1">
        <f t="array" aca="1" ref="BM165" ca="1">_xlfn.IFS(BD165="NA","NA",BD165&gt;100%,"100%",BD165&lt;100,BD165)</f>
        <v>0.5</v>
      </c>
      <c r="BN165" s="44" cm="1">
        <f t="array" ref="BN165">_xlfn.IFS(BF165="NA","NA",BF165&gt;100%,"100%",BF165&lt;100,BF165)</f>
        <v>0</v>
      </c>
      <c r="BO165" s="44" cm="1">
        <f t="array" ref="BO165">_xlfn.IFS(BH165="NA","NA",BH165&gt;100%,"100%",BH165&lt;100,BH165)</f>
        <v>0</v>
      </c>
      <c r="BP165" s="44" t="str" cm="1">
        <f t="array" ref="BP165">_xlfn.IFS(BJ165="NA","NA",BJ165&gt;100%,"100%",BJ165&lt;100,BJ165)</f>
        <v>NA</v>
      </c>
      <c r="BQ165" s="45">
        <v>0.22500000000000001</v>
      </c>
      <c r="BR165" s="45">
        <f t="shared" ca="1" si="252"/>
        <v>7.4999999999999997E-2</v>
      </c>
      <c r="BS165" s="45">
        <v>3.7499999999999999E-2</v>
      </c>
      <c r="BT165" s="45">
        <v>3.7499999999999999E-2</v>
      </c>
      <c r="BU165" s="45">
        <v>3.7499999999999999E-2</v>
      </c>
      <c r="BV165" s="45">
        <f t="shared" ref="BV165:BV166" si="300">(AD165*BQ165)/Q165</f>
        <v>7.4999999999999997E-2</v>
      </c>
      <c r="BW165" s="45">
        <f t="shared" ca="1" si="254"/>
        <v>3.7499999999999999E-2</v>
      </c>
      <c r="BX165" s="45">
        <f t="shared" ca="1" si="255"/>
        <v>3.7499999999999999E-2</v>
      </c>
      <c r="BY165" s="45">
        <f t="shared" ref="BY165:BY166" si="301">(AL165*BQ165)/Q165</f>
        <v>7.4999999999999997E-2</v>
      </c>
      <c r="BZ165" s="45">
        <f t="shared" ref="BZ165:BZ166" si="302">IF(BN165="NA","NA",BN165*BY165)</f>
        <v>0</v>
      </c>
      <c r="CA165" s="45">
        <f t="shared" ca="1" si="253"/>
        <v>0</v>
      </c>
      <c r="CB165" s="45">
        <f t="shared" ref="CB165:CB166" si="303">(AN165*BQ165)/Q165</f>
        <v>3.7499999999999999E-2</v>
      </c>
      <c r="CC165" s="45">
        <f t="shared" ref="CC165:CC166" si="304">IF(BO165="NA","NA",BO165*CB165)</f>
        <v>0</v>
      </c>
      <c r="CD165" s="45">
        <v>0</v>
      </c>
      <c r="CE165" s="45">
        <f>(AP165*BQ165)/Q165</f>
        <v>0</v>
      </c>
      <c r="CF165" s="45" t="str">
        <f>IF(BP165="NA","NA",BP165*CE165)</f>
        <v>NA</v>
      </c>
      <c r="CG165" s="45">
        <v>0</v>
      </c>
      <c r="CH165" s="244"/>
      <c r="CI165" s="244"/>
      <c r="CJ165" s="244"/>
      <c r="CK165" s="244"/>
      <c r="CM165" s="63">
        <v>1</v>
      </c>
    </row>
    <row r="166" spans="1:91" ht="18" hidden="1" customHeight="1">
      <c r="A166" s="260" t="s">
        <v>248</v>
      </c>
      <c r="B166" s="260" t="s">
        <v>249</v>
      </c>
      <c r="C166" s="260" t="s">
        <v>100</v>
      </c>
      <c r="D166" s="260" t="s">
        <v>1074</v>
      </c>
      <c r="E166" s="260" t="s">
        <v>1134</v>
      </c>
      <c r="F166" s="260" t="s">
        <v>1135</v>
      </c>
      <c r="G166" s="260" t="s">
        <v>1136</v>
      </c>
      <c r="H166" s="260" t="s">
        <v>1151</v>
      </c>
      <c r="I166" s="260" t="s">
        <v>106</v>
      </c>
      <c r="J166" s="260"/>
      <c r="K166" s="406" t="s">
        <v>1152</v>
      </c>
      <c r="L166" s="260" t="s">
        <v>1153</v>
      </c>
      <c r="M166" s="260" t="s">
        <v>1154</v>
      </c>
      <c r="N166" s="260" t="s">
        <v>111</v>
      </c>
      <c r="O166" s="257" t="s">
        <v>124</v>
      </c>
      <c r="P166" s="10">
        <v>10</v>
      </c>
      <c r="Q166" s="11">
        <v>13</v>
      </c>
      <c r="R166" s="11">
        <f t="shared" si="295"/>
        <v>17</v>
      </c>
      <c r="S166" s="11" t="str">
        <f>VLOOKUP(K166,'1208 Indeportes'!$K$13:$AK$39,9,0)</f>
        <v>ACTIVATE LIVE; PROGRAMA EL CUAL SE TRASMITE POR MEDIO DE LA PAGINA DE FACEBOOK “INDEPORTES CUNDINAMARCA”.VACACIONES RECREATIVAS.MARATÓN DE RUMBA  AERÓBICA. ACERCAMIENTO CON LOS CENTROS DE APOYO PARA DISCAPACIDAD.</v>
      </c>
      <c r="T166" s="11">
        <v>13</v>
      </c>
      <c r="U166" s="11">
        <v>0</v>
      </c>
      <c r="V166" s="11">
        <v>13</v>
      </c>
      <c r="W166" s="11">
        <v>0</v>
      </c>
      <c r="X166" s="11">
        <v>6</v>
      </c>
      <c r="Y166" s="11">
        <v>0</v>
      </c>
      <c r="Z166" s="11">
        <v>6</v>
      </c>
      <c r="AA166" s="11">
        <v>0</v>
      </c>
      <c r="AB166" s="11" t="s">
        <v>1155</v>
      </c>
      <c r="AC166" s="11">
        <v>0</v>
      </c>
      <c r="AD166" s="11">
        <v>13</v>
      </c>
      <c r="AE166" s="11">
        <v>0</v>
      </c>
      <c r="AF166" s="11">
        <f>VLOOKUP(K166,'1208 Indeportes'!$K$13:$AH$39,22,0)</f>
        <v>11</v>
      </c>
      <c r="AG166" s="11">
        <f>VLOOKUP(K166,'1208 Indeportes'!$K$13:$AH$39,23,0)</f>
        <v>0</v>
      </c>
      <c r="AH166" s="11">
        <f t="shared" si="296"/>
        <v>11</v>
      </c>
      <c r="AI166" s="11">
        <f>VLOOKUP(K166,'1208 Indeportes'!$K$13:$AK$39,25,0)</f>
        <v>0</v>
      </c>
      <c r="AJ166" s="11" t="str">
        <f>VLOOKUP(K166,'1208 Indeportes'!$K$13:$AK$39,26,0)</f>
        <v xml:space="preserve">Se suscribieron convenios con los Municipios de San Juan de Rioseco, Guayabal de Síquima, Machetá y Chaguaní.
Se entregaron dotaciones compuestas de balones medicinales, mancuernas, balón de futbol de salón laminado, balón de baloncesto, Ula Ula, pelotas de caucho, conos de 20 cm, escaleras de agilidad, vallas de saltabilidad y colchonetas a las escuelas de formación deportiva discapacidad de Cota, Silvania, Soacha, Sibaté, Fusagasugá, Fúquene y Ubaté.
</v>
      </c>
      <c r="AK166" s="11">
        <f>VLOOKUP(K166,'1208 Indeportes'!$K$13:$AK$39,27,0)</f>
        <v>0</v>
      </c>
      <c r="AL166" s="11">
        <v>13</v>
      </c>
      <c r="AM166" s="11">
        <v>0</v>
      </c>
      <c r="AN166" s="11">
        <v>13</v>
      </c>
      <c r="AO166" s="11">
        <v>0</v>
      </c>
      <c r="AP166" s="11">
        <v>0</v>
      </c>
      <c r="AQ166" s="11">
        <v>0</v>
      </c>
      <c r="AR166" s="51">
        <v>92085085</v>
      </c>
      <c r="AS166" s="54">
        <v>0</v>
      </c>
      <c r="AT166" s="54">
        <f t="shared" si="246"/>
        <v>92085085</v>
      </c>
      <c r="AU166" s="51">
        <v>77226908</v>
      </c>
      <c r="AV166" s="243">
        <v>113670000</v>
      </c>
      <c r="AW166" s="244"/>
      <c r="AX166" s="244"/>
      <c r="AY166" s="243">
        <v>43107692</v>
      </c>
      <c r="AZ166" s="44">
        <f>R166/Q166</f>
        <v>1.3076923076923077</v>
      </c>
      <c r="BA166" s="44">
        <v>1</v>
      </c>
      <c r="BB166" s="44">
        <v>0.46150000000000002</v>
      </c>
      <c r="BC166" s="44">
        <f t="shared" si="297"/>
        <v>1</v>
      </c>
      <c r="BD166" s="44" cm="1">
        <f t="array" ref="BD166">_xlfn.IFS(AD166=0,"NA",AD166&gt;0,AH166/AD166)</f>
        <v>0.84615384615384615</v>
      </c>
      <c r="BE166" s="44">
        <f t="shared" si="298"/>
        <v>1</v>
      </c>
      <c r="BF166" s="44">
        <v>0</v>
      </c>
      <c r="BG166" s="44">
        <f t="shared" si="299"/>
        <v>1</v>
      </c>
      <c r="BH166" s="44">
        <v>0</v>
      </c>
      <c r="BI166" s="44">
        <f>AP166/Q166</f>
        <v>0</v>
      </c>
      <c r="BJ166" s="44" t="s">
        <v>115</v>
      </c>
      <c r="BK166" s="44" t="str">
        <f t="shared" si="247"/>
        <v>100%</v>
      </c>
      <c r="BL166" s="44">
        <v>0.46150000000000002</v>
      </c>
      <c r="BM166" s="44" cm="1">
        <f t="array" ref="BM166">_xlfn.IFS(BD166="NA","NA",BD166&gt;100%,"100%",BD166&lt;100,BD166)</f>
        <v>0.84615384615384615</v>
      </c>
      <c r="BN166" s="44" cm="1">
        <f t="array" ref="BN166">_xlfn.IFS(BF166="NA","NA",BF166&gt;100%,"100%",BF166&lt;100,BF166)</f>
        <v>0</v>
      </c>
      <c r="BO166" s="44" cm="1">
        <f t="array" ref="BO166">_xlfn.IFS(BH166="NA","NA",BH166&gt;100%,"100%",BH166&lt;100,BH166)</f>
        <v>0</v>
      </c>
      <c r="BP166" s="44" t="str" cm="1">
        <f t="array" ref="BP166">_xlfn.IFS(BJ166="NA","NA",BJ166&gt;100%,"100%",BJ166&lt;100,BJ166)</f>
        <v>NA</v>
      </c>
      <c r="BQ166" s="45">
        <v>0.22500000000000001</v>
      </c>
      <c r="BR166" s="45">
        <f t="shared" si="252"/>
        <v>0.22500000000000001</v>
      </c>
      <c r="BS166" s="45">
        <v>0.22500000000000001</v>
      </c>
      <c r="BT166" s="45">
        <v>0.1038</v>
      </c>
      <c r="BU166" s="45">
        <v>0.1038</v>
      </c>
      <c r="BV166" s="45">
        <f t="shared" si="300"/>
        <v>0.22500000000000003</v>
      </c>
      <c r="BW166" s="45">
        <f t="shared" si="254"/>
        <v>0.1903846153846154</v>
      </c>
      <c r="BX166" s="45">
        <f t="shared" si="255"/>
        <v>0.1212</v>
      </c>
      <c r="BY166" s="45">
        <f t="shared" si="301"/>
        <v>0.22500000000000003</v>
      </c>
      <c r="BZ166" s="45">
        <f t="shared" si="302"/>
        <v>0</v>
      </c>
      <c r="CA166" s="45">
        <f t="shared" si="253"/>
        <v>0</v>
      </c>
      <c r="CB166" s="45">
        <f t="shared" si="303"/>
        <v>0.22500000000000003</v>
      </c>
      <c r="CC166" s="45">
        <f t="shared" si="304"/>
        <v>0</v>
      </c>
      <c r="CD166" s="45">
        <v>0</v>
      </c>
      <c r="CE166" s="45">
        <f>(AP166*BQ166)/Q166</f>
        <v>0</v>
      </c>
      <c r="CF166" s="45" t="str">
        <f>IF(BP166="NA","NA",BP166*CE166)</f>
        <v>NA</v>
      </c>
      <c r="CG166" s="45">
        <v>0</v>
      </c>
      <c r="CH166" s="244"/>
      <c r="CI166" s="244"/>
      <c r="CJ166" s="244"/>
      <c r="CK166" s="244"/>
      <c r="CM166" s="63">
        <v>8</v>
      </c>
    </row>
    <row r="167" spans="1:91" ht="18" hidden="1" customHeight="1">
      <c r="A167" s="260" t="s">
        <v>144</v>
      </c>
      <c r="B167" s="260" t="s">
        <v>145</v>
      </c>
      <c r="C167" s="260" t="s">
        <v>100</v>
      </c>
      <c r="D167" s="260" t="s">
        <v>1074</v>
      </c>
      <c r="E167" s="260" t="s">
        <v>1134</v>
      </c>
      <c r="F167" s="260" t="s">
        <v>1135</v>
      </c>
      <c r="G167" s="260" t="s">
        <v>1136</v>
      </c>
      <c r="H167" s="260" t="s">
        <v>1156</v>
      </c>
      <c r="I167" s="260" t="s">
        <v>973</v>
      </c>
      <c r="J167" s="260"/>
      <c r="K167" s="260" t="s">
        <v>1157</v>
      </c>
      <c r="L167" s="260" t="s">
        <v>1158</v>
      </c>
      <c r="M167" s="260" t="s">
        <v>1159</v>
      </c>
      <c r="N167" s="260" t="s">
        <v>111</v>
      </c>
      <c r="O167" s="260" t="s">
        <v>124</v>
      </c>
      <c r="P167" s="10">
        <v>116</v>
      </c>
      <c r="Q167" s="11">
        <v>116</v>
      </c>
      <c r="R167" s="11">
        <f t="shared" ref="R167:R168" si="305">(Z167+AH167)/CL167</f>
        <v>54.5</v>
      </c>
      <c r="S167" s="11" t="str">
        <f>VLOOKUP(K167,'1126 Desarrollo Social'!$K$13:$S$58,9,0)</f>
        <v>Diagnostico del funcionamiento de los consejos de discapacidadCapacitación en el tema de registro de localización y caracterización de personas con discapacidad.El personal contratado para el desarrollo de las actividades de esta meta con vigencia del plan de desarrollo 2016-2020</v>
      </c>
      <c r="T167" s="11">
        <v>0</v>
      </c>
      <c r="U167" s="11">
        <v>116</v>
      </c>
      <c r="V167" s="11">
        <v>0</v>
      </c>
      <c r="W167" s="11">
        <v>116</v>
      </c>
      <c r="X167" s="11" t="s">
        <v>115</v>
      </c>
      <c r="Y167" s="11">
        <v>116</v>
      </c>
      <c r="Z167" s="11">
        <v>116</v>
      </c>
      <c r="AA167" s="11" t="s">
        <v>1160</v>
      </c>
      <c r="AB167" s="11" t="s">
        <v>1161</v>
      </c>
      <c r="AC167" s="11">
        <v>0</v>
      </c>
      <c r="AD167" s="11">
        <v>0</v>
      </c>
      <c r="AE167" s="11">
        <v>116</v>
      </c>
      <c r="AF167" s="11">
        <f>VLOOKUP(K167,'1126 Desarrollo Social'!$K$13:$AK$58,22,0)</f>
        <v>0</v>
      </c>
      <c r="AG167" s="11">
        <f>VLOOKUP(K167,'1126 Desarrollo Social'!$K$13:$AK$58,23,0)</f>
        <v>102</v>
      </c>
      <c r="AH167" s="11">
        <f t="shared" ref="AH167:AH168" si="306">AG167</f>
        <v>102</v>
      </c>
      <c r="AI167" s="11">
        <f>VLOOKUP(K167,'1126 Desarrollo Social'!$K$13:$AK$58,25,0)</f>
        <v>0</v>
      </c>
      <c r="AJ167" s="11" t="str">
        <f>VLOOKUP(K167,'1126 Desarrollo Social'!$K$13:$AK$58,26,0)</f>
        <v>se realizaron 102 certificaciones de Consejos de discapacidad con garantía de funcionamiento</v>
      </c>
      <c r="AK167" s="11">
        <f>VLOOKUP(K167,'1126 Desarrollo Social'!$K$13:$AK$58,27,0)</f>
        <v>0</v>
      </c>
      <c r="AL167" s="11">
        <v>0</v>
      </c>
      <c r="AM167" s="11">
        <v>116</v>
      </c>
      <c r="AN167" s="11">
        <v>0</v>
      </c>
      <c r="AO167" s="11">
        <v>116</v>
      </c>
      <c r="AP167" s="11">
        <v>0</v>
      </c>
      <c r="AQ167" s="11">
        <v>0</v>
      </c>
      <c r="AR167" s="51">
        <v>29400000</v>
      </c>
      <c r="AS167" s="54">
        <v>0</v>
      </c>
      <c r="AT167" s="54">
        <f t="shared" si="246"/>
        <v>29400000</v>
      </c>
      <c r="AU167" s="51">
        <v>20566665</v>
      </c>
      <c r="AV167" s="243">
        <v>60328072</v>
      </c>
      <c r="AW167" s="244"/>
      <c r="AX167" s="244"/>
      <c r="AY167" s="243">
        <v>45536000</v>
      </c>
      <c r="AZ167" s="44" cm="1">
        <f t="array" ref="AZ167">_xlfn.IFS((BA167=0),(BD167/CL167),(BA167&gt;0),((BB167+BD167)/CL167),(BE167&gt;0),((BB167+BD167+BE167)/CL167),(BG167&gt;0),((BB167+BD167+BE167+G167)/CL167))</f>
        <v>0.46982758620689657</v>
      </c>
      <c r="BA167" s="44">
        <v>0.25</v>
      </c>
      <c r="BB167" s="44">
        <v>1</v>
      </c>
      <c r="BC167" s="44">
        <f t="shared" ref="BC167:BC168" si="307">IF(AE167&gt;0,(1/CL167),0)</f>
        <v>0.25</v>
      </c>
      <c r="BD167" s="44" cm="1">
        <f t="array" ref="BD167">_xlfn.IFS(AE167=0,"NA",AE167&gt;0,AH167/AE167)</f>
        <v>0.87931034482758619</v>
      </c>
      <c r="BE167" s="44">
        <f t="shared" ref="BE167:BE168" si="308">IF(AM167&gt;0,(1/CL167),0)</f>
        <v>0.25</v>
      </c>
      <c r="BF167" s="44">
        <v>0</v>
      </c>
      <c r="BG167" s="44">
        <f t="shared" ref="BG167:BG168" si="309">IF(AO167&gt;0,(1/CL167),0)</f>
        <v>0.25</v>
      </c>
      <c r="BH167" s="44">
        <v>0</v>
      </c>
      <c r="BI167" s="44">
        <v>0</v>
      </c>
      <c r="BJ167" s="44" t="s">
        <v>115</v>
      </c>
      <c r="BK167" s="44">
        <f t="shared" si="247"/>
        <v>0.46982758620689657</v>
      </c>
      <c r="BL167" s="44">
        <v>1</v>
      </c>
      <c r="BM167" s="44" cm="1">
        <f t="array" ref="BM167">_xlfn.IFS(BD167="NA","NA",BD167&gt;100%,"100%",BD167&lt;100,BD167)</f>
        <v>0.87931034482758619</v>
      </c>
      <c r="BN167" s="44">
        <v>0</v>
      </c>
      <c r="BO167" s="44">
        <v>0</v>
      </c>
      <c r="BP167" s="44" t="s">
        <v>115</v>
      </c>
      <c r="BQ167" s="45">
        <v>0.22500000000000001</v>
      </c>
      <c r="BR167" s="45">
        <f t="shared" si="252"/>
        <v>0.10571120689655174</v>
      </c>
      <c r="BS167" s="45">
        <v>5.6300000000000003E-2</v>
      </c>
      <c r="BT167" s="45">
        <v>5.6300000000000003E-2</v>
      </c>
      <c r="BU167" s="45">
        <v>5.6300000000000003E-2</v>
      </c>
      <c r="BV167" s="45">
        <v>5.6300000000000003E-2</v>
      </c>
      <c r="BW167" s="45">
        <f t="shared" si="254"/>
        <v>4.9505172413793104E-2</v>
      </c>
      <c r="BX167" s="45">
        <f t="shared" si="255"/>
        <v>4.9411206896551735E-2</v>
      </c>
      <c r="BY167" s="45">
        <v>5.6300000000000003E-2</v>
      </c>
      <c r="BZ167" s="45">
        <v>0</v>
      </c>
      <c r="CA167" s="45">
        <f t="shared" si="253"/>
        <v>0</v>
      </c>
      <c r="CB167" s="45">
        <v>5.6300000000000003E-2</v>
      </c>
      <c r="CC167" s="45">
        <v>0</v>
      </c>
      <c r="CD167" s="45">
        <v>0</v>
      </c>
      <c r="CE167" s="45">
        <v>0</v>
      </c>
      <c r="CF167" s="45" t="s">
        <v>115</v>
      </c>
      <c r="CG167" s="45">
        <v>0</v>
      </c>
      <c r="CH167" s="244">
        <f t="shared" ref="CH167:CH168" si="310">IF(W167&gt;0,1,0)</f>
        <v>1</v>
      </c>
      <c r="CI167" s="244">
        <f t="shared" ref="CI167:CI168" si="311">IF(AE167&gt;0,1,0)</f>
        <v>1</v>
      </c>
      <c r="CJ167" s="244">
        <f t="shared" ref="CJ167:CJ168" si="312">IF(AM167&gt;0,1,0)</f>
        <v>1</v>
      </c>
      <c r="CK167" s="244">
        <f t="shared" ref="CK167:CK168" si="313">IF(AO167&gt;0,1,0)</f>
        <v>1</v>
      </c>
      <c r="CL167">
        <f t="shared" ref="CL167:CL168" si="314">CH167+CI167+CJ167+CK167</f>
        <v>4</v>
      </c>
      <c r="CM167" s="63">
        <f t="shared" ref="CM167:CM168" si="315">AVERAGE(Z167,AH167)</f>
        <v>109</v>
      </c>
    </row>
    <row r="168" spans="1:91" ht="18" hidden="1" customHeight="1">
      <c r="A168" s="260" t="s">
        <v>144</v>
      </c>
      <c r="B168" s="260" t="s">
        <v>145</v>
      </c>
      <c r="C168" s="260" t="s">
        <v>100</v>
      </c>
      <c r="D168" s="260" t="s">
        <v>1074</v>
      </c>
      <c r="E168" s="260" t="s">
        <v>1134</v>
      </c>
      <c r="F168" s="260" t="s">
        <v>1135</v>
      </c>
      <c r="G168" s="260" t="s">
        <v>1136</v>
      </c>
      <c r="H168" s="260" t="s">
        <v>1162</v>
      </c>
      <c r="I168" s="260" t="s">
        <v>973</v>
      </c>
      <c r="J168" s="260"/>
      <c r="K168" s="260" t="s">
        <v>1163</v>
      </c>
      <c r="L168" s="260" t="s">
        <v>1164</v>
      </c>
      <c r="M168" s="260" t="s">
        <v>1165</v>
      </c>
      <c r="N168" s="260" t="s">
        <v>111</v>
      </c>
      <c r="O168" s="260" t="s">
        <v>124</v>
      </c>
      <c r="P168" s="10">
        <v>2000</v>
      </c>
      <c r="Q168" s="11">
        <v>2500</v>
      </c>
      <c r="R168" s="11">
        <f t="shared" si="305"/>
        <v>965.5</v>
      </c>
      <c r="S168" s="11" t="str">
        <f>VLOOKUP(K168,'1126 Desarrollo Social'!$K$13:$S$58,9,0)</f>
        <v>Se garantizo el giro del periodo de mayo y junio Caracterización de los beneficiariosDiagnostico del funcionamiento de los consejos de discapacidadCapacitación en el tema de registro de localización y caracterización de personas con discapacidad.El personal contratado para el desarrollo de las actividades de esta meta con vigencia del plan de desarrollo 2016-2020</v>
      </c>
      <c r="T168" s="11">
        <v>0</v>
      </c>
      <c r="U168" s="11">
        <v>2000</v>
      </c>
      <c r="V168" s="11">
        <v>0</v>
      </c>
      <c r="W168" s="11">
        <v>2000</v>
      </c>
      <c r="X168" s="11" t="s">
        <v>115</v>
      </c>
      <c r="Y168" s="11">
        <v>1970</v>
      </c>
      <c r="Z168" s="11">
        <v>1970</v>
      </c>
      <c r="AA168" s="11" t="s">
        <v>1166</v>
      </c>
      <c r="AB168" s="11" t="s">
        <v>1167</v>
      </c>
      <c r="AC168" s="11" t="s">
        <v>1168</v>
      </c>
      <c r="AD168" s="11">
        <v>0</v>
      </c>
      <c r="AE168" s="11">
        <v>2500</v>
      </c>
      <c r="AF168" s="11">
        <f>VLOOKUP(K168,'1126 Desarrollo Social'!$K$13:$AK$58,22,0)</f>
        <v>0</v>
      </c>
      <c r="AG168" s="11">
        <f>VLOOKUP(K168,'1126 Desarrollo Social'!$K$13:$AK$58,23,0)</f>
        <v>1892</v>
      </c>
      <c r="AH168" s="11">
        <f t="shared" si="306"/>
        <v>1892</v>
      </c>
      <c r="AI168" s="11" t="str">
        <f>VLOOKUP(K168,'1126 Desarrollo Social'!$K$13:$AK$58,25,0)</f>
        <v>subsidio</v>
      </c>
      <c r="AJ168" s="11" t="str">
        <f>VLOOKUP(K168,'1126 Desarrollo Social'!$K$13:$AK$58,26,0)</f>
        <v xml:space="preserve">Actualización de Base de datos de beneficiarios. Se realizo giros a 1982 personas con discapacidad o cuidadres
Socializacion ordenanza 037 a los 116 municipios
Se aprobó proyecto de ordenanza 054 por parte de la asamblea departamental para poder ejecutar los recursos </v>
      </c>
      <c r="AK168" s="11">
        <f>VLOOKUP(K168,'1126 Desarrollo Social'!$K$13:$AK$58,27,0)</f>
        <v>0</v>
      </c>
      <c r="AL168" s="11">
        <v>0</v>
      </c>
      <c r="AM168" s="11">
        <v>2500</v>
      </c>
      <c r="AN168" s="11">
        <v>0</v>
      </c>
      <c r="AO168" s="11">
        <v>2500</v>
      </c>
      <c r="AP168" s="11">
        <v>0</v>
      </c>
      <c r="AQ168" s="11">
        <v>0</v>
      </c>
      <c r="AR168" s="51">
        <v>698802356</v>
      </c>
      <c r="AS168" s="54">
        <v>0</v>
      </c>
      <c r="AT168" s="54">
        <f t="shared" si="246"/>
        <v>698802356</v>
      </c>
      <c r="AU168" s="51">
        <v>349401178</v>
      </c>
      <c r="AV168" s="243">
        <v>1200000000</v>
      </c>
      <c r="AW168" s="244"/>
      <c r="AX168" s="244"/>
      <c r="AY168" s="243">
        <v>1037429129</v>
      </c>
      <c r="AZ168" s="44" cm="1">
        <f t="array" ref="AZ168">_xlfn.IFS((BA168=0),(BD168/CL168),(BA168&gt;0),((BB168+BD168)/CL168),(BE168&gt;0),((BB168+BD168+BE168)/CL168),(BG168&gt;0),((BB168+BD168+BE168+G168)/CL168))</f>
        <v>0.43545</v>
      </c>
      <c r="BA168" s="44">
        <v>0.25</v>
      </c>
      <c r="BB168" s="44">
        <v>0.98499999999999999</v>
      </c>
      <c r="BC168" s="44">
        <f t="shared" si="307"/>
        <v>0.25</v>
      </c>
      <c r="BD168" s="44" cm="1">
        <f t="array" ref="BD168">_xlfn.IFS(AE168=0,"NA",AE168&gt;0,AH168/AE168)</f>
        <v>0.75680000000000003</v>
      </c>
      <c r="BE168" s="44">
        <f t="shared" si="308"/>
        <v>0.25</v>
      </c>
      <c r="BF168" s="44">
        <v>0</v>
      </c>
      <c r="BG168" s="44">
        <f t="shared" si="309"/>
        <v>0.25</v>
      </c>
      <c r="BH168" s="44">
        <v>0</v>
      </c>
      <c r="BI168" s="44">
        <v>0</v>
      </c>
      <c r="BJ168" s="44" t="s">
        <v>115</v>
      </c>
      <c r="BK168" s="44">
        <f t="shared" si="247"/>
        <v>0.43545</v>
      </c>
      <c r="BL168" s="44">
        <v>0.98499999999999999</v>
      </c>
      <c r="BM168" s="44" cm="1">
        <f t="array" ref="BM168">_xlfn.IFS(BD168="NA","NA",BD168&gt;100%,"100%",BD168&lt;100,BD168)</f>
        <v>0.75680000000000003</v>
      </c>
      <c r="BN168" s="44">
        <v>0</v>
      </c>
      <c r="BO168" s="44">
        <v>0</v>
      </c>
      <c r="BP168" s="44" t="s">
        <v>115</v>
      </c>
      <c r="BQ168" s="45">
        <v>0.22500000000000001</v>
      </c>
      <c r="BR168" s="45">
        <f t="shared" si="252"/>
        <v>9.7976250000000001E-2</v>
      </c>
      <c r="BS168" s="45">
        <v>5.6300000000000003E-2</v>
      </c>
      <c r="BT168" s="45">
        <v>5.5500000000000001E-2</v>
      </c>
      <c r="BU168" s="45">
        <v>5.5399999999999998E-2</v>
      </c>
      <c r="BV168" s="45">
        <v>5.6300000000000003E-2</v>
      </c>
      <c r="BW168" s="45">
        <f t="shared" si="254"/>
        <v>4.2607840000000001E-2</v>
      </c>
      <c r="BX168" s="45">
        <f t="shared" si="255"/>
        <v>4.2576250000000003E-2</v>
      </c>
      <c r="BY168" s="45">
        <v>5.6300000000000003E-2</v>
      </c>
      <c r="BZ168" s="45">
        <v>0</v>
      </c>
      <c r="CA168" s="45">
        <f t="shared" si="253"/>
        <v>0</v>
      </c>
      <c r="CB168" s="45">
        <v>5.6300000000000003E-2</v>
      </c>
      <c r="CC168" s="45">
        <v>0</v>
      </c>
      <c r="CD168" s="45">
        <v>0</v>
      </c>
      <c r="CE168" s="45">
        <v>0</v>
      </c>
      <c r="CF168" s="45" t="s">
        <v>115</v>
      </c>
      <c r="CG168" s="45">
        <v>0</v>
      </c>
      <c r="CH168" s="244">
        <f t="shared" si="310"/>
        <v>1</v>
      </c>
      <c r="CI168" s="244">
        <f t="shared" si="311"/>
        <v>1</v>
      </c>
      <c r="CJ168" s="244">
        <f t="shared" si="312"/>
        <v>1</v>
      </c>
      <c r="CK168" s="244">
        <f t="shared" si="313"/>
        <v>1</v>
      </c>
      <c r="CL168">
        <f t="shared" si="314"/>
        <v>4</v>
      </c>
      <c r="CM168" s="63">
        <f t="shared" si="315"/>
        <v>1931</v>
      </c>
    </row>
    <row r="169" spans="1:91" ht="18" hidden="1" customHeight="1">
      <c r="A169" s="260" t="s">
        <v>144</v>
      </c>
      <c r="B169" s="260" t="s">
        <v>145</v>
      </c>
      <c r="C169" s="260" t="s">
        <v>100</v>
      </c>
      <c r="D169" s="260" t="s">
        <v>1074</v>
      </c>
      <c r="E169" s="260" t="s">
        <v>1134</v>
      </c>
      <c r="F169" s="260" t="s">
        <v>1135</v>
      </c>
      <c r="G169" s="260" t="s">
        <v>1136</v>
      </c>
      <c r="H169" s="260" t="s">
        <v>1169</v>
      </c>
      <c r="I169" s="260" t="s">
        <v>973</v>
      </c>
      <c r="J169" s="260"/>
      <c r="K169" s="260" t="s">
        <v>1170</v>
      </c>
      <c r="L169" s="260" t="s">
        <v>1171</v>
      </c>
      <c r="M169" s="260" t="s">
        <v>1172</v>
      </c>
      <c r="N169" s="260" t="s">
        <v>111</v>
      </c>
      <c r="O169" s="260" t="s">
        <v>112</v>
      </c>
      <c r="P169" s="10">
        <v>0</v>
      </c>
      <c r="Q169" s="11">
        <v>15</v>
      </c>
      <c r="R169" s="11">
        <f t="shared" ref="R169:R171" si="316">Z169+AH169</f>
        <v>0</v>
      </c>
      <c r="S169" s="11">
        <f>VLOOKUP(K169,'1126 Desarrollo Social'!$K$13:$S$58,9,0)</f>
        <v>0</v>
      </c>
      <c r="T169" s="11">
        <v>1</v>
      </c>
      <c r="U169" s="11">
        <v>0</v>
      </c>
      <c r="V169" s="11">
        <v>1</v>
      </c>
      <c r="W169" s="11">
        <v>0</v>
      </c>
      <c r="X169" s="11">
        <v>0</v>
      </c>
      <c r="Y169" s="11">
        <v>0</v>
      </c>
      <c r="Z169" s="11">
        <v>0</v>
      </c>
      <c r="AA169" s="11">
        <v>0</v>
      </c>
      <c r="AB169" s="11" t="s">
        <v>1173</v>
      </c>
      <c r="AC169" s="11">
        <v>0</v>
      </c>
      <c r="AD169" s="11">
        <v>0</v>
      </c>
      <c r="AE169" s="11">
        <v>0</v>
      </c>
      <c r="AF169" s="11">
        <f>VLOOKUP(K169,'1126 Desarrollo Social'!$K$13:$AK$58,22,0)</f>
        <v>0</v>
      </c>
      <c r="AG169" s="11">
        <f>VLOOKUP(K169,'1126 Desarrollo Social'!$K$13:$AK$58,23,0)</f>
        <v>0</v>
      </c>
      <c r="AH169" s="11">
        <f t="shared" ref="AH169:AH171" si="317">AF169</f>
        <v>0</v>
      </c>
      <c r="AI169" s="11">
        <f>VLOOKUP(K169,'1126 Desarrollo Social'!$K$13:$AK$58,25,0)</f>
        <v>0</v>
      </c>
      <c r="AJ169" s="11" t="str">
        <f>VLOOKUP(K169,'1126 Desarrollo Social'!$K$13:$AK$58,26,0)</f>
        <v xml:space="preserve">Registro completo del proyecto del municipio de Silvania, y en verificación por parte del ICCU los municippios de Alban y Guasca  </v>
      </c>
      <c r="AK169" s="11">
        <f>VLOOKUP(K169,'1126 Desarrollo Social'!$K$13:$AK$58,27,0)</f>
        <v>0</v>
      </c>
      <c r="AL169" s="11">
        <v>8</v>
      </c>
      <c r="AM169" s="11">
        <v>0</v>
      </c>
      <c r="AN169" s="11">
        <v>7</v>
      </c>
      <c r="AO169" s="11">
        <v>0</v>
      </c>
      <c r="AP169" s="11">
        <v>0</v>
      </c>
      <c r="AQ169" s="11">
        <v>0</v>
      </c>
      <c r="AR169" s="52"/>
      <c r="AS169" s="54">
        <v>300000000</v>
      </c>
      <c r="AT169" s="54">
        <f t="shared" si="246"/>
        <v>300000000</v>
      </c>
      <c r="AU169" s="52"/>
      <c r="AV169" s="243">
        <v>300000000</v>
      </c>
      <c r="AW169" s="244"/>
      <c r="AX169" s="244"/>
      <c r="AY169" s="243">
        <v>19400000</v>
      </c>
      <c r="AZ169" s="44">
        <f>R169/Q169</f>
        <v>0</v>
      </c>
      <c r="BA169" s="44">
        <v>6.6699999999999995E-2</v>
      </c>
      <c r="BB169" s="44">
        <v>0</v>
      </c>
      <c r="BC169" s="44">
        <f t="shared" ref="BC169:BC171" si="318">AD169/Q169</f>
        <v>0</v>
      </c>
      <c r="BD169" s="44" t="str" cm="1">
        <f t="array" ref="BD169">_xlfn.IFS(AD169=0,"NA",AD169&gt;0,AH169/AD169)</f>
        <v>NA</v>
      </c>
      <c r="BE169" s="44">
        <f t="shared" ref="BE169:BE171" si="319">AL169/Q169</f>
        <v>0.53333333333333333</v>
      </c>
      <c r="BF169" s="44">
        <v>0</v>
      </c>
      <c r="BG169" s="44">
        <f t="shared" ref="BG169:BG171" si="320">AN169/Q169</f>
        <v>0.46666666666666667</v>
      </c>
      <c r="BH169" s="44">
        <v>0</v>
      </c>
      <c r="BI169" s="44">
        <f>AP169/Q169</f>
        <v>0</v>
      </c>
      <c r="BJ169" s="44" t="s">
        <v>115</v>
      </c>
      <c r="BK169" s="44">
        <f t="shared" si="247"/>
        <v>0</v>
      </c>
      <c r="BL169" s="44">
        <v>0</v>
      </c>
      <c r="BM169" s="44" t="str" cm="1">
        <f t="array" ref="BM169">_xlfn.IFS(BD169="NA","NA",BD169&gt;100%,"100%",BD169&lt;100,BD169)</f>
        <v>NA</v>
      </c>
      <c r="BN169" s="44" cm="1">
        <f t="array" ref="BN169">_xlfn.IFS(BF169="NA","NA",BF169&gt;100%,"100%",BF169&lt;100,BF169)</f>
        <v>0</v>
      </c>
      <c r="BO169" s="44" cm="1">
        <f t="array" ref="BO169">_xlfn.IFS(BH169="NA","NA",BH169&gt;100%,"100%",BH169&lt;100,BH169)</f>
        <v>0</v>
      </c>
      <c r="BP169" s="44" t="str" cm="1">
        <f t="array" ref="BP169">_xlfn.IFS(BJ169="NA","NA",BJ169&gt;100%,"100%",BJ169&lt;100,BJ169)</f>
        <v>NA</v>
      </c>
      <c r="BQ169" s="45">
        <v>0.22500000000000001</v>
      </c>
      <c r="BR169" s="45">
        <f t="shared" si="252"/>
        <v>0</v>
      </c>
      <c r="BS169" s="45">
        <v>1.4999999999999999E-2</v>
      </c>
      <c r="BT169" s="45">
        <v>0</v>
      </c>
      <c r="BU169" s="45">
        <v>0</v>
      </c>
      <c r="BV169" s="45">
        <f t="shared" ref="BV169:BV171" si="321">(AD169*BQ169)/Q169</f>
        <v>0</v>
      </c>
      <c r="BW169" s="45" t="str">
        <f t="shared" si="254"/>
        <v>NA</v>
      </c>
      <c r="BX169" s="45">
        <f t="shared" si="255"/>
        <v>0</v>
      </c>
      <c r="BY169" s="45">
        <f t="shared" ref="BY169:BY171" si="322">(AL169*BQ169)/Q169</f>
        <v>0.12000000000000001</v>
      </c>
      <c r="BZ169" s="45">
        <f t="shared" ref="BZ169:BZ171" si="323">IF(BN169="NA","NA",BN169*BY169)</f>
        <v>0</v>
      </c>
      <c r="CA169" s="45">
        <f t="shared" si="253"/>
        <v>0</v>
      </c>
      <c r="CB169" s="45">
        <f t="shared" ref="CB169:CB171" si="324">(AN169*BQ169)/Q169</f>
        <v>0.105</v>
      </c>
      <c r="CC169" s="45">
        <f t="shared" ref="CC169:CC171" si="325">IF(BO169="NA","NA",BO169*CB169)</f>
        <v>0</v>
      </c>
      <c r="CD169" s="45">
        <v>0</v>
      </c>
      <c r="CE169" s="45">
        <f>(AP169*BQ169)/Q169</f>
        <v>0</v>
      </c>
      <c r="CF169" s="45" t="str">
        <f>IF(BP169="NA","NA",BP169*CE169)</f>
        <v>NA</v>
      </c>
      <c r="CG169" s="45">
        <v>0</v>
      </c>
      <c r="CH169" s="244"/>
      <c r="CI169" s="244"/>
      <c r="CJ169" s="244"/>
      <c r="CK169" s="244"/>
      <c r="CM169" s="63">
        <v>0</v>
      </c>
    </row>
    <row r="170" spans="1:91" ht="18" hidden="1" customHeight="1">
      <c r="A170" s="260" t="s">
        <v>144</v>
      </c>
      <c r="B170" s="260" t="s">
        <v>145</v>
      </c>
      <c r="C170" s="260" t="s">
        <v>100</v>
      </c>
      <c r="D170" s="260" t="s">
        <v>1074</v>
      </c>
      <c r="E170" s="260" t="s">
        <v>1134</v>
      </c>
      <c r="F170" s="260" t="s">
        <v>1135</v>
      </c>
      <c r="G170" s="260" t="s">
        <v>1136</v>
      </c>
      <c r="H170" s="260" t="s">
        <v>1174</v>
      </c>
      <c r="I170" s="260" t="s">
        <v>973</v>
      </c>
      <c r="J170" s="260"/>
      <c r="K170" s="260" t="s">
        <v>1175</v>
      </c>
      <c r="L170" s="260" t="s">
        <v>1176</v>
      </c>
      <c r="M170" s="260" t="s">
        <v>1177</v>
      </c>
      <c r="N170" s="260" t="s">
        <v>111</v>
      </c>
      <c r="O170" s="260" t="s">
        <v>112</v>
      </c>
      <c r="P170" s="10">
        <v>15</v>
      </c>
      <c r="Q170" s="11">
        <v>15</v>
      </c>
      <c r="R170" s="11">
        <f t="shared" si="316"/>
        <v>6</v>
      </c>
      <c r="S170" s="11">
        <f>VLOOKUP(K170,'1126 Desarrollo Social'!$K$13:$S$58,9,0)</f>
        <v>0</v>
      </c>
      <c r="T170" s="11">
        <v>3</v>
      </c>
      <c r="U170" s="11">
        <v>0</v>
      </c>
      <c r="V170" s="11">
        <v>0</v>
      </c>
      <c r="W170" s="11">
        <v>0</v>
      </c>
      <c r="X170" s="11">
        <v>0</v>
      </c>
      <c r="Y170" s="11">
        <v>0</v>
      </c>
      <c r="Z170" s="11">
        <v>0</v>
      </c>
      <c r="AA170" s="11">
        <v>0</v>
      </c>
      <c r="AB170" s="11" t="s">
        <v>1178</v>
      </c>
      <c r="AC170" s="11" t="s">
        <v>1179</v>
      </c>
      <c r="AD170" s="11">
        <v>5</v>
      </c>
      <c r="AE170" s="11">
        <v>0</v>
      </c>
      <c r="AF170" s="11">
        <f>VLOOKUP(K170,'1126 Desarrollo Social'!$K$13:$AK$58,22,0)</f>
        <v>6</v>
      </c>
      <c r="AG170" s="11">
        <f>VLOOKUP(K170,'1126 Desarrollo Social'!$K$13:$AK$58,23,0)</f>
        <v>0</v>
      </c>
      <c r="AH170" s="11">
        <f t="shared" si="317"/>
        <v>6</v>
      </c>
      <c r="AI170" s="11" t="str">
        <f>VLOOKUP(K170,'1126 Desarrollo Social'!$K$13:$AK$58,25,0)</f>
        <v>Se reportan 6 provincias con coadyuda para operaciones centros vida sensorial.</v>
      </c>
      <c r="AJ170" s="11" t="str">
        <f>VLOOKUP(K170,'1126 Desarrollo Social'!$K$13:$AK$58,26,0)</f>
        <v xml:space="preserve"> Se determino el kit de dotacion para Centros de vida sensorial que se realizo contrato y se encuentra en ejecución para la posterior entrega </v>
      </c>
      <c r="AK170" s="11">
        <f>VLOOKUP(K170,'1126 Desarrollo Social'!$K$13:$AK$58,27,0)</f>
        <v>0</v>
      </c>
      <c r="AL170" s="11">
        <v>7</v>
      </c>
      <c r="AM170" s="11">
        <v>0</v>
      </c>
      <c r="AN170" s="11">
        <v>3</v>
      </c>
      <c r="AO170" s="11">
        <v>0</v>
      </c>
      <c r="AP170" s="11">
        <v>0</v>
      </c>
      <c r="AQ170" s="11">
        <v>0</v>
      </c>
      <c r="AR170" s="51">
        <v>2186800</v>
      </c>
      <c r="AS170" s="54">
        <v>0</v>
      </c>
      <c r="AT170" s="54">
        <f t="shared" si="246"/>
        <v>2186800</v>
      </c>
      <c r="AU170" s="51">
        <v>2186800</v>
      </c>
      <c r="AV170" s="243">
        <v>295000000</v>
      </c>
      <c r="AW170" s="244"/>
      <c r="AX170" s="244"/>
      <c r="AY170" s="243">
        <v>192540516</v>
      </c>
      <c r="AZ170" s="44">
        <f>R170/Q170</f>
        <v>0.4</v>
      </c>
      <c r="BA170" s="44">
        <v>0</v>
      </c>
      <c r="BB170" s="44" t="s">
        <v>115</v>
      </c>
      <c r="BC170" s="44">
        <f t="shared" si="318"/>
        <v>0.33333333333333331</v>
      </c>
      <c r="BD170" s="44" cm="1">
        <f t="array" ref="BD170">_xlfn.IFS(AD170=0,"NA",AD170&gt;0,AH170/AD170)</f>
        <v>1.2</v>
      </c>
      <c r="BE170" s="44">
        <f t="shared" si="319"/>
        <v>0.46666666666666667</v>
      </c>
      <c r="BF170" s="44">
        <v>0</v>
      </c>
      <c r="BG170" s="44">
        <f t="shared" si="320"/>
        <v>0.2</v>
      </c>
      <c r="BH170" s="44">
        <v>0</v>
      </c>
      <c r="BI170" s="44">
        <f>AP170/Q170</f>
        <v>0</v>
      </c>
      <c r="BJ170" s="44" t="s">
        <v>115</v>
      </c>
      <c r="BK170" s="44">
        <f t="shared" si="247"/>
        <v>0.4</v>
      </c>
      <c r="BL170" s="44" t="s">
        <v>115</v>
      </c>
      <c r="BM170" s="44" t="str" cm="1">
        <f t="array" ref="BM170">_xlfn.IFS(BD170="NA","NA",BD170&gt;100%,"100%",BD170&lt;100,BD170)</f>
        <v>100%</v>
      </c>
      <c r="BN170" s="44" cm="1">
        <f t="array" ref="BN170">_xlfn.IFS(BF170="NA","NA",BF170&gt;100%,"100%",BF170&lt;100,BF170)</f>
        <v>0</v>
      </c>
      <c r="BO170" s="44" cm="1">
        <f t="array" ref="BO170">_xlfn.IFS(BH170="NA","NA",BH170&gt;100%,"100%",BH170&lt;100,BH170)</f>
        <v>0</v>
      </c>
      <c r="BP170" s="44" t="str" cm="1">
        <f t="array" ref="BP170">_xlfn.IFS(BJ170="NA","NA",BJ170&gt;100%,"100%",BJ170&lt;100,BJ170)</f>
        <v>NA</v>
      </c>
      <c r="BQ170" s="45">
        <v>0.22500000000000001</v>
      </c>
      <c r="BR170" s="45">
        <f t="shared" si="252"/>
        <v>9.0000000000000011E-2</v>
      </c>
      <c r="BS170" s="45">
        <v>0</v>
      </c>
      <c r="BT170" s="45" t="s">
        <v>115</v>
      </c>
      <c r="BU170" s="45">
        <v>0</v>
      </c>
      <c r="BV170" s="45">
        <f t="shared" si="321"/>
        <v>7.4999999999999997E-2</v>
      </c>
      <c r="BW170" s="45">
        <f t="shared" si="254"/>
        <v>7.4999999999999997E-2</v>
      </c>
      <c r="BX170" s="45">
        <f t="shared" si="255"/>
        <v>9.0000000000000011E-2</v>
      </c>
      <c r="BY170" s="45">
        <f t="shared" si="322"/>
        <v>0.105</v>
      </c>
      <c r="BZ170" s="45">
        <f t="shared" si="323"/>
        <v>0</v>
      </c>
      <c r="CA170" s="45">
        <f t="shared" si="253"/>
        <v>0</v>
      </c>
      <c r="CB170" s="45">
        <f t="shared" si="324"/>
        <v>4.5000000000000005E-2</v>
      </c>
      <c r="CC170" s="45">
        <f t="shared" si="325"/>
        <v>0</v>
      </c>
      <c r="CD170" s="45">
        <v>0</v>
      </c>
      <c r="CE170" s="45">
        <f>(AP170*BQ170)/Q170</f>
        <v>0</v>
      </c>
      <c r="CF170" s="45" t="str">
        <f>IF(BP170="NA","NA",BP170*CE170)</f>
        <v>NA</v>
      </c>
      <c r="CG170" s="45">
        <v>0</v>
      </c>
      <c r="CH170" s="244"/>
      <c r="CI170" s="244"/>
      <c r="CJ170" s="244"/>
      <c r="CK170" s="244"/>
      <c r="CM170" s="63">
        <v>0</v>
      </c>
    </row>
    <row r="171" spans="1:91" ht="18" hidden="1" customHeight="1">
      <c r="A171" s="260" t="s">
        <v>144</v>
      </c>
      <c r="B171" s="260" t="s">
        <v>145</v>
      </c>
      <c r="C171" s="260" t="s">
        <v>100</v>
      </c>
      <c r="D171" s="260" t="s">
        <v>1074</v>
      </c>
      <c r="E171" s="260" t="s">
        <v>1134</v>
      </c>
      <c r="F171" s="260" t="s">
        <v>1135</v>
      </c>
      <c r="G171" s="260" t="s">
        <v>1136</v>
      </c>
      <c r="H171" s="260" t="s">
        <v>1180</v>
      </c>
      <c r="I171" s="260" t="s">
        <v>1181</v>
      </c>
      <c r="J171" s="260"/>
      <c r="K171" s="260" t="s">
        <v>1182</v>
      </c>
      <c r="L171" s="260" t="s">
        <v>1183</v>
      </c>
      <c r="M171" s="260" t="s">
        <v>1184</v>
      </c>
      <c r="N171" s="260" t="s">
        <v>111</v>
      </c>
      <c r="O171" s="260" t="s">
        <v>112</v>
      </c>
      <c r="P171" s="10">
        <v>1</v>
      </c>
      <c r="Q171" s="11">
        <v>1</v>
      </c>
      <c r="R171" s="11">
        <f t="shared" si="316"/>
        <v>1</v>
      </c>
      <c r="S171" s="11">
        <f>VLOOKUP(K171,'1126 Desarrollo Social'!$K$13:$S$58,9,0)</f>
        <v>0</v>
      </c>
      <c r="T171" s="11">
        <v>0</v>
      </c>
      <c r="U171" s="11">
        <v>0</v>
      </c>
      <c r="V171" s="11">
        <v>0.1</v>
      </c>
      <c r="W171" s="11">
        <v>0</v>
      </c>
      <c r="X171" s="11">
        <v>0.1</v>
      </c>
      <c r="Y171" s="11">
        <v>0</v>
      </c>
      <c r="Z171" s="11">
        <v>0.1</v>
      </c>
      <c r="AA171" s="11">
        <v>0</v>
      </c>
      <c r="AB171" s="11" t="s">
        <v>1185</v>
      </c>
      <c r="AC171" s="11">
        <v>0</v>
      </c>
      <c r="AD171" s="11">
        <v>0.7</v>
      </c>
      <c r="AE171" s="11">
        <v>0</v>
      </c>
      <c r="AF171" s="11">
        <f>VLOOKUP(K171,'1126 Desarrollo Social'!$K$13:$AK$58,22,0)</f>
        <v>0.9</v>
      </c>
      <c r="AG171" s="11">
        <f>VLOOKUP(K171,'1126 Desarrollo Social'!$K$13:$AK$58,23,0)</f>
        <v>0</v>
      </c>
      <c r="AH171" s="11">
        <f t="shared" si="317"/>
        <v>0.9</v>
      </c>
      <c r="AI171" s="11" t="str">
        <f>VLOOKUP(K171,'1126 Desarrollo Social'!$K$13:$AK$58,25,0)</f>
        <v>La articulación para la publicación de hojas de vida en el portal de empleo a personas en condicion de discapacidad</v>
      </c>
      <c r="AJ171" s="11" t="str">
        <f>VLOOKUP(K171,'1126 Desarrollo Social'!$K$13:$AK$58,26,0)</f>
        <v>Capacitaciones con alta Consejeria para la Discapacidad y se establecio mediante acta de compromiso de cooperación con colsubsidio la implementación de envio de hojas de vida para la vinculación laboral en la plataforfa de la caja de compensación familiar.</v>
      </c>
      <c r="AK171" s="11">
        <f>VLOOKUP(K171,'1126 Desarrollo Social'!$K$13:$AK$58,27,0)</f>
        <v>0</v>
      </c>
      <c r="AL171" s="11">
        <v>0.1</v>
      </c>
      <c r="AM171" s="11">
        <v>0</v>
      </c>
      <c r="AN171" s="11">
        <v>0.1</v>
      </c>
      <c r="AO171" s="11">
        <v>0</v>
      </c>
      <c r="AP171" s="11">
        <v>0</v>
      </c>
      <c r="AQ171" s="11">
        <v>0</v>
      </c>
      <c r="AR171" s="52"/>
      <c r="AS171" s="54">
        <v>0</v>
      </c>
      <c r="AT171" s="54">
        <f t="shared" si="246"/>
        <v>0</v>
      </c>
      <c r="AU171" s="52"/>
      <c r="AV171" s="243">
        <v>30000000</v>
      </c>
      <c r="AW171" s="244"/>
      <c r="AX171" s="244"/>
      <c r="AY171" s="243">
        <v>15000000</v>
      </c>
      <c r="AZ171" s="44">
        <f>R171/Q171</f>
        <v>1</v>
      </c>
      <c r="BA171" s="44">
        <v>0.1</v>
      </c>
      <c r="BB171" s="44">
        <v>1</v>
      </c>
      <c r="BC171" s="44">
        <f t="shared" si="318"/>
        <v>0.7</v>
      </c>
      <c r="BD171" s="44" cm="1">
        <f t="array" ref="BD171">_xlfn.IFS(AD171=0,"NA",AD171&gt;0,AH171/AD171)</f>
        <v>1.2857142857142858</v>
      </c>
      <c r="BE171" s="44">
        <f t="shared" si="319"/>
        <v>0.1</v>
      </c>
      <c r="BF171" s="44">
        <v>0</v>
      </c>
      <c r="BG171" s="44">
        <f t="shared" si="320"/>
        <v>0.1</v>
      </c>
      <c r="BH171" s="44">
        <v>0</v>
      </c>
      <c r="BI171" s="44">
        <f>AP171/Q171</f>
        <v>0</v>
      </c>
      <c r="BJ171" s="44" t="s">
        <v>115</v>
      </c>
      <c r="BK171" s="44">
        <f t="shared" si="247"/>
        <v>1</v>
      </c>
      <c r="BL171" s="44">
        <v>1</v>
      </c>
      <c r="BM171" s="44" t="str" cm="1">
        <f t="array" ref="BM171">_xlfn.IFS(BD171="NA","NA",BD171&gt;100%,"100%",BD171&lt;100,BD171)</f>
        <v>100%</v>
      </c>
      <c r="BN171" s="44" cm="1">
        <f t="array" ref="BN171">_xlfn.IFS(BF171="NA","NA",BF171&gt;100%,"100%",BF171&lt;100,BF171)</f>
        <v>0</v>
      </c>
      <c r="BO171" s="44" cm="1">
        <f t="array" ref="BO171">_xlfn.IFS(BH171="NA","NA",BH171&gt;100%,"100%",BH171&lt;100,BH171)</f>
        <v>0</v>
      </c>
      <c r="BP171" s="44" t="str" cm="1">
        <f t="array" ref="BP171">_xlfn.IFS(BJ171="NA","NA",BJ171&gt;100%,"100%",BJ171&lt;100,BJ171)</f>
        <v>NA</v>
      </c>
      <c r="BQ171" s="45">
        <v>0.22500000000000001</v>
      </c>
      <c r="BR171" s="45">
        <f t="shared" si="252"/>
        <v>0.22500000000000001</v>
      </c>
      <c r="BS171" s="45">
        <v>2.2499999999999999E-2</v>
      </c>
      <c r="BT171" s="45">
        <v>2.2499999999999999E-2</v>
      </c>
      <c r="BU171" s="45">
        <v>2.2499999999999999E-2</v>
      </c>
      <c r="BV171" s="45">
        <f t="shared" si="321"/>
        <v>0.1575</v>
      </c>
      <c r="BW171" s="45">
        <f t="shared" si="254"/>
        <v>0.1575</v>
      </c>
      <c r="BX171" s="45">
        <f t="shared" si="255"/>
        <v>0.20250000000000001</v>
      </c>
      <c r="BY171" s="45">
        <f t="shared" si="322"/>
        <v>2.2500000000000003E-2</v>
      </c>
      <c r="BZ171" s="45">
        <f t="shared" si="323"/>
        <v>0</v>
      </c>
      <c r="CA171" s="45">
        <f t="shared" si="253"/>
        <v>0</v>
      </c>
      <c r="CB171" s="45">
        <f t="shared" si="324"/>
        <v>2.2500000000000003E-2</v>
      </c>
      <c r="CC171" s="45">
        <f t="shared" si="325"/>
        <v>0</v>
      </c>
      <c r="CD171" s="45">
        <v>0</v>
      </c>
      <c r="CE171" s="45">
        <f>(AP171*BQ171)/Q171</f>
        <v>0</v>
      </c>
      <c r="CF171" s="45" t="str">
        <f>IF(BP171="NA","NA",BP171*CE171)</f>
        <v>NA</v>
      </c>
      <c r="CG171" s="45">
        <v>0</v>
      </c>
      <c r="CH171" s="244"/>
      <c r="CI171" s="244"/>
      <c r="CJ171" s="244"/>
      <c r="CK171" s="244"/>
      <c r="CM171" s="63">
        <v>0.6</v>
      </c>
    </row>
    <row r="172" spans="1:91" ht="18" hidden="1" customHeight="1">
      <c r="A172" s="260" t="s">
        <v>144</v>
      </c>
      <c r="B172" s="260" t="s">
        <v>145</v>
      </c>
      <c r="C172" s="260" t="s">
        <v>100</v>
      </c>
      <c r="D172" s="260" t="s">
        <v>1074</v>
      </c>
      <c r="E172" s="260" t="s">
        <v>1134</v>
      </c>
      <c r="F172" s="260" t="s">
        <v>1135</v>
      </c>
      <c r="G172" s="260" t="s">
        <v>1136</v>
      </c>
      <c r="H172" s="260" t="s">
        <v>1186</v>
      </c>
      <c r="I172" s="260" t="s">
        <v>973</v>
      </c>
      <c r="J172" s="260"/>
      <c r="K172" s="260" t="s">
        <v>1187</v>
      </c>
      <c r="L172" s="260" t="s">
        <v>1188</v>
      </c>
      <c r="M172" s="260" t="s">
        <v>1189</v>
      </c>
      <c r="N172" s="260" t="s">
        <v>123</v>
      </c>
      <c r="O172" s="260" t="s">
        <v>124</v>
      </c>
      <c r="P172" s="10">
        <v>70</v>
      </c>
      <c r="Q172" s="11">
        <v>90</v>
      </c>
      <c r="R172" s="11">
        <f>(Z172+AH172)/CL172</f>
        <v>45</v>
      </c>
      <c r="S172" s="11" t="str">
        <f>VLOOKUP(K172,'1126 Desarrollo Social'!$K$13:$S$58,9,0)</f>
        <v>Socialización del formato de ayudas técnicaslevantamiento de ayudas técnicas disponibleEl personal contratado para el desarrollo de las actividades de esta meta con vigencia del plan de desarrollo 2016-2020</v>
      </c>
      <c r="T172" s="11">
        <v>0</v>
      </c>
      <c r="U172" s="11">
        <v>90</v>
      </c>
      <c r="V172" s="11">
        <v>0</v>
      </c>
      <c r="W172" s="11">
        <v>90</v>
      </c>
      <c r="X172" s="11" t="s">
        <v>115</v>
      </c>
      <c r="Y172" s="11">
        <v>90</v>
      </c>
      <c r="Z172" s="11">
        <v>90</v>
      </c>
      <c r="AA172" s="11">
        <v>0</v>
      </c>
      <c r="AB172" s="11" t="s">
        <v>1190</v>
      </c>
      <c r="AC172" s="11">
        <v>0</v>
      </c>
      <c r="AD172" s="11">
        <v>0</v>
      </c>
      <c r="AE172" s="11">
        <v>90</v>
      </c>
      <c r="AF172" s="11">
        <f>VLOOKUP(K172,'1126 Desarrollo Social'!$K$13:$AK$58,22,0)</f>
        <v>0</v>
      </c>
      <c r="AG172" s="11">
        <f>VLOOKUP(K172,'1126 Desarrollo Social'!$K$13:$AK$58,23,0)</f>
        <v>90</v>
      </c>
      <c r="AH172" s="11">
        <f>AG172</f>
        <v>90</v>
      </c>
      <c r="AI172" s="11" t="str">
        <f>VLOOKUP(K172,'1126 Desarrollo Social'!$K$13:$AK$58,25,0)</f>
        <v>Ayudas tecnicas</v>
      </c>
      <c r="AJ172" s="11" t="str">
        <f>VLOOKUP(K172,'1126 Desarrollo Social'!$K$13:$AK$58,26,0)</f>
        <v>Entrega de ayudas técnicas de solicitudes realizadas a la secretria durante el año 2021 y en los bancos de ayudas entregados a las alcaldias firma de contrato de ayudas en el 2021</v>
      </c>
      <c r="AK172" s="11">
        <f>VLOOKUP(K172,'1126 Desarrollo Social'!$K$13:$AK$58,27,0)</f>
        <v>0</v>
      </c>
      <c r="AL172" s="11">
        <v>0</v>
      </c>
      <c r="AM172" s="11">
        <v>90</v>
      </c>
      <c r="AN172" s="11">
        <v>0</v>
      </c>
      <c r="AO172" s="11">
        <v>90</v>
      </c>
      <c r="AP172" s="11">
        <v>0</v>
      </c>
      <c r="AQ172" s="11">
        <v>0</v>
      </c>
      <c r="AR172" s="51">
        <v>20343000</v>
      </c>
      <c r="AS172" s="54">
        <v>0</v>
      </c>
      <c r="AT172" s="54">
        <f t="shared" si="246"/>
        <v>20343000</v>
      </c>
      <c r="AU172" s="51">
        <v>3884000</v>
      </c>
      <c r="AV172" s="243">
        <v>143000000</v>
      </c>
      <c r="AW172" s="244"/>
      <c r="AX172" s="244"/>
      <c r="AY172" s="243">
        <v>26751341</v>
      </c>
      <c r="AZ172" s="44" cm="1">
        <f t="array" ref="AZ172">_xlfn.IFS((BA172=0),(BD172/CL172),(BA172&gt;0),((BB172+BD172)/CL172),(BE172&gt;0),((BB172+BD172+BE172)/CL172),(BG172&gt;0),((BB172+BD172+BE172+G172)/CL172))</f>
        <v>0.5</v>
      </c>
      <c r="BA172" s="44">
        <v>0.25</v>
      </c>
      <c r="BB172" s="44">
        <v>1</v>
      </c>
      <c r="BC172" s="44">
        <f>IF(AE172&gt;0,(1/CL172),0)</f>
        <v>0.25</v>
      </c>
      <c r="BD172" s="44" cm="1">
        <f t="array" ref="BD172">_xlfn.IFS(AE172=0,"NA",AE172&gt;0,AH172/AE172)</f>
        <v>1</v>
      </c>
      <c r="BE172" s="44">
        <f>IF(AM172&gt;0,(1/CL172),0)</f>
        <v>0.25</v>
      </c>
      <c r="BF172" s="44">
        <v>0</v>
      </c>
      <c r="BG172" s="44">
        <f>IF(AO172&gt;0,(1/CL172),0)</f>
        <v>0.25</v>
      </c>
      <c r="BH172" s="44">
        <v>0</v>
      </c>
      <c r="BI172" s="44">
        <v>0</v>
      </c>
      <c r="BJ172" s="44" t="s">
        <v>115</v>
      </c>
      <c r="BK172" s="44">
        <f t="shared" si="247"/>
        <v>0.5</v>
      </c>
      <c r="BL172" s="44">
        <v>1</v>
      </c>
      <c r="BM172" s="44" cm="1">
        <f t="array" ref="BM172">_xlfn.IFS(BD172="NA","NA",BD172&gt;100%,"100%",BD172&lt;100,BD172)</f>
        <v>1</v>
      </c>
      <c r="BN172" s="44">
        <v>0</v>
      </c>
      <c r="BO172" s="44">
        <v>0</v>
      </c>
      <c r="BP172" s="44" t="s">
        <v>115</v>
      </c>
      <c r="BQ172" s="45">
        <v>0.22500000000000001</v>
      </c>
      <c r="BR172" s="45">
        <f t="shared" si="252"/>
        <v>0.1125</v>
      </c>
      <c r="BS172" s="45">
        <v>5.6300000000000003E-2</v>
      </c>
      <c r="BT172" s="45">
        <v>5.6300000000000003E-2</v>
      </c>
      <c r="BU172" s="45">
        <v>5.6300000000000003E-2</v>
      </c>
      <c r="BV172" s="45">
        <v>5.6300000000000003E-2</v>
      </c>
      <c r="BW172" s="45">
        <f t="shared" si="254"/>
        <v>5.6300000000000003E-2</v>
      </c>
      <c r="BX172" s="45">
        <f t="shared" si="255"/>
        <v>5.62E-2</v>
      </c>
      <c r="BY172" s="45">
        <v>5.6300000000000003E-2</v>
      </c>
      <c r="BZ172" s="45">
        <v>0</v>
      </c>
      <c r="CA172" s="45">
        <f t="shared" si="253"/>
        <v>0</v>
      </c>
      <c r="CB172" s="45">
        <v>5.6300000000000003E-2</v>
      </c>
      <c r="CC172" s="45">
        <v>0</v>
      </c>
      <c r="CD172" s="45">
        <v>0</v>
      </c>
      <c r="CE172" s="45">
        <v>0</v>
      </c>
      <c r="CF172" s="45" t="s">
        <v>115</v>
      </c>
      <c r="CG172" s="45">
        <v>0</v>
      </c>
      <c r="CH172" s="244">
        <f>IF(W172&gt;0,1,0)</f>
        <v>1</v>
      </c>
      <c r="CI172" s="244">
        <f>IF(AE172&gt;0,1,0)</f>
        <v>1</v>
      </c>
      <c r="CJ172" s="244">
        <f>IF(AM172&gt;0,1,0)</f>
        <v>1</v>
      </c>
      <c r="CK172" s="244">
        <f>IF(AO172&gt;0,1,0)</f>
        <v>1</v>
      </c>
      <c r="CL172">
        <f>CH172+CI172+CJ172+CK172</f>
        <v>4</v>
      </c>
      <c r="CM172" s="63">
        <f>AVERAGE(Z172,AH172)</f>
        <v>90</v>
      </c>
    </row>
    <row r="173" spans="1:91" ht="18" hidden="1" customHeight="1">
      <c r="A173" s="260" t="s">
        <v>144</v>
      </c>
      <c r="B173" s="260" t="s">
        <v>145</v>
      </c>
      <c r="C173" s="260" t="s">
        <v>100</v>
      </c>
      <c r="D173" s="260" t="s">
        <v>1074</v>
      </c>
      <c r="E173" s="260" t="s">
        <v>1134</v>
      </c>
      <c r="F173" s="260" t="s">
        <v>1135</v>
      </c>
      <c r="G173" s="260" t="s">
        <v>1136</v>
      </c>
      <c r="H173" s="260" t="s">
        <v>1191</v>
      </c>
      <c r="I173" s="260" t="s">
        <v>1181</v>
      </c>
      <c r="J173" s="260"/>
      <c r="K173" s="260" t="s">
        <v>1192</v>
      </c>
      <c r="L173" s="260" t="s">
        <v>1193</v>
      </c>
      <c r="M173" s="260" t="s">
        <v>1194</v>
      </c>
      <c r="N173" s="260" t="s">
        <v>111</v>
      </c>
      <c r="O173" s="260" t="s">
        <v>112</v>
      </c>
      <c r="P173" s="10">
        <v>15</v>
      </c>
      <c r="Q173" s="11">
        <v>15</v>
      </c>
      <c r="R173" s="11">
        <f t="shared" ref="R173:R174" si="326">Z173+AH173</f>
        <v>0.5</v>
      </c>
      <c r="S173" s="11" t="str">
        <f>VLOOKUP(K173,'1126 Desarrollo Social'!$K$13:$S$58,9,0)</f>
        <v>Reglamentación del proceso de selección de los proyectos productivos de personas con discapacidadEl personal contratado para el desarrollo de las actividades de esta meta con vigencia del plan de desarrollo 2016-2020</v>
      </c>
      <c r="T173" s="11">
        <v>5</v>
      </c>
      <c r="U173" s="11">
        <v>0</v>
      </c>
      <c r="V173" s="11">
        <v>2</v>
      </c>
      <c r="W173" s="11">
        <v>0</v>
      </c>
      <c r="X173" s="11">
        <v>0.5</v>
      </c>
      <c r="Y173" s="11">
        <v>0</v>
      </c>
      <c r="Z173" s="11">
        <v>0.5</v>
      </c>
      <c r="AA173" s="11" t="s">
        <v>1195</v>
      </c>
      <c r="AB173" s="11" t="s">
        <v>1196</v>
      </c>
      <c r="AC173" s="11" t="s">
        <v>1197</v>
      </c>
      <c r="AD173" s="11">
        <v>5.5</v>
      </c>
      <c r="AE173" s="11">
        <v>0</v>
      </c>
      <c r="AF173" s="11">
        <f>VLOOKUP(K173,'1126 Desarrollo Social'!$K$13:$AK$58,22,0)</f>
        <v>0</v>
      </c>
      <c r="AG173" s="11">
        <f>VLOOKUP(K173,'1126 Desarrollo Social'!$K$13:$AK$58,23,0)</f>
        <v>0</v>
      </c>
      <c r="AH173" s="11">
        <f t="shared" ref="AH173:AH174" si="327">AF173</f>
        <v>0</v>
      </c>
      <c r="AI173" s="11">
        <f>VLOOKUP(K173,'1126 Desarrollo Social'!$K$13:$AK$58,25,0)</f>
        <v>0</v>
      </c>
      <c r="AJ173" s="11" t="str">
        <f>VLOOKUP(K173,'1126 Desarrollo Social'!$K$13:$AK$58,26,0)</f>
        <v>Se tienen priorizados 19 proyectos productivos y la contartación se encuentra publicación</v>
      </c>
      <c r="AK173" s="11">
        <f>VLOOKUP(K173,'1126 Desarrollo Social'!$K$13:$AK$58,27,0)</f>
        <v>0</v>
      </c>
      <c r="AL173" s="11">
        <v>5</v>
      </c>
      <c r="AM173" s="11">
        <v>0</v>
      </c>
      <c r="AN173" s="11">
        <v>4</v>
      </c>
      <c r="AO173" s="11">
        <v>0</v>
      </c>
      <c r="AP173" s="11">
        <v>0</v>
      </c>
      <c r="AQ173" s="11">
        <v>0</v>
      </c>
      <c r="AR173" s="51">
        <v>44572200</v>
      </c>
      <c r="AS173" s="54">
        <v>0</v>
      </c>
      <c r="AT173" s="54">
        <f t="shared" si="246"/>
        <v>44572200</v>
      </c>
      <c r="AU173" s="51">
        <v>4475000</v>
      </c>
      <c r="AV173" s="243">
        <v>140289121</v>
      </c>
      <c r="AW173" s="244"/>
      <c r="AX173" s="244"/>
      <c r="AY173" s="243">
        <v>18692000</v>
      </c>
      <c r="AZ173" s="44">
        <f>R173/Q173</f>
        <v>3.3333333333333333E-2</v>
      </c>
      <c r="BA173" s="44">
        <v>0.1333</v>
      </c>
      <c r="BB173" s="44">
        <v>0.25</v>
      </c>
      <c r="BC173" s="44">
        <f t="shared" ref="BC173:BC174" si="328">AD173/Q173</f>
        <v>0.36666666666666664</v>
      </c>
      <c r="BD173" s="44" cm="1">
        <f t="array" ref="BD173">_xlfn.IFS(AD173=0,"NA",AD173&gt;0,AH173/AD173)</f>
        <v>0</v>
      </c>
      <c r="BE173" s="44">
        <f t="shared" ref="BE173:BE174" si="329">AL173/Q173</f>
        <v>0.33333333333333331</v>
      </c>
      <c r="BF173" s="44">
        <v>0</v>
      </c>
      <c r="BG173" s="44">
        <f t="shared" ref="BG173:BG174" si="330">AN173/Q173</f>
        <v>0.26666666666666666</v>
      </c>
      <c r="BH173" s="44">
        <v>0</v>
      </c>
      <c r="BI173" s="44">
        <f>AP173/Q173</f>
        <v>0</v>
      </c>
      <c r="BJ173" s="44" t="s">
        <v>115</v>
      </c>
      <c r="BK173" s="44">
        <f t="shared" si="247"/>
        <v>3.3333333333333333E-2</v>
      </c>
      <c r="BL173" s="44">
        <v>0.25</v>
      </c>
      <c r="BM173" s="44" cm="1">
        <f t="array" ref="BM173">_xlfn.IFS(BD173="NA","NA",BD173&gt;100%,"100%",BD173&lt;100,BD173)</f>
        <v>0</v>
      </c>
      <c r="BN173" s="44" cm="1">
        <f t="array" ref="BN173">_xlfn.IFS(BF173="NA","NA",BF173&gt;100%,"100%",BF173&lt;100,BF173)</f>
        <v>0</v>
      </c>
      <c r="BO173" s="44" cm="1">
        <f t="array" ref="BO173">_xlfn.IFS(BH173="NA","NA",BH173&gt;100%,"100%",BH173&lt;100,BH173)</f>
        <v>0</v>
      </c>
      <c r="BP173" s="44" t="str" cm="1">
        <f t="array" ref="BP173">_xlfn.IFS(BJ173="NA","NA",BJ173&gt;100%,"100%",BJ173&lt;100,BJ173)</f>
        <v>NA</v>
      </c>
      <c r="BQ173" s="45">
        <v>0.22500000000000001</v>
      </c>
      <c r="BR173" s="45">
        <f t="shared" si="252"/>
        <v>7.4999999999999997E-3</v>
      </c>
      <c r="BS173" s="45">
        <v>0.03</v>
      </c>
      <c r="BT173" s="45">
        <v>7.4999999999999997E-3</v>
      </c>
      <c r="BU173" s="45">
        <v>7.4999999999999997E-3</v>
      </c>
      <c r="BV173" s="45">
        <f t="shared" ref="BV173:BV174" si="331">(AD173*BQ173)/Q173</f>
        <v>8.2500000000000004E-2</v>
      </c>
      <c r="BW173" s="45">
        <f t="shared" si="254"/>
        <v>0</v>
      </c>
      <c r="BX173" s="45">
        <f t="shared" si="255"/>
        <v>0</v>
      </c>
      <c r="BY173" s="45">
        <f t="shared" ref="BY173:BY174" si="332">(AL173*BQ173)/Q173</f>
        <v>7.4999999999999997E-2</v>
      </c>
      <c r="BZ173" s="45">
        <f t="shared" ref="BZ173:BZ174" si="333">IF(BN173="NA","NA",BN173*BY173)</f>
        <v>0</v>
      </c>
      <c r="CA173" s="45">
        <f t="shared" si="253"/>
        <v>0</v>
      </c>
      <c r="CB173" s="45">
        <f t="shared" ref="CB173:CB174" si="334">(AN173*BQ173)/Q173</f>
        <v>6.0000000000000005E-2</v>
      </c>
      <c r="CC173" s="45">
        <f t="shared" ref="CC173:CC174" si="335">IF(BO173="NA","NA",BO173*CB173)</f>
        <v>0</v>
      </c>
      <c r="CD173" s="45">
        <v>0</v>
      </c>
      <c r="CE173" s="45">
        <f>(AP173*BQ173)/Q173</f>
        <v>0</v>
      </c>
      <c r="CF173" s="45" t="str">
        <f>IF(BP173="NA","NA",BP173*CE173)</f>
        <v>NA</v>
      </c>
      <c r="CG173" s="45">
        <v>0</v>
      </c>
      <c r="CH173" s="244"/>
      <c r="CI173" s="244"/>
      <c r="CJ173" s="244"/>
      <c r="CK173" s="244"/>
      <c r="CM173" s="63">
        <v>0.5</v>
      </c>
    </row>
    <row r="174" spans="1:91" ht="18" hidden="1" customHeight="1">
      <c r="A174" s="260" t="s">
        <v>144</v>
      </c>
      <c r="B174" s="260" t="s">
        <v>145</v>
      </c>
      <c r="C174" s="260" t="s">
        <v>100</v>
      </c>
      <c r="D174" s="260" t="s">
        <v>1074</v>
      </c>
      <c r="E174" s="260" t="s">
        <v>1134</v>
      </c>
      <c r="F174" s="260" t="s">
        <v>1135</v>
      </c>
      <c r="G174" s="260" t="s">
        <v>1136</v>
      </c>
      <c r="H174" s="260" t="s">
        <v>1198</v>
      </c>
      <c r="I174" s="260" t="s">
        <v>200</v>
      </c>
      <c r="J174" s="260"/>
      <c r="K174" s="260" t="s">
        <v>1199</v>
      </c>
      <c r="L174" s="260" t="s">
        <v>1200</v>
      </c>
      <c r="M174" s="260" t="s">
        <v>1201</v>
      </c>
      <c r="N174" s="260" t="s">
        <v>111</v>
      </c>
      <c r="O174" s="260" t="s">
        <v>112</v>
      </c>
      <c r="P174" s="10">
        <v>15</v>
      </c>
      <c r="Q174" s="11">
        <v>15</v>
      </c>
      <c r="R174" s="11">
        <f t="shared" si="326"/>
        <v>5</v>
      </c>
      <c r="S174" s="11">
        <f>VLOOKUP(K174,'1126 Desarrollo Social'!$K$13:$S$58,9,0)</f>
        <v>0</v>
      </c>
      <c r="T174" s="11">
        <v>2</v>
      </c>
      <c r="U174" s="11">
        <v>0</v>
      </c>
      <c r="V174" s="11">
        <v>2</v>
      </c>
      <c r="W174" s="11">
        <v>0</v>
      </c>
      <c r="X174" s="11">
        <v>2</v>
      </c>
      <c r="Y174" s="11">
        <v>0</v>
      </c>
      <c r="Z174" s="11">
        <v>2</v>
      </c>
      <c r="AA174" s="11">
        <v>0</v>
      </c>
      <c r="AB174" s="11" t="s">
        <v>1202</v>
      </c>
      <c r="AC174" s="11">
        <v>0</v>
      </c>
      <c r="AD174" s="11">
        <v>3</v>
      </c>
      <c r="AE174" s="11">
        <v>0</v>
      </c>
      <c r="AF174" s="11">
        <f>VLOOKUP(K174,'1126 Desarrollo Social'!$K$13:$AK$58,22,0)</f>
        <v>3</v>
      </c>
      <c r="AG174" s="11">
        <f>VLOOKUP(K174,'1126 Desarrollo Social'!$K$13:$AK$58,23,0)</f>
        <v>0</v>
      </c>
      <c r="AH174" s="11">
        <f t="shared" si="327"/>
        <v>3</v>
      </c>
      <c r="AI174" s="11">
        <f>VLOOKUP(K174,'1126 Desarrollo Social'!$K$13:$AK$58,25,0)</f>
        <v>0</v>
      </c>
      <c r="AJ174" s="11" t="str">
        <f>VLOOKUP(K174,'1126 Desarrollo Social'!$K$13:$AK$58,26,0)</f>
        <v>Socialización de los manuales de accesibilidad en todos los municipios de las provincias: de ubate, sumapaz y provincia del Guavio</v>
      </c>
      <c r="AK174" s="11">
        <f>VLOOKUP(K174,'1126 Desarrollo Social'!$K$13:$AK$58,27,0)</f>
        <v>0</v>
      </c>
      <c r="AL174" s="11">
        <v>5</v>
      </c>
      <c r="AM174" s="11">
        <v>0</v>
      </c>
      <c r="AN174" s="11">
        <v>5</v>
      </c>
      <c r="AO174" s="11">
        <v>0</v>
      </c>
      <c r="AP174" s="11">
        <v>0</v>
      </c>
      <c r="AQ174" s="11">
        <v>0</v>
      </c>
      <c r="AR174" s="52"/>
      <c r="AS174" s="54">
        <v>0</v>
      </c>
      <c r="AT174" s="54">
        <f t="shared" si="246"/>
        <v>0</v>
      </c>
      <c r="AU174" s="52"/>
      <c r="AV174" s="243">
        <v>17867332</v>
      </c>
      <c r="AW174" s="244"/>
      <c r="AX174" s="244"/>
      <c r="AY174" s="243">
        <v>15785332</v>
      </c>
      <c r="AZ174" s="44">
        <f>R174/Q174</f>
        <v>0.33333333333333331</v>
      </c>
      <c r="BA174" s="44">
        <v>0.1333</v>
      </c>
      <c r="BB174" s="44">
        <v>1</v>
      </c>
      <c r="BC174" s="44">
        <f t="shared" si="328"/>
        <v>0.2</v>
      </c>
      <c r="BD174" s="44" cm="1">
        <f t="array" ref="BD174">_xlfn.IFS(AD174=0,"NA",AD174&gt;0,AH174/AD174)</f>
        <v>1</v>
      </c>
      <c r="BE174" s="44">
        <f t="shared" si="329"/>
        <v>0.33333333333333331</v>
      </c>
      <c r="BF174" s="44">
        <v>0</v>
      </c>
      <c r="BG174" s="44">
        <f t="shared" si="330"/>
        <v>0.33333333333333331</v>
      </c>
      <c r="BH174" s="44">
        <v>0</v>
      </c>
      <c r="BI174" s="44">
        <f>AP174/Q174</f>
        <v>0</v>
      </c>
      <c r="BJ174" s="44" t="s">
        <v>115</v>
      </c>
      <c r="BK174" s="44">
        <f t="shared" si="247"/>
        <v>0.33333333333333331</v>
      </c>
      <c r="BL174" s="44">
        <v>1</v>
      </c>
      <c r="BM174" s="44" cm="1">
        <f t="array" ref="BM174">_xlfn.IFS(BD174="NA","NA",BD174&gt;100%,"100%",BD174&lt;100,BD174)</f>
        <v>1</v>
      </c>
      <c r="BN174" s="44" cm="1">
        <f t="array" ref="BN174">_xlfn.IFS(BF174="NA","NA",BF174&gt;100%,"100%",BF174&lt;100,BF174)</f>
        <v>0</v>
      </c>
      <c r="BO174" s="44" cm="1">
        <f t="array" ref="BO174">_xlfn.IFS(BH174="NA","NA",BH174&gt;100%,"100%",BH174&lt;100,BH174)</f>
        <v>0</v>
      </c>
      <c r="BP174" s="44" t="str" cm="1">
        <f t="array" ref="BP174">_xlfn.IFS(BJ174="NA","NA",BJ174&gt;100%,"100%",BJ174&lt;100,BJ174)</f>
        <v>NA</v>
      </c>
      <c r="BQ174" s="45">
        <v>0.22500000000000001</v>
      </c>
      <c r="BR174" s="45">
        <f t="shared" si="252"/>
        <v>7.4999999999999997E-2</v>
      </c>
      <c r="BS174" s="45">
        <v>0.03</v>
      </c>
      <c r="BT174" s="45">
        <v>0.03</v>
      </c>
      <c r="BU174" s="45">
        <v>0.03</v>
      </c>
      <c r="BV174" s="45">
        <f t="shared" si="331"/>
        <v>4.5000000000000005E-2</v>
      </c>
      <c r="BW174" s="45">
        <f t="shared" si="254"/>
        <v>4.5000000000000005E-2</v>
      </c>
      <c r="BX174" s="45">
        <f t="shared" si="255"/>
        <v>4.4999999999999998E-2</v>
      </c>
      <c r="BY174" s="45">
        <f t="shared" si="332"/>
        <v>7.4999999999999997E-2</v>
      </c>
      <c r="BZ174" s="45">
        <f t="shared" si="333"/>
        <v>0</v>
      </c>
      <c r="CA174" s="45">
        <f t="shared" si="253"/>
        <v>0</v>
      </c>
      <c r="CB174" s="45">
        <f t="shared" si="334"/>
        <v>7.4999999999999997E-2</v>
      </c>
      <c r="CC174" s="45">
        <f t="shared" si="335"/>
        <v>0</v>
      </c>
      <c r="CD174" s="45">
        <v>0</v>
      </c>
      <c r="CE174" s="45">
        <f>(AP174*BQ174)/Q174</f>
        <v>0</v>
      </c>
      <c r="CF174" s="45" t="str">
        <f>IF(BP174="NA","NA",BP174*CE174)</f>
        <v>NA</v>
      </c>
      <c r="CG174" s="45">
        <v>0</v>
      </c>
      <c r="CH174" s="244"/>
      <c r="CI174" s="244"/>
      <c r="CJ174" s="244"/>
      <c r="CK174" s="244"/>
      <c r="CM174" s="63">
        <v>5</v>
      </c>
    </row>
    <row r="175" spans="1:91" ht="18" hidden="1" customHeight="1">
      <c r="A175" s="260" t="s">
        <v>292</v>
      </c>
      <c r="B175" s="260" t="s">
        <v>293</v>
      </c>
      <c r="C175" s="260" t="s">
        <v>100</v>
      </c>
      <c r="D175" s="260" t="s">
        <v>1074</v>
      </c>
      <c r="E175" s="260" t="s">
        <v>1134</v>
      </c>
      <c r="F175" s="260" t="s">
        <v>1135</v>
      </c>
      <c r="G175" s="260" t="s">
        <v>1203</v>
      </c>
      <c r="H175" s="260" t="s">
        <v>1204</v>
      </c>
      <c r="I175" s="260" t="s">
        <v>255</v>
      </c>
      <c r="J175" s="260" t="s">
        <v>607</v>
      </c>
      <c r="K175" s="260" t="s">
        <v>1205</v>
      </c>
      <c r="L175" s="260" t="s">
        <v>1206</v>
      </c>
      <c r="M175" s="260" t="s">
        <v>1207</v>
      </c>
      <c r="N175" s="260" t="s">
        <v>123</v>
      </c>
      <c r="O175" s="260" t="s">
        <v>124</v>
      </c>
      <c r="P175" s="10">
        <v>49.8</v>
      </c>
      <c r="Q175" s="11">
        <v>100</v>
      </c>
      <c r="R175" s="11">
        <f>(Z175+AH175)/CL175</f>
        <v>30.93</v>
      </c>
      <c r="S175" s="11" t="str">
        <f>VLOOKUP(K175,'1108 Educación'!$K$13:$AK$40,9,0)</f>
        <v>Se logró la contratatación de dos  profesionales para conformar el  equipo de inclusión educativa de la Secretaría de Educación para apoyar  en la organización y debida ejecución  del programa  y el  acompañamiento a las IED con asistencias técnicas  para la atención de estudiantes con discapacidad, capacidades y talentos excepcionales, igualmente Se   logrado dar inicio a asistencias técnicas a las IED, con el fin de orientar a los directivos y personal administrativo sobre el registro de los estudiantes en SIMAT de acuerdo a la nueva  categorizacion de discapacidad y trastornos del aprendizaje y del comportamiento.  Se inicia con el proceso público para contratación de operador para el desarrollo del programa de educación inclusiva.Se logra continuar con las asistencias tecnicas a las IED, con el fin de oriengtar a los directivos y personal administrativo sobre el registro de los estudiantes en "SIMAT" de acuedo a la nueva categorizacion de discapacidad y trastornos de la apredizaje y de comportamineto , se logro la articulacion con "CARC" para capacitar a 30 docentes IED que reportan estudiantes con discapacidad visual se logro articulacion para adelantar el proceso de adopcion mediante adminsitrativos  de la planta temporal de docentes de apoyo para el acompañamiento de 29 IED en educacion inclusiva. Se logra dar repuesta oportuna a los requerimiento interpuestos por parte de la IED ciudadanos y  entes de control. continua con las  asistencias técnicas a las IED, con el fin de orientar a los directivos y personal administrativo sobre el registro de los estudiantes en SIMAT de acuerdo a la nueva  categorizacion de discapacidad y trastornos del aprendizaje y del comportamiento. Se adelanto el proceso de adopción de la planta temporal de docentes de apoyo mediante la resolución 001366 de 14 de abril de 2021 y se está en el proceso de convocatoria y seleccion de 29 docentres de apoyo pedagógico, adicional a esto, la  Secretaría  de  Educación  se  encuentra  en espera de que la unidd de contratación de de viabilidad al procesode licitación pública para seleccionar el oferente idóneo para  la  prestación  del  servicio  de  profesionales  de apoyo  que  se  encargarán  de  asesorar  pedagógicamente  a  los  docentes  de aula  frente  a  la atención de los estudiantes con discapacidad, capacidades y/o talentos excepcionales en 247 establecimientos educativos oficiales del Departamento.  Se realizó taller de capacitacion orientado por el El Centro de Rehabilitación para Adultos Ciegos- CRAC,dirgido  a 30 docentes de IE que atienden estudiantes con discapacidad visual.  en el mes de julio El logro significativo fue el iniciar el acompañamientoa 23 IED  con docentes de apoyo pedagógico,  nombrados por planta temporal en las IE con el mayor número de estudiantes con discapacidad, beneficiando a 1650 niños, niñas jovenes y adultos.  Se logra dar acompañamiento a 13 con asistencias tecnicas orientando a los rectores, orientadores y personal encargado del registro en el SIMAT  sobre sobre historia escolar, PIAR, registro de estudiantes con discapacidad,  trastornos del aprendizaje y del comportamiento, talentos excepcionales.</v>
      </c>
      <c r="T175" s="11">
        <v>0</v>
      </c>
      <c r="U175" s="11">
        <v>100</v>
      </c>
      <c r="V175" s="11">
        <v>0</v>
      </c>
      <c r="W175" s="11">
        <v>100</v>
      </c>
      <c r="X175" s="11" t="s">
        <v>115</v>
      </c>
      <c r="Y175" s="11">
        <v>98</v>
      </c>
      <c r="Z175" s="11">
        <v>98</v>
      </c>
      <c r="AA175" s="11" t="s">
        <v>1208</v>
      </c>
      <c r="AB175" s="11" t="s">
        <v>1209</v>
      </c>
      <c r="AC175" s="11">
        <v>0</v>
      </c>
      <c r="AD175" s="11">
        <v>0</v>
      </c>
      <c r="AE175" s="11">
        <v>100</v>
      </c>
      <c r="AF175" s="11">
        <f>VLOOKUP(K175,'1108 Educación'!$K$13:$AK$40,22,0)</f>
        <v>0</v>
      </c>
      <c r="AG175" s="11">
        <f>VLOOKUP(K175,'1108 Educación'!$K$13:$AK$40,23,0)</f>
        <v>25.72</v>
      </c>
      <c r="AH175" s="11">
        <f>AG175</f>
        <v>25.72</v>
      </c>
      <c r="AI175" s="11">
        <f>VLOOKUP(K175,'1108 Educación'!$K$13:$AK$40,25,0)</f>
        <v>0</v>
      </c>
      <c r="AJ175" s="11" t="str">
        <f>VLOOKUP(K175,'1108 Educación'!$K$13:$AK$40,26,0)</f>
        <v>Se logró la contratatación de quince  profesionales para conformar el  equipo de inclusión educativa de la Secretaría de Educación para apoyar  en la organización y debida ejecución  del programa  y el  acompañamiento a las IED con asistencias técnicas  para la atención de estudiantes con discapacidad, capacidades y talentos excepcionales, igualmente Se logra dar inicio a asistencias técnicas a las IED, con el fin de orientar a los directivos y personal administrativo sobre el registro de los estudiantes en SIMAT de acuerdo a la nueva  categorizacion de discapacidad y trastornos del aprendizaje y del comportamiento.  Se inicia con el proceso público para contratación de operador para el desarrollo del programa de educación inclusiva.Se logra continuar con las asistencias tecnicas a las IED, con el fin de oriengtar a los directivos y personal administrativo sobre el registro de los estudiantes en "SIMAT" de acuedo a la nueva categorizacion de discapacidad y trastornos de la apredizaje y de comportamineto , se logro la articulacion con "CARC" para capacitar a 30 docentes IED que reportan estudiantes con discapacidad visual se logro articulacion para adelantar el proceso de adopcion mediante adminsitrativos  de la planta temporal de docentes de apoyo para el acompañamiento de 29 IED en educacion inclusiva. Se logra dar repuesta oportuna a los requerimiento interpuestos por parte de la IED ciudadanos y  entes de control. continua con las  asistencias técnicas a las IED, con el fin de orientar a los directivos y personal administrativo sobre el registro de los estudiantes en SIMAT de acuerdo a la nueva  categorizacion de discapacidad y trastornos del aprendizaje y del comportamiento. Se adelanto el proceso de adopción de la planta temporal de docentes de apoyo mediante la resolución 001366 de 14 de abril de 2021 y se está en el proceso de convocatoria y seleccion de 29 docentres de apoyo pedagógico, adicional a esto, la  Secretaría  de  Educación  se  encuentra  en espera de que la unidd de contratación de de viabilidad al procesode licitación pública para seleccionar el oferente idóneo para  la  prestación  del  servicio  de  profesionales  de apoyo  que  se  encargarán  de  asesorar  pedagógicamente  a  los  docentes  de aula  frente  a  la atención de los estudiantes con discapacidad, capacidades y/o talentos excepcionales en 247 establecimientos educativos oficiales del Departamento.  Se realizó taller de capacitacion orientado por el El Centro de Rehabilitación para Adultos Ciegos- CRAC,dirgido  a 30 docentes de IE que atienden estudiantes con discapacidad visual.  en el mes de julio El logro significativo fue el iniciar el acompañamientoa 23 IED  con docentes de apoyo pedagógico,  nombrados por planta temporal en las IE con el mayor número de estudiantes con discapacidad, beneficiando a 1650 niños, niñas jovenes y adultos.  Se logra dar acompañamiento a 13 con asistencias tecnicas orientando a los rectores, orientadores y personal encargado del registro en el SIMAT  sobre sobre historia escolar, PIAR, registro de estudiantes con discapacidad,  trastornos del aprendizaje y del comportamiento, talentos excepcionales.para el mes de octubreel  logro significativo fue la adopción de la planta temporal de docentes de apoyo pedagógico que iniciaron acompañamiento a 29 IE, en los procesos de educacion inclusiva para estudiantes con discapacidad, capacidades y telentos excepionales.  Se hizo traslado de recursos SGP a la direcciòn de personal docente para cubrir esta nómina.  Se logro hacer acompañameitno mediante asistencias técnias a IED.</v>
      </c>
      <c r="AK175" s="11" t="str">
        <f>VLOOKUP(K175,'1108 Educación'!$K$13:$AK$40,27,0)</f>
        <v xml:space="preserve">No se logro la contratacion de la totalidad de los  25 profesionales de apoyo pedagogico  proyectados por lo que no se logra acompañar a la totalidad de las IE en temas de inclusion educativa. </v>
      </c>
      <c r="AL175" s="11">
        <v>0</v>
      </c>
      <c r="AM175" s="11">
        <v>100</v>
      </c>
      <c r="AN175" s="11">
        <v>0</v>
      </c>
      <c r="AO175" s="11">
        <v>100</v>
      </c>
      <c r="AP175" s="11">
        <v>0</v>
      </c>
      <c r="AQ175" s="11">
        <v>0</v>
      </c>
      <c r="AR175" s="51">
        <v>20808333</v>
      </c>
      <c r="AS175" s="54">
        <v>0</v>
      </c>
      <c r="AT175" s="54">
        <f t="shared" si="246"/>
        <v>20808333</v>
      </c>
      <c r="AU175" s="51">
        <v>20808333</v>
      </c>
      <c r="AV175" s="243">
        <v>3633567921</v>
      </c>
      <c r="AW175" s="244"/>
      <c r="AX175" s="244"/>
      <c r="AY175" s="243">
        <v>295006755</v>
      </c>
      <c r="AZ175" s="44" cm="1">
        <f t="array" ref="AZ175">_xlfn.IFS((BA175=0),(BD175/CL175),(BA175&gt;0),((BB175+BD175)/CL175),(BE175&gt;0),((BB175+BD175+BE175)/CL175),(BG175&gt;0),((BB175+BD175+BE175+G175)/CL175))</f>
        <v>0.30930000000000002</v>
      </c>
      <c r="BA175" s="44">
        <v>0.25</v>
      </c>
      <c r="BB175" s="44">
        <v>0.98</v>
      </c>
      <c r="BC175" s="44">
        <f>IF(AE175&gt;0,(1/CL175),0)</f>
        <v>0.25</v>
      </c>
      <c r="BD175" s="44" cm="1">
        <f t="array" ref="BD175">_xlfn.IFS(AE175=0,"NA",AE175&gt;0,AH175/AE175)</f>
        <v>0.25719999999999998</v>
      </c>
      <c r="BE175" s="44">
        <f>IF(AM175&gt;0,(1/CL175),0)</f>
        <v>0.25</v>
      </c>
      <c r="BF175" s="44">
        <v>0</v>
      </c>
      <c r="BG175" s="44">
        <f>IF(AO175&gt;0,(1/CL175),0)</f>
        <v>0.25</v>
      </c>
      <c r="BH175" s="44">
        <v>0</v>
      </c>
      <c r="BI175" s="44">
        <v>0</v>
      </c>
      <c r="BJ175" s="44" t="s">
        <v>115</v>
      </c>
      <c r="BK175" s="44">
        <f t="shared" si="247"/>
        <v>0.30930000000000002</v>
      </c>
      <c r="BL175" s="44">
        <v>0.98</v>
      </c>
      <c r="BM175" s="44" cm="1">
        <f t="array" ref="BM175">_xlfn.IFS(BD175="NA","NA",BD175&gt;100%,"100%",BD175&lt;100,BD175)</f>
        <v>0.25719999999999998</v>
      </c>
      <c r="BN175" s="44">
        <v>0</v>
      </c>
      <c r="BO175" s="44">
        <v>0</v>
      </c>
      <c r="BP175" s="44" t="s">
        <v>115</v>
      </c>
      <c r="BQ175" s="220">
        <v>0.22500000000000001</v>
      </c>
      <c r="BR175" s="45">
        <f t="shared" si="252"/>
        <v>6.9592500000000002E-2</v>
      </c>
      <c r="BS175" s="45">
        <v>5.6300000000000003E-2</v>
      </c>
      <c r="BT175" s="45">
        <v>5.5199999999999999E-2</v>
      </c>
      <c r="BU175" s="45">
        <v>5.5100000000000003E-2</v>
      </c>
      <c r="BV175" s="45">
        <v>5.6300000000000003E-2</v>
      </c>
      <c r="BW175" s="45">
        <f t="shared" si="254"/>
        <v>1.4480359999999999E-2</v>
      </c>
      <c r="BX175" s="45">
        <f t="shared" si="255"/>
        <v>1.4492499999999998E-2</v>
      </c>
      <c r="BY175" s="45">
        <v>5.6300000000000003E-2</v>
      </c>
      <c r="BZ175" s="45">
        <v>0</v>
      </c>
      <c r="CA175" s="45">
        <f t="shared" si="253"/>
        <v>0</v>
      </c>
      <c r="CB175" s="45">
        <v>5.6300000000000003E-2</v>
      </c>
      <c r="CC175" s="45">
        <v>0</v>
      </c>
      <c r="CD175" s="45">
        <v>0</v>
      </c>
      <c r="CE175" s="45">
        <v>0</v>
      </c>
      <c r="CF175" s="45" t="s">
        <v>115</v>
      </c>
      <c r="CG175" s="45">
        <v>0</v>
      </c>
      <c r="CH175" s="244">
        <f>IF(W175&gt;0,1,0)</f>
        <v>1</v>
      </c>
      <c r="CI175" s="244">
        <f>IF(AE175&gt;0,1,0)</f>
        <v>1</v>
      </c>
      <c r="CJ175" s="244">
        <f>IF(AM175&gt;0,1,0)</f>
        <v>1</v>
      </c>
      <c r="CK175" s="244">
        <f>IF(AO175&gt;0,1,0)</f>
        <v>1</v>
      </c>
      <c r="CL175">
        <f>CH175+CI175+CJ175+CK175</f>
        <v>4</v>
      </c>
      <c r="CM175" s="63">
        <f>AVERAGE(Z175,AH175)</f>
        <v>61.86</v>
      </c>
    </row>
    <row r="176" spans="1:91" ht="18" hidden="1" customHeight="1">
      <c r="A176" s="260" t="s">
        <v>992</v>
      </c>
      <c r="B176" s="260" t="s">
        <v>993</v>
      </c>
      <c r="C176" s="260" t="s">
        <v>100</v>
      </c>
      <c r="D176" s="260" t="s">
        <v>1074</v>
      </c>
      <c r="E176" s="260" t="s">
        <v>1134</v>
      </c>
      <c r="F176" s="260" t="s">
        <v>1135</v>
      </c>
      <c r="G176" s="260" t="s">
        <v>1136</v>
      </c>
      <c r="H176" s="260" t="s">
        <v>1210</v>
      </c>
      <c r="I176" s="260"/>
      <c r="J176" s="260"/>
      <c r="K176" s="260" t="s">
        <v>1211</v>
      </c>
      <c r="L176" s="260" t="s">
        <v>1212</v>
      </c>
      <c r="M176" s="260" t="s">
        <v>1213</v>
      </c>
      <c r="N176" s="260" t="s">
        <v>123</v>
      </c>
      <c r="O176" s="260" t="s">
        <v>112</v>
      </c>
      <c r="P176" s="10">
        <v>65</v>
      </c>
      <c r="Q176" s="11">
        <v>80</v>
      </c>
      <c r="R176" s="11">
        <f>Z176+AH176</f>
        <v>37</v>
      </c>
      <c r="S176" s="11" t="str">
        <f>VLOOKUP(K176,'1105 Gobierno'!$K$12:$AK$31,9,0)</f>
        <v xml:space="preserve">Se garantiza el cumplimiento de la política pública de discapacidad Ordenanza No. 0266 de 2015, garantizando el correcto funcionamiento de los comités municipales en pro de los derechos de la población en condición de discapacidad a través de la asistencia técnica. De acuerdo a las actividades del plan de trabajo, se cumplen los instrumentos que acrediten a las personas con discapacidad, mecanismos que prioricen acceso a la justicia de personas con discapacidad, se han facilitado espacios y dotación a personas con discapacidad, se han realizado acciones de rehabilitación integral, garantizando salud y cobertura a dichas personas, y a su vez, desde la secretaría de Gobierno como secretaría técnica de la política, se realizan los comités de discapacidad departamental y se realiza el acompañamiento y asistencia técnica a los consejos municipales de discapacidad. Asimismo, se han realizado jornadas de capacitación inclusión laboral para personas con discapacidad en el sector público. Actualmente se ajusta el plan de implementación de la política pública de discapacidad y se realizo el primer comite departamental de discapacidad. </v>
      </c>
      <c r="T176" s="11">
        <v>20</v>
      </c>
      <c r="U176" s="11">
        <v>0</v>
      </c>
      <c r="V176" s="11">
        <v>17</v>
      </c>
      <c r="W176" s="11">
        <v>0</v>
      </c>
      <c r="X176" s="11">
        <v>17</v>
      </c>
      <c r="Y176" s="11">
        <v>0</v>
      </c>
      <c r="Z176" s="11">
        <v>17</v>
      </c>
      <c r="AA176" s="11" t="s">
        <v>1214</v>
      </c>
      <c r="AB176" s="11" t="s">
        <v>1215</v>
      </c>
      <c r="AC176" s="11" t="s">
        <v>1216</v>
      </c>
      <c r="AD176" s="11">
        <v>24</v>
      </c>
      <c r="AE176" s="11">
        <v>0</v>
      </c>
      <c r="AF176" s="11">
        <f>VLOOKUP(K176,'1105 Gobierno'!$K$12:$AK$31,22,0)</f>
        <v>20</v>
      </c>
      <c r="AG176" s="11" t="str">
        <f>VLOOKUP(K176,'1105 Gobierno'!$K$12:$AK$31,23,0)</f>
        <v> </v>
      </c>
      <c r="AH176" s="11">
        <f>AF176</f>
        <v>20</v>
      </c>
      <c r="AI176" s="11" t="str">
        <f>VLOOKUP(K176,'1105 Gobierno'!$K$12:$AK$31,25,0)</f>
        <v>Asistencia Técnica</v>
      </c>
      <c r="AJ176" s="11" t="str">
        <f>VLOOKUP(K176,'1105 Gobierno'!$K$12:$AK$31,26,0)</f>
        <v>Las asistencias técnicas que se realizaron en los tres primeros trimestres de 2021 ( corte 30 septiembre de 2021), llegaron a un total de 46 asistencias, 19 de forma presencial y 27 de forma virtual, incluyendo entidades departamentales y municipios. Para un total de 366 de personas asistidas, cuyo objetivo fue maximizar la calidad de la implementación de las Política Pública de Discapacidad ordenanza 0266/2015.  A la fecha, se ha realizado para la vigencia 2021, dos (2) Comités Departamentales de Discapacidad: para las fechas 8 de septiembre de 2021 y 14 de abril de 2021, convocadas por la Secretaría de Gobierno, en particular, Dirección de Convivencia, Justicia y Derechos Humanos. Al mismo tiempo, tuvo lugar la Mesa Técnica de Discapacidad Departamental  el día 9 de agosto de 2021.</v>
      </c>
      <c r="AK176" s="11" t="str">
        <f>VLOOKUP(K176,'1105 Gobierno'!$K$12:$AK$31,27,0)</f>
        <v>Entrega de la información solicitada a las diferentes secretarías, la emergencia sanitaria ocasionada por el covid-19.</v>
      </c>
      <c r="AL176" s="11">
        <v>29</v>
      </c>
      <c r="AM176" s="11">
        <v>0</v>
      </c>
      <c r="AN176" s="11">
        <v>30</v>
      </c>
      <c r="AO176" s="11">
        <v>0</v>
      </c>
      <c r="AP176" s="11">
        <v>0</v>
      </c>
      <c r="AQ176" s="11">
        <v>0</v>
      </c>
      <c r="AR176" s="52"/>
      <c r="AS176" s="54">
        <v>5000000</v>
      </c>
      <c r="AT176" s="54">
        <f t="shared" si="246"/>
        <v>5000000</v>
      </c>
      <c r="AU176" s="52"/>
      <c r="AV176" s="243">
        <v>90200000</v>
      </c>
      <c r="AW176" s="244"/>
      <c r="AX176" s="244"/>
      <c r="AY176" s="243">
        <v>83611971</v>
      </c>
      <c r="AZ176" s="44">
        <f>R176/Q176</f>
        <v>0.46250000000000002</v>
      </c>
      <c r="BA176" s="44">
        <v>0.17</v>
      </c>
      <c r="BB176" s="44">
        <v>1</v>
      </c>
      <c r="BC176" s="44">
        <f>AD176/Q176</f>
        <v>0.3</v>
      </c>
      <c r="BD176" s="44" cm="1">
        <f t="array" ref="BD176">_xlfn.IFS(AD176=0,"NA",AD176&gt;0,AH176/AD176)</f>
        <v>0.83333333333333337</v>
      </c>
      <c r="BE176" s="44">
        <f>AL176/Q176</f>
        <v>0.36249999999999999</v>
      </c>
      <c r="BF176" s="44">
        <v>0</v>
      </c>
      <c r="BG176" s="44">
        <f>AN176/Q176</f>
        <v>0.375</v>
      </c>
      <c r="BH176" s="44">
        <v>0</v>
      </c>
      <c r="BI176" s="44">
        <f>AP176/Q176</f>
        <v>0</v>
      </c>
      <c r="BJ176" s="44" t="s">
        <v>115</v>
      </c>
      <c r="BK176" s="44">
        <f t="shared" si="247"/>
        <v>0.46250000000000002</v>
      </c>
      <c r="BL176" s="44">
        <v>1</v>
      </c>
      <c r="BM176" s="44" cm="1">
        <f t="array" ref="BM176">_xlfn.IFS(BD176="NA","NA",BD176&gt;100%,"100%",BD176&lt;100,BD176)</f>
        <v>0.83333333333333337</v>
      </c>
      <c r="BN176" s="44" cm="1">
        <f t="array" ref="BN176">_xlfn.IFS(BF176="NA","NA",BF176&gt;100%,"100%",BF176&lt;100,BF176)</f>
        <v>0</v>
      </c>
      <c r="BO176" s="44" cm="1">
        <f t="array" ref="BO176">_xlfn.IFS(BH176="NA","NA",BH176&gt;100%,"100%",BH176&lt;100,BH176)</f>
        <v>0</v>
      </c>
      <c r="BP176" s="44" t="str" cm="1">
        <f t="array" ref="BP176">_xlfn.IFS(BJ176="NA","NA",BJ176&gt;100%,"100%",BJ176&lt;100,BJ176)</f>
        <v>NA</v>
      </c>
      <c r="BQ176" s="45">
        <v>0.22500000000000001</v>
      </c>
      <c r="BR176" s="45">
        <f t="shared" si="252"/>
        <v>0.1040625</v>
      </c>
      <c r="BS176" s="45">
        <v>3.8300000000000001E-2</v>
      </c>
      <c r="BT176" s="45">
        <v>3.8300000000000001E-2</v>
      </c>
      <c r="BU176" s="45">
        <v>3.8300000000000001E-2</v>
      </c>
      <c r="BV176" s="45">
        <f>(AD176*BQ176)/Q176</f>
        <v>6.7500000000000004E-2</v>
      </c>
      <c r="BW176" s="45">
        <f t="shared" si="254"/>
        <v>5.6250000000000008E-2</v>
      </c>
      <c r="BX176" s="45">
        <f t="shared" si="255"/>
        <v>6.5762500000000002E-2</v>
      </c>
      <c r="BY176" s="45">
        <f>(AL176*BQ176)/Q176</f>
        <v>8.156250000000001E-2</v>
      </c>
      <c r="BZ176" s="45">
        <f>IF(BN176="NA","NA",BN176*BY176)</f>
        <v>0</v>
      </c>
      <c r="CA176" s="45">
        <f t="shared" si="253"/>
        <v>0</v>
      </c>
      <c r="CB176" s="45">
        <f>(AN176*BQ176)/Q176</f>
        <v>8.4375000000000006E-2</v>
      </c>
      <c r="CC176" s="45">
        <f>IF(BO176="NA","NA",BO176*CB176)</f>
        <v>0</v>
      </c>
      <c r="CD176" s="45">
        <v>0</v>
      </c>
      <c r="CE176" s="45">
        <f>(AP176*BQ176)/Q176</f>
        <v>0</v>
      </c>
      <c r="CF176" s="45" t="str">
        <f>IF(BP176="NA","NA",BP176*CE176)</f>
        <v>NA</v>
      </c>
      <c r="CG176" s="45">
        <v>0</v>
      </c>
      <c r="CH176" s="244"/>
      <c r="CI176" s="244"/>
      <c r="CJ176" s="244"/>
      <c r="CK176" s="244"/>
      <c r="CM176" s="63">
        <v>33</v>
      </c>
    </row>
    <row r="177" spans="1:91" ht="18" hidden="1" customHeight="1">
      <c r="A177" s="260" t="s">
        <v>98</v>
      </c>
      <c r="B177" s="260" t="s">
        <v>99</v>
      </c>
      <c r="C177" s="260" t="s">
        <v>100</v>
      </c>
      <c r="D177" s="260" t="s">
        <v>1074</v>
      </c>
      <c r="E177" s="260" t="s">
        <v>1134</v>
      </c>
      <c r="F177" s="260" t="s">
        <v>1217</v>
      </c>
      <c r="G177" s="260" t="s">
        <v>1218</v>
      </c>
      <c r="H177" s="260" t="s">
        <v>1219</v>
      </c>
      <c r="I177" s="260" t="s">
        <v>106</v>
      </c>
      <c r="J177" s="260" t="s">
        <v>607</v>
      </c>
      <c r="K177" s="260" t="s">
        <v>1220</v>
      </c>
      <c r="L177" s="260" t="s">
        <v>1221</v>
      </c>
      <c r="M177" s="260" t="s">
        <v>1222</v>
      </c>
      <c r="N177" s="260" t="s">
        <v>111</v>
      </c>
      <c r="O177" s="260" t="s">
        <v>124</v>
      </c>
      <c r="P177" s="10">
        <v>50</v>
      </c>
      <c r="Q177" s="11">
        <v>116</v>
      </c>
      <c r="R177" s="11">
        <f>(Z177+AH177)/CL177</f>
        <v>51.75</v>
      </c>
      <c r="S177" s="11" t="str">
        <f>VLOOKUP(K177,'1197 Salud'!$K$13:$AK$54,9,0)</f>
        <v xml:space="preserve">Se realizaron fortalecmiento a las acciones de salud intregrales para personas con discapacidad en los municipios de  Guatativa, Choconta. Macheta. La Mesa. Nocaima. Tabio, fuquene, chia, Guasca, Lenguazaque, Chipaque, Choachi, cucunuba, fosca, guayabetal, gutierrez, Paratebueno, Sutatausa, tausa, El peñon, La Palma, La peña, Manta, Paime, Supata, tenjo Tibirita, villagomez, Villapinzon,  Arbelaez, Silvania, Villeta, Funza, Zipacon, San Juan de Rioseco, Mosquera, Bituima, Madrid, Bojaca, Beltran, Pandi, Zipaquira, Anapoima, Tocancipa, Caparrapi, Girardot, Quipile, Anolaima, Guaduas, Gachancipa, El Colegio, Nariño, Nilo, Agua de Dios, Fusagasuga, Viota, San Antonio del tequendama, Cachipay.Nemocon, Apulo, La Calera, Medina, Une, Fomeque, Carmen de carupa, Pacho, La vega, San francisco, Soacha, Suesca, Sesquile, Venecia, Cabrera, Puli, El rosal, Subachoque, Guayabal de siquima.  Alban, Caqueza, Gachala, Gama, Granada, Guacheta, Junin, La Vega, Simijaca, Supata, Tibirita, Ubaque, Viani, Villagomez, Dando continudad a la vigencia 2020 donde se realizaron en los 116 municipios </v>
      </c>
      <c r="T177" s="11">
        <v>0</v>
      </c>
      <c r="U177" s="11">
        <v>116</v>
      </c>
      <c r="V177" s="11">
        <v>0</v>
      </c>
      <c r="W177" s="11">
        <v>116</v>
      </c>
      <c r="X177" s="11" t="s">
        <v>115</v>
      </c>
      <c r="Y177" s="11">
        <v>116</v>
      </c>
      <c r="Z177" s="11">
        <v>116</v>
      </c>
      <c r="AA177" s="11" t="s">
        <v>1222</v>
      </c>
      <c r="AB177" s="11" t="s">
        <v>1223</v>
      </c>
      <c r="AC177" s="11" t="s">
        <v>1224</v>
      </c>
      <c r="AD177" s="11">
        <v>0</v>
      </c>
      <c r="AE177" s="11">
        <v>116</v>
      </c>
      <c r="AF177" s="11">
        <f>VLOOKUP(K177,'1197 Salud'!$K$13:$AK$54,22,0)</f>
        <v>0</v>
      </c>
      <c r="AG177" s="11">
        <f>VLOOKUP(K177,'1197 Salud'!$K$13:$AK$54,23,0)</f>
        <v>91</v>
      </c>
      <c r="AH177" s="11">
        <f>AG177</f>
        <v>91</v>
      </c>
      <c r="AI177" s="11" t="str">
        <f>VLOOKUP(K177,'1197 Salud'!$K$13:$AK$54,25,0)</f>
        <v>municipios con acciones integrales para las personas con discapacidad.</v>
      </c>
      <c r="AJ177" s="11" t="str">
        <f>VLOOKUP(K177,'1197 Salud'!$K$13:$AK$54,26,0)</f>
        <v xml:space="preserve">Se realiza acciones integrales en la estrategia de rehabilitación basada en comunidad en los municipios de   Guatativa, Choconta. Macheta. La Mesa. Nocaima. Tabio, fuquene, chia, Guasca, Lenguazaque, Chipaque, Choachi, cucunuba, fosca, guayabetal, gutierrez, Paratebueno, Sutatausa, tausa, El peñon, La Palma, La peña, Manta, Paime, Supata, tenjo Tibirita, villagomez, Villapinzon,  Arbelaez, Silvania, Villeta, Funza, Zipacon, San Juan de Rioseco, Mosquera, Bituima, Madrid, Bojaca, Beltran, Pandi, Zipaquira, Anapoima, Tocancipa, Caparrapi, Girardot, Quipile, Anolaima, Guaduas, Gachancipa, El Colegio, Nariño, Nilo, Agua de Dios, Fusagasuga, Viota, San Antonio del tequendama, Cachipay.Nemocon, Apulo, La Calera, Medina, Une, Fomeque, Carmen de carupa, Pacho, La vega, San francisco, Soacha, Suesca, Sesquile, Venecia, Cabrera, Puli, El rosal, Subachoque, Guayabal de siquima.  Alban, Caqueza, Gachala, Gama, Granada, Guacheta, Junin, La Vega, Simijaca, Supata, Tibirita, Ubaque, Viani, Villagomez. </v>
      </c>
      <c r="AK177" s="11" t="str">
        <f>VLOOKUP(K177,'1197 Salud'!$K$13:$AK$54,27,0)</f>
        <v>N/A</v>
      </c>
      <c r="AL177" s="11">
        <v>0</v>
      </c>
      <c r="AM177" s="11">
        <v>116</v>
      </c>
      <c r="AN177" s="11">
        <v>0</v>
      </c>
      <c r="AO177" s="11">
        <v>116</v>
      </c>
      <c r="AP177" s="11">
        <v>0</v>
      </c>
      <c r="AQ177" s="11">
        <v>0</v>
      </c>
      <c r="AR177" s="51">
        <v>34500000</v>
      </c>
      <c r="AS177" s="54">
        <v>0</v>
      </c>
      <c r="AT177" s="54">
        <f t="shared" si="246"/>
        <v>34500000</v>
      </c>
      <c r="AU177" s="51">
        <v>33956613</v>
      </c>
      <c r="AV177" s="243">
        <v>241106490</v>
      </c>
      <c r="AW177" s="244"/>
      <c r="AX177" s="244"/>
      <c r="AY177" s="243">
        <v>238106490</v>
      </c>
      <c r="AZ177" s="44" cm="1">
        <f t="array" ref="AZ177">_xlfn.IFS((BA177=0),(BD177/CL177),(BA177&gt;0),((BB177+BD177)/CL177),(BE177&gt;0),((BB177+BD177+BE177)/CL177),(BG177&gt;0),((BB177+BD177+BE177+G177)/CL177))</f>
        <v>0.44612068965517238</v>
      </c>
      <c r="BA177" s="44">
        <v>0.25</v>
      </c>
      <c r="BB177" s="44">
        <v>1</v>
      </c>
      <c r="BC177" s="44">
        <f>IF(AE177&gt;0,(1/CL177),0)</f>
        <v>0.25</v>
      </c>
      <c r="BD177" s="44" cm="1">
        <f t="array" ref="BD177">_xlfn.IFS(AE177=0,"NA",AE177&gt;0,AH177/AE177)</f>
        <v>0.78448275862068961</v>
      </c>
      <c r="BE177" s="44">
        <f>IF(AM177&gt;0,(1/CL177),0)</f>
        <v>0.25</v>
      </c>
      <c r="BF177" s="44">
        <v>0</v>
      </c>
      <c r="BG177" s="44">
        <f>IF(AO177&gt;0,(1/CL177),0)</f>
        <v>0.25</v>
      </c>
      <c r="BH177" s="44">
        <v>0</v>
      </c>
      <c r="BI177" s="44">
        <v>0</v>
      </c>
      <c r="BJ177" s="44" t="s">
        <v>115</v>
      </c>
      <c r="BK177" s="44">
        <f t="shared" si="247"/>
        <v>0.44612068965517238</v>
      </c>
      <c r="BL177" s="44">
        <v>1</v>
      </c>
      <c r="BM177" s="44" cm="1">
        <f t="array" ref="BM177">_xlfn.IFS(BD177="NA","NA",BD177&gt;100%,"100%",BD177&lt;100,BD177)</f>
        <v>0.78448275862068961</v>
      </c>
      <c r="BN177" s="44">
        <v>0</v>
      </c>
      <c r="BO177" s="44">
        <v>0</v>
      </c>
      <c r="BP177" s="44" t="s">
        <v>115</v>
      </c>
      <c r="BQ177" s="45">
        <v>0.22500000000000001</v>
      </c>
      <c r="BR177" s="45">
        <f t="shared" si="252"/>
        <v>0.10037715517241379</v>
      </c>
      <c r="BS177" s="45">
        <v>5.6300000000000003E-2</v>
      </c>
      <c r="BT177" s="45">
        <v>5.6300000000000003E-2</v>
      </c>
      <c r="BU177" s="45">
        <v>5.6300000000000003E-2</v>
      </c>
      <c r="BV177" s="45">
        <v>5.6300000000000003E-2</v>
      </c>
      <c r="BW177" s="45">
        <f t="shared" si="254"/>
        <v>4.4166379310344825E-2</v>
      </c>
      <c r="BX177" s="45">
        <f t="shared" si="255"/>
        <v>4.4077155172413784E-2</v>
      </c>
      <c r="BY177" s="45">
        <v>5.6300000000000003E-2</v>
      </c>
      <c r="BZ177" s="45">
        <v>0</v>
      </c>
      <c r="CA177" s="45">
        <f t="shared" si="253"/>
        <v>0</v>
      </c>
      <c r="CB177" s="45">
        <v>5.6300000000000003E-2</v>
      </c>
      <c r="CC177" s="45">
        <v>0</v>
      </c>
      <c r="CD177" s="45">
        <v>0</v>
      </c>
      <c r="CE177" s="45">
        <v>0</v>
      </c>
      <c r="CF177" s="45" t="s">
        <v>115</v>
      </c>
      <c r="CG177" s="45">
        <v>0</v>
      </c>
      <c r="CH177" s="244">
        <f>IF(W177&gt;0,1,0)</f>
        <v>1</v>
      </c>
      <c r="CI177" s="244">
        <f>IF(AE177&gt;0,1,0)</f>
        <v>1</v>
      </c>
      <c r="CJ177" s="244">
        <f>IF(AM177&gt;0,1,0)</f>
        <v>1</v>
      </c>
      <c r="CK177" s="244">
        <f>IF(AO177&gt;0,1,0)</f>
        <v>1</v>
      </c>
      <c r="CL177">
        <f>CH177+CI177+CJ177+CK177</f>
        <v>4</v>
      </c>
      <c r="CM177" s="63">
        <f>AVERAGE(Z177,AH177)</f>
        <v>103.5</v>
      </c>
    </row>
    <row r="178" spans="1:91" ht="18" hidden="1" customHeight="1">
      <c r="A178" s="260" t="s">
        <v>144</v>
      </c>
      <c r="B178" s="260" t="s">
        <v>145</v>
      </c>
      <c r="C178" s="260" t="s">
        <v>100</v>
      </c>
      <c r="D178" s="260" t="s">
        <v>1225</v>
      </c>
      <c r="E178" s="260" t="s">
        <v>1226</v>
      </c>
      <c r="F178" s="260" t="s">
        <v>1227</v>
      </c>
      <c r="G178" s="260" t="s">
        <v>1228</v>
      </c>
      <c r="H178" s="260" t="s">
        <v>1229</v>
      </c>
      <c r="I178" s="260" t="s">
        <v>165</v>
      </c>
      <c r="J178" s="260"/>
      <c r="K178" s="260" t="s">
        <v>1230</v>
      </c>
      <c r="L178" s="260" t="s">
        <v>1231</v>
      </c>
      <c r="M178" s="260" t="s">
        <v>1232</v>
      </c>
      <c r="N178" s="260" t="s">
        <v>111</v>
      </c>
      <c r="O178" s="260" t="s">
        <v>112</v>
      </c>
      <c r="P178" s="10">
        <v>6</v>
      </c>
      <c r="Q178" s="11">
        <v>6</v>
      </c>
      <c r="R178" s="11">
        <f>Z178+AH178</f>
        <v>3</v>
      </c>
      <c r="S178" s="11" t="str">
        <f>VLOOKUP(K178,'1126 Desarrollo Social'!$K$13:$S$58,9,0)</f>
        <v>Capacitación a 4 resguardos indígenas para la presentación de proyectos productivos</v>
      </c>
      <c r="T178" s="11">
        <v>1</v>
      </c>
      <c r="U178" s="11">
        <v>0</v>
      </c>
      <c r="V178" s="11">
        <v>1</v>
      </c>
      <c r="W178" s="11">
        <v>0</v>
      </c>
      <c r="X178" s="11">
        <v>3</v>
      </c>
      <c r="Y178" s="11">
        <v>0</v>
      </c>
      <c r="Z178" s="11">
        <v>3</v>
      </c>
      <c r="AA178" s="11" t="s">
        <v>1233</v>
      </c>
      <c r="AB178" s="11" t="s">
        <v>1234</v>
      </c>
      <c r="AC178" s="11" t="s">
        <v>1235</v>
      </c>
      <c r="AD178" s="11">
        <v>0</v>
      </c>
      <c r="AE178" s="11">
        <v>0</v>
      </c>
      <c r="AF178" s="11">
        <f>VLOOKUP(K178,'1126 Desarrollo Social'!$K$13:$AK$58,22,0)</f>
        <v>0</v>
      </c>
      <c r="AG178" s="11">
        <f>VLOOKUP(K178,'1126 Desarrollo Social'!$K$13:$AK$58,23,0)</f>
        <v>0</v>
      </c>
      <c r="AH178" s="11">
        <f>AF178</f>
        <v>0</v>
      </c>
      <c r="AI178" s="11">
        <f>VLOOKUP(K178,'1126 Desarrollo Social'!$K$13:$AK$58,25,0)</f>
        <v>0</v>
      </c>
      <c r="AJ178" s="11" t="str">
        <f>VLOOKUP(K178,'1126 Desarrollo Social'!$K$13:$AK$58,26,0)</f>
        <v xml:space="preserve"> se proyectaron para Firma de  convenios con los municipios de Sesquile y Medina para la compra delos proyectos productivos de la cumunidad Kichwa, Muisca y Je´eruriwa  - Ya se firmo el RPC</v>
      </c>
      <c r="AK178" s="11">
        <f>VLOOKUP(K178,'1126 Desarrollo Social'!$K$13:$AK$58,27,0)</f>
        <v>0</v>
      </c>
      <c r="AL178" s="11">
        <v>2</v>
      </c>
      <c r="AM178" s="11">
        <v>0</v>
      </c>
      <c r="AN178" s="11">
        <v>1</v>
      </c>
      <c r="AO178" s="11">
        <v>0</v>
      </c>
      <c r="AP178" s="11">
        <v>0</v>
      </c>
      <c r="AQ178" s="11">
        <v>0</v>
      </c>
      <c r="AR178" s="51">
        <v>11000000</v>
      </c>
      <c r="AS178" s="54">
        <v>0</v>
      </c>
      <c r="AT178" s="54">
        <f t="shared" si="246"/>
        <v>11000000</v>
      </c>
      <c r="AU178" s="51">
        <v>0</v>
      </c>
      <c r="AV178" s="243">
        <v>31788082</v>
      </c>
      <c r="AW178" s="244"/>
      <c r="AX178" s="244"/>
      <c r="AY178" s="243">
        <v>27785850</v>
      </c>
      <c r="AZ178" s="44">
        <f>R178/Q178</f>
        <v>0.5</v>
      </c>
      <c r="BA178" s="44">
        <v>0.16669999999999999</v>
      </c>
      <c r="BB178" s="44">
        <v>3</v>
      </c>
      <c r="BC178" s="44">
        <f>AD178/Q178</f>
        <v>0</v>
      </c>
      <c r="BD178" s="44" t="str" cm="1">
        <f t="array" ref="BD178">_xlfn.IFS(AD178=0,"NA",AD178&gt;0,AH178/AD178)</f>
        <v>NA</v>
      </c>
      <c r="BE178" s="44">
        <f>AL178/Q178</f>
        <v>0.33333333333333331</v>
      </c>
      <c r="BF178" s="44">
        <v>0</v>
      </c>
      <c r="BG178" s="44">
        <f>AN178/Q178</f>
        <v>0.16666666666666666</v>
      </c>
      <c r="BH178" s="44">
        <v>0</v>
      </c>
      <c r="BI178" s="44">
        <f>AP178/Q178</f>
        <v>0</v>
      </c>
      <c r="BJ178" s="44" t="s">
        <v>115</v>
      </c>
      <c r="BK178" s="44">
        <f t="shared" si="247"/>
        <v>0.5</v>
      </c>
      <c r="BL178" s="44">
        <v>1</v>
      </c>
      <c r="BM178" s="44" t="str" cm="1">
        <f t="array" ref="BM178">_xlfn.IFS(BD178="NA","NA",BD178&gt;100%,"100%",BD178&lt;100,BD178)</f>
        <v>NA</v>
      </c>
      <c r="BN178" s="44" cm="1">
        <f t="array" ref="BN178">_xlfn.IFS(BF178="NA","NA",BF178&gt;100%,"100%",BF178&lt;100,BF178)</f>
        <v>0</v>
      </c>
      <c r="BO178" s="44" cm="1">
        <f t="array" ref="BO178">_xlfn.IFS(BH178="NA","NA",BH178&gt;100%,"100%",BH178&lt;100,BH178)</f>
        <v>0</v>
      </c>
      <c r="BP178" s="44" t="str" cm="1">
        <f t="array" ref="BP178">_xlfn.IFS(BJ178="NA","NA",BJ178&gt;100%,"100%",BJ178&lt;100,BJ178)</f>
        <v>NA</v>
      </c>
      <c r="BQ178" s="45">
        <v>0.22500000000000001</v>
      </c>
      <c r="BR178" s="45">
        <f t="shared" si="252"/>
        <v>0.1125</v>
      </c>
      <c r="BS178" s="45">
        <v>3.7499999999999999E-2</v>
      </c>
      <c r="BT178" s="45">
        <v>3.7499999999999999E-2</v>
      </c>
      <c r="BU178" s="45">
        <v>0.1125</v>
      </c>
      <c r="BV178" s="45">
        <f>(AD178*BQ178)/Q178</f>
        <v>0</v>
      </c>
      <c r="BW178" s="45" t="str">
        <f t="shared" si="254"/>
        <v>NA</v>
      </c>
      <c r="BX178" s="45">
        <f t="shared" si="255"/>
        <v>0</v>
      </c>
      <c r="BY178" s="45">
        <f>(AL178*BQ178)/Q178</f>
        <v>7.4999999999999997E-2</v>
      </c>
      <c r="BZ178" s="45">
        <f>IF(BN178="NA","NA",BN178*BY178)</f>
        <v>0</v>
      </c>
      <c r="CA178" s="45">
        <f t="shared" si="253"/>
        <v>0</v>
      </c>
      <c r="CB178" s="45">
        <f>(AN178*BQ178)/Q178</f>
        <v>3.7499999999999999E-2</v>
      </c>
      <c r="CC178" s="45">
        <f>IF(BO178="NA","NA",BO178*CB178)</f>
        <v>0</v>
      </c>
      <c r="CD178" s="45">
        <v>0</v>
      </c>
      <c r="CE178" s="45">
        <f>(AP178*BQ178)/Q178</f>
        <v>0</v>
      </c>
      <c r="CF178" s="45" t="str">
        <f>IF(BP178="NA","NA",BP178*CE178)</f>
        <v>NA</v>
      </c>
      <c r="CG178" s="45">
        <v>0</v>
      </c>
      <c r="CH178" s="244"/>
      <c r="CI178" s="244"/>
      <c r="CJ178" s="244"/>
      <c r="CK178" s="244"/>
      <c r="CM178" s="63">
        <v>3</v>
      </c>
    </row>
    <row r="179" spans="1:91" ht="18" hidden="1" customHeight="1">
      <c r="A179" s="260" t="s">
        <v>144</v>
      </c>
      <c r="B179" s="260" t="s">
        <v>145</v>
      </c>
      <c r="C179" s="260" t="s">
        <v>100</v>
      </c>
      <c r="D179" s="260" t="s">
        <v>1225</v>
      </c>
      <c r="E179" s="260" t="s">
        <v>1226</v>
      </c>
      <c r="F179" s="260" t="s">
        <v>1227</v>
      </c>
      <c r="G179" s="260" t="s">
        <v>1228</v>
      </c>
      <c r="H179" s="260" t="s">
        <v>1236</v>
      </c>
      <c r="I179" s="260" t="s">
        <v>200</v>
      </c>
      <c r="J179" s="260"/>
      <c r="K179" s="260" t="s">
        <v>1237</v>
      </c>
      <c r="L179" s="260" t="s">
        <v>1238</v>
      </c>
      <c r="M179" s="260" t="s">
        <v>1239</v>
      </c>
      <c r="N179" s="260" t="s">
        <v>123</v>
      </c>
      <c r="O179" s="260" t="s">
        <v>124</v>
      </c>
      <c r="P179" s="10">
        <v>0</v>
      </c>
      <c r="Q179" s="11">
        <v>100</v>
      </c>
      <c r="R179" s="11">
        <f t="shared" ref="R179:R180" si="336">(Z179+AH179)/CL179</f>
        <v>50</v>
      </c>
      <c r="S179" s="11" t="str">
        <f>VLOOKUP(K179,'1126 Desarrollo Social'!$K$13:$S$58,9,0)</f>
        <v>Encuentro de intercambio cultural indígenaCapacitación en emprendimiento con los 3 resguardos indígenasCapacitación en política y consejo de juventudesCapacitación a los tres resguardos en sistema general de regalíasAcompañamiento en la formulación de proyectos a los 4 resguardos indígenasEl personal profesional contratado para el desarrollo de actividades se realizo con el plan de desarrollo juntos podemos mas</v>
      </c>
      <c r="T179" s="11">
        <v>0</v>
      </c>
      <c r="U179" s="11">
        <v>100</v>
      </c>
      <c r="V179" s="11">
        <v>0</v>
      </c>
      <c r="W179" s="11">
        <v>100</v>
      </c>
      <c r="X179" s="11" t="s">
        <v>115</v>
      </c>
      <c r="Y179" s="11">
        <v>100</v>
      </c>
      <c r="Z179" s="11">
        <v>100</v>
      </c>
      <c r="AA179" s="11" t="s">
        <v>1240</v>
      </c>
      <c r="AB179" s="11" t="s">
        <v>1241</v>
      </c>
      <c r="AC179" s="11" t="s">
        <v>1242</v>
      </c>
      <c r="AD179" s="11">
        <v>0</v>
      </c>
      <c r="AE179" s="11">
        <v>100</v>
      </c>
      <c r="AF179" s="11">
        <f>VLOOKUP(K179,'1126 Desarrollo Social'!$K$13:$AK$58,22,0)</f>
        <v>0</v>
      </c>
      <c r="AG179" s="11">
        <f>VLOOKUP(K179,'1126 Desarrollo Social'!$K$13:$AK$58,23,0)</f>
        <v>100</v>
      </c>
      <c r="AH179" s="11">
        <f t="shared" ref="AH179:AH180" si="337">AG179</f>
        <v>100</v>
      </c>
      <c r="AI179" s="11" t="str">
        <f>VLOOKUP(K179,'1126 Desarrollo Social'!$K$13:$AK$58,25,0)</f>
        <v>encuentro de todas lac omunidades indigenas del Departamento de Cundinamarca, reconocidas por el  ministerio del Interior</v>
      </c>
      <c r="AJ179" s="11" t="str">
        <f>VLOOKUP(K179,'1126 Desarrollo Social'!$K$13:$AK$58,26,0)</f>
        <v>Planeacion y justificación de la solicitud de recurso para elaborar diagnostico y estados del arte del plan de vida indigena y continuidad cultural -encuentro intercultural de comunidades indiigenas de cuindinamarca "intercambiando saberes" 17/12/2021 en el muniicpio de facatativa parque ecologico piedra del TUNJO  (todas las 5 comunidades indigenas del departamento reconocidas por el ministerio del interior)</v>
      </c>
      <c r="AK179" s="11">
        <f>VLOOKUP(K179,'1126 Desarrollo Social'!$K$13:$AK$58,27,0)</f>
        <v>0</v>
      </c>
      <c r="AL179" s="11">
        <v>0</v>
      </c>
      <c r="AM179" s="11">
        <v>100</v>
      </c>
      <c r="AN179" s="11">
        <v>0</v>
      </c>
      <c r="AO179" s="11">
        <v>100</v>
      </c>
      <c r="AP179" s="11">
        <v>0</v>
      </c>
      <c r="AQ179" s="11">
        <v>0</v>
      </c>
      <c r="AR179" s="51">
        <v>19083333</v>
      </c>
      <c r="AS179" s="54">
        <v>0</v>
      </c>
      <c r="AT179" s="54">
        <f t="shared" si="246"/>
        <v>19083333</v>
      </c>
      <c r="AU179" s="51">
        <v>9083333</v>
      </c>
      <c r="AV179" s="243">
        <v>488756906</v>
      </c>
      <c r="AW179" s="244"/>
      <c r="AX179" s="244"/>
      <c r="AY179" s="243">
        <v>3300000</v>
      </c>
      <c r="AZ179" s="44" cm="1">
        <f t="array" ref="AZ179">_xlfn.IFS((BA179=0),(BD179/CL179),(BA179&gt;0),((BB179+BD179)/CL179),(BE179&gt;0),((BB179+BD179+BE179)/CL179),(BG179&gt;0),((BB179+BD179+BE179+G179)/CL179))</f>
        <v>0.5</v>
      </c>
      <c r="BA179" s="44">
        <v>0.25</v>
      </c>
      <c r="BB179" s="44">
        <v>1</v>
      </c>
      <c r="BC179" s="44">
        <f t="shared" ref="BC179:BC180" si="338">IF(AE179&gt;0,(1/CL179),0)</f>
        <v>0.25</v>
      </c>
      <c r="BD179" s="44" cm="1">
        <f t="array" ref="BD179">_xlfn.IFS(AE179=0,"NA",AE179&gt;0,AH179/AE179)</f>
        <v>1</v>
      </c>
      <c r="BE179" s="44">
        <f t="shared" ref="BE179:BE180" si="339">IF(AM179&gt;0,(1/CL179),0)</f>
        <v>0.25</v>
      </c>
      <c r="BF179" s="44">
        <v>0</v>
      </c>
      <c r="BG179" s="44">
        <f t="shared" ref="BG179:BG180" si="340">IF(AO179&gt;0,(1/CL179),0)</f>
        <v>0.25</v>
      </c>
      <c r="BH179" s="44">
        <v>0</v>
      </c>
      <c r="BI179" s="44">
        <v>0</v>
      </c>
      <c r="BJ179" s="44" t="s">
        <v>115</v>
      </c>
      <c r="BK179" s="44">
        <f t="shared" si="247"/>
        <v>0.5</v>
      </c>
      <c r="BL179" s="44">
        <v>1</v>
      </c>
      <c r="BM179" s="44" cm="1">
        <f t="array" ref="BM179">_xlfn.IFS(BD179="NA","NA",BD179&gt;100%,"100%",BD179&lt;100,BD179)</f>
        <v>1</v>
      </c>
      <c r="BN179" s="44">
        <v>0</v>
      </c>
      <c r="BO179" s="44">
        <v>0</v>
      </c>
      <c r="BP179" s="44" t="s">
        <v>115</v>
      </c>
      <c r="BQ179" s="45">
        <v>0.22500000000000001</v>
      </c>
      <c r="BR179" s="45">
        <f t="shared" si="252"/>
        <v>0.1125</v>
      </c>
      <c r="BS179" s="45">
        <v>5.6300000000000003E-2</v>
      </c>
      <c r="BT179" s="45">
        <v>5.6300000000000003E-2</v>
      </c>
      <c r="BU179" s="45">
        <v>5.6300000000000003E-2</v>
      </c>
      <c r="BV179" s="45">
        <v>5.6300000000000003E-2</v>
      </c>
      <c r="BW179" s="45">
        <f t="shared" si="254"/>
        <v>5.6300000000000003E-2</v>
      </c>
      <c r="BX179" s="45">
        <f t="shared" si="255"/>
        <v>5.62E-2</v>
      </c>
      <c r="BY179" s="45">
        <v>5.6300000000000003E-2</v>
      </c>
      <c r="BZ179" s="45">
        <v>0</v>
      </c>
      <c r="CA179" s="45">
        <f t="shared" si="253"/>
        <v>0</v>
      </c>
      <c r="CB179" s="45">
        <v>5.6300000000000003E-2</v>
      </c>
      <c r="CC179" s="45">
        <v>0</v>
      </c>
      <c r="CD179" s="45">
        <v>0</v>
      </c>
      <c r="CE179" s="45">
        <v>0</v>
      </c>
      <c r="CF179" s="45" t="s">
        <v>115</v>
      </c>
      <c r="CG179" s="45">
        <v>0</v>
      </c>
      <c r="CH179" s="244">
        <f t="shared" ref="CH179:CH180" si="341">IF(W179&gt;0,1,0)</f>
        <v>1</v>
      </c>
      <c r="CI179" s="244">
        <f t="shared" ref="CI179:CI180" si="342">IF(AE179&gt;0,1,0)</f>
        <v>1</v>
      </c>
      <c r="CJ179" s="244">
        <f t="shared" ref="CJ179:CJ180" si="343">IF(AM179&gt;0,1,0)</f>
        <v>1</v>
      </c>
      <c r="CK179" s="244">
        <f t="shared" ref="CK179:CK180" si="344">IF(AO179&gt;0,1,0)</f>
        <v>1</v>
      </c>
      <c r="CL179">
        <f t="shared" ref="CL179:CL180" si="345">CH179+CI179+CJ179+CK179</f>
        <v>4</v>
      </c>
      <c r="CM179" s="63">
        <f t="shared" ref="CM179:CM180" si="346">AVERAGE(Z179,AH179)</f>
        <v>100</v>
      </c>
    </row>
    <row r="180" spans="1:91" ht="18" hidden="1" customHeight="1">
      <c r="A180" s="260" t="s">
        <v>144</v>
      </c>
      <c r="B180" s="260" t="s">
        <v>145</v>
      </c>
      <c r="C180" s="260" t="s">
        <v>100</v>
      </c>
      <c r="D180" s="260" t="s">
        <v>1225</v>
      </c>
      <c r="E180" s="260" t="s">
        <v>1226</v>
      </c>
      <c r="F180" s="260" t="s">
        <v>1227</v>
      </c>
      <c r="G180" s="260" t="s">
        <v>1228</v>
      </c>
      <c r="H180" s="260" t="s">
        <v>1243</v>
      </c>
      <c r="I180" s="260" t="s">
        <v>1244</v>
      </c>
      <c r="J180" s="260"/>
      <c r="K180" s="260" t="s">
        <v>1245</v>
      </c>
      <c r="L180" s="260" t="s">
        <v>1246</v>
      </c>
      <c r="M180" s="260" t="s">
        <v>1247</v>
      </c>
      <c r="N180" s="260" t="s">
        <v>111</v>
      </c>
      <c r="O180" s="260" t="s">
        <v>124</v>
      </c>
      <c r="P180" s="10">
        <v>0</v>
      </c>
      <c r="Q180" s="11">
        <v>4</v>
      </c>
      <c r="R180" s="11">
        <f t="shared" si="336"/>
        <v>2</v>
      </c>
      <c r="S180" s="11" t="str">
        <f>VLOOKUP(K180,'1126 Desarrollo Social'!$K$13:$S$58,9,0)</f>
        <v>intercambio cultural de los resguardos indígenas del departamento con muestras ancestralesEl personal profesional contratado para el desarrollo de actividades se realizo con el plan de desarrollo juntos podemos mas</v>
      </c>
      <c r="T180" s="11">
        <v>0</v>
      </c>
      <c r="U180" s="11">
        <v>4</v>
      </c>
      <c r="V180" s="11">
        <v>0</v>
      </c>
      <c r="W180" s="11">
        <v>4</v>
      </c>
      <c r="X180" s="11" t="s">
        <v>115</v>
      </c>
      <c r="Y180" s="11">
        <v>4</v>
      </c>
      <c r="Z180" s="11">
        <v>4</v>
      </c>
      <c r="AA180" s="11" t="s">
        <v>1248</v>
      </c>
      <c r="AB180" s="11" t="s">
        <v>1249</v>
      </c>
      <c r="AC180" s="11" t="s">
        <v>1250</v>
      </c>
      <c r="AD180" s="11">
        <v>0</v>
      </c>
      <c r="AE180" s="11">
        <v>4</v>
      </c>
      <c r="AF180" s="11">
        <f>VLOOKUP(K180,'1126 Desarrollo Social'!$K$13:$AK$58,22,0)</f>
        <v>0</v>
      </c>
      <c r="AG180" s="11">
        <f>VLOOKUP(K180,'1126 Desarrollo Social'!$K$13:$AK$58,23,0)</f>
        <v>4</v>
      </c>
      <c r="AH180" s="11">
        <f t="shared" si="337"/>
        <v>4</v>
      </c>
      <c r="AI180" s="11">
        <f>VLOOKUP(K180,'1126 Desarrollo Social'!$K$13:$AK$58,25,0)</f>
        <v>0</v>
      </c>
      <c r="AJ180" s="11" t="str">
        <f>VLOOKUP(K180,'1126 Desarrollo Social'!$K$13:$AK$58,26,0)</f>
        <v>Celebración del mes del niño dirigido a las comunidad indígena Kichwa de Sesquile el dia 26 de abril en articulación con la Alcaldia Municipal y la Secretaria de Indeportes -1.  Encuentro intercultural de comunidades indigenas acentadas en el Deparatmento de cundinamarca que no estan reconocidas opor el ministerio en el parque Jaime Duque.
participación de NNA en el fortalecimiento en sus procesos de gobernabilidad. Niño gobernador por un dia  2. Encuentro de saberes y proceso de gobernabilidad de los pueblos indigenas reconocidos por el ministerio del interior en el Departamento de Cundinamarca.</v>
      </c>
      <c r="AK180" s="11">
        <f>VLOOKUP(K180,'1126 Desarrollo Social'!$K$13:$AK$58,27,0)</f>
        <v>0</v>
      </c>
      <c r="AL180" s="11">
        <v>0</v>
      </c>
      <c r="AM180" s="11">
        <v>4</v>
      </c>
      <c r="AN180" s="11">
        <v>0</v>
      </c>
      <c r="AO180" s="11">
        <v>4</v>
      </c>
      <c r="AP180" s="11">
        <v>0</v>
      </c>
      <c r="AQ180" s="11">
        <v>0</v>
      </c>
      <c r="AR180" s="52"/>
      <c r="AS180" s="54">
        <v>0</v>
      </c>
      <c r="AT180" s="54">
        <f t="shared" si="246"/>
        <v>0</v>
      </c>
      <c r="AU180" s="52"/>
      <c r="AV180" s="243">
        <v>20000000</v>
      </c>
      <c r="AW180" s="244"/>
      <c r="AX180" s="244"/>
      <c r="AY180" s="243">
        <v>0</v>
      </c>
      <c r="AZ180" s="44" cm="1">
        <f t="array" ref="AZ180">_xlfn.IFS((BA180=0),(BD180/CL180),(BA180&gt;0),((BB180+BD180)/CL180),(BE180&gt;0),((BB180+BD180+BE180)/CL180),(BG180&gt;0),((BB180+BD180+BE180+G180)/CL180))</f>
        <v>0.5</v>
      </c>
      <c r="BA180" s="44">
        <v>0.25</v>
      </c>
      <c r="BB180" s="44">
        <v>1</v>
      </c>
      <c r="BC180" s="44">
        <f t="shared" si="338"/>
        <v>0.25</v>
      </c>
      <c r="BD180" s="44" cm="1">
        <f t="array" ref="BD180">_xlfn.IFS(AE180=0,"NA",AE180&gt;0,AH180/AE180)</f>
        <v>1</v>
      </c>
      <c r="BE180" s="44">
        <f t="shared" si="339"/>
        <v>0.25</v>
      </c>
      <c r="BF180" s="44">
        <v>0</v>
      </c>
      <c r="BG180" s="44">
        <f t="shared" si="340"/>
        <v>0.25</v>
      </c>
      <c r="BH180" s="44">
        <v>0</v>
      </c>
      <c r="BI180" s="44">
        <v>0</v>
      </c>
      <c r="BJ180" s="44" t="s">
        <v>115</v>
      </c>
      <c r="BK180" s="44">
        <f t="shared" si="247"/>
        <v>0.5</v>
      </c>
      <c r="BL180" s="44">
        <v>1</v>
      </c>
      <c r="BM180" s="44" cm="1">
        <f t="array" ref="BM180">_xlfn.IFS(BD180="NA","NA",BD180&gt;100%,"100%",BD180&lt;100,BD180)</f>
        <v>1</v>
      </c>
      <c r="BN180" s="44">
        <v>0</v>
      </c>
      <c r="BO180" s="44">
        <v>0</v>
      </c>
      <c r="BP180" s="44" t="s">
        <v>115</v>
      </c>
      <c r="BQ180" s="45">
        <v>0.22500000000000001</v>
      </c>
      <c r="BR180" s="45">
        <f t="shared" si="252"/>
        <v>0.1125</v>
      </c>
      <c r="BS180" s="45">
        <v>5.6300000000000003E-2</v>
      </c>
      <c r="BT180" s="45">
        <v>5.6300000000000003E-2</v>
      </c>
      <c r="BU180" s="45">
        <v>5.6300000000000003E-2</v>
      </c>
      <c r="BV180" s="45">
        <v>5.6300000000000003E-2</v>
      </c>
      <c r="BW180" s="45">
        <f t="shared" si="254"/>
        <v>5.6300000000000003E-2</v>
      </c>
      <c r="BX180" s="45">
        <f t="shared" si="255"/>
        <v>5.62E-2</v>
      </c>
      <c r="BY180" s="45">
        <v>5.6300000000000003E-2</v>
      </c>
      <c r="BZ180" s="45">
        <v>0</v>
      </c>
      <c r="CA180" s="45">
        <f t="shared" si="253"/>
        <v>0</v>
      </c>
      <c r="CB180" s="45">
        <v>5.6300000000000003E-2</v>
      </c>
      <c r="CC180" s="45">
        <v>0</v>
      </c>
      <c r="CD180" s="45">
        <v>0</v>
      </c>
      <c r="CE180" s="45">
        <v>0</v>
      </c>
      <c r="CF180" s="45" t="s">
        <v>115</v>
      </c>
      <c r="CG180" s="45">
        <v>0</v>
      </c>
      <c r="CH180" s="244">
        <f t="shared" si="341"/>
        <v>1</v>
      </c>
      <c r="CI180" s="244">
        <f t="shared" si="342"/>
        <v>1</v>
      </c>
      <c r="CJ180" s="244">
        <f t="shared" si="343"/>
        <v>1</v>
      </c>
      <c r="CK180" s="244">
        <f t="shared" si="344"/>
        <v>1</v>
      </c>
      <c r="CL180">
        <f t="shared" si="345"/>
        <v>4</v>
      </c>
      <c r="CM180" s="63">
        <f t="shared" si="346"/>
        <v>4</v>
      </c>
    </row>
    <row r="181" spans="1:91" ht="18" hidden="1" customHeight="1">
      <c r="A181" s="260" t="s">
        <v>144</v>
      </c>
      <c r="B181" s="260" t="s">
        <v>145</v>
      </c>
      <c r="C181" s="260" t="s">
        <v>100</v>
      </c>
      <c r="D181" s="260" t="s">
        <v>1225</v>
      </c>
      <c r="E181" s="260" t="s">
        <v>1226</v>
      </c>
      <c r="F181" s="260" t="s">
        <v>1227</v>
      </c>
      <c r="G181" s="260" t="s">
        <v>1228</v>
      </c>
      <c r="H181" s="260" t="s">
        <v>1251</v>
      </c>
      <c r="I181" s="260" t="s">
        <v>200</v>
      </c>
      <c r="J181" s="260"/>
      <c r="K181" s="260" t="s">
        <v>1252</v>
      </c>
      <c r="L181" s="260" t="s">
        <v>1253</v>
      </c>
      <c r="M181" s="260" t="s">
        <v>1254</v>
      </c>
      <c r="N181" s="260" t="s">
        <v>111</v>
      </c>
      <c r="O181" s="260" t="s">
        <v>112</v>
      </c>
      <c r="P181" s="10">
        <v>0</v>
      </c>
      <c r="Q181" s="11">
        <v>1</v>
      </c>
      <c r="R181" s="11">
        <f>Z181+AH181</f>
        <v>0.85</v>
      </c>
      <c r="S181" s="11">
        <f>VLOOKUP(K181,'1126 Desarrollo Social'!$K$13:$S$58,9,0)</f>
        <v>0</v>
      </c>
      <c r="T181" s="11">
        <v>0</v>
      </c>
      <c r="U181" s="11">
        <v>0</v>
      </c>
      <c r="V181" s="11">
        <v>0.1</v>
      </c>
      <c r="W181" s="11">
        <v>0</v>
      </c>
      <c r="X181" s="11">
        <v>0.1</v>
      </c>
      <c r="Y181" s="11">
        <v>0</v>
      </c>
      <c r="Z181" s="11">
        <v>0.1</v>
      </c>
      <c r="AA181" s="11">
        <v>0</v>
      </c>
      <c r="AB181" s="11" t="s">
        <v>1255</v>
      </c>
      <c r="AC181" s="11">
        <v>0</v>
      </c>
      <c r="AD181" s="11">
        <v>0.1</v>
      </c>
      <c r="AE181" s="11">
        <v>0</v>
      </c>
      <c r="AF181" s="11">
        <f>VLOOKUP(K181,'1126 Desarrollo Social'!$K$13:$AK$58,22,0)</f>
        <v>0.75</v>
      </c>
      <c r="AG181" s="11">
        <f>VLOOKUP(K181,'1126 Desarrollo Social'!$K$13:$AK$58,23,0)</f>
        <v>0</v>
      </c>
      <c r="AH181" s="11">
        <f>AF181</f>
        <v>0.75</v>
      </c>
      <c r="AI181" s="11">
        <f>VLOOKUP(K181,'1126 Desarrollo Social'!$K$13:$AK$58,25,0)</f>
        <v>0</v>
      </c>
      <c r="AJ181" s="11" t="str">
        <f>VLOOKUP(K181,'1126 Desarrollo Social'!$K$13:$AK$58,26,0)</f>
        <v>firma de convenio con la alcaldia de Chía y la RAPE regíon Cental para la ejecucion de la adecuacion de la maloKa - se Firmó el convenio interadministrativo entre la Alcaldia de Chia y La RAPE.</v>
      </c>
      <c r="AK181" s="11">
        <f>VLOOKUP(K181,'1126 Desarrollo Social'!$K$13:$AK$58,27,0)</f>
        <v>0</v>
      </c>
      <c r="AL181" s="11">
        <v>0.8</v>
      </c>
      <c r="AM181" s="11">
        <v>0</v>
      </c>
      <c r="AN181" s="11">
        <v>0</v>
      </c>
      <c r="AO181" s="11">
        <v>0</v>
      </c>
      <c r="AP181" s="11">
        <v>0</v>
      </c>
      <c r="AQ181" s="11">
        <v>0</v>
      </c>
      <c r="AR181" s="52"/>
      <c r="AS181" s="54">
        <v>5000000</v>
      </c>
      <c r="AT181" s="54">
        <f t="shared" si="246"/>
        <v>5000000</v>
      </c>
      <c r="AU181" s="52"/>
      <c r="AV181" s="243">
        <v>117513811</v>
      </c>
      <c r="AW181" s="244"/>
      <c r="AX181" s="244"/>
      <c r="AY181" s="243">
        <v>117000000</v>
      </c>
      <c r="AZ181" s="44">
        <f>R181/Q181</f>
        <v>0.85</v>
      </c>
      <c r="BA181" s="44">
        <v>0.1</v>
      </c>
      <c r="BB181" s="44">
        <v>1</v>
      </c>
      <c r="BC181" s="44">
        <f>AD181/Q181</f>
        <v>0.1</v>
      </c>
      <c r="BD181" s="44" cm="1">
        <f t="array" ref="BD181">_xlfn.IFS(AD181=0,"NA",AD181&gt;0,AH181/AD181)</f>
        <v>7.5</v>
      </c>
      <c r="BE181" s="44">
        <f>AL181/Q181</f>
        <v>0.8</v>
      </c>
      <c r="BF181" s="44">
        <v>0</v>
      </c>
      <c r="BG181" s="44">
        <f>AN181/Q181</f>
        <v>0</v>
      </c>
      <c r="BH181" s="44">
        <v>0</v>
      </c>
      <c r="BI181" s="44">
        <f>AP181/Q181</f>
        <v>0</v>
      </c>
      <c r="BJ181" s="44" t="s">
        <v>115</v>
      </c>
      <c r="BK181" s="44">
        <f t="shared" si="247"/>
        <v>0.85</v>
      </c>
      <c r="BL181" s="44">
        <v>1</v>
      </c>
      <c r="BM181" s="44" t="str" cm="1">
        <f t="array" ref="BM181">_xlfn.IFS(BD181="NA","NA",BD181&gt;100%,"100%",BD181&lt;100,BD181)</f>
        <v>100%</v>
      </c>
      <c r="BN181" s="44" cm="1">
        <f t="array" ref="BN181">_xlfn.IFS(BF181="NA","NA",BF181&gt;100%,"100%",BF181&lt;100,BF181)</f>
        <v>0</v>
      </c>
      <c r="BO181" s="44" cm="1">
        <f t="array" ref="BO181">_xlfn.IFS(BH181="NA","NA",BH181&gt;100%,"100%",BH181&lt;100,BH181)</f>
        <v>0</v>
      </c>
      <c r="BP181" s="44" t="str" cm="1">
        <f t="array" ref="BP181">_xlfn.IFS(BJ181="NA","NA",BJ181&gt;100%,"100%",BJ181&lt;100,BJ181)</f>
        <v>NA</v>
      </c>
      <c r="BQ181" s="45">
        <v>0.22500000000000001</v>
      </c>
      <c r="BR181" s="45">
        <f t="shared" si="252"/>
        <v>0.19125</v>
      </c>
      <c r="BS181" s="45">
        <v>2.2499999999999999E-2</v>
      </c>
      <c r="BT181" s="45">
        <v>2.2499999999999999E-2</v>
      </c>
      <c r="BU181" s="45">
        <v>2.2499999999999999E-2</v>
      </c>
      <c r="BV181" s="45">
        <f>(AD181*BQ181)/Q181</f>
        <v>2.2500000000000003E-2</v>
      </c>
      <c r="BW181" s="45">
        <f t="shared" si="254"/>
        <v>2.2500000000000003E-2</v>
      </c>
      <c r="BX181" s="45">
        <f t="shared" si="255"/>
        <v>0.16875000000000001</v>
      </c>
      <c r="BY181" s="45">
        <f>(AL181*BQ181)/Q181</f>
        <v>0.18000000000000002</v>
      </c>
      <c r="BZ181" s="45">
        <f>IF(BN181="NA","NA",BN181*BY181)</f>
        <v>0</v>
      </c>
      <c r="CA181" s="45">
        <f t="shared" si="253"/>
        <v>0</v>
      </c>
      <c r="CB181" s="45">
        <f>(AN181*BQ181)/Q181</f>
        <v>0</v>
      </c>
      <c r="CC181" s="45">
        <f>IF(BO181="NA","NA",BO181*CB181)</f>
        <v>0</v>
      </c>
      <c r="CD181" s="45">
        <v>0</v>
      </c>
      <c r="CE181" s="45">
        <f>(AP181*BQ181)/Q181</f>
        <v>0</v>
      </c>
      <c r="CF181" s="45" t="str">
        <f>IF(BP181="NA","NA",BP181*CE181)</f>
        <v>NA</v>
      </c>
      <c r="CG181" s="45">
        <v>0</v>
      </c>
      <c r="CH181" s="244"/>
      <c r="CI181" s="244"/>
      <c r="CJ181" s="244"/>
      <c r="CK181" s="244"/>
      <c r="CM181" s="63">
        <v>0.25</v>
      </c>
    </row>
    <row r="182" spans="1:91" ht="18" hidden="1" customHeight="1">
      <c r="A182" s="260" t="s">
        <v>144</v>
      </c>
      <c r="B182" s="260" t="s">
        <v>145</v>
      </c>
      <c r="C182" s="260" t="s">
        <v>100</v>
      </c>
      <c r="D182" s="260" t="s">
        <v>1225</v>
      </c>
      <c r="E182" s="260" t="s">
        <v>1256</v>
      </c>
      <c r="F182" s="260" t="s">
        <v>1257</v>
      </c>
      <c r="G182" s="260" t="s">
        <v>1258</v>
      </c>
      <c r="H182" s="260" t="s">
        <v>1259</v>
      </c>
      <c r="I182" s="260" t="s">
        <v>677</v>
      </c>
      <c r="J182" s="260"/>
      <c r="K182" s="260" t="s">
        <v>1260</v>
      </c>
      <c r="L182" s="260" t="s">
        <v>1261</v>
      </c>
      <c r="M182" s="260" t="s">
        <v>1262</v>
      </c>
      <c r="N182" s="260" t="s">
        <v>111</v>
      </c>
      <c r="O182" s="260" t="s">
        <v>124</v>
      </c>
      <c r="P182" s="10">
        <v>8</v>
      </c>
      <c r="Q182" s="11">
        <v>8</v>
      </c>
      <c r="R182" s="11">
        <f>(Z182+AH182)/CL182</f>
        <v>13.5</v>
      </c>
      <c r="S182" s="11" t="str">
        <f>VLOOKUP(K182,'1126 Desarrollo Social'!$K$13:$S$58,9,0)</f>
        <v>Formación de 100 integrantes dela comunidad NARP pertinentes a 9 municipios.Encuentro de la conmemoración de la mujer NARP</v>
      </c>
      <c r="T182" s="11">
        <v>0</v>
      </c>
      <c r="U182" s="11">
        <v>8</v>
      </c>
      <c r="V182" s="11">
        <v>0</v>
      </c>
      <c r="W182" s="11">
        <v>8</v>
      </c>
      <c r="X182" s="11" t="s">
        <v>115</v>
      </c>
      <c r="Y182" s="11">
        <v>46</v>
      </c>
      <c r="Z182" s="11">
        <v>46</v>
      </c>
      <c r="AA182" s="11" t="s">
        <v>1263</v>
      </c>
      <c r="AB182" s="11" t="s">
        <v>1264</v>
      </c>
      <c r="AC182" s="11" t="s">
        <v>1265</v>
      </c>
      <c r="AD182" s="11">
        <v>0</v>
      </c>
      <c r="AE182" s="11">
        <v>8</v>
      </c>
      <c r="AF182" s="11">
        <f>VLOOKUP(K182,'1126 Desarrollo Social'!$K$13:$AK$58,22,0)</f>
        <v>0</v>
      </c>
      <c r="AG182" s="11">
        <f>VLOOKUP(K182,'1126 Desarrollo Social'!$K$13:$AK$58,23,0)</f>
        <v>8</v>
      </c>
      <c r="AH182" s="11">
        <f>AG182</f>
        <v>8</v>
      </c>
      <c r="AI182" s="11">
        <f>VLOOKUP(K182,'1126 Desarrollo Social'!$K$13:$AK$58,25,0)</f>
        <v>0</v>
      </c>
      <c r="AJ182" s="11" t="str">
        <f>VLOOKUP(K182,'1126 Desarrollo Social'!$K$13:$AK$58,26,0)</f>
        <v>Articulación  y apoyo sobre la conmemoración del dia de la Afrocolombianidad con los 116 municipios. Articulación  y apoyo a la Secretaria de Educación y el Ministerio de Educación sobre Etnoeducación y cátedras de estudios Afrocolombianos. Articulación  y apoyo con   la Secretaria de Mujer y Género sobre conversatorio de Mujeres Aftro Exitosas.</v>
      </c>
      <c r="AK182" s="11">
        <f>VLOOKUP(K182,'1126 Desarrollo Social'!$K$13:$AK$58,27,0)</f>
        <v>0</v>
      </c>
      <c r="AL182" s="11">
        <v>0</v>
      </c>
      <c r="AM182" s="11">
        <v>8</v>
      </c>
      <c r="AN182" s="11">
        <v>0</v>
      </c>
      <c r="AO182" s="11">
        <v>8</v>
      </c>
      <c r="AP182" s="11">
        <v>0</v>
      </c>
      <c r="AQ182" s="11">
        <v>0</v>
      </c>
      <c r="AR182" s="51">
        <v>25954000</v>
      </c>
      <c r="AS182" s="54">
        <v>0</v>
      </c>
      <c r="AT182" s="54">
        <f t="shared" si="246"/>
        <v>25954000</v>
      </c>
      <c r="AU182" s="51">
        <v>25954000</v>
      </c>
      <c r="AV182" s="243">
        <v>11005525</v>
      </c>
      <c r="AW182" s="244"/>
      <c r="AX182" s="244"/>
      <c r="AY182" s="243">
        <v>11005525</v>
      </c>
      <c r="AZ182" s="44" cm="1">
        <f t="array" ref="AZ182">_xlfn.IFS((BA182=0),(BD182/CL182),(BA182&gt;0),((BB182+BD182)/CL182),(BE182&gt;0),((BB182+BD182+BE182)/CL182),(BG182&gt;0),((BB182+BD182+BE182+G182)/CL182))</f>
        <v>1.6875</v>
      </c>
      <c r="BA182" s="44">
        <v>0.25</v>
      </c>
      <c r="BB182" s="44">
        <v>5.75</v>
      </c>
      <c r="BC182" s="44">
        <f>IF(AE182&gt;0,(1/CL182),0)</f>
        <v>0.25</v>
      </c>
      <c r="BD182" s="44" cm="1">
        <f t="array" ref="BD182">_xlfn.IFS(AE182=0,"NA",AE182&gt;0,AH182/AE182)</f>
        <v>1</v>
      </c>
      <c r="BE182" s="44">
        <f>IF(AM182&gt;0,(1/CL182),0)</f>
        <v>0.25</v>
      </c>
      <c r="BF182" s="44">
        <v>0</v>
      </c>
      <c r="BG182" s="44">
        <f>IF(AO182&gt;0,(1/CL182),0)</f>
        <v>0.25</v>
      </c>
      <c r="BH182" s="44">
        <v>0</v>
      </c>
      <c r="BI182" s="44">
        <v>0</v>
      </c>
      <c r="BJ182" s="44" t="s">
        <v>115</v>
      </c>
      <c r="BK182" s="44" t="str">
        <f>IF(AZ182&gt;50%,"50%",AZ182)</f>
        <v>50%</v>
      </c>
      <c r="BL182" s="44">
        <v>1</v>
      </c>
      <c r="BM182" s="44" cm="1">
        <f t="array" ref="BM182">_xlfn.IFS(BD182="NA","NA",BD182&gt;100%,"100%",BD182&lt;100,BD182)</f>
        <v>1</v>
      </c>
      <c r="BN182" s="44">
        <v>0</v>
      </c>
      <c r="BO182" s="44">
        <v>0</v>
      </c>
      <c r="BP182" s="44" t="s">
        <v>115</v>
      </c>
      <c r="BQ182" s="45">
        <v>0.22500000000000001</v>
      </c>
      <c r="BR182" s="45">
        <f t="shared" si="252"/>
        <v>0.1125</v>
      </c>
      <c r="BS182" s="45">
        <v>5.6300000000000003E-2</v>
      </c>
      <c r="BT182" s="45">
        <v>5.6300000000000003E-2</v>
      </c>
      <c r="BU182" s="45">
        <v>5.6300000000000003E-2</v>
      </c>
      <c r="BV182" s="45">
        <v>5.6300000000000003E-2</v>
      </c>
      <c r="BW182" s="45">
        <f t="shared" si="254"/>
        <v>5.6300000000000003E-2</v>
      </c>
      <c r="BX182" s="45">
        <f t="shared" si="255"/>
        <v>5.62E-2</v>
      </c>
      <c r="BY182" s="45">
        <v>5.6300000000000003E-2</v>
      </c>
      <c r="BZ182" s="45">
        <v>0</v>
      </c>
      <c r="CA182" s="45">
        <f t="shared" si="253"/>
        <v>0</v>
      </c>
      <c r="CB182" s="45">
        <v>5.6300000000000003E-2</v>
      </c>
      <c r="CC182" s="45">
        <v>0</v>
      </c>
      <c r="CD182" s="45">
        <v>0</v>
      </c>
      <c r="CE182" s="45">
        <v>0</v>
      </c>
      <c r="CF182" s="45" t="s">
        <v>115</v>
      </c>
      <c r="CG182" s="45">
        <v>0</v>
      </c>
      <c r="CH182" s="244">
        <f>IF(W182&gt;0,1,0)</f>
        <v>1</v>
      </c>
      <c r="CI182" s="244">
        <f>IF(AE182&gt;0,1,0)</f>
        <v>1</v>
      </c>
      <c r="CJ182" s="244">
        <f>IF(AM182&gt;0,1,0)</f>
        <v>1</v>
      </c>
      <c r="CK182" s="244">
        <f>IF(AO182&gt;0,1,0)</f>
        <v>1</v>
      </c>
      <c r="CL182">
        <f>CH182+CI182+CJ182+CK182</f>
        <v>4</v>
      </c>
      <c r="CM182" s="63">
        <f>AVERAGE(Z182,AH182)</f>
        <v>27</v>
      </c>
    </row>
    <row r="183" spans="1:91" ht="18" hidden="1" customHeight="1">
      <c r="A183" s="260" t="s">
        <v>144</v>
      </c>
      <c r="B183" s="260" t="s">
        <v>145</v>
      </c>
      <c r="C183" s="260" t="s">
        <v>100</v>
      </c>
      <c r="D183" s="260" t="s">
        <v>1225</v>
      </c>
      <c r="E183" s="260" t="s">
        <v>1256</v>
      </c>
      <c r="F183" s="260" t="s">
        <v>1257</v>
      </c>
      <c r="G183" s="260" t="s">
        <v>1258</v>
      </c>
      <c r="H183" s="260" t="s">
        <v>1266</v>
      </c>
      <c r="I183" s="260" t="s">
        <v>165</v>
      </c>
      <c r="J183" s="260"/>
      <c r="K183" s="260" t="s">
        <v>1267</v>
      </c>
      <c r="L183" s="260" t="s">
        <v>1268</v>
      </c>
      <c r="M183" s="260" t="s">
        <v>1269</v>
      </c>
      <c r="N183" s="260" t="s">
        <v>111</v>
      </c>
      <c r="O183" s="260" t="s">
        <v>112</v>
      </c>
      <c r="P183" s="10">
        <v>8</v>
      </c>
      <c r="Q183" s="11">
        <v>8</v>
      </c>
      <c r="R183" s="11">
        <f t="shared" ref="R183:R209" si="347">Z183+AH183</f>
        <v>0.5</v>
      </c>
      <c r="S183" s="11" t="str">
        <f>VLOOKUP(K183,'1126 Desarrollo Social'!$K$13:$S$58,9,0)</f>
        <v>Encuentros con las delegaciones afro para delimitar el tipo de proyecto productivo, los beneficiarios y la necesidad de formación</v>
      </c>
      <c r="T183" s="11">
        <v>1</v>
      </c>
      <c r="U183" s="11">
        <v>0</v>
      </c>
      <c r="V183" s="11">
        <v>1</v>
      </c>
      <c r="W183" s="11">
        <v>0</v>
      </c>
      <c r="X183" s="11">
        <v>0.5</v>
      </c>
      <c r="Y183" s="11">
        <v>0</v>
      </c>
      <c r="Z183" s="11">
        <v>0.5</v>
      </c>
      <c r="AA183" s="11" t="s">
        <v>1270</v>
      </c>
      <c r="AB183" s="11" t="s">
        <v>1271</v>
      </c>
      <c r="AC183" s="11">
        <v>0</v>
      </c>
      <c r="AD183" s="11">
        <v>2.5</v>
      </c>
      <c r="AE183" s="11">
        <v>0</v>
      </c>
      <c r="AF183" s="11">
        <f>VLOOKUP(K183,'1126 Desarrollo Social'!$K$13:$AK$58,22,0)</f>
        <v>0</v>
      </c>
      <c r="AG183" s="11">
        <f>VLOOKUP(K183,'1126 Desarrollo Social'!$K$13:$AK$58,23,0)</f>
        <v>0</v>
      </c>
      <c r="AH183" s="11">
        <f t="shared" ref="AH183:AH209" si="348">AF183</f>
        <v>0</v>
      </c>
      <c r="AI183" s="11">
        <f>VLOOKUP(K183,'1126 Desarrollo Social'!$K$13:$AK$58,25,0)</f>
        <v>0</v>
      </c>
      <c r="AJ183" s="11" t="str">
        <f>VLOOKUP(K183,'1126 Desarrollo Social'!$K$13:$AK$58,26,0)</f>
        <v>Se ecuentra en proceso de registro presupuestal la contratación de los elemntos de apoyo a los proyectos productivos</v>
      </c>
      <c r="AK183" s="11">
        <f>VLOOKUP(K183,'1126 Desarrollo Social'!$K$13:$AK$58,27,0)</f>
        <v>0</v>
      </c>
      <c r="AL183" s="11">
        <v>3</v>
      </c>
      <c r="AM183" s="11">
        <v>0</v>
      </c>
      <c r="AN183" s="11">
        <v>2</v>
      </c>
      <c r="AO183" s="11">
        <v>0</v>
      </c>
      <c r="AP183" s="11">
        <v>0</v>
      </c>
      <c r="AQ183" s="11">
        <v>0</v>
      </c>
      <c r="AR183" s="51">
        <v>17808000</v>
      </c>
      <c r="AS183" s="54">
        <v>0</v>
      </c>
      <c r="AT183" s="54">
        <f t="shared" si="246"/>
        <v>17808000</v>
      </c>
      <c r="AU183" s="51">
        <v>0</v>
      </c>
      <c r="AV183" s="243">
        <v>30000000</v>
      </c>
      <c r="AW183" s="244"/>
      <c r="AX183" s="244"/>
      <c r="AY183" s="243">
        <v>16324475</v>
      </c>
      <c r="AZ183" s="44">
        <f t="shared" ref="AZ183:AZ209" si="349">R183/Q183</f>
        <v>6.25E-2</v>
      </c>
      <c r="BA183" s="44">
        <v>0.125</v>
      </c>
      <c r="BB183" s="44">
        <v>0.5</v>
      </c>
      <c r="BC183" s="44">
        <f t="shared" ref="BC183:BC209" si="350">AD183/Q183</f>
        <v>0.3125</v>
      </c>
      <c r="BD183" s="44" cm="1">
        <f t="array" ref="BD183">_xlfn.IFS(AD183=0,"NA",AD183&gt;0,AH183/AD183)</f>
        <v>0</v>
      </c>
      <c r="BE183" s="44">
        <f t="shared" ref="BE183:BE209" si="351">AL183/Q183</f>
        <v>0.375</v>
      </c>
      <c r="BF183" s="44">
        <v>0</v>
      </c>
      <c r="BG183" s="44">
        <f t="shared" ref="BG183:BG209" si="352">AN183/Q183</f>
        <v>0.25</v>
      </c>
      <c r="BH183" s="44">
        <v>0</v>
      </c>
      <c r="BI183" s="44">
        <f t="shared" ref="BI183:BI209" si="353">AP183/Q183</f>
        <v>0</v>
      </c>
      <c r="BJ183" s="44" t="s">
        <v>115</v>
      </c>
      <c r="BK183" s="44">
        <f t="shared" si="247"/>
        <v>6.25E-2</v>
      </c>
      <c r="BL183" s="44">
        <v>0.5</v>
      </c>
      <c r="BM183" s="44" cm="1">
        <f t="array" ref="BM183">_xlfn.IFS(BD183="NA","NA",BD183&gt;100%,"100%",BD183&lt;100,BD183)</f>
        <v>0</v>
      </c>
      <c r="BN183" s="44" cm="1">
        <f t="array" ref="BN183">_xlfn.IFS(BF183="NA","NA",BF183&gt;100%,"100%",BF183&lt;100,BF183)</f>
        <v>0</v>
      </c>
      <c r="BO183" s="44" cm="1">
        <f t="array" ref="BO183">_xlfn.IFS(BH183="NA","NA",BH183&gt;100%,"100%",BH183&lt;100,BH183)</f>
        <v>0</v>
      </c>
      <c r="BP183" s="44" t="str" cm="1">
        <f t="array" ref="BP183">_xlfn.IFS(BJ183="NA","NA",BJ183&gt;100%,"100%",BJ183&lt;100,BJ183)</f>
        <v>NA</v>
      </c>
      <c r="BQ183" s="45">
        <v>0.22500000000000001</v>
      </c>
      <c r="BR183" s="45">
        <f t="shared" si="252"/>
        <v>1.40625E-2</v>
      </c>
      <c r="BS183" s="45">
        <v>2.81E-2</v>
      </c>
      <c r="BT183" s="45">
        <v>1.41E-2</v>
      </c>
      <c r="BU183" s="45">
        <v>1.41E-2</v>
      </c>
      <c r="BV183" s="45">
        <f t="shared" ref="BV183:BV209" si="354">(AD183*BQ183)/Q183</f>
        <v>7.03125E-2</v>
      </c>
      <c r="BW183" s="45">
        <f t="shared" si="254"/>
        <v>0</v>
      </c>
      <c r="BX183" s="45">
        <f t="shared" si="255"/>
        <v>-3.7499999999999339E-5</v>
      </c>
      <c r="BY183" s="45">
        <f t="shared" ref="BY183:BY209" si="355">(AL183*BQ183)/Q183</f>
        <v>8.4375000000000006E-2</v>
      </c>
      <c r="BZ183" s="45">
        <f t="shared" ref="BZ183:BZ209" si="356">IF(BN183="NA","NA",BN183*BY183)</f>
        <v>0</v>
      </c>
      <c r="CA183" s="45">
        <f t="shared" si="253"/>
        <v>0</v>
      </c>
      <c r="CB183" s="45">
        <f t="shared" ref="CB183:CB209" si="357">(AN183*BQ183)/Q183</f>
        <v>5.6250000000000001E-2</v>
      </c>
      <c r="CC183" s="45">
        <f t="shared" ref="CC183:CC209" si="358">IF(BO183="NA","NA",BO183*CB183)</f>
        <v>0</v>
      </c>
      <c r="CD183" s="45">
        <v>0</v>
      </c>
      <c r="CE183" s="45">
        <f t="shared" ref="CE183:CE209" si="359">(AP183*BQ183)/Q183</f>
        <v>0</v>
      </c>
      <c r="CF183" s="45" t="str">
        <f t="shared" ref="CF183:CF209" si="360">IF(BP183="NA","NA",BP183*CE183)</f>
        <v>NA</v>
      </c>
      <c r="CG183" s="45">
        <v>0</v>
      </c>
      <c r="CH183" s="244"/>
      <c r="CI183" s="244"/>
      <c r="CJ183" s="244"/>
      <c r="CK183" s="244"/>
      <c r="CM183" s="63">
        <v>0.5</v>
      </c>
    </row>
    <row r="184" spans="1:91" ht="18" hidden="1" customHeight="1">
      <c r="A184" s="260" t="s">
        <v>144</v>
      </c>
      <c r="B184" s="260" t="s">
        <v>145</v>
      </c>
      <c r="C184" s="260" t="s">
        <v>100</v>
      </c>
      <c r="D184" s="260" t="s">
        <v>1225</v>
      </c>
      <c r="E184" s="260" t="s">
        <v>1272</v>
      </c>
      <c r="F184" s="260" t="s">
        <v>1273</v>
      </c>
      <c r="G184" s="260" t="s">
        <v>1274</v>
      </c>
      <c r="H184" s="260" t="s">
        <v>1275</v>
      </c>
      <c r="I184" s="260" t="s">
        <v>165</v>
      </c>
      <c r="J184" s="260"/>
      <c r="K184" s="260" t="s">
        <v>1276</v>
      </c>
      <c r="L184" s="260" t="s">
        <v>1277</v>
      </c>
      <c r="M184" s="260" t="s">
        <v>1278</v>
      </c>
      <c r="N184" s="260" t="s">
        <v>111</v>
      </c>
      <c r="O184" s="260" t="s">
        <v>112</v>
      </c>
      <c r="P184" s="10">
        <v>0</v>
      </c>
      <c r="Q184" s="11">
        <v>2</v>
      </c>
      <c r="R184" s="11">
        <f t="shared" si="347"/>
        <v>0.7</v>
      </c>
      <c r="S184" s="11" t="str">
        <f>VLOOKUP(K184,'1126 Desarrollo Social'!$K$13:$S$58,9,0)</f>
        <v>Capacitación en la presentación de proyectos productivos</v>
      </c>
      <c r="T184" s="11">
        <v>0.1</v>
      </c>
      <c r="U184" s="11">
        <v>0</v>
      </c>
      <c r="V184" s="11">
        <v>1</v>
      </c>
      <c r="W184" s="11">
        <v>0</v>
      </c>
      <c r="X184" s="11">
        <v>0.6</v>
      </c>
      <c r="Y184" s="11">
        <v>0</v>
      </c>
      <c r="Z184" s="11">
        <v>0.6</v>
      </c>
      <c r="AA184" s="11" t="s">
        <v>1279</v>
      </c>
      <c r="AB184" s="11" t="s">
        <v>1280</v>
      </c>
      <c r="AC184" s="11">
        <v>0</v>
      </c>
      <c r="AD184" s="11">
        <v>0.4</v>
      </c>
      <c r="AE184" s="11">
        <v>0</v>
      </c>
      <c r="AF184" s="11">
        <f>VLOOKUP(K184,'1126 Desarrollo Social'!$K$13:$AK$58,22,0)</f>
        <v>0.1</v>
      </c>
      <c r="AG184" s="11">
        <f>VLOOKUP(K184,'1126 Desarrollo Social'!$K$13:$AK$58,23,0)</f>
        <v>0</v>
      </c>
      <c r="AH184" s="11">
        <f t="shared" si="348"/>
        <v>0.1</v>
      </c>
      <c r="AI184" s="11">
        <f>VLOOKUP(K184,'1126 Desarrollo Social'!$K$13:$AK$58,25,0)</f>
        <v>0</v>
      </c>
      <c r="AJ184" s="11" t="str">
        <f>VLOOKUP(K184,'1126 Desarrollo Social'!$K$13:$AK$58,26,0)</f>
        <v>Se ecuentra en proceso de registro presupuestal la contratación de los elemntos de apoyo a los proyectos productivos</v>
      </c>
      <c r="AK184" s="11">
        <f>VLOOKUP(K184,'1126 Desarrollo Social'!$K$13:$AK$58,27,0)</f>
        <v>0</v>
      </c>
      <c r="AL184" s="11">
        <v>1</v>
      </c>
      <c r="AM184" s="11">
        <v>0</v>
      </c>
      <c r="AN184" s="11">
        <v>0</v>
      </c>
      <c r="AO184" s="11">
        <v>0</v>
      </c>
      <c r="AP184" s="11">
        <v>0</v>
      </c>
      <c r="AQ184" s="11">
        <v>0</v>
      </c>
      <c r="AR184" s="51">
        <v>9052000</v>
      </c>
      <c r="AS184" s="54">
        <v>0</v>
      </c>
      <c r="AT184" s="54">
        <f t="shared" si="246"/>
        <v>9052000</v>
      </c>
      <c r="AU184" s="51">
        <v>0</v>
      </c>
      <c r="AV184" s="243">
        <v>14127072</v>
      </c>
      <c r="AW184" s="244"/>
      <c r="AX184" s="244"/>
      <c r="AY184" s="243">
        <v>0</v>
      </c>
      <c r="AZ184" s="44">
        <f t="shared" si="349"/>
        <v>0.35</v>
      </c>
      <c r="BA184" s="44">
        <v>0.5</v>
      </c>
      <c r="BB184" s="44">
        <v>0.6</v>
      </c>
      <c r="BC184" s="44">
        <f t="shared" si="350"/>
        <v>0.2</v>
      </c>
      <c r="BD184" s="44" cm="1">
        <f t="array" ref="BD184">_xlfn.IFS(AD184=0,"NA",AD184&gt;0,AH184/AD184)</f>
        <v>0.25</v>
      </c>
      <c r="BE184" s="44">
        <f t="shared" si="351"/>
        <v>0.5</v>
      </c>
      <c r="BF184" s="44">
        <v>0</v>
      </c>
      <c r="BG184" s="44">
        <f t="shared" si="352"/>
        <v>0</v>
      </c>
      <c r="BH184" s="44">
        <v>0</v>
      </c>
      <c r="BI184" s="44">
        <f t="shared" si="353"/>
        <v>0</v>
      </c>
      <c r="BJ184" s="44" t="s">
        <v>115</v>
      </c>
      <c r="BK184" s="44">
        <f t="shared" si="247"/>
        <v>0.35</v>
      </c>
      <c r="BL184" s="44">
        <v>0.6</v>
      </c>
      <c r="BM184" s="44" cm="1">
        <f t="array" ref="BM184">_xlfn.IFS(BD184="NA","NA",BD184&gt;100%,"100%",BD184&lt;100,BD184)</f>
        <v>0.25</v>
      </c>
      <c r="BN184" s="44" cm="1">
        <f t="array" ref="BN184">_xlfn.IFS(BF184="NA","NA",BF184&gt;100%,"100%",BF184&lt;100,BF184)</f>
        <v>0</v>
      </c>
      <c r="BO184" s="44" cm="1">
        <f t="array" ref="BO184">_xlfn.IFS(BH184="NA","NA",BH184&gt;100%,"100%",BH184&lt;100,BH184)</f>
        <v>0</v>
      </c>
      <c r="BP184" s="44" t="str" cm="1">
        <f t="array" ref="BP184">_xlfn.IFS(BJ184="NA","NA",BJ184&gt;100%,"100%",BJ184&lt;100,BJ184)</f>
        <v>NA</v>
      </c>
      <c r="BQ184" s="45">
        <v>0.22500000000000001</v>
      </c>
      <c r="BR184" s="45">
        <f t="shared" si="252"/>
        <v>7.8750000000000001E-2</v>
      </c>
      <c r="BS184" s="45">
        <v>0.1125</v>
      </c>
      <c r="BT184" s="45">
        <v>6.7500000000000004E-2</v>
      </c>
      <c r="BU184" s="45">
        <v>6.7500000000000004E-2</v>
      </c>
      <c r="BV184" s="45">
        <f t="shared" si="354"/>
        <v>4.5000000000000005E-2</v>
      </c>
      <c r="BW184" s="45">
        <f t="shared" si="254"/>
        <v>1.1250000000000001E-2</v>
      </c>
      <c r="BX184" s="45">
        <f t="shared" si="255"/>
        <v>1.1249999999999996E-2</v>
      </c>
      <c r="BY184" s="45">
        <f t="shared" si="355"/>
        <v>0.1125</v>
      </c>
      <c r="BZ184" s="45">
        <f t="shared" si="356"/>
        <v>0</v>
      </c>
      <c r="CA184" s="45">
        <f t="shared" si="253"/>
        <v>0</v>
      </c>
      <c r="CB184" s="45">
        <f t="shared" si="357"/>
        <v>0</v>
      </c>
      <c r="CC184" s="45">
        <f t="shared" si="358"/>
        <v>0</v>
      </c>
      <c r="CD184" s="45">
        <v>0</v>
      </c>
      <c r="CE184" s="45">
        <f t="shared" si="359"/>
        <v>0</v>
      </c>
      <c r="CF184" s="45" t="str">
        <f t="shared" si="360"/>
        <v>NA</v>
      </c>
      <c r="CG184" s="45">
        <v>0</v>
      </c>
      <c r="CH184" s="244"/>
      <c r="CI184" s="244"/>
      <c r="CJ184" s="244"/>
      <c r="CK184" s="244"/>
      <c r="CM184" s="63">
        <v>0.7</v>
      </c>
    </row>
    <row r="185" spans="1:91" ht="18" hidden="1" customHeight="1">
      <c r="A185" s="260" t="s">
        <v>144</v>
      </c>
      <c r="B185" s="260" t="s">
        <v>145</v>
      </c>
      <c r="C185" s="260" t="s">
        <v>100</v>
      </c>
      <c r="D185" s="260" t="s">
        <v>1225</v>
      </c>
      <c r="E185" s="260" t="s">
        <v>1272</v>
      </c>
      <c r="F185" s="260" t="s">
        <v>1273</v>
      </c>
      <c r="G185" s="260" t="s">
        <v>1274</v>
      </c>
      <c r="H185" s="260" t="s">
        <v>1281</v>
      </c>
      <c r="I185" s="260" t="s">
        <v>677</v>
      </c>
      <c r="J185" s="260"/>
      <c r="K185" s="260" t="s">
        <v>1282</v>
      </c>
      <c r="L185" s="260" t="s">
        <v>1283</v>
      </c>
      <c r="M185" s="260" t="s">
        <v>1284</v>
      </c>
      <c r="N185" s="260" t="s">
        <v>111</v>
      </c>
      <c r="O185" s="260" t="s">
        <v>112</v>
      </c>
      <c r="P185" s="10">
        <v>0</v>
      </c>
      <c r="Q185" s="11">
        <v>4</v>
      </c>
      <c r="R185" s="11">
        <f t="shared" si="347"/>
        <v>2</v>
      </c>
      <c r="S185" s="11" t="str">
        <f>VLOOKUP(K185,'1126 Desarrollo Social'!$K$13:$S$58,9,0)</f>
        <v>Capacitación en la articulación de acciones culturales junto con el ministerio del interior</v>
      </c>
      <c r="T185" s="11">
        <v>1</v>
      </c>
      <c r="U185" s="11">
        <v>0</v>
      </c>
      <c r="V185" s="11">
        <v>0</v>
      </c>
      <c r="W185" s="11">
        <v>0</v>
      </c>
      <c r="X185" s="11">
        <v>0</v>
      </c>
      <c r="Y185" s="11">
        <v>0</v>
      </c>
      <c r="Z185" s="11">
        <v>0</v>
      </c>
      <c r="AA185" s="11">
        <v>0</v>
      </c>
      <c r="AB185" s="11" t="s">
        <v>1285</v>
      </c>
      <c r="AC185" s="11">
        <v>0</v>
      </c>
      <c r="AD185" s="11">
        <v>2</v>
      </c>
      <c r="AE185" s="11">
        <v>0</v>
      </c>
      <c r="AF185" s="11">
        <f>VLOOKUP(K185,'1126 Desarrollo Social'!$K$13:$AK$58,22,0)</f>
        <v>2</v>
      </c>
      <c r="AG185" s="11">
        <f>VLOOKUP(K185,'1126 Desarrollo Social'!$K$13:$AK$58,23,0)</f>
        <v>0</v>
      </c>
      <c r="AH185" s="11">
        <f t="shared" si="348"/>
        <v>2</v>
      </c>
      <c r="AI185" s="11">
        <f>VLOOKUP(K185,'1126 Desarrollo Social'!$K$13:$AK$58,25,0)</f>
        <v>0</v>
      </c>
      <c r="AJ185" s="11" t="str">
        <f>VLOOKUP(K185,'1126 Desarrollo Social'!$K$13:$AK$58,26,0)</f>
        <v xml:space="preserve">1. Conmemoracion del dia del niño en el municipio de sesquile, haciendo intercambio de grupos etnicos "saberes y cultura" 2. Participación de los NNA de la comunidad Room en la celebración del mes de abril mes del niño "NIÑO GOBERNADOR POR 1 DIA". - </v>
      </c>
      <c r="AK185" s="11">
        <f>VLOOKUP(K185,'1126 Desarrollo Social'!$K$13:$AK$58,27,0)</f>
        <v>0</v>
      </c>
      <c r="AL185" s="11">
        <v>1</v>
      </c>
      <c r="AM185" s="11">
        <v>0</v>
      </c>
      <c r="AN185" s="11">
        <v>1</v>
      </c>
      <c r="AO185" s="11">
        <v>0</v>
      </c>
      <c r="AP185" s="11">
        <v>0</v>
      </c>
      <c r="AQ185" s="11">
        <v>0</v>
      </c>
      <c r="AR185" s="52"/>
      <c r="AS185" s="54">
        <v>0</v>
      </c>
      <c r="AT185" s="54">
        <f t="shared" si="246"/>
        <v>0</v>
      </c>
      <c r="AU185" s="52"/>
      <c r="AV185" s="243">
        <v>1375691</v>
      </c>
      <c r="AW185" s="244"/>
      <c r="AX185" s="244"/>
      <c r="AY185" s="243">
        <v>0</v>
      </c>
      <c r="AZ185" s="44">
        <f t="shared" si="349"/>
        <v>0.5</v>
      </c>
      <c r="BA185" s="44">
        <v>0</v>
      </c>
      <c r="BB185" s="44" t="s">
        <v>115</v>
      </c>
      <c r="BC185" s="44">
        <f t="shared" si="350"/>
        <v>0.5</v>
      </c>
      <c r="BD185" s="44" cm="1">
        <f t="array" ref="BD185">_xlfn.IFS(AD185=0,"NA",AD185&gt;0,AH185/AD185)</f>
        <v>1</v>
      </c>
      <c r="BE185" s="44">
        <f t="shared" si="351"/>
        <v>0.25</v>
      </c>
      <c r="BF185" s="44">
        <v>0</v>
      </c>
      <c r="BG185" s="44">
        <f t="shared" si="352"/>
        <v>0.25</v>
      </c>
      <c r="BH185" s="44">
        <v>0</v>
      </c>
      <c r="BI185" s="44">
        <f t="shared" si="353"/>
        <v>0</v>
      </c>
      <c r="BJ185" s="44" t="s">
        <v>115</v>
      </c>
      <c r="BK185" s="44">
        <f t="shared" si="247"/>
        <v>0.5</v>
      </c>
      <c r="BL185" s="44" t="s">
        <v>115</v>
      </c>
      <c r="BM185" s="44" cm="1">
        <f t="array" ref="BM185">_xlfn.IFS(BD185="NA","NA",BD185&gt;100%,"100%",BD185&lt;100,BD185)</f>
        <v>1</v>
      </c>
      <c r="BN185" s="44" cm="1">
        <f t="array" ref="BN185">_xlfn.IFS(BF185="NA","NA",BF185&gt;100%,"100%",BF185&lt;100,BF185)</f>
        <v>0</v>
      </c>
      <c r="BO185" s="44" cm="1">
        <f t="array" ref="BO185">_xlfn.IFS(BH185="NA","NA",BH185&gt;100%,"100%",BH185&lt;100,BH185)</f>
        <v>0</v>
      </c>
      <c r="BP185" s="44" t="str" cm="1">
        <f t="array" ref="BP185">_xlfn.IFS(BJ185="NA","NA",BJ185&gt;100%,"100%",BJ185&lt;100,BJ185)</f>
        <v>NA</v>
      </c>
      <c r="BQ185" s="45">
        <v>0.22500000000000001</v>
      </c>
      <c r="BR185" s="45">
        <f t="shared" si="252"/>
        <v>0.1125</v>
      </c>
      <c r="BS185" s="45">
        <v>0</v>
      </c>
      <c r="BT185" s="45" t="s">
        <v>115</v>
      </c>
      <c r="BU185" s="45">
        <v>0</v>
      </c>
      <c r="BV185" s="45">
        <f t="shared" si="354"/>
        <v>0.1125</v>
      </c>
      <c r="BW185" s="45">
        <f t="shared" si="254"/>
        <v>0.1125</v>
      </c>
      <c r="BX185" s="45">
        <f t="shared" si="255"/>
        <v>0.1125</v>
      </c>
      <c r="BY185" s="45">
        <f t="shared" si="355"/>
        <v>5.6250000000000001E-2</v>
      </c>
      <c r="BZ185" s="45">
        <f t="shared" si="356"/>
        <v>0</v>
      </c>
      <c r="CA185" s="45">
        <f t="shared" si="253"/>
        <v>0</v>
      </c>
      <c r="CB185" s="45">
        <f t="shared" si="357"/>
        <v>5.6250000000000001E-2</v>
      </c>
      <c r="CC185" s="45">
        <f t="shared" si="358"/>
        <v>0</v>
      </c>
      <c r="CD185" s="45">
        <v>0</v>
      </c>
      <c r="CE185" s="45">
        <f t="shared" si="359"/>
        <v>0</v>
      </c>
      <c r="CF185" s="45" t="str">
        <f t="shared" si="360"/>
        <v>NA</v>
      </c>
      <c r="CG185" s="45">
        <v>0</v>
      </c>
      <c r="CH185" s="244"/>
      <c r="CI185" s="244"/>
      <c r="CJ185" s="244"/>
      <c r="CK185" s="244"/>
      <c r="CM185" s="63">
        <v>1</v>
      </c>
    </row>
    <row r="186" spans="1:91" s="334" customFormat="1" ht="18" hidden="1" customHeight="1">
      <c r="A186" s="325" t="s">
        <v>212</v>
      </c>
      <c r="B186" s="325" t="s">
        <v>213</v>
      </c>
      <c r="C186" s="325" t="s">
        <v>1286</v>
      </c>
      <c r="D186" s="325" t="s">
        <v>1287</v>
      </c>
      <c r="E186" s="325" t="s">
        <v>1288</v>
      </c>
      <c r="F186" s="325" t="s">
        <v>1289</v>
      </c>
      <c r="G186" s="325" t="s">
        <v>1290</v>
      </c>
      <c r="H186" s="325" t="s">
        <v>1291</v>
      </c>
      <c r="I186" s="325"/>
      <c r="J186" s="325"/>
      <c r="K186" s="325" t="s">
        <v>1292</v>
      </c>
      <c r="L186" s="325" t="s">
        <v>1293</v>
      </c>
      <c r="M186" s="325" t="s">
        <v>1294</v>
      </c>
      <c r="N186" s="325" t="s">
        <v>111</v>
      </c>
      <c r="O186" s="325" t="s">
        <v>112</v>
      </c>
      <c r="P186" s="326">
        <v>0</v>
      </c>
      <c r="Q186" s="327">
        <v>3</v>
      </c>
      <c r="R186" s="327">
        <f t="shared" si="347"/>
        <v>3</v>
      </c>
      <c r="S186" s="327" t="str">
        <f>VLOOKUP(K186,'1215 Corporación'!$K$13:$AK$14,9,0)</f>
        <v>En el 2020 se cumplió con las tres estrategias y en el 2021 hemos ejecutado dos de las tres, debido a que no se han realizado convenios con otras entidades.</v>
      </c>
      <c r="T186" s="327">
        <v>3</v>
      </c>
      <c r="U186" s="327">
        <v>0</v>
      </c>
      <c r="V186" s="327">
        <v>3</v>
      </c>
      <c r="W186" s="327">
        <v>0</v>
      </c>
      <c r="X186" s="327">
        <v>3</v>
      </c>
      <c r="Y186" s="327">
        <v>0</v>
      </c>
      <c r="Z186" s="327">
        <v>3</v>
      </c>
      <c r="AA186" s="327"/>
      <c r="AB186" s="327" t="s">
        <v>1295</v>
      </c>
      <c r="AC186" s="327"/>
      <c r="AD186" s="327">
        <v>0</v>
      </c>
      <c r="AE186" s="327">
        <v>3</v>
      </c>
      <c r="AF186" s="327">
        <f>VLOOKUP(K186,'1215 Corporación'!$K$13:$AK$14,22,0)</f>
        <v>0</v>
      </c>
      <c r="AG186" s="327">
        <f>VLOOKUP(K186,'1215 Corporación'!$K$13:$AK$14,23,0)</f>
        <v>3</v>
      </c>
      <c r="AH186" s="327">
        <f t="shared" si="348"/>
        <v>0</v>
      </c>
      <c r="AI186" s="327" t="str">
        <f>VLOOKUP(K186,'1215 Corporación'!$K$13:$AK$14,25,0)</f>
        <v>Se otorgan créditos en cofinanciación con otras entidades, devolución de ahorros e intereses</v>
      </c>
      <c r="AJ186" s="327" t="str">
        <f>VLOOKUP(K186,'1215 Corporación'!$K$13:$AK$14,26,0)</f>
        <v xml:space="preserve">Estrategia 1:Creditos otorgados 1692,Estrategia2: Creditos con Covenio .Estrategia 3:Devoluciòn de Ahorros </v>
      </c>
      <c r="AK186" s="327" t="str">
        <f>VLOOKUP(K186,'1215 Corporación'!$K$13:$AK$14,27,0)</f>
        <v>Ninguna</v>
      </c>
      <c r="AL186" s="327">
        <v>0</v>
      </c>
      <c r="AM186" s="327">
        <v>3</v>
      </c>
      <c r="AN186" s="327">
        <v>0</v>
      </c>
      <c r="AO186" s="327">
        <v>3</v>
      </c>
      <c r="AP186" s="327">
        <v>0</v>
      </c>
      <c r="AQ186" s="327">
        <v>0</v>
      </c>
      <c r="AR186" s="328"/>
      <c r="AS186" s="329">
        <v>25315763057</v>
      </c>
      <c r="AT186" s="329">
        <f t="shared" si="246"/>
        <v>25315763057</v>
      </c>
      <c r="AU186" s="328"/>
      <c r="AV186" s="401">
        <v>37142162585</v>
      </c>
      <c r="AW186" s="330"/>
      <c r="AX186" s="330"/>
      <c r="AY186" s="401">
        <v>31971066260</v>
      </c>
      <c r="AZ186" s="331">
        <f t="shared" si="349"/>
        <v>1</v>
      </c>
      <c r="BA186" s="331">
        <v>1</v>
      </c>
      <c r="BB186" s="331">
        <v>1</v>
      </c>
      <c r="BC186" s="331">
        <f>AD186/Q186</f>
        <v>0</v>
      </c>
      <c r="BD186" s="331" t="str" cm="1">
        <f t="array" ref="BD186">_xlfn.IFS(AD186=0,"NA",AD186&gt;0,AH186/AD186)</f>
        <v>NA</v>
      </c>
      <c r="BE186" s="331">
        <f t="shared" si="351"/>
        <v>0</v>
      </c>
      <c r="BF186" s="331">
        <v>0</v>
      </c>
      <c r="BG186" s="331">
        <f t="shared" si="352"/>
        <v>0</v>
      </c>
      <c r="BH186" s="331">
        <v>0</v>
      </c>
      <c r="BI186" s="331">
        <f t="shared" si="353"/>
        <v>0</v>
      </c>
      <c r="BJ186" s="331" t="s">
        <v>115</v>
      </c>
      <c r="BK186" s="332">
        <f t="shared" si="247"/>
        <v>1</v>
      </c>
      <c r="BL186" s="331">
        <v>1</v>
      </c>
      <c r="BM186" s="331" t="str" cm="1">
        <f t="array" ref="BM186">_xlfn.IFS(BD186="NA","NA",BD186&gt;100%,"100%",BD186&lt;100,BD186)</f>
        <v>NA</v>
      </c>
      <c r="BN186" s="331" cm="1">
        <f t="array" ref="BN186">_xlfn.IFS(BF186="NA","NA",BF186&gt;100%,"100%",BF186&lt;100,BF186)</f>
        <v>0</v>
      </c>
      <c r="BO186" s="331" cm="1">
        <f t="array" ref="BO186">_xlfn.IFS(BH186="NA","NA",BH186&gt;100%,"100%",BH186&lt;100,BH186)</f>
        <v>0</v>
      </c>
      <c r="BP186" s="331" t="str" cm="1">
        <f t="array" ref="BP186">_xlfn.IFS(BJ186="NA","NA",BJ186&gt;100%,"100%",BJ186&lt;100,BJ186)</f>
        <v>NA</v>
      </c>
      <c r="BQ186" s="333">
        <v>0.22500000000000001</v>
      </c>
      <c r="BR186" s="333">
        <f t="shared" si="252"/>
        <v>0.22500000000000001</v>
      </c>
      <c r="BS186" s="333">
        <v>0.22500000000000001</v>
      </c>
      <c r="BT186" s="333">
        <v>0.22500000000000001</v>
      </c>
      <c r="BU186" s="333">
        <v>0.22500000000000001</v>
      </c>
      <c r="BV186" s="333">
        <f t="shared" si="354"/>
        <v>0</v>
      </c>
      <c r="BW186" s="333" t="str">
        <f t="shared" si="254"/>
        <v>NA</v>
      </c>
      <c r="BX186" s="333">
        <f t="shared" si="255"/>
        <v>0</v>
      </c>
      <c r="BY186" s="333">
        <f t="shared" si="355"/>
        <v>0</v>
      </c>
      <c r="BZ186" s="333">
        <f t="shared" si="356"/>
        <v>0</v>
      </c>
      <c r="CA186" s="333">
        <f t="shared" si="253"/>
        <v>0</v>
      </c>
      <c r="CB186" s="333">
        <f t="shared" si="357"/>
        <v>0</v>
      </c>
      <c r="CC186" s="333">
        <f t="shared" si="358"/>
        <v>0</v>
      </c>
      <c r="CD186" s="333">
        <v>0</v>
      </c>
      <c r="CE186" s="333">
        <f t="shared" si="359"/>
        <v>0</v>
      </c>
      <c r="CF186" s="333" t="str">
        <f t="shared" si="360"/>
        <v>NA</v>
      </c>
      <c r="CG186" s="333">
        <v>0</v>
      </c>
      <c r="CH186" s="330"/>
      <c r="CI186" s="330"/>
      <c r="CJ186" s="330"/>
      <c r="CK186" s="330"/>
      <c r="CM186" s="335">
        <v>3</v>
      </c>
    </row>
    <row r="187" spans="1:91" ht="18" hidden="1" customHeight="1">
      <c r="A187" s="260" t="s">
        <v>1296</v>
      </c>
      <c r="B187" s="260" t="s">
        <v>1297</v>
      </c>
      <c r="C187" s="260" t="s">
        <v>1286</v>
      </c>
      <c r="D187" s="260" t="s">
        <v>1287</v>
      </c>
      <c r="E187" s="260" t="s">
        <v>1288</v>
      </c>
      <c r="F187" s="260" t="s">
        <v>1289</v>
      </c>
      <c r="G187" s="260" t="s">
        <v>1290</v>
      </c>
      <c r="H187" s="260" t="s">
        <v>1298</v>
      </c>
      <c r="I187" s="260"/>
      <c r="J187" s="260"/>
      <c r="K187" s="260" t="s">
        <v>1299</v>
      </c>
      <c r="L187" s="260" t="s">
        <v>1300</v>
      </c>
      <c r="M187" s="211" t="s">
        <v>1301</v>
      </c>
      <c r="N187" s="260" t="s">
        <v>111</v>
      </c>
      <c r="O187" s="260" t="s">
        <v>112</v>
      </c>
      <c r="P187" s="10">
        <v>0</v>
      </c>
      <c r="Q187" s="11">
        <v>1</v>
      </c>
      <c r="R187" s="11">
        <f t="shared" si="347"/>
        <v>0</v>
      </c>
      <c r="S187" s="11">
        <f>VLOOKUP(K187,'1290 ACIC'!$K$13:$AK$51,9,0)</f>
        <v>0</v>
      </c>
      <c r="T187" s="11">
        <v>0</v>
      </c>
      <c r="U187" s="11">
        <v>0</v>
      </c>
      <c r="V187" s="11">
        <v>0</v>
      </c>
      <c r="W187" s="11">
        <v>0</v>
      </c>
      <c r="X187" s="11">
        <v>0</v>
      </c>
      <c r="Y187" s="11">
        <v>0</v>
      </c>
      <c r="Z187" s="11">
        <v>0</v>
      </c>
      <c r="AA187" s="11"/>
      <c r="AB187" s="11"/>
      <c r="AC187" s="11"/>
      <c r="AD187" s="11">
        <v>1</v>
      </c>
      <c r="AE187" s="11">
        <v>0</v>
      </c>
      <c r="AF187" s="11">
        <f>VLOOKUP(K187,'1290 ACIC'!$K$13:$AK$51,22,0)</f>
        <v>0</v>
      </c>
      <c r="AG187" s="11">
        <f>VLOOKUP(K187,'1290 ACIC'!$K$13:$AK$51,23,0)</f>
        <v>0</v>
      </c>
      <c r="AH187" s="11">
        <f t="shared" si="348"/>
        <v>0</v>
      </c>
      <c r="AI187" s="11" t="str">
        <f>VLOOKUP(K187,'1290 ACIC'!$K$13:$AK$51,25,0)</f>
        <v>CONVENIO CON MUNICIPIO DE COTA :Proceso precontractual y firma del convenio 20%, quedando pendiente realizar la seleecion del oferente y posterior entrega de equipos para funcionamiento de la planta horticola  por parte del contratista y la ejecucion del convenio, asi se lograra el avance fisico de la ejecucion del 80%</v>
      </c>
      <c r="AJ187" s="11">
        <f>VLOOKUP(K187,'1290 ACIC'!$K$13:$AK$51,26,0)</f>
        <v>0</v>
      </c>
      <c r="AK187" s="11">
        <f>VLOOKUP(K187,'1290 ACIC'!$K$13:$AK$51,27,0)</f>
        <v>0</v>
      </c>
      <c r="AL187" s="11">
        <v>0</v>
      </c>
      <c r="AM187" s="11">
        <v>0</v>
      </c>
      <c r="AN187" s="11">
        <v>0</v>
      </c>
      <c r="AO187" s="11">
        <v>0</v>
      </c>
      <c r="AP187" s="11">
        <v>0</v>
      </c>
      <c r="AQ187" s="11">
        <v>0</v>
      </c>
      <c r="AR187" s="52"/>
      <c r="AS187" s="54">
        <v>0</v>
      </c>
      <c r="AT187" s="54">
        <f t="shared" si="246"/>
        <v>0</v>
      </c>
      <c r="AU187" s="52"/>
      <c r="AV187" s="243">
        <v>460000000</v>
      </c>
      <c r="AW187" s="244"/>
      <c r="AX187" s="244"/>
      <c r="AY187" s="243">
        <v>441581478</v>
      </c>
      <c r="AZ187" s="44">
        <f t="shared" si="349"/>
        <v>0</v>
      </c>
      <c r="BA187" s="44">
        <v>0</v>
      </c>
      <c r="BB187" s="44" t="s">
        <v>115</v>
      </c>
      <c r="BC187" s="44">
        <f t="shared" si="350"/>
        <v>1</v>
      </c>
      <c r="BD187" s="44" cm="1">
        <f t="array" ref="BD187">_xlfn.IFS(AD187=0,"NA",AD187&gt;0,AH187/AD187)</f>
        <v>0</v>
      </c>
      <c r="BE187" s="44">
        <f t="shared" si="351"/>
        <v>0</v>
      </c>
      <c r="BF187" s="44">
        <v>0</v>
      </c>
      <c r="BG187" s="44">
        <f t="shared" si="352"/>
        <v>0</v>
      </c>
      <c r="BH187" s="44">
        <v>0</v>
      </c>
      <c r="BI187" s="44">
        <f t="shared" si="353"/>
        <v>0</v>
      </c>
      <c r="BJ187" s="44" t="s">
        <v>115</v>
      </c>
      <c r="BK187" s="44">
        <f t="shared" si="247"/>
        <v>0</v>
      </c>
      <c r="BL187" s="44" t="s">
        <v>115</v>
      </c>
      <c r="BM187" s="44" cm="1">
        <f t="array" ref="BM187">_xlfn.IFS(BD187="NA","NA",BD187&gt;100%,"100%",BD187&lt;100,BD187)</f>
        <v>0</v>
      </c>
      <c r="BN187" s="44" cm="1">
        <f t="array" ref="BN187">_xlfn.IFS(BF187="NA","NA",BF187&gt;100%,"100%",BF187&lt;100,BF187)</f>
        <v>0</v>
      </c>
      <c r="BO187" s="44" cm="1">
        <f t="array" ref="BO187">_xlfn.IFS(BH187="NA","NA",BH187&gt;100%,"100%",BH187&lt;100,BH187)</f>
        <v>0</v>
      </c>
      <c r="BP187" s="44" t="str" cm="1">
        <f t="array" ref="BP187">_xlfn.IFS(BJ187="NA","NA",BJ187&gt;100%,"100%",BJ187&lt;100,BJ187)</f>
        <v>NA</v>
      </c>
      <c r="BQ187" s="45">
        <v>0.22500000000000001</v>
      </c>
      <c r="BR187" s="45">
        <f t="shared" si="252"/>
        <v>0</v>
      </c>
      <c r="BS187" s="45">
        <v>0</v>
      </c>
      <c r="BT187" s="45" t="s">
        <v>115</v>
      </c>
      <c r="BU187" s="45">
        <v>0</v>
      </c>
      <c r="BV187" s="45">
        <f t="shared" si="354"/>
        <v>0.22500000000000001</v>
      </c>
      <c r="BW187" s="45">
        <f t="shared" si="254"/>
        <v>0</v>
      </c>
      <c r="BX187" s="45">
        <f t="shared" si="255"/>
        <v>0</v>
      </c>
      <c r="BY187" s="45">
        <f t="shared" si="355"/>
        <v>0</v>
      </c>
      <c r="BZ187" s="45">
        <f t="shared" si="356"/>
        <v>0</v>
      </c>
      <c r="CA187" s="45">
        <f t="shared" si="253"/>
        <v>0</v>
      </c>
      <c r="CB187" s="45">
        <f t="shared" si="357"/>
        <v>0</v>
      </c>
      <c r="CC187" s="45">
        <f t="shared" si="358"/>
        <v>0</v>
      </c>
      <c r="CD187" s="45">
        <v>0</v>
      </c>
      <c r="CE187" s="45">
        <f t="shared" si="359"/>
        <v>0</v>
      </c>
      <c r="CF187" s="45" t="str">
        <f t="shared" si="360"/>
        <v>NA</v>
      </c>
      <c r="CG187" s="45">
        <v>0</v>
      </c>
      <c r="CH187" s="244"/>
      <c r="CI187" s="244"/>
      <c r="CJ187" s="244"/>
      <c r="CK187" s="244"/>
      <c r="CM187" s="63">
        <v>0</v>
      </c>
    </row>
    <row r="188" spans="1:91" ht="18" hidden="1" customHeight="1">
      <c r="A188" s="260" t="s">
        <v>1302</v>
      </c>
      <c r="B188" s="260" t="s">
        <v>1303</v>
      </c>
      <c r="C188" s="260" t="s">
        <v>1286</v>
      </c>
      <c r="D188" s="260" t="s">
        <v>1287</v>
      </c>
      <c r="E188" s="260" t="s">
        <v>1288</v>
      </c>
      <c r="F188" s="260" t="s">
        <v>1289</v>
      </c>
      <c r="G188" s="260" t="s">
        <v>1290</v>
      </c>
      <c r="H188" s="260" t="s">
        <v>1304</v>
      </c>
      <c r="I188" s="260"/>
      <c r="J188" s="260"/>
      <c r="K188" s="260" t="s">
        <v>1305</v>
      </c>
      <c r="L188" s="260" t="s">
        <v>1306</v>
      </c>
      <c r="M188" s="260" t="s">
        <v>1307</v>
      </c>
      <c r="N188" s="260" t="s">
        <v>111</v>
      </c>
      <c r="O188" s="260" t="s">
        <v>112</v>
      </c>
      <c r="P188" s="10">
        <v>1660</v>
      </c>
      <c r="Q188" s="11">
        <v>700</v>
      </c>
      <c r="R188" s="11">
        <f t="shared" si="347"/>
        <v>202</v>
      </c>
      <c r="S188" s="11" t="str">
        <f>VLOOKUP(K188,'1124 Agricultura'!$K$13:$AK$25,9,0)</f>
        <v>202 familias VCA de 6 municipios (Choachí, Guayabetal, Tena, Silvania, Gama, Guataqui) con proyectos productivos de donde se refuerza las capacidades de nuestros productores y a quienes se les hizo la entrega  de equipos y elementos que les permiten disminuir sus costos de producción, volviéndolos más competitivos.</v>
      </c>
      <c r="T188" s="11">
        <v>100</v>
      </c>
      <c r="U188" s="11">
        <v>0</v>
      </c>
      <c r="V188" s="11">
        <v>202</v>
      </c>
      <c r="W188" s="11">
        <v>0</v>
      </c>
      <c r="X188" s="11">
        <v>202</v>
      </c>
      <c r="Y188" s="11">
        <v>0</v>
      </c>
      <c r="Z188" s="11">
        <v>202</v>
      </c>
      <c r="AA188" s="11" t="s">
        <v>1308</v>
      </c>
      <c r="AB188" s="11" t="s">
        <v>1309</v>
      </c>
      <c r="AC188" s="11">
        <v>0</v>
      </c>
      <c r="AD188" s="11">
        <v>165</v>
      </c>
      <c r="AE188" s="11">
        <v>0</v>
      </c>
      <c r="AF188" s="11">
        <f>VLOOKUP(K188,'1124 Agricultura'!$K$13:$AK$25,22,0)</f>
        <v>0</v>
      </c>
      <c r="AG188" s="11">
        <f>VLOOKUP(K188,'1124 Agricultura'!$K$13:$AK$25,23,0)</f>
        <v>0</v>
      </c>
      <c r="AH188" s="11">
        <f t="shared" si="348"/>
        <v>0</v>
      </c>
      <c r="AI188" s="11">
        <f>VLOOKUP(K188,'1124 Agricultura'!$K$13:$AK$25,25,0)</f>
        <v>0</v>
      </c>
      <c r="AJ188" s="11" t="str">
        <f>VLOOKUP(K188,'1124 Agricultura'!$K$13:$AK$25,26,0)</f>
        <v>Se realizó la subasta inversa y se determinó el tercero a contratar. Se estima la firma del contrato el 6 de diciembre de 2021 y la entrega de suministros antes de finalizar el mes de diciembre</v>
      </c>
      <c r="AK188" s="11">
        <f>VLOOKUP(K188,'1124 Agricultura'!$K$13:$AK$25,27,0)</f>
        <v>0</v>
      </c>
      <c r="AL188" s="11">
        <v>150</v>
      </c>
      <c r="AM188" s="11">
        <v>0</v>
      </c>
      <c r="AN188" s="11">
        <v>183</v>
      </c>
      <c r="AO188" s="11">
        <v>0</v>
      </c>
      <c r="AP188" s="11">
        <v>0</v>
      </c>
      <c r="AQ188" s="11">
        <v>0</v>
      </c>
      <c r="AR188" s="51">
        <v>269998509</v>
      </c>
      <c r="AS188" s="54">
        <v>0</v>
      </c>
      <c r="AT188" s="54">
        <f t="shared" si="246"/>
        <v>269998509</v>
      </c>
      <c r="AU188" s="51">
        <v>269998509</v>
      </c>
      <c r="AV188" s="243">
        <v>405000000</v>
      </c>
      <c r="AW188" s="244"/>
      <c r="AX188" s="244"/>
      <c r="AY188" s="243">
        <v>0</v>
      </c>
      <c r="AZ188" s="44">
        <f t="shared" si="349"/>
        <v>0.28857142857142859</v>
      </c>
      <c r="BA188" s="44">
        <v>0.28860000000000002</v>
      </c>
      <c r="BB188" s="44">
        <v>1</v>
      </c>
      <c r="BC188" s="44">
        <f t="shared" si="350"/>
        <v>0.23571428571428571</v>
      </c>
      <c r="BD188" s="44" cm="1">
        <f t="array" ref="BD188">_xlfn.IFS(AD188=0,"NA",AD188&gt;0,AH188/AD188)</f>
        <v>0</v>
      </c>
      <c r="BE188" s="44">
        <f t="shared" si="351"/>
        <v>0.21428571428571427</v>
      </c>
      <c r="BF188" s="44">
        <v>0</v>
      </c>
      <c r="BG188" s="44">
        <f t="shared" si="352"/>
        <v>0.26142857142857145</v>
      </c>
      <c r="BH188" s="44">
        <v>0</v>
      </c>
      <c r="BI188" s="44">
        <f t="shared" si="353"/>
        <v>0</v>
      </c>
      <c r="BJ188" s="44" t="s">
        <v>115</v>
      </c>
      <c r="BK188" s="44">
        <f t="shared" si="247"/>
        <v>0.28857142857142859</v>
      </c>
      <c r="BL188" s="44">
        <v>1</v>
      </c>
      <c r="BM188" s="44" cm="1">
        <f t="array" ref="BM188">_xlfn.IFS(BD188="NA","NA",BD188&gt;100%,"100%",BD188&lt;100,BD188)</f>
        <v>0</v>
      </c>
      <c r="BN188" s="44" cm="1">
        <f t="array" ref="BN188">_xlfn.IFS(BF188="NA","NA",BF188&gt;100%,"100%",BF188&lt;100,BF188)</f>
        <v>0</v>
      </c>
      <c r="BO188" s="44" cm="1">
        <f t="array" ref="BO188">_xlfn.IFS(BH188="NA","NA",BH188&gt;100%,"100%",BH188&lt;100,BH188)</f>
        <v>0</v>
      </c>
      <c r="BP188" s="44" t="str" cm="1">
        <f t="array" ref="BP188">_xlfn.IFS(BJ188="NA","NA",BJ188&gt;100%,"100%",BJ188&lt;100,BJ188)</f>
        <v>NA</v>
      </c>
      <c r="BQ188" s="45">
        <v>0.22500000000000001</v>
      </c>
      <c r="BR188" s="45">
        <f t="shared" si="252"/>
        <v>6.4928571428571433E-2</v>
      </c>
      <c r="BS188" s="45">
        <v>6.4899999999999999E-2</v>
      </c>
      <c r="BT188" s="45">
        <v>6.4899999999999999E-2</v>
      </c>
      <c r="BU188" s="45">
        <v>6.4899999999999999E-2</v>
      </c>
      <c r="BV188" s="45">
        <f t="shared" si="354"/>
        <v>5.3035714285714283E-2</v>
      </c>
      <c r="BW188" s="45">
        <f t="shared" si="254"/>
        <v>0</v>
      </c>
      <c r="BX188" s="45">
        <f t="shared" si="255"/>
        <v>2.8571428571433355E-5</v>
      </c>
      <c r="BY188" s="45">
        <f t="shared" si="355"/>
        <v>4.8214285714285716E-2</v>
      </c>
      <c r="BZ188" s="45">
        <f t="shared" si="356"/>
        <v>0</v>
      </c>
      <c r="CA188" s="45">
        <f t="shared" si="253"/>
        <v>0</v>
      </c>
      <c r="CB188" s="45">
        <f t="shared" si="357"/>
        <v>5.882142857142858E-2</v>
      </c>
      <c r="CC188" s="45">
        <f t="shared" si="358"/>
        <v>0</v>
      </c>
      <c r="CD188" s="45">
        <v>0</v>
      </c>
      <c r="CE188" s="45">
        <f t="shared" si="359"/>
        <v>0</v>
      </c>
      <c r="CF188" s="45" t="str">
        <f t="shared" si="360"/>
        <v>NA</v>
      </c>
      <c r="CG188" s="45">
        <v>0</v>
      </c>
      <c r="CH188" s="244"/>
      <c r="CI188" s="244"/>
      <c r="CJ188" s="244"/>
      <c r="CK188" s="244"/>
      <c r="CM188" s="63">
        <v>202</v>
      </c>
    </row>
    <row r="189" spans="1:91" ht="18" hidden="1" customHeight="1">
      <c r="A189" s="260" t="s">
        <v>1310</v>
      </c>
      <c r="B189" s="260" t="s">
        <v>1311</v>
      </c>
      <c r="C189" s="260" t="s">
        <v>1286</v>
      </c>
      <c r="D189" s="260" t="s">
        <v>1287</v>
      </c>
      <c r="E189" s="260" t="s">
        <v>1288</v>
      </c>
      <c r="F189" s="260" t="s">
        <v>1289</v>
      </c>
      <c r="G189" s="260" t="s">
        <v>1290</v>
      </c>
      <c r="H189" s="260" t="s">
        <v>1312</v>
      </c>
      <c r="I189" s="260"/>
      <c r="J189" s="260"/>
      <c r="K189" s="260" t="s">
        <v>1313</v>
      </c>
      <c r="L189" s="260" t="s">
        <v>1314</v>
      </c>
      <c r="M189" s="260" t="s">
        <v>1315</v>
      </c>
      <c r="N189" s="260" t="s">
        <v>111</v>
      </c>
      <c r="O189" s="260" t="s">
        <v>112</v>
      </c>
      <c r="P189" s="10">
        <v>3</v>
      </c>
      <c r="Q189" s="11">
        <v>3</v>
      </c>
      <c r="R189" s="11">
        <f t="shared" ca="1" si="347"/>
        <v>0</v>
      </c>
      <c r="S189" s="11">
        <f ca="1">VLOOKUP(K189,'1120 Competitividad'!$K$13:$AK$51,9,0)</f>
        <v>0</v>
      </c>
      <c r="T189" s="11">
        <v>0</v>
      </c>
      <c r="U189" s="11">
        <v>0</v>
      </c>
      <c r="V189" s="11">
        <v>0</v>
      </c>
      <c r="W189" s="11">
        <v>0</v>
      </c>
      <c r="X189" s="11">
        <v>0</v>
      </c>
      <c r="Y189" s="11">
        <v>0</v>
      </c>
      <c r="Z189" s="11">
        <v>0</v>
      </c>
      <c r="AA189" s="11"/>
      <c r="AB189" s="11"/>
      <c r="AC189" s="11"/>
      <c r="AD189" s="11">
        <v>1</v>
      </c>
      <c r="AE189" s="11">
        <v>0</v>
      </c>
      <c r="AF189" s="11">
        <f ca="1">VLOOKUP(K189,'1120 Competitividad'!$K$13:$AK$51,22,0)</f>
        <v>0</v>
      </c>
      <c r="AG189" s="11">
        <f ca="1">VLOOKUP(K189,'1120 Competitividad'!$K$13:$AK$51,23,0)</f>
        <v>0</v>
      </c>
      <c r="AH189" s="11">
        <f t="shared" ca="1" si="348"/>
        <v>0</v>
      </c>
      <c r="AI189" s="11" t="str">
        <f ca="1">VLOOKUP(K189,'1120 Competitividad'!$K$13:$AK$51,25,0)</f>
        <v>165 silos entregados, 15 equipos manejo despulpado , lavado y beneficio de cafe  permitiendo el uso eficiente del recurso hidrico y el beneficio del grano (ECOMILL) , Kit de trilla y un Kit de torrefacción  a COODECAFEC (Cooperativa de caficultores  de Cundinamarca) , se adelantan tramites para 80 marcas de cafe con denominacion de origen, y 80 marcas de cafe identificacion geografica protegida y 80 sellos Juan Valdes, acompañamiento en capacitacion en el manejo de equipos  a beneficiarios ya a COODECAFE, entrega de 30.000 bolsas para empaque de café .</v>
      </c>
      <c r="AJ189" s="11" t="str">
        <f ca="1">VLOOKUP(K189,'1120 Competitividad'!$K$13:$AK$51,26,0)</f>
        <v xml:space="preserve">Mejoramiento del beneficio del grano , transformación y Comercialización de café en verde y tostados  generando mayor ingreso a 800 cafeteros de 42 municipios del Departamento de Cundinamarca </v>
      </c>
      <c r="AK189" s="11">
        <f ca="1">VLOOKUP(K189,'1120 Competitividad'!$K$13:$AK$51,27,0)</f>
        <v>0</v>
      </c>
      <c r="AL189" s="11">
        <v>1</v>
      </c>
      <c r="AM189" s="11">
        <v>0</v>
      </c>
      <c r="AN189" s="11">
        <v>1</v>
      </c>
      <c r="AO189" s="11">
        <v>0</v>
      </c>
      <c r="AP189" s="11">
        <v>0</v>
      </c>
      <c r="AQ189" s="11">
        <v>0</v>
      </c>
      <c r="AR189" s="52"/>
      <c r="AS189" s="54">
        <v>0</v>
      </c>
      <c r="AT189" s="54">
        <f t="shared" si="246"/>
        <v>0</v>
      </c>
      <c r="AU189" s="52"/>
      <c r="AV189" s="243">
        <v>1700000000</v>
      </c>
      <c r="AW189" s="244"/>
      <c r="AX189" s="244"/>
      <c r="AY189" s="243">
        <v>1700000000</v>
      </c>
      <c r="AZ189" s="44">
        <f t="shared" ca="1" si="349"/>
        <v>0</v>
      </c>
      <c r="BA189" s="44">
        <v>0</v>
      </c>
      <c r="BB189" s="44" t="s">
        <v>115</v>
      </c>
      <c r="BC189" s="44">
        <f t="shared" si="350"/>
        <v>0.33333333333333331</v>
      </c>
      <c r="BD189" s="44" cm="1">
        <f t="array" aca="1" ref="BD189" ca="1">_xlfn.IFS(AD189=0,"NA",AD189&gt;0,AH189/AD189)</f>
        <v>0</v>
      </c>
      <c r="BE189" s="44">
        <f t="shared" si="351"/>
        <v>0.33333333333333331</v>
      </c>
      <c r="BF189" s="44">
        <v>0</v>
      </c>
      <c r="BG189" s="44">
        <f t="shared" si="352"/>
        <v>0.33333333333333331</v>
      </c>
      <c r="BH189" s="44">
        <v>0</v>
      </c>
      <c r="BI189" s="44">
        <f t="shared" si="353"/>
        <v>0</v>
      </c>
      <c r="BJ189" s="44" t="s">
        <v>115</v>
      </c>
      <c r="BK189" s="44">
        <f t="shared" ca="1" si="247"/>
        <v>0</v>
      </c>
      <c r="BL189" s="44" t="s">
        <v>115</v>
      </c>
      <c r="BM189" s="44" cm="1">
        <f t="array" aca="1" ref="BM189" ca="1">_xlfn.IFS(BD189="NA","NA",BD189&gt;100%,"100%",BD189&lt;100,BD189)</f>
        <v>0</v>
      </c>
      <c r="BN189" s="44" cm="1">
        <f t="array" ref="BN189">_xlfn.IFS(BF189="NA","NA",BF189&gt;100%,"100%",BF189&lt;100,BF189)</f>
        <v>0</v>
      </c>
      <c r="BO189" s="44" cm="1">
        <f t="array" ref="BO189">_xlfn.IFS(BH189="NA","NA",BH189&gt;100%,"100%",BH189&lt;100,BH189)</f>
        <v>0</v>
      </c>
      <c r="BP189" s="44" t="str" cm="1">
        <f t="array" ref="BP189">_xlfn.IFS(BJ189="NA","NA",BJ189&gt;100%,"100%",BJ189&lt;100,BJ189)</f>
        <v>NA</v>
      </c>
      <c r="BQ189" s="45">
        <v>0.22500000000000001</v>
      </c>
      <c r="BR189" s="45">
        <f t="shared" ca="1" si="252"/>
        <v>0</v>
      </c>
      <c r="BS189" s="45">
        <v>0</v>
      </c>
      <c r="BT189" s="45" t="s">
        <v>115</v>
      </c>
      <c r="BU189" s="45">
        <v>0</v>
      </c>
      <c r="BV189" s="45">
        <f t="shared" si="354"/>
        <v>7.4999999999999997E-2</v>
      </c>
      <c r="BW189" s="45">
        <f t="shared" ca="1" si="254"/>
        <v>0</v>
      </c>
      <c r="BX189" s="45">
        <f t="shared" ca="1" si="255"/>
        <v>0</v>
      </c>
      <c r="BY189" s="45">
        <f t="shared" si="355"/>
        <v>7.4999999999999997E-2</v>
      </c>
      <c r="BZ189" s="45">
        <f t="shared" si="356"/>
        <v>0</v>
      </c>
      <c r="CA189" s="45">
        <f t="shared" ca="1" si="253"/>
        <v>0</v>
      </c>
      <c r="CB189" s="45">
        <f t="shared" si="357"/>
        <v>7.4999999999999997E-2</v>
      </c>
      <c r="CC189" s="45">
        <f t="shared" si="358"/>
        <v>0</v>
      </c>
      <c r="CD189" s="45">
        <v>0</v>
      </c>
      <c r="CE189" s="45">
        <f t="shared" si="359"/>
        <v>0</v>
      </c>
      <c r="CF189" s="45" t="str">
        <f t="shared" si="360"/>
        <v>NA</v>
      </c>
      <c r="CG189" s="45">
        <v>0</v>
      </c>
      <c r="CH189" s="244"/>
      <c r="CI189" s="244"/>
      <c r="CJ189" s="244"/>
      <c r="CK189" s="244"/>
      <c r="CM189" s="63">
        <v>0</v>
      </c>
    </row>
    <row r="190" spans="1:91" ht="18" hidden="1" customHeight="1">
      <c r="A190" s="260" t="s">
        <v>1005</v>
      </c>
      <c r="B190" s="260" t="s">
        <v>1006</v>
      </c>
      <c r="C190" s="260" t="s">
        <v>1286</v>
      </c>
      <c r="D190" s="260" t="s">
        <v>1287</v>
      </c>
      <c r="E190" s="260" t="s">
        <v>1288</v>
      </c>
      <c r="F190" s="260" t="s">
        <v>1316</v>
      </c>
      <c r="G190" s="260" t="s">
        <v>1317</v>
      </c>
      <c r="H190" s="260" t="s">
        <v>1318</v>
      </c>
      <c r="I190" s="260" t="s">
        <v>1244</v>
      </c>
      <c r="J190" s="260"/>
      <c r="K190" s="260" t="s">
        <v>1319</v>
      </c>
      <c r="L190" s="260" t="s">
        <v>1320</v>
      </c>
      <c r="M190" s="260" t="s">
        <v>1321</v>
      </c>
      <c r="N190" s="260" t="s">
        <v>111</v>
      </c>
      <c r="O190" s="260" t="s">
        <v>112</v>
      </c>
      <c r="P190" s="10">
        <v>600</v>
      </c>
      <c r="Q190" s="11">
        <v>1200</v>
      </c>
      <c r="R190" s="11">
        <f t="shared" si="347"/>
        <v>205</v>
      </c>
      <c r="S190" s="11">
        <f>VLOOKUP(K190,'1130 Mujer'!$K$13:$AK$19,9,0)</f>
        <v>0</v>
      </c>
      <c r="T190" s="11">
        <v>100</v>
      </c>
      <c r="U190" s="11">
        <v>0</v>
      </c>
      <c r="V190" s="11">
        <v>100</v>
      </c>
      <c r="W190" s="11">
        <v>0</v>
      </c>
      <c r="X190" s="11">
        <v>124</v>
      </c>
      <c r="Y190" s="11">
        <v>0</v>
      </c>
      <c r="Z190" s="11">
        <v>124</v>
      </c>
      <c r="AA190" s="11" t="s">
        <v>1322</v>
      </c>
      <c r="AB190" s="11" t="s">
        <v>1323</v>
      </c>
      <c r="AC190" s="11" t="s">
        <v>1324</v>
      </c>
      <c r="AD190" s="11">
        <v>440</v>
      </c>
      <c r="AE190" s="11">
        <v>0</v>
      </c>
      <c r="AF190" s="11">
        <f>VLOOKUP(K190,'1130 Mujer'!$K$13:$AK$19,22,0)</f>
        <v>81</v>
      </c>
      <c r="AG190" s="11">
        <f>VLOOKUP(K190,'1130 Mujer'!$K$13:$AK$19,23,0)</f>
        <v>0</v>
      </c>
      <c r="AH190" s="11">
        <f t="shared" si="348"/>
        <v>81</v>
      </c>
      <c r="AI190" s="11" t="str">
        <f>VLOOKUP(K190,'1130 Mujer'!$K$13:$AK$19,25,0)</f>
        <v>Insumos y elementos para emprendimientos productivos y apoyo a 54 artesanas del municipio de cucunubá - Expolanas.</v>
      </c>
      <c r="AJ190" s="11" t="str">
        <f>VLOOKUP(K190,'1130 Mujer'!$K$13:$AK$19,26,0)</f>
        <v>SE efectua la entrega de 27 apoyos en especie a unidades productivas. Se inicia la estrategia ICPES para atender nuevos emprendimientos. apoyo al desarrollo de Expolanas 695 emprendimientos vinculados a la estrategia a la fecha de corte. Se proyecta entrega de ayudas en el mes de diciembre.</v>
      </c>
      <c r="AK190" s="11" t="str">
        <f>VLOOKUP(K190,'1130 Mujer'!$K$13:$AK$19,27,0)</f>
        <v>na</v>
      </c>
      <c r="AL190" s="11">
        <v>440</v>
      </c>
      <c r="AM190" s="11">
        <v>0</v>
      </c>
      <c r="AN190" s="11">
        <v>196</v>
      </c>
      <c r="AO190" s="11">
        <v>0</v>
      </c>
      <c r="AP190" s="11">
        <v>0</v>
      </c>
      <c r="AQ190" s="11">
        <v>0</v>
      </c>
      <c r="AR190" s="51">
        <v>2014427146</v>
      </c>
      <c r="AS190" s="54">
        <v>0</v>
      </c>
      <c r="AT190" s="54">
        <f t="shared" si="246"/>
        <v>2014427146</v>
      </c>
      <c r="AU190" s="51">
        <v>2008000000</v>
      </c>
      <c r="AV190" s="243">
        <v>3601114000</v>
      </c>
      <c r="AW190" s="244"/>
      <c r="AX190" s="244"/>
      <c r="AY190" s="243">
        <v>3415874000</v>
      </c>
      <c r="AZ190" s="44">
        <f t="shared" si="349"/>
        <v>0.17083333333333334</v>
      </c>
      <c r="BA190" s="44">
        <v>8.3299999999999999E-2</v>
      </c>
      <c r="BB190" s="44">
        <v>1.24</v>
      </c>
      <c r="BC190" s="44">
        <f t="shared" si="350"/>
        <v>0.36666666666666664</v>
      </c>
      <c r="BD190" s="44" cm="1">
        <f t="array" ref="BD190">_xlfn.IFS(AD190=0,"NA",AD190&gt;0,AH190/AD190)</f>
        <v>0.18409090909090908</v>
      </c>
      <c r="BE190" s="44">
        <f t="shared" si="351"/>
        <v>0.36666666666666664</v>
      </c>
      <c r="BF190" s="44">
        <v>0</v>
      </c>
      <c r="BG190" s="44">
        <f t="shared" si="352"/>
        <v>0.16333333333333333</v>
      </c>
      <c r="BH190" s="44">
        <v>0</v>
      </c>
      <c r="BI190" s="44">
        <f t="shared" si="353"/>
        <v>0</v>
      </c>
      <c r="BJ190" s="44" t="s">
        <v>115</v>
      </c>
      <c r="BK190" s="44">
        <f t="shared" si="247"/>
        <v>0.17083333333333334</v>
      </c>
      <c r="BL190" s="44">
        <v>1</v>
      </c>
      <c r="BM190" s="44" cm="1">
        <f t="array" ref="BM190">_xlfn.IFS(BD190="NA","NA",BD190&gt;100%,"100%",BD190&lt;100,BD190)</f>
        <v>0.18409090909090908</v>
      </c>
      <c r="BN190" s="44" cm="1">
        <f t="array" ref="BN190">_xlfn.IFS(BF190="NA","NA",BF190&gt;100%,"100%",BF190&lt;100,BF190)</f>
        <v>0</v>
      </c>
      <c r="BO190" s="44" cm="1">
        <f t="array" ref="BO190">_xlfn.IFS(BH190="NA","NA",BH190&gt;100%,"100%",BH190&lt;100,BH190)</f>
        <v>0</v>
      </c>
      <c r="BP190" s="44" t="str" cm="1">
        <f t="array" ref="BP190">_xlfn.IFS(BJ190="NA","NA",BJ190&gt;100%,"100%",BJ190&lt;100,BJ190)</f>
        <v>NA</v>
      </c>
      <c r="BQ190" s="45">
        <v>0.22500000000000001</v>
      </c>
      <c r="BR190" s="45">
        <f t="shared" si="252"/>
        <v>3.8437499999999999E-2</v>
      </c>
      <c r="BS190" s="45">
        <v>1.8700000000000001E-2</v>
      </c>
      <c r="BT190" s="45">
        <v>1.8700000000000001E-2</v>
      </c>
      <c r="BU190" s="45">
        <v>2.3199999999999998E-2</v>
      </c>
      <c r="BV190" s="45">
        <f t="shared" si="354"/>
        <v>8.2500000000000004E-2</v>
      </c>
      <c r="BW190" s="45">
        <f t="shared" si="254"/>
        <v>1.51875E-2</v>
      </c>
      <c r="BX190" s="45">
        <f t="shared" si="255"/>
        <v>1.5237500000000001E-2</v>
      </c>
      <c r="BY190" s="45">
        <f t="shared" si="355"/>
        <v>8.2500000000000004E-2</v>
      </c>
      <c r="BZ190" s="45">
        <f t="shared" si="356"/>
        <v>0</v>
      </c>
      <c r="CA190" s="45">
        <f t="shared" si="253"/>
        <v>0</v>
      </c>
      <c r="CB190" s="45">
        <f t="shared" si="357"/>
        <v>3.6749999999999998E-2</v>
      </c>
      <c r="CC190" s="45">
        <f t="shared" si="358"/>
        <v>0</v>
      </c>
      <c r="CD190" s="45">
        <v>0</v>
      </c>
      <c r="CE190" s="45">
        <f t="shared" si="359"/>
        <v>0</v>
      </c>
      <c r="CF190" s="45" t="str">
        <f t="shared" si="360"/>
        <v>NA</v>
      </c>
      <c r="CG190" s="45">
        <v>0</v>
      </c>
      <c r="CH190" s="244"/>
      <c r="CI190" s="244"/>
      <c r="CJ190" s="244"/>
      <c r="CK190" s="244"/>
      <c r="CM190" s="63">
        <v>151</v>
      </c>
    </row>
    <row r="191" spans="1:91" ht="18" hidden="1" customHeight="1">
      <c r="A191" s="260" t="s">
        <v>1302</v>
      </c>
      <c r="B191" s="260" t="s">
        <v>1303</v>
      </c>
      <c r="C191" s="260" t="s">
        <v>1286</v>
      </c>
      <c r="D191" s="260" t="s">
        <v>1287</v>
      </c>
      <c r="E191" s="260" t="s">
        <v>1288</v>
      </c>
      <c r="F191" s="260" t="s">
        <v>1325</v>
      </c>
      <c r="G191" s="260" t="s">
        <v>1326</v>
      </c>
      <c r="H191" s="260" t="s">
        <v>1327</v>
      </c>
      <c r="I191" s="260"/>
      <c r="J191" s="260"/>
      <c r="K191" s="260" t="s">
        <v>1328</v>
      </c>
      <c r="L191" s="260" t="s">
        <v>1329</v>
      </c>
      <c r="M191" s="260" t="s">
        <v>1330</v>
      </c>
      <c r="N191" s="260" t="s">
        <v>111</v>
      </c>
      <c r="O191" s="260" t="s">
        <v>112</v>
      </c>
      <c r="P191" s="10">
        <v>0</v>
      </c>
      <c r="Q191" s="11">
        <v>116</v>
      </c>
      <c r="R191" s="11">
        <f t="shared" si="347"/>
        <v>51</v>
      </c>
      <c r="S191" s="11" t="str">
        <f>VLOOKUP(K191,'1124 Agricultura'!$K$13:$AK$25,9,0)</f>
        <v xml:space="preserve">Se hizo la entrega de 51 motos a la misma cantidad de municipios, como dotación los cuales ayudarán a lograr una mejor eficiencia en la prestación del servicio de asistencia técnica y extensión rural.
Se han realizado 7 actividades de transferencia de tecnología a través de las siguientes capacitaciones con el SENA
Eventos de divulgación tecnológica:
1. CONVERSATORIO PROCEDIMIENTO Y DOCUMENTACIÓN PARA LA  HABILITACIÓN EPSEAS- LEY 1876 Dictado en el municipio Fusagasugá donde participaron 120 personas curso con un costo estimado de $ 14.592.000
2. FORTALECIMIENTO DE CAPACIDADES PARA EXTENSIONISTAS dictado en el municipio de Chía donde participaron 212 personas curso con un costo estimado de $ 25.779.200
Extensionistas capacitados dirigido a los 116 municipios del departamento:
1. DIAGNOSTICO DE LA ZONA DE ESTUDIO, LA ORGANIZACION Y EMPRESA AGROPECUARIA RURAL: participaron 141 personas con un costo estimado de $ 17.145.600
2. ORIENTACION DE PLANES DE INTERVENCION EN LAS EMPRESAS U ORGANIZACIONES RURALES: participaron 291 personas con un costo estimado de $ 35.385.600
3. ELABORACION DEL PLAN DE INTERVENCION PARA LA PRESTACION DEL SERVICIO DE EXTENSION AGROPECUARIA: participaron 264 personas con un costo estimado de $ 32.102.400
4. IMPLEMENTACION DE PLANES COMUNITARIOS EN LAS ORGANIZACIONES RURALES: participaron 61 personas con un costo estimado de $ 7.296.000
Convocatoria de formación a extensionistas de Cundinamarca Tema: Diagnóstico de la zona de estudio, la organización y/o la empresa rural participaron 57 personas con un costo estimado de $ 6.931.200
Total Gestionado con el SENA $ 139.232.000
Así mismo  se desarrollaron 2 capacitaciones por medio de la ANDI de la siguiente manera:
1. Mentes fértiles participación de 120 productores de los municipios Agua de Dios, Viotá, Fosca, San Antonio de Tequendama, Silvana y El Rosal con un costo de $ 18.000.000
2. Cuidagro participación de 80 productores de los municipios de Paime, Pandi, Tocaima y Anapoima con un costo estimado de $ 12.000.000
Se aprobó por parte de la Asamblea Departamental mediante la ordenanza 061 de Agosto de 2021 el Plan Integral de Desarrollo Agropecuario y rural con Enfoque Territorial (PIDARET) el cual es una herramienta de planificación agropecuaria con proyección a 20 años.
Total Gestionado con la ANDI $ 30,000,000 </v>
      </c>
      <c r="T191" s="11">
        <v>0</v>
      </c>
      <c r="U191" s="11">
        <v>0</v>
      </c>
      <c r="V191" s="11">
        <v>0</v>
      </c>
      <c r="W191" s="11">
        <v>0</v>
      </c>
      <c r="X191" s="11">
        <v>0</v>
      </c>
      <c r="Y191" s="11">
        <v>0</v>
      </c>
      <c r="Z191" s="11">
        <v>0</v>
      </c>
      <c r="AA191" s="11"/>
      <c r="AB191" s="11"/>
      <c r="AC191" s="11"/>
      <c r="AD191" s="11">
        <v>51</v>
      </c>
      <c r="AE191" s="11">
        <v>0</v>
      </c>
      <c r="AF191" s="11">
        <f>VLOOKUP(K191,'1124 Agricultura'!$K$13:$AK$25,22,0)</f>
        <v>51</v>
      </c>
      <c r="AG191" s="11">
        <f>VLOOKUP(K191,'1124 Agricultura'!$K$13:$AK$25,23,0)</f>
        <v>0</v>
      </c>
      <c r="AH191" s="11">
        <f t="shared" si="348"/>
        <v>51</v>
      </c>
      <c r="AI191" s="11" t="str">
        <f>VLOOKUP(K191,'1124 Agricultura'!$K$13:$AK$25,25,0)</f>
        <v>Dotación de Motos para prestación de asistencia técnica</v>
      </c>
      <c r="AJ191" s="11" t="str">
        <f>VLOOKUP(K191,'1124 Agricultura'!$K$13:$AK$25,26,0)</f>
        <v xml:space="preserve">Se hizo la entrega de 51 motos como dotación a los municipios programados en la vigencia 2021 los cuales ayudarán a lograr una mejor eficiencia en la prestación del servicio de asistencia técnica y extensión rural. Se otorgó una adición de recursos para en el mes de diciembre hacer la entrega de motos en 4 municipios más. 
Se han realizado 7 actividades de transferencia de tecnología a través de las siguientes capacitaciones con el SENA
Eventos de divulgación tecnológica:
1.	CONVERSATORIO PROCEDIMIENTO Y DOCUMENTACIÓN PARA LA  HABILITACIÓN EPSEAS- LEY 1876 Dictado en el municipio Fusagasugá donde participaron 120 personas curso con un costo estimado de $ 14.592.000 
2.	FORTALECIMIENTO DE CAPACIDADES PARA EXTENSIONISTAS dictado en el municipio de Chía donde participaron 212 personas curso con un costo estimado de $ 25.779.200
Extensionistas capacitados dirigido a los 116 municipios del departamento:
1.	DIAGNOSTICO DE LA ZONA DE ESTUDIO, LA ORGANIZACION Y EMPRESA AGROPECUARIA RURAL: participaron 141 personas con un costo estimado de $ 17.145.600
2.	ORIENTACION DE PLANES DE INTERVENCION EN LAS EMPRESAS U ORGANIZACIONES RURALES: participaron 291 personas con un costo estimado de $ 35.385.600
3.	ELABORACION DEL PLAN DE INTERVENCION PARA LA PRESTACION DEL SERVICIO DE EXTENSION AGROPECUARIA: participaron 264 personas con un costo estimado de $ 32.102.400
4.	IMPLEMENTACION DE PLANES COMUNITARIOS EN LAS ORGANIZACIONES RURALES: participaron 61 personas con un costo estimado de $ 7.296.000
Convocatoria de formación a extensionistas de Cundinamarca Tema: Diagnóstico de la zona de estudio, la organización y/o la empresa rural participaron 57 personas con un costo estimado de $ 6.931.200
Total Gestionado con el SENA $ 139.232.000
Así mismo  se desarrollaron 2 capacitaciones por medio de la ANDI de la siguiente manera:
1.	Mentes fértiles participación de 120 productores de los municipios Agua de Dios, Viotá, Fosca, San Antonio de Tequendama, Silvana y El Rosal con un costo de $ 18.000.000
2.	Cuidagro participación de 80 productores de los municipios de Paime, Pandi, Tocaima y Anapoima con un costo estimado de $ 12.000.000
Total Gestionado con la ANDI: $ 30.000.000
Se aprobó por parte de la Asamblea Departamental mediante la ordenanza 061 de Agosto de 2021 el Plan Integral de Desarrollo Agropecuario y rural con Enfoque Territorial (PIDARET) el cual es una herramienta de planificación agropecuaria con proyección a 20 años.
</v>
      </c>
      <c r="AK191" s="11">
        <f>VLOOKUP(K191,'1124 Agricultura'!$K$13:$AK$25,27,0)</f>
        <v>0</v>
      </c>
      <c r="AL191" s="11">
        <v>42</v>
      </c>
      <c r="AM191" s="11">
        <v>0</v>
      </c>
      <c r="AN191" s="11">
        <v>23</v>
      </c>
      <c r="AO191" s="11">
        <v>0</v>
      </c>
      <c r="AP191" s="11">
        <v>0</v>
      </c>
      <c r="AQ191" s="11">
        <v>0</v>
      </c>
      <c r="AR191" s="52"/>
      <c r="AS191" s="54">
        <v>0</v>
      </c>
      <c r="AT191" s="54">
        <f t="shared" si="246"/>
        <v>0</v>
      </c>
      <c r="AU191" s="52"/>
      <c r="AV191" s="243">
        <v>882599916</v>
      </c>
      <c r="AW191" s="244"/>
      <c r="AX191" s="244"/>
      <c r="AY191" s="243">
        <v>529542384</v>
      </c>
      <c r="AZ191" s="44">
        <f t="shared" si="349"/>
        <v>0.43965517241379309</v>
      </c>
      <c r="BA191" s="44">
        <v>0</v>
      </c>
      <c r="BB191" s="44" t="s">
        <v>115</v>
      </c>
      <c r="BC191" s="44">
        <f t="shared" si="350"/>
        <v>0.43965517241379309</v>
      </c>
      <c r="BD191" s="44" cm="1">
        <f t="array" ref="BD191">_xlfn.IFS(AD191=0,"NA",AD191&gt;0,AH191/AD191)</f>
        <v>1</v>
      </c>
      <c r="BE191" s="44">
        <f t="shared" si="351"/>
        <v>0.36206896551724138</v>
      </c>
      <c r="BF191" s="44">
        <v>0</v>
      </c>
      <c r="BG191" s="44">
        <f t="shared" si="352"/>
        <v>0.19827586206896552</v>
      </c>
      <c r="BH191" s="44">
        <v>0</v>
      </c>
      <c r="BI191" s="44">
        <f t="shared" si="353"/>
        <v>0</v>
      </c>
      <c r="BJ191" s="44" t="s">
        <v>115</v>
      </c>
      <c r="BK191" s="44">
        <f t="shared" si="247"/>
        <v>0.43965517241379309</v>
      </c>
      <c r="BL191" s="44" t="s">
        <v>115</v>
      </c>
      <c r="BM191" s="44" cm="1">
        <f t="array" ref="BM191">_xlfn.IFS(BD191="NA","NA",BD191&gt;100%,"100%",BD191&lt;100,BD191)</f>
        <v>1</v>
      </c>
      <c r="BN191" s="44" cm="1">
        <f t="array" ref="BN191">_xlfn.IFS(BF191="NA","NA",BF191&gt;100%,"100%",BF191&lt;100,BF191)</f>
        <v>0</v>
      </c>
      <c r="BO191" s="44" cm="1">
        <f t="array" ref="BO191">_xlfn.IFS(BH191="NA","NA",BH191&gt;100%,"100%",BH191&lt;100,BH191)</f>
        <v>0</v>
      </c>
      <c r="BP191" s="44" t="str" cm="1">
        <f t="array" ref="BP191">_xlfn.IFS(BJ191="NA","NA",BJ191&gt;100%,"100%",BJ191&lt;100,BJ191)</f>
        <v>NA</v>
      </c>
      <c r="BQ191" s="45">
        <v>0.22500000000000001</v>
      </c>
      <c r="BR191" s="45">
        <f t="shared" si="252"/>
        <v>9.8922413793103445E-2</v>
      </c>
      <c r="BS191" s="45">
        <v>0</v>
      </c>
      <c r="BT191" s="45" t="s">
        <v>115</v>
      </c>
      <c r="BU191" s="45">
        <v>0</v>
      </c>
      <c r="BV191" s="45">
        <f t="shared" si="354"/>
        <v>9.8922413793103445E-2</v>
      </c>
      <c r="BW191" s="45">
        <f t="shared" si="254"/>
        <v>9.8922413793103445E-2</v>
      </c>
      <c r="BX191" s="45">
        <f t="shared" si="255"/>
        <v>9.8922413793103445E-2</v>
      </c>
      <c r="BY191" s="45">
        <f t="shared" si="355"/>
        <v>8.146551724137932E-2</v>
      </c>
      <c r="BZ191" s="45">
        <f t="shared" si="356"/>
        <v>0</v>
      </c>
      <c r="CA191" s="45">
        <f t="shared" si="253"/>
        <v>0</v>
      </c>
      <c r="CB191" s="45">
        <f t="shared" si="357"/>
        <v>4.461206896551724E-2</v>
      </c>
      <c r="CC191" s="45">
        <f t="shared" si="358"/>
        <v>0</v>
      </c>
      <c r="CD191" s="45">
        <v>0</v>
      </c>
      <c r="CE191" s="45">
        <f t="shared" si="359"/>
        <v>0</v>
      </c>
      <c r="CF191" s="45" t="str">
        <f t="shared" si="360"/>
        <v>NA</v>
      </c>
      <c r="CG191" s="45">
        <v>0</v>
      </c>
      <c r="CH191" s="244"/>
      <c r="CI191" s="244"/>
      <c r="CJ191" s="244"/>
      <c r="CK191" s="244"/>
      <c r="CM191" s="63">
        <v>0</v>
      </c>
    </row>
    <row r="192" spans="1:91" ht="18" hidden="1" customHeight="1">
      <c r="A192" s="260" t="s">
        <v>1302</v>
      </c>
      <c r="B192" s="260" t="s">
        <v>1303</v>
      </c>
      <c r="C192" s="260" t="s">
        <v>1286</v>
      </c>
      <c r="D192" s="260" t="s">
        <v>1287</v>
      </c>
      <c r="E192" s="260" t="s">
        <v>1288</v>
      </c>
      <c r="F192" s="260" t="s">
        <v>1325</v>
      </c>
      <c r="G192" s="260" t="s">
        <v>1326</v>
      </c>
      <c r="H192" s="260" t="s">
        <v>1331</v>
      </c>
      <c r="I192" s="260"/>
      <c r="J192" s="260"/>
      <c r="K192" s="260" t="s">
        <v>1332</v>
      </c>
      <c r="L192" s="260" t="s">
        <v>1333</v>
      </c>
      <c r="M192" s="260" t="s">
        <v>1334</v>
      </c>
      <c r="N192" s="260" t="s">
        <v>111</v>
      </c>
      <c r="O192" s="260" t="s">
        <v>112</v>
      </c>
      <c r="P192" s="10">
        <v>25</v>
      </c>
      <c r="Q192" s="11">
        <v>8</v>
      </c>
      <c r="R192" s="11">
        <f t="shared" si="347"/>
        <v>0</v>
      </c>
      <c r="S192" s="11" t="str">
        <f>VLOOKUP(K192,'1124 Agricultura'!$K$13:$AK$25,9,0)</f>
        <v>Se hicieron las cotizaciones las cuales llegaron muy costosas y se determinó volver a solicitar otras por SECOP y estamos en el proceso de realizar los pliegos para la subasta inversa proceso en comité de contratación.</v>
      </c>
      <c r="T192" s="11">
        <v>0</v>
      </c>
      <c r="U192" s="11">
        <v>0</v>
      </c>
      <c r="V192" s="11">
        <v>0</v>
      </c>
      <c r="W192" s="11">
        <v>0</v>
      </c>
      <c r="X192" s="11">
        <v>0</v>
      </c>
      <c r="Y192" s="11">
        <v>0</v>
      </c>
      <c r="Z192" s="11">
        <v>0</v>
      </c>
      <c r="AA192" s="11"/>
      <c r="AB192" s="11"/>
      <c r="AC192" s="11"/>
      <c r="AD192" s="11">
        <v>4</v>
      </c>
      <c r="AE192" s="11">
        <v>0</v>
      </c>
      <c r="AF192" s="11">
        <f>VLOOKUP(K192,'1124 Agricultura'!$K$13:$AK$25,22,0)</f>
        <v>0</v>
      </c>
      <c r="AG192" s="11">
        <f>VLOOKUP(K192,'1124 Agricultura'!$K$13:$AK$25,23,0)</f>
        <v>0</v>
      </c>
      <c r="AH192" s="11">
        <f t="shared" si="348"/>
        <v>0</v>
      </c>
      <c r="AI192" s="11">
        <f>VLOOKUP(K192,'1124 Agricultura'!$K$13:$AK$25,25,0)</f>
        <v>0</v>
      </c>
      <c r="AJ192" s="11" t="str">
        <f>VLOOKUP(K192,'1124 Agricultura'!$K$13:$AK$25,26,0)</f>
        <v>Se realizó la subasta inversa y se determinó el tercero a contratar. Se estima la firma del contrato el 6 de diciembre de 2021 y la entrega de suministros antes de finalizar el mes de diciembre</v>
      </c>
      <c r="AK192" s="11">
        <f>VLOOKUP(K192,'1124 Agricultura'!$K$13:$AK$25,27,0)</f>
        <v>0</v>
      </c>
      <c r="AL192" s="11">
        <v>3</v>
      </c>
      <c r="AM192" s="11">
        <v>0</v>
      </c>
      <c r="AN192" s="11">
        <v>1</v>
      </c>
      <c r="AO192" s="11">
        <v>0</v>
      </c>
      <c r="AP192" s="11">
        <v>0</v>
      </c>
      <c r="AQ192" s="11">
        <v>0</v>
      </c>
      <c r="AR192" s="52"/>
      <c r="AS192" s="54">
        <v>0</v>
      </c>
      <c r="AT192" s="54">
        <f t="shared" si="246"/>
        <v>0</v>
      </c>
      <c r="AU192" s="52"/>
      <c r="AV192" s="243">
        <v>596000000</v>
      </c>
      <c r="AW192" s="244"/>
      <c r="AX192" s="244"/>
      <c r="AY192" s="243">
        <v>0</v>
      </c>
      <c r="AZ192" s="44">
        <f t="shared" si="349"/>
        <v>0</v>
      </c>
      <c r="BA192" s="44">
        <v>0</v>
      </c>
      <c r="BB192" s="44" t="s">
        <v>115</v>
      </c>
      <c r="BC192" s="44">
        <f t="shared" si="350"/>
        <v>0.5</v>
      </c>
      <c r="BD192" s="44" cm="1">
        <f t="array" ref="BD192">_xlfn.IFS(AD192=0,"NA",AD192&gt;0,AH192/AD192)</f>
        <v>0</v>
      </c>
      <c r="BE192" s="44">
        <f t="shared" si="351"/>
        <v>0.375</v>
      </c>
      <c r="BF192" s="44">
        <v>0</v>
      </c>
      <c r="BG192" s="44">
        <f t="shared" si="352"/>
        <v>0.125</v>
      </c>
      <c r="BH192" s="44">
        <v>0</v>
      </c>
      <c r="BI192" s="44">
        <f t="shared" si="353"/>
        <v>0</v>
      </c>
      <c r="BJ192" s="44" t="s">
        <v>115</v>
      </c>
      <c r="BK192" s="44">
        <f t="shared" si="247"/>
        <v>0</v>
      </c>
      <c r="BL192" s="44" t="s">
        <v>115</v>
      </c>
      <c r="BM192" s="44" cm="1">
        <f t="array" ref="BM192">_xlfn.IFS(BD192="NA","NA",BD192&gt;100%,"100%",BD192&lt;100,BD192)</f>
        <v>0</v>
      </c>
      <c r="BN192" s="44" cm="1">
        <f t="array" ref="BN192">_xlfn.IFS(BF192="NA","NA",BF192&gt;100%,"100%",BF192&lt;100,BF192)</f>
        <v>0</v>
      </c>
      <c r="BO192" s="44" cm="1">
        <f t="array" ref="BO192">_xlfn.IFS(BH192="NA","NA",BH192&gt;100%,"100%",BH192&lt;100,BH192)</f>
        <v>0</v>
      </c>
      <c r="BP192" s="44" t="str" cm="1">
        <f t="array" ref="BP192">_xlfn.IFS(BJ192="NA","NA",BJ192&gt;100%,"100%",BJ192&lt;100,BJ192)</f>
        <v>NA</v>
      </c>
      <c r="BQ192" s="45">
        <v>0.22500000000000001</v>
      </c>
      <c r="BR192" s="45">
        <f t="shared" si="252"/>
        <v>0</v>
      </c>
      <c r="BS192" s="45">
        <v>0</v>
      </c>
      <c r="BT192" s="45" t="s">
        <v>115</v>
      </c>
      <c r="BU192" s="45">
        <v>0</v>
      </c>
      <c r="BV192" s="45">
        <f t="shared" si="354"/>
        <v>0.1125</v>
      </c>
      <c r="BW192" s="45">
        <f t="shared" si="254"/>
        <v>0</v>
      </c>
      <c r="BX192" s="45">
        <f t="shared" si="255"/>
        <v>0</v>
      </c>
      <c r="BY192" s="45">
        <f t="shared" si="355"/>
        <v>8.4375000000000006E-2</v>
      </c>
      <c r="BZ192" s="45">
        <f t="shared" si="356"/>
        <v>0</v>
      </c>
      <c r="CA192" s="45">
        <f t="shared" si="253"/>
        <v>0</v>
      </c>
      <c r="CB192" s="45">
        <f t="shared" si="357"/>
        <v>2.8125000000000001E-2</v>
      </c>
      <c r="CC192" s="45">
        <f t="shared" si="358"/>
        <v>0</v>
      </c>
      <c r="CD192" s="45">
        <v>0</v>
      </c>
      <c r="CE192" s="45">
        <f t="shared" si="359"/>
        <v>0</v>
      </c>
      <c r="CF192" s="45" t="str">
        <f t="shared" si="360"/>
        <v>NA</v>
      </c>
      <c r="CG192" s="45">
        <v>0</v>
      </c>
      <c r="CH192" s="244"/>
      <c r="CI192" s="244"/>
      <c r="CJ192" s="244"/>
      <c r="CK192" s="244"/>
      <c r="CM192" s="63">
        <v>0</v>
      </c>
    </row>
    <row r="193" spans="1:91" ht="18" hidden="1" customHeight="1">
      <c r="A193" s="260" t="s">
        <v>1302</v>
      </c>
      <c r="B193" s="260" t="s">
        <v>1303</v>
      </c>
      <c r="C193" s="260" t="s">
        <v>1286</v>
      </c>
      <c r="D193" s="260" t="s">
        <v>1287</v>
      </c>
      <c r="E193" s="260" t="s">
        <v>1288</v>
      </c>
      <c r="F193" s="260" t="s">
        <v>1325</v>
      </c>
      <c r="G193" s="260" t="s">
        <v>1326</v>
      </c>
      <c r="H193" s="260" t="s">
        <v>1335</v>
      </c>
      <c r="I193" s="260"/>
      <c r="J193" s="260"/>
      <c r="K193" s="260" t="s">
        <v>1336</v>
      </c>
      <c r="L193" s="260" t="s">
        <v>1337</v>
      </c>
      <c r="M193" s="260" t="s">
        <v>1338</v>
      </c>
      <c r="N193" s="260" t="s">
        <v>111</v>
      </c>
      <c r="O193" s="260" t="s">
        <v>112</v>
      </c>
      <c r="P193" s="10">
        <v>88</v>
      </c>
      <c r="Q193" s="11">
        <v>300</v>
      </c>
      <c r="R193" s="11">
        <f t="shared" si="347"/>
        <v>13</v>
      </c>
      <c r="S193" s="11" t="str">
        <f>VLOOKUP(K193,'1124 Agricultura'!$K$13:$AK$25,9,0)</f>
        <v>Se han entregado 13 Bancos de Maquinaria de los cuales 5 fueron gestionados con el Ministerio de Agricultura los cuales fueron entregados en: Cachipay, Nemocón, Tibirita, Ubate, Villeta, Gachancipa, La Calera, La Palma, Sesquilé, Simijaca, Suesca y Zipaquirá</v>
      </c>
      <c r="T193" s="11">
        <v>10</v>
      </c>
      <c r="U193" s="11">
        <v>0</v>
      </c>
      <c r="V193" s="11">
        <v>13</v>
      </c>
      <c r="W193" s="11">
        <v>0</v>
      </c>
      <c r="X193" s="11">
        <v>13</v>
      </c>
      <c r="Y193" s="11">
        <v>0</v>
      </c>
      <c r="Z193" s="11">
        <v>13</v>
      </c>
      <c r="AA193" s="11" t="s">
        <v>1339</v>
      </c>
      <c r="AB193" s="11" t="s">
        <v>1340</v>
      </c>
      <c r="AC193" s="11">
        <v>0</v>
      </c>
      <c r="AD193" s="11">
        <v>90</v>
      </c>
      <c r="AE193" s="11">
        <v>0</v>
      </c>
      <c r="AF193" s="11">
        <f>VLOOKUP(K193,'1124 Agricultura'!$K$13:$AK$25,22,0)</f>
        <v>0</v>
      </c>
      <c r="AG193" s="11">
        <f>VLOOKUP(K193,'1124 Agricultura'!$K$13:$AK$25,23,0)</f>
        <v>0</v>
      </c>
      <c r="AH193" s="11">
        <f t="shared" si="348"/>
        <v>0</v>
      </c>
      <c r="AI193" s="11">
        <f>VLOOKUP(K193,'1124 Agricultura'!$K$13:$AK$25,25,0)</f>
        <v>0</v>
      </c>
      <c r="AJ193" s="11" t="str">
        <f>VLOOKUP(K193,'1124 Agricultura'!$K$13:$AK$25,26,0)</f>
        <v>Se subieron los pliegos al SECOP para realizar la subasta inversa la cual se estima realizar el 6 de diciembre para firmar contrato aproximadamente el 10 de diciembre y entregar los kits antes de finalizar el mes de diciembre</v>
      </c>
      <c r="AK193" s="11">
        <f>VLOOKUP(K193,'1124 Agricultura'!$K$13:$AK$25,27,0)</f>
        <v>0</v>
      </c>
      <c r="AL193" s="11">
        <v>110</v>
      </c>
      <c r="AM193" s="11">
        <v>0</v>
      </c>
      <c r="AN193" s="11">
        <v>87</v>
      </c>
      <c r="AO193" s="11">
        <v>0</v>
      </c>
      <c r="AP193" s="11">
        <v>0</v>
      </c>
      <c r="AQ193" s="11">
        <v>0</v>
      </c>
      <c r="AR193" s="51">
        <v>1999318687</v>
      </c>
      <c r="AS193" s="54">
        <v>0</v>
      </c>
      <c r="AT193" s="54">
        <f t="shared" si="246"/>
        <v>1999318687</v>
      </c>
      <c r="AU193" s="51">
        <v>1999318687</v>
      </c>
      <c r="AV193" s="243">
        <v>3589034930</v>
      </c>
      <c r="AW193" s="244"/>
      <c r="AX193" s="244"/>
      <c r="AY193" s="243">
        <v>0</v>
      </c>
      <c r="AZ193" s="44">
        <f t="shared" si="349"/>
        <v>4.3333333333333335E-2</v>
      </c>
      <c r="BA193" s="44">
        <v>0.11210000000000001</v>
      </c>
      <c r="BB193" s="44">
        <v>1</v>
      </c>
      <c r="BC193" s="44">
        <f t="shared" si="350"/>
        <v>0.3</v>
      </c>
      <c r="BD193" s="44" cm="1">
        <f t="array" ref="BD193">_xlfn.IFS(AD193=0,"NA",AD193&gt;0,AH193/AD193)</f>
        <v>0</v>
      </c>
      <c r="BE193" s="44">
        <f t="shared" si="351"/>
        <v>0.36666666666666664</v>
      </c>
      <c r="BF193" s="44">
        <v>0</v>
      </c>
      <c r="BG193" s="44">
        <f t="shared" si="352"/>
        <v>0.28999999999999998</v>
      </c>
      <c r="BH193" s="44">
        <v>0</v>
      </c>
      <c r="BI193" s="44">
        <f t="shared" si="353"/>
        <v>0</v>
      </c>
      <c r="BJ193" s="44" t="s">
        <v>115</v>
      </c>
      <c r="BK193" s="44">
        <f t="shared" si="247"/>
        <v>4.3333333333333335E-2</v>
      </c>
      <c r="BL193" s="44">
        <v>1</v>
      </c>
      <c r="BM193" s="44" cm="1">
        <f t="array" ref="BM193">_xlfn.IFS(BD193="NA","NA",BD193&gt;100%,"100%",BD193&lt;100,BD193)</f>
        <v>0</v>
      </c>
      <c r="BN193" s="44" cm="1">
        <f t="array" ref="BN193">_xlfn.IFS(BF193="NA","NA",BF193&gt;100%,"100%",BF193&lt;100,BF193)</f>
        <v>0</v>
      </c>
      <c r="BO193" s="44" cm="1">
        <f t="array" ref="BO193">_xlfn.IFS(BH193="NA","NA",BH193&gt;100%,"100%",BH193&lt;100,BH193)</f>
        <v>0</v>
      </c>
      <c r="BP193" s="44" t="str" cm="1">
        <f t="array" ref="BP193">_xlfn.IFS(BJ193="NA","NA",BJ193&gt;100%,"100%",BJ193&lt;100,BJ193)</f>
        <v>NA</v>
      </c>
      <c r="BQ193" s="45">
        <v>0.22500000000000001</v>
      </c>
      <c r="BR193" s="45">
        <f>BQ193*BK193</f>
        <v>9.75E-3</v>
      </c>
      <c r="BS193" s="45">
        <v>2.52E-2</v>
      </c>
      <c r="BT193" s="45">
        <v>2.52E-2</v>
      </c>
      <c r="BU193" s="262">
        <v>8.9999999999999993E-3</v>
      </c>
      <c r="BV193" s="45">
        <f t="shared" si="354"/>
        <v>6.7500000000000004E-2</v>
      </c>
      <c r="BW193" s="45">
        <f t="shared" si="254"/>
        <v>0</v>
      </c>
      <c r="BX193" s="45">
        <f t="shared" si="255"/>
        <v>7.5000000000000067E-4</v>
      </c>
      <c r="BY193" s="45">
        <f t="shared" si="355"/>
        <v>8.2500000000000004E-2</v>
      </c>
      <c r="BZ193" s="45">
        <f t="shared" si="356"/>
        <v>0</v>
      </c>
      <c r="CA193" s="45">
        <f t="shared" si="253"/>
        <v>0</v>
      </c>
      <c r="CB193" s="45">
        <f t="shared" si="357"/>
        <v>6.5250000000000002E-2</v>
      </c>
      <c r="CC193" s="45">
        <f t="shared" si="358"/>
        <v>0</v>
      </c>
      <c r="CD193" s="45">
        <v>0</v>
      </c>
      <c r="CE193" s="45">
        <f t="shared" si="359"/>
        <v>0</v>
      </c>
      <c r="CF193" s="45" t="str">
        <f t="shared" si="360"/>
        <v>NA</v>
      </c>
      <c r="CG193" s="45">
        <v>0</v>
      </c>
      <c r="CH193" s="244"/>
      <c r="CI193" s="244"/>
      <c r="CJ193" s="244"/>
      <c r="CK193" s="244"/>
      <c r="CM193" s="63">
        <v>13</v>
      </c>
    </row>
    <row r="194" spans="1:91" ht="18" hidden="1" customHeight="1">
      <c r="A194" s="260" t="s">
        <v>1302</v>
      </c>
      <c r="B194" s="260" t="s">
        <v>1303</v>
      </c>
      <c r="C194" s="260" t="s">
        <v>1286</v>
      </c>
      <c r="D194" s="260" t="s">
        <v>1287</v>
      </c>
      <c r="E194" s="260" t="s">
        <v>1288</v>
      </c>
      <c r="F194" s="260" t="s">
        <v>1325</v>
      </c>
      <c r="G194" s="260" t="s">
        <v>1326</v>
      </c>
      <c r="H194" s="260" t="s">
        <v>1341</v>
      </c>
      <c r="I194" s="260"/>
      <c r="J194" s="260"/>
      <c r="K194" s="260" t="s">
        <v>1342</v>
      </c>
      <c r="L194" s="260" t="s">
        <v>1343</v>
      </c>
      <c r="M194" s="260" t="s">
        <v>1344</v>
      </c>
      <c r="N194" s="260" t="s">
        <v>111</v>
      </c>
      <c r="O194" s="260" t="s">
        <v>112</v>
      </c>
      <c r="P194" s="10">
        <v>485</v>
      </c>
      <c r="Q194" s="11">
        <v>2000</v>
      </c>
      <c r="R194" s="11">
        <f t="shared" si="347"/>
        <v>0</v>
      </c>
      <c r="S194" s="11" t="str">
        <f>VLOOKUP(K194,'1124 Agricultura'!$K$13:$AK$25,9,0)</f>
        <v>Ya se firmó el contrato con la Inmobiliaria de Cundinamarca y está en ejecución, frente al memorando de entendimiento se solicitó a la Agencia incorporar no solo a la Secretaria de Agricultura y Desarrollo Rural sino también a la Inmobiliaria de Cundinamarca y la Agencia Catastral de Cundinamarca, a la fecha la Inmobiliaria está realizando algunos ajustes al respectivo memorando. Así mismo la Inmobiliaria está evaluando la información que se entregó  de los cuales hay 351 viables y también están verificando la información que fue suministrada por los municipios de Tibirita, Cachipay, Villeta, Suesca, Nemocón y Gutiérrez</v>
      </c>
      <c r="T194" s="11">
        <v>0</v>
      </c>
      <c r="U194" s="11">
        <v>0</v>
      </c>
      <c r="V194" s="11">
        <v>0</v>
      </c>
      <c r="W194" s="11">
        <v>0</v>
      </c>
      <c r="X194" s="11">
        <v>0</v>
      </c>
      <c r="Y194" s="11">
        <v>0</v>
      </c>
      <c r="Z194" s="11">
        <v>0</v>
      </c>
      <c r="AA194" s="11"/>
      <c r="AB194" s="11"/>
      <c r="AC194" s="11"/>
      <c r="AD194" s="11">
        <v>600</v>
      </c>
      <c r="AE194" s="11">
        <v>0</v>
      </c>
      <c r="AF194" s="11">
        <f>VLOOKUP(K194,'1124 Agricultura'!$K$13:$AK$25,22,0)</f>
        <v>0</v>
      </c>
      <c r="AG194" s="11">
        <f>VLOOKUP(K194,'1124 Agricultura'!$K$13:$AK$25,23,0)</f>
        <v>0</v>
      </c>
      <c r="AH194" s="11">
        <f t="shared" si="348"/>
        <v>0</v>
      </c>
      <c r="AI194" s="11">
        <f>VLOOKUP(K194,'1124 Agricultura'!$K$13:$AK$25,25,0)</f>
        <v>0</v>
      </c>
      <c r="AJ194" s="11" t="str">
        <f>VLOOKUP(K194,'1124 Agricultura'!$K$13:$AK$25,26,0)</f>
        <v>Contrato que se suscribió con la Inmobiliaria de Cundinamarca el cual está en ejecución, frente al memorando de entendimiento se solicitó a la Agencia incorporar no solo a la Secretaria de Agricultura y Desarrollo Rural sino también a la Inmobiliaria de Cundinamarca y la Agencia Catastral de Cundinamarca, a la fecha la Inmobiliaria está realizando algunos ajustes al respectivo memorando. Así mismo la Inmobiliaria evaluó la información de 266 documentos entregados de los municipios Tibirita, Cachipay, Villeta, Suesca, Nemocón, Bituima, Nilo y Gutierrez de los cuales solo salieron viables 104 así: Tibirita (no viables), Cachipay (52 viables) , Villeta (10 viables), Suesca (8 viables), Nemocón (18 viables), Bituima (2 viables), Nilo (14 viables)  y Gutiérrez (no viables) por otro lado se entregaron otros 351 documentos que ya están viables pero en la revisión realizada indicaron que se pueden formalizar este año solo aproximadamente 16.</v>
      </c>
      <c r="AK194" s="11">
        <f>VLOOKUP(K194,'1124 Agricultura'!$K$13:$AK$25,27,0)</f>
        <v>0</v>
      </c>
      <c r="AL194" s="11">
        <v>1000</v>
      </c>
      <c r="AM194" s="11">
        <v>0</v>
      </c>
      <c r="AN194" s="11">
        <v>400</v>
      </c>
      <c r="AO194" s="11">
        <v>0</v>
      </c>
      <c r="AP194" s="11">
        <v>0</v>
      </c>
      <c r="AQ194" s="11">
        <v>0</v>
      </c>
      <c r="AR194" s="52"/>
      <c r="AS194" s="54">
        <v>0</v>
      </c>
      <c r="AT194" s="54">
        <f t="shared" si="246"/>
        <v>0</v>
      </c>
      <c r="AU194" s="52"/>
      <c r="AV194" s="243">
        <v>696000000</v>
      </c>
      <c r="AW194" s="244"/>
      <c r="AX194" s="244"/>
      <c r="AY194" s="243">
        <v>696000000</v>
      </c>
      <c r="AZ194" s="44">
        <f t="shared" si="349"/>
        <v>0</v>
      </c>
      <c r="BA194" s="44">
        <v>0</v>
      </c>
      <c r="BB194" s="44" t="s">
        <v>115</v>
      </c>
      <c r="BC194" s="44">
        <f t="shared" si="350"/>
        <v>0.3</v>
      </c>
      <c r="BD194" s="44" cm="1">
        <f t="array" ref="BD194">_xlfn.IFS(AD194=0,"NA",AD194&gt;0,AH194/AD194)</f>
        <v>0</v>
      </c>
      <c r="BE194" s="44">
        <f t="shared" si="351"/>
        <v>0.5</v>
      </c>
      <c r="BF194" s="44">
        <v>0</v>
      </c>
      <c r="BG194" s="44">
        <f t="shared" si="352"/>
        <v>0.2</v>
      </c>
      <c r="BH194" s="44">
        <v>0</v>
      </c>
      <c r="BI194" s="44">
        <f t="shared" si="353"/>
        <v>0</v>
      </c>
      <c r="BJ194" s="44" t="s">
        <v>115</v>
      </c>
      <c r="BK194" s="44">
        <f t="shared" si="247"/>
        <v>0</v>
      </c>
      <c r="BL194" s="44" t="s">
        <v>115</v>
      </c>
      <c r="BM194" s="44" cm="1">
        <f t="array" ref="BM194">_xlfn.IFS(BD194="NA","NA",BD194&gt;100%,"100%",BD194&lt;100,BD194)</f>
        <v>0</v>
      </c>
      <c r="BN194" s="44" cm="1">
        <f t="array" ref="BN194">_xlfn.IFS(BF194="NA","NA",BF194&gt;100%,"100%",BF194&lt;100,BF194)</f>
        <v>0</v>
      </c>
      <c r="BO194" s="44" cm="1">
        <f t="array" ref="BO194">_xlfn.IFS(BH194="NA","NA",BH194&gt;100%,"100%",BH194&lt;100,BH194)</f>
        <v>0</v>
      </c>
      <c r="BP194" s="44" t="str" cm="1">
        <f t="array" ref="BP194">_xlfn.IFS(BJ194="NA","NA",BJ194&gt;100%,"100%",BJ194&lt;100,BJ194)</f>
        <v>NA</v>
      </c>
      <c r="BQ194" s="45">
        <v>0.22500000000000001</v>
      </c>
      <c r="BR194" s="45">
        <f t="shared" si="252"/>
        <v>0</v>
      </c>
      <c r="BS194" s="45">
        <v>0</v>
      </c>
      <c r="BT194" s="45" t="s">
        <v>115</v>
      </c>
      <c r="BU194" s="45">
        <v>0</v>
      </c>
      <c r="BV194" s="45">
        <f t="shared" si="354"/>
        <v>6.7500000000000004E-2</v>
      </c>
      <c r="BW194" s="45">
        <f t="shared" si="254"/>
        <v>0</v>
      </c>
      <c r="BX194" s="45">
        <f t="shared" si="255"/>
        <v>0</v>
      </c>
      <c r="BY194" s="45">
        <f t="shared" si="355"/>
        <v>0.1125</v>
      </c>
      <c r="BZ194" s="45">
        <f t="shared" si="356"/>
        <v>0</v>
      </c>
      <c r="CA194" s="45">
        <f t="shared" si="253"/>
        <v>0</v>
      </c>
      <c r="CB194" s="45">
        <f t="shared" si="357"/>
        <v>4.4999999999999998E-2</v>
      </c>
      <c r="CC194" s="45">
        <f t="shared" si="358"/>
        <v>0</v>
      </c>
      <c r="CD194" s="45">
        <v>0</v>
      </c>
      <c r="CE194" s="45">
        <f t="shared" si="359"/>
        <v>0</v>
      </c>
      <c r="CF194" s="45" t="str">
        <f t="shared" si="360"/>
        <v>NA</v>
      </c>
      <c r="CG194" s="45">
        <v>0</v>
      </c>
      <c r="CH194" s="244"/>
      <c r="CI194" s="244"/>
      <c r="CJ194" s="244"/>
      <c r="CK194" s="244"/>
      <c r="CM194" s="63">
        <v>0</v>
      </c>
    </row>
    <row r="195" spans="1:91" ht="18" hidden="1" customHeight="1">
      <c r="A195" s="260" t="s">
        <v>1310</v>
      </c>
      <c r="B195" s="260" t="s">
        <v>1311</v>
      </c>
      <c r="C195" s="260" t="s">
        <v>1286</v>
      </c>
      <c r="D195" s="260" t="s">
        <v>1287</v>
      </c>
      <c r="E195" s="260" t="s">
        <v>1288</v>
      </c>
      <c r="F195" s="260" t="s">
        <v>1325</v>
      </c>
      <c r="G195" s="260" t="s">
        <v>1326</v>
      </c>
      <c r="H195" s="260" t="s">
        <v>1345</v>
      </c>
      <c r="I195" s="260"/>
      <c r="J195" s="260"/>
      <c r="K195" s="260" t="s">
        <v>1346</v>
      </c>
      <c r="L195" s="260" t="s">
        <v>1347</v>
      </c>
      <c r="M195" s="260" t="s">
        <v>1348</v>
      </c>
      <c r="N195" s="260" t="s">
        <v>111</v>
      </c>
      <c r="O195" s="260" t="s">
        <v>112</v>
      </c>
      <c r="P195" s="10">
        <v>15979</v>
      </c>
      <c r="Q195" s="11">
        <v>30000</v>
      </c>
      <c r="R195" s="11">
        <f t="shared" ca="1" si="347"/>
        <v>9439</v>
      </c>
      <c r="S195" s="11" t="str">
        <f ca="1">VLOOKUP(K195,'1120 Competitividad'!$K$13:$AK$51,9,0)</f>
        <v>3000 UNIDADES  PRODUCTIVAS  AGROPECUARIAS  DE  LOS SISTEMAS    DE CACAO (80) SAGU (64)  , PAPA (253)  FRUTALES Y HORTALIZAS (580)  , CAFÉ 152 , CAÑA 34,  PRADERAS (68), CULTIVOS TRANSITORIOS (35),APICOLA (10) ,GANADERÍA ( 1375 )   CON ACOMPAÑAMIENTO PROFESIONAL,   CAPACITADOS   CON TRANSFERENCIA DE TECNOLOGÍA Y   SUMINISTRO DE  MATERIALES E INSUMOS  PARA MEJORAR LAS CONDICIONES DE PRODUCTIVIDAD DE LOS MISMOS.
SE ADQUIRIERON  750.000 KILOS DE PAPA DE 53 UNIDADES PRODUCTIVAS COMO APOYO A LA CRISIS  ECONÓMICA DE ESTE SECTOR.
SE APOYARON 296 ASOCIACIONES CON APORTE ECONÓMICO  PARA LA ADQUISICIÓN DE MATERIALES , EQUIPOS , INSUMOS PARA FORTALECIMIENTO DE SUS SISTEMAS PRODUCTIVOS .</v>
      </c>
      <c r="T195" s="11">
        <v>5000</v>
      </c>
      <c r="U195" s="11">
        <v>0</v>
      </c>
      <c r="V195" s="11">
        <v>3000</v>
      </c>
      <c r="W195" s="11">
        <v>0</v>
      </c>
      <c r="X195" s="11">
        <v>3000</v>
      </c>
      <c r="Y195" s="11">
        <v>0</v>
      </c>
      <c r="Z195" s="11">
        <v>3000</v>
      </c>
      <c r="AA195" s="11" t="s">
        <v>1349</v>
      </c>
      <c r="AB195" s="11" t="s">
        <v>1350</v>
      </c>
      <c r="AC195" s="11">
        <v>0</v>
      </c>
      <c r="AD195" s="11">
        <v>12000</v>
      </c>
      <c r="AE195" s="11">
        <v>0</v>
      </c>
      <c r="AF195" s="11">
        <f ca="1">VLOOKUP(K195,'1120 Competitividad'!$K$13:$AK$51,22,0)</f>
        <v>6439</v>
      </c>
      <c r="AG195" s="11">
        <f ca="1">VLOOKUP(K195,'1120 Competitividad'!$K$13:$AK$51,23,0)</f>
        <v>0</v>
      </c>
      <c r="AH195" s="11">
        <f t="shared" ca="1" si="348"/>
        <v>6439</v>
      </c>
      <c r="AI195" s="11" t="str">
        <f ca="1">VLOOKUP(K195,'1120 Competitividad'!$K$13:$AK$51,25,0)</f>
        <v>1.Mejoramiento de habilidades personales 2. Apoyo a la producción con el suministro de : Insumos agropecuarios ( semillas, material vegetal, abonos,fertilizantes , embriones entre otros.3. Maquinaria y equipos Pecuarios : Tanques de enfriamiento de leche, Plantas eléctricas, Tina para recolección de leche,  Equipos de ordeño, Equipos analizadores de leche, Maquina llenadora y selladora, Selladora rotativa, Marmitas, Calderas,  Ecógrafos portátil,  Termos de inseminación artificial y kits inseminación artificial,  Bretes y básculas para pesaje de ganado,  Picadoras de pastos y forrajes, Guadañas, Motobombas para agua, Fumigadoras, Cercas eléctricas, Bebederos de agua para ganado, Rollos de manguera para riego, Cantinas y kits de higienización para leche 4. Apoyo con equipos paneleros.5 Apoyo maquinaria Agricola : 57 Tractores, 13 Rotovator, 15  arado de cincel, 1 cosechadora, 8 renovadores ,9 ensiladoras, 16 remolques, 1 desbrozadora,1 vagon,  2 cargadores frontal, 1 retroexcavadora al tractor,2 embutidora tipo silopress,2 rastra preparadora del suelo .6  Sostenimiento cacao: 700 Asistencias técnicas, 100 Instalaciones con tanque de 500 litros incluye tapa, sistema de entrada para manguera y salida para manguera, válvula de bola - PVC 1/2" y flotador de paso de agua, 200 rollos Manguera Polietileno 1/2" 16 mm Calibre 40 X 100 Metros - Riego por 200 metros, 15000 litros de Acondicionador de suelos, 4000 litros de EM, 100 Serruchos, 1400 bultos de 50 Kg de fertilizante granulado fosfato diamonico – DAP, 200 Bultos de 50 Kg de fertilizante granulado cloruro de potasio – KCL, 140 litros Fertilización orgánica mineral, 2000 bultos de Acondicionador orgánico de suelos granulado (materia orgánica - compost), 400 litros de Solución orgánica polivalente, 300 bultos de Cal dolomita y global transporte insumos. 7.Sostenimiento Sagú: 700 Asistencias técnicas, 100 Instalaciones con tanque de 500 litros incluye tapa, sistema de entrada para manguera y salida para manguera, válvula de bola - PVC 1/2"  y flotador de paso de agua, 200 rollos de Manguera Polietileno 1/2" 16 Mm Calibre 40 X 100 Metros - Riego por 200 metros, 15000 litros de Acondicionador de suelos, 4400 litros de Microorganismos eficientes EM, 200 Bultos de 50 Kg de fertilizante granulado cloruro de potasio – KCL, 1600 Fertilización orgánica mineral, 1800 bultos de Acondicionador orgánico de suelos granulado (materia orgánica - compost), 400 litros de Solución orgánica polivalente, 600 bultos de Cal dolomita y global transporte insumos. 8.Sostenimiento Fríjol:  848 Asistencias técnicas, 4240 kilos de Semilla fríjol, 106 Instalaciones con tanque de 500 litros incluye tapa, sistema de entrada para manguera y salida para manguera, válvula de bola - PVC 1/2"  y flotador de paso de agua, 212 rollos de Manguera Polietileno 1/2" 16 Mm Calibre 40 X 100 Metros - Riego por 200 metros, 15900 litros de Acondicionador de suelos, 4664 litros de Microorganismos eficientes EM, 848 Bultos de 50 Kg de fertilizante granulado fosfato diamonico – DAP,   106 Bultos de 50 Kg de fertilizante granulado fosfato diamonico – DAP, 106 Bultos de 50 Kg de fertilizante granulado cloruro de potasio – KCL, 208 Fertilización orgánica mineral,  212 litros de Solución orgánica polivalente, 212 Bultos de 50 Kg de fertilizante granulado Urea, 318 bultos de Cal dolomita, 424 rollos de Hilaza y global transporte insumos. 9.Sostenimiento Papa: 2430 Asistencias técnicas, 1620 bultos fertilizante granulado triple 15, 2025 litros de Fertilización orgánica mineral y global Transporte Insumos.10.Núcleos apícolas: 120 Asistencias técnicas incluye montaje, 120 Carteles de peligro abejas - cartel genérico para señalizar mielerias, salas de extracción, almacenes, naves, etc. y cualquier local o lugar relacionado con la apicultura donde sea necesario. Medidas 25x35cm. Lamina de PVC o polipropileno de 3 mm, 120 núcleos de cuatro marcos de cría y alimento, 1 kilogramo de abejas aproximadamente y una reina joven, fecundada y marcada, 120 Colmenas full: elaboradas en madera e impermeabilizada, con seis cuadros laminados subtapa, techo, piquera, 60 Canastillas plásticas, 120 Cámaras de miel de media alza, 120 Cámaras de cría con 6 cuadros con cera estampada/ Alza, 120 Trajes apícolas tipo overol en dril, lino, dracón o jean en talla XL, 60 Ahumadores medianos (acero inoxidable) Tipo 2 Melífera, 60 Media alza para miel elaborada en madera parafinada, con 9 cuadros laminados. Capacidad de 10 kilos de miel aprox., 60 Palancas/ espátulas (Acero inoxidable),  60 Pares de guantes totalmente en cuero con puño de protección y manga larga, 60 Cepillos desabejadores - Longitud aproximada del palo 45 cm, ancho 8 cm, longitud pelos cepillo 29 cm. Aproximadamente entre 38 mechas cada unidad, 600 metros de Tela verde 2.10 m x  1 m UV, 300 Postes plástico de 8 cm x 8 cm x 3 m, 300 Madera o guadua de 1,5 metros de largo x 3 cm de ancho x 0,08 cm pisa tela, 7 Centrifugas para extracción de miel de tres marcos, 60 Alimentadores, 60 libras de Puntilla con cabeza 2,5" y global Transporte Insumos.11. Apoyo a ganaderos: renovación de 80 hectáreas de praderas, implementación de 60 hectáreas en bancos de forrajes con especies mejoradas, activación de modelos silvopastoriles y cercas vivas mediante la utilización de 10.000 plantas forrajeras y nativas, suministro de  24.000 pajillas nacionales y/o importadas de toros probados de producción de leche, carne y doble propósito, como material de apoyo al mejoramiento genético en los núcleos focalizados, proporcionar 85 hembras receptoras preñadas con embrión puro de las razas Holstein, Jersey, Ayrshire, normando, Simmental, Gyr, Guzerá, brahman, Angus, Nelore, bon o Brangus, Braford, suministro de  100 hembras puras con registro certificado por asociación, de razas de leche, carne y o doble propósito en los núcleos priorizados. Entrega de 35 machos puros con registro certificado por asociación, de razas de carne, leche y/o doble propósito a ganaderos priorizados según la ubicación, el tipo y el tamaño de la explotación, entrega de 120 kits para la técnica de inseminación artificial en bovinos, suministro de 24 termos criogénicos con capacidad mínimo de 20 lt, curso de inseminación artificial bovina dirigido a 120  técnicos y/o productores, capacitar mínimo 240 productores mediante cursos digitales en nutrición y manejo de la vaca pre y post parto y cursos digitales en biotecnologías reproductivas y manejo sanitario del hato bovino, entrega de 240 cuadernos de registros productivos, capacitar a 48 profesionales o técnicos en temas de ultrasonografía reproductiva bovina, suministro de elementos agropecuarios, 30 kit de cerca eléctrica de panel solar, 220 bebederos de 250 litros, 220 saladeros inteligentes, 24 basculas ganaderas, 50 picadoras de pasto, 1200 bultos / 40 Kg de sal mineralizada bovina, 440 paquetes de aisladores para cerca eléctrica, 440 paquetes por 12 varillas para cerca eléctrica, 440 rollos de hilo para cerca eléctrica, 220 rollos de alambre para cerca eléctrica calibre 14,  12. Apoyo a programa avícola de mujeres rurales: 4 Tejas de zinc de 0,8  m de ancho x 3,65 m de largo, calibre 35, 5 metros Polisombra Negra 80% 1.0mt x 4.0mt (L x A) Anti-UV, 3 rollos de Malla Gallinero 1,8  m de ancho x 44 m de largo ,1 Bebedero Manual, 1 Comedero, 20 Litros Acondicionador de suelos, 20 Litros Microorganismos Eficaces (EM), 1 Fumigadora de 5 litros, 200 plántulas de lechuga asiatica para el área pastoreo, 2 Sobres de semillas , 2 bultos x 40 K de Compost, 4 bultos x 40 K Concentrado para ponedora , 20 Gallinas, se realizo un taller personalizado con la siguiente temática(Orientación para el establecimiento del galpon y de las areas de pastoreo, manejo del sistema alimentación de la gallina, preparacion del suelo y rotacion de los lotes de pastoreo, uso y manejo de  Biotecnologias, Recoleccion y manejo de huevos), 4 visitas de acompañamiento técnico</v>
      </c>
      <c r="AJ195" s="11" t="str">
        <f ca="1">VLOOKUP(K195,'1120 Competitividad'!$K$13:$AK$51,26,0)</f>
        <v>7439  UNIDADES  PRODUCTIVAS  AGROPECUARIAS  DE  LOS SISTEMAS    DE CACAO ; SAGU,FRIJOL ,PAPA  FRUTALES Y HORTALIZA  , CAFÉ 152 ,   PRADERAS , CULTIVOS TRANSITORIOS ,APICOLA ,GANADERÍA, AVICULTURA , CAÑA PANELERA   CON ACOMPAÑAMIENTO PROFESIONAL,   CAPACITADOS   CON TRANSFERENCIA DE TECNOLOGÍA ,SUMINISTRO DE  MATERIALES E INSUMOS , ENTREGA DE MAQUINARIA  Y EQUIPOS PECUARIOS, AGRICOLAS, EQUIPOS  PANELEROS  PARA MEJORAR LAS CONDICIONES DE PRODUCTIVIDAD DE LOS MISMOS.</v>
      </c>
      <c r="AK195" s="11">
        <f ca="1">VLOOKUP(K195,'1120 Competitividad'!$K$13:$AK$51,27,0)</f>
        <v>0</v>
      </c>
      <c r="AL195" s="11">
        <v>10000</v>
      </c>
      <c r="AM195" s="11">
        <v>0</v>
      </c>
      <c r="AN195" s="11">
        <v>5000</v>
      </c>
      <c r="AO195" s="11">
        <v>0</v>
      </c>
      <c r="AP195" s="11">
        <v>0</v>
      </c>
      <c r="AQ195" s="11">
        <v>0</v>
      </c>
      <c r="AR195" s="51">
        <v>21798625218</v>
      </c>
      <c r="AS195" s="54">
        <v>0</v>
      </c>
      <c r="AT195" s="54">
        <f t="shared" si="246"/>
        <v>21798625218</v>
      </c>
      <c r="AU195" s="51">
        <v>12112546626</v>
      </c>
      <c r="AV195" s="243">
        <v>19062034540</v>
      </c>
      <c r="AW195" s="244"/>
      <c r="AX195" s="244"/>
      <c r="AY195" s="243">
        <v>16572869212</v>
      </c>
      <c r="AZ195" s="44">
        <f t="shared" ca="1" si="349"/>
        <v>0.31463333333333332</v>
      </c>
      <c r="BA195" s="44">
        <v>0.1</v>
      </c>
      <c r="BB195" s="44">
        <v>1</v>
      </c>
      <c r="BC195" s="44">
        <f t="shared" si="350"/>
        <v>0.4</v>
      </c>
      <c r="BD195" s="44" cm="1">
        <f t="array" aca="1" ref="BD195" ca="1">_xlfn.IFS(AD195=0,"NA",AD195&gt;0,AH195/AD195)</f>
        <v>0.5365833333333333</v>
      </c>
      <c r="BE195" s="44">
        <f t="shared" si="351"/>
        <v>0.33333333333333331</v>
      </c>
      <c r="BF195" s="44">
        <v>0</v>
      </c>
      <c r="BG195" s="44">
        <f t="shared" si="352"/>
        <v>0.16666666666666666</v>
      </c>
      <c r="BH195" s="44">
        <v>0</v>
      </c>
      <c r="BI195" s="44">
        <f t="shared" si="353"/>
        <v>0</v>
      </c>
      <c r="BJ195" s="44" t="s">
        <v>115</v>
      </c>
      <c r="BK195" s="44">
        <f t="shared" ca="1" si="247"/>
        <v>0.31463333333333332</v>
      </c>
      <c r="BL195" s="44">
        <v>1</v>
      </c>
      <c r="BM195" s="44" cm="1">
        <f t="array" aca="1" ref="BM195" ca="1">_xlfn.IFS(BD195="NA","NA",BD195&gt;100%,"100%",BD195&lt;100,BD195)</f>
        <v>0.5365833333333333</v>
      </c>
      <c r="BN195" s="44" cm="1">
        <f t="array" ref="BN195">_xlfn.IFS(BF195="NA","NA",BF195&gt;100%,"100%",BF195&lt;100,BF195)</f>
        <v>0</v>
      </c>
      <c r="BO195" s="44" cm="1">
        <f t="array" ref="BO195">_xlfn.IFS(BH195="NA","NA",BH195&gt;100%,"100%",BH195&lt;100,BH195)</f>
        <v>0</v>
      </c>
      <c r="BP195" s="44" t="str" cm="1">
        <f t="array" ref="BP195">_xlfn.IFS(BJ195="NA","NA",BJ195&gt;100%,"100%",BJ195&lt;100,BJ195)</f>
        <v>NA</v>
      </c>
      <c r="BQ195" s="45">
        <v>0.22500000000000001</v>
      </c>
      <c r="BR195" s="45">
        <f t="shared" ca="1" si="252"/>
        <v>7.0792499999999994E-2</v>
      </c>
      <c r="BS195" s="45">
        <v>2.2499999999999999E-2</v>
      </c>
      <c r="BT195" s="45">
        <v>2.2499999999999999E-2</v>
      </c>
      <c r="BU195" s="45">
        <v>2.2499999999999999E-2</v>
      </c>
      <c r="BV195" s="45">
        <f t="shared" si="354"/>
        <v>0.09</v>
      </c>
      <c r="BW195" s="45">
        <f t="shared" ca="1" si="254"/>
        <v>4.8292499999999995E-2</v>
      </c>
      <c r="BX195" s="45">
        <f t="shared" ca="1" si="255"/>
        <v>4.8292499999999995E-2</v>
      </c>
      <c r="BY195" s="45">
        <f t="shared" si="355"/>
        <v>7.4999999999999997E-2</v>
      </c>
      <c r="BZ195" s="45">
        <f t="shared" si="356"/>
        <v>0</v>
      </c>
      <c r="CA195" s="45">
        <f t="shared" ca="1" si="253"/>
        <v>0</v>
      </c>
      <c r="CB195" s="45">
        <f t="shared" si="357"/>
        <v>3.7499999999999999E-2</v>
      </c>
      <c r="CC195" s="45">
        <f t="shared" si="358"/>
        <v>0</v>
      </c>
      <c r="CD195" s="45">
        <v>0</v>
      </c>
      <c r="CE195" s="45">
        <f t="shared" si="359"/>
        <v>0</v>
      </c>
      <c r="CF195" s="45" t="str">
        <f t="shared" si="360"/>
        <v>NA</v>
      </c>
      <c r="CG195" s="45">
        <v>0</v>
      </c>
      <c r="CH195" s="244"/>
      <c r="CI195" s="244"/>
      <c r="CJ195" s="244"/>
      <c r="CK195" s="244"/>
      <c r="CM195" s="63">
        <v>7086</v>
      </c>
    </row>
    <row r="196" spans="1:91" ht="18" hidden="1" customHeight="1">
      <c r="A196" s="260" t="s">
        <v>1296</v>
      </c>
      <c r="B196" s="260" t="s">
        <v>1297</v>
      </c>
      <c r="C196" s="260" t="s">
        <v>1286</v>
      </c>
      <c r="D196" s="260" t="s">
        <v>1287</v>
      </c>
      <c r="E196" s="260" t="s">
        <v>1288</v>
      </c>
      <c r="F196" s="260" t="s">
        <v>1325</v>
      </c>
      <c r="G196" s="260" t="s">
        <v>1326</v>
      </c>
      <c r="H196" s="260" t="s">
        <v>1351</v>
      </c>
      <c r="I196" s="260"/>
      <c r="J196" s="260"/>
      <c r="K196" s="260" t="s">
        <v>1352</v>
      </c>
      <c r="L196" s="260" t="s">
        <v>1353</v>
      </c>
      <c r="M196" s="211" t="s">
        <v>1354</v>
      </c>
      <c r="N196" s="260" t="s">
        <v>111</v>
      </c>
      <c r="O196" s="260" t="s">
        <v>112</v>
      </c>
      <c r="P196" s="10">
        <v>120</v>
      </c>
      <c r="Q196" s="11">
        <v>600</v>
      </c>
      <c r="R196" s="11">
        <f t="shared" si="347"/>
        <v>173</v>
      </c>
      <c r="S196" s="11">
        <f>VLOOKUP(K196,'1290 ACIC'!$K$13:$AK$51,9,0)</f>
        <v>0</v>
      </c>
      <c r="T196" s="11">
        <v>0</v>
      </c>
      <c r="U196" s="11">
        <v>0</v>
      </c>
      <c r="V196" s="11">
        <v>0</v>
      </c>
      <c r="W196" s="11">
        <v>0</v>
      </c>
      <c r="X196" s="11">
        <v>0</v>
      </c>
      <c r="Y196" s="11">
        <v>0</v>
      </c>
      <c r="Z196" s="11">
        <v>0</v>
      </c>
      <c r="AA196" s="11"/>
      <c r="AB196" s="11"/>
      <c r="AC196" s="11"/>
      <c r="AD196" s="11">
        <v>300</v>
      </c>
      <c r="AE196" s="11">
        <v>0</v>
      </c>
      <c r="AF196" s="11">
        <f>VLOOKUP(K196,'1290 ACIC'!$K$13:$AK$51,22,0)</f>
        <v>173</v>
      </c>
      <c r="AG196" s="11">
        <f>VLOOKUP(K196,'1290 ACIC'!$K$13:$AK$51,23,0)</f>
        <v>0</v>
      </c>
      <c r="AH196" s="11">
        <f t="shared" si="348"/>
        <v>173</v>
      </c>
      <c r="AI196" s="11" t="str">
        <f>VLOOKUP(K196,'1290 ACIC'!$K$13:$AK$51,25,0)</f>
        <v xml:space="preserve">COMPRA 9 CAMIONES -COLOMBIA COMPRA EFICIENTE: proceso precontractual y contractual, orden de compra, entrega de camiones, operacion y beneficio a organizaciones agropecuarias para Avance fisico del 23%, (entrega de vehiculos a la Agencia 15 de diciembre de 2021). TARJETAS AGROPECUARIAS: procesos precontractual  y contractual realizado con FONDECUN, pendiente de ejecutar: entrega de tarjetas agropecuarias a asociaciones agropecuarias,  para lograr un avance del 73%, de potencializar  proyectos porductivos mas de organizaciones agropecuarias o munipios del departamento.  </v>
      </c>
      <c r="AJ196" s="11">
        <f>VLOOKUP(K196,'1290 ACIC'!$K$13:$AK$51,26,0)</f>
        <v>0</v>
      </c>
      <c r="AK196" s="11">
        <f>VLOOKUP(K196,'1290 ACIC'!$K$13:$AK$51,27,0)</f>
        <v>0</v>
      </c>
      <c r="AL196" s="11">
        <v>150</v>
      </c>
      <c r="AM196" s="11">
        <v>0</v>
      </c>
      <c r="AN196" s="11">
        <v>150</v>
      </c>
      <c r="AO196" s="11">
        <v>0</v>
      </c>
      <c r="AP196" s="11">
        <v>0</v>
      </c>
      <c r="AQ196" s="11">
        <v>0</v>
      </c>
      <c r="AR196" s="51">
        <v>9000000000</v>
      </c>
      <c r="AS196" s="54">
        <v>0</v>
      </c>
      <c r="AT196" s="54">
        <f t="shared" si="246"/>
        <v>9000000000</v>
      </c>
      <c r="AU196" s="51">
        <v>0</v>
      </c>
      <c r="AV196" s="243">
        <v>21232707000</v>
      </c>
      <c r="AW196" s="244"/>
      <c r="AX196" s="244"/>
      <c r="AY196" s="243">
        <v>20944701462</v>
      </c>
      <c r="AZ196" s="44">
        <f t="shared" si="349"/>
        <v>0.28833333333333333</v>
      </c>
      <c r="BA196" s="44">
        <v>0</v>
      </c>
      <c r="BB196" s="44" t="s">
        <v>115</v>
      </c>
      <c r="BC196" s="44">
        <f t="shared" si="350"/>
        <v>0.5</v>
      </c>
      <c r="BD196" s="44" cm="1">
        <f t="array" ref="BD196">_xlfn.IFS(AD196=0,"NA",AD196&gt;0,AH196/AD196)</f>
        <v>0.57666666666666666</v>
      </c>
      <c r="BE196" s="44">
        <f t="shared" si="351"/>
        <v>0.25</v>
      </c>
      <c r="BF196" s="44">
        <v>0</v>
      </c>
      <c r="BG196" s="44">
        <f t="shared" si="352"/>
        <v>0.25</v>
      </c>
      <c r="BH196" s="44">
        <v>0</v>
      </c>
      <c r="BI196" s="44">
        <f t="shared" si="353"/>
        <v>0</v>
      </c>
      <c r="BJ196" s="44" t="s">
        <v>115</v>
      </c>
      <c r="BK196" s="44">
        <f t="shared" si="247"/>
        <v>0.28833333333333333</v>
      </c>
      <c r="BL196" s="44" t="s">
        <v>115</v>
      </c>
      <c r="BM196" s="44" cm="1">
        <f t="array" ref="BM196">_xlfn.IFS(BD196="NA","NA",BD196&gt;100%,"100%",BD196&lt;100,BD196)</f>
        <v>0.57666666666666666</v>
      </c>
      <c r="BN196" s="44" cm="1">
        <f t="array" ref="BN196">_xlfn.IFS(BF196="NA","NA",BF196&gt;100%,"100%",BF196&lt;100,BF196)</f>
        <v>0</v>
      </c>
      <c r="BO196" s="44" cm="1">
        <f t="array" ref="BO196">_xlfn.IFS(BH196="NA","NA",BH196&gt;100%,"100%",BH196&lt;100,BH196)</f>
        <v>0</v>
      </c>
      <c r="BP196" s="44" t="str" cm="1">
        <f t="array" ref="BP196">_xlfn.IFS(BJ196="NA","NA",BJ196&gt;100%,"100%",BJ196&lt;100,BJ196)</f>
        <v>NA</v>
      </c>
      <c r="BQ196" s="45">
        <v>0.22500000000000001</v>
      </c>
      <c r="BR196" s="45">
        <f t="shared" si="252"/>
        <v>6.4875000000000002E-2</v>
      </c>
      <c r="BS196" s="45">
        <v>0</v>
      </c>
      <c r="BT196" s="45" t="s">
        <v>115</v>
      </c>
      <c r="BU196" s="45">
        <v>0</v>
      </c>
      <c r="BV196" s="45">
        <f t="shared" si="354"/>
        <v>0.1125</v>
      </c>
      <c r="BW196" s="45">
        <f t="shared" si="254"/>
        <v>6.4875000000000002E-2</v>
      </c>
      <c r="BX196" s="45">
        <f t="shared" si="255"/>
        <v>6.4875000000000002E-2</v>
      </c>
      <c r="BY196" s="45">
        <f t="shared" si="355"/>
        <v>5.6250000000000001E-2</v>
      </c>
      <c r="BZ196" s="45">
        <f t="shared" si="356"/>
        <v>0</v>
      </c>
      <c r="CA196" s="45">
        <f t="shared" si="253"/>
        <v>0</v>
      </c>
      <c r="CB196" s="45">
        <f t="shared" si="357"/>
        <v>5.6250000000000001E-2</v>
      </c>
      <c r="CC196" s="45">
        <f t="shared" si="358"/>
        <v>0</v>
      </c>
      <c r="CD196" s="45">
        <v>0</v>
      </c>
      <c r="CE196" s="45">
        <f t="shared" si="359"/>
        <v>0</v>
      </c>
      <c r="CF196" s="45" t="str">
        <f t="shared" si="360"/>
        <v>NA</v>
      </c>
      <c r="CG196" s="45">
        <v>0</v>
      </c>
      <c r="CH196" s="244"/>
      <c r="CI196" s="244"/>
      <c r="CJ196" s="244"/>
      <c r="CK196" s="244"/>
      <c r="CM196" s="63">
        <v>173</v>
      </c>
    </row>
    <row r="197" spans="1:91" ht="18" hidden="1" customHeight="1">
      <c r="A197" s="260" t="s">
        <v>1296</v>
      </c>
      <c r="B197" s="260" t="s">
        <v>1297</v>
      </c>
      <c r="C197" s="260" t="s">
        <v>1286</v>
      </c>
      <c r="D197" s="260" t="s">
        <v>1287</v>
      </c>
      <c r="E197" s="260" t="s">
        <v>1288</v>
      </c>
      <c r="F197" s="260" t="s">
        <v>1325</v>
      </c>
      <c r="G197" s="260" t="s">
        <v>1326</v>
      </c>
      <c r="H197" s="260" t="s">
        <v>1355</v>
      </c>
      <c r="I197" s="260"/>
      <c r="J197" s="260"/>
      <c r="K197" s="260" t="s">
        <v>1356</v>
      </c>
      <c r="L197" s="260" t="s">
        <v>1357</v>
      </c>
      <c r="M197" s="211" t="s">
        <v>1358</v>
      </c>
      <c r="N197" s="260" t="s">
        <v>111</v>
      </c>
      <c r="O197" s="260" t="s">
        <v>112</v>
      </c>
      <c r="P197" s="10">
        <v>5439</v>
      </c>
      <c r="Q197" s="11">
        <v>3000</v>
      </c>
      <c r="R197" s="11">
        <f t="shared" si="347"/>
        <v>850</v>
      </c>
      <c r="S197" s="11" t="str">
        <f>VLOOKUP(K197,'1290 ACIC'!$K$13:$AK$51,9,0)</f>
        <v>340 MUJERES ESTABLECIERON    PROGRAMA DE " GALLINAS FELICES" PARA LA PRODUCCIÓN DE HUEVO</v>
      </c>
      <c r="T197" s="11">
        <v>400</v>
      </c>
      <c r="U197" s="11">
        <v>0</v>
      </c>
      <c r="V197" s="11">
        <v>340</v>
      </c>
      <c r="W197" s="11">
        <v>0</v>
      </c>
      <c r="X197" s="11">
        <v>340</v>
      </c>
      <c r="Y197" s="11">
        <v>0</v>
      </c>
      <c r="Z197" s="11">
        <v>340</v>
      </c>
      <c r="AA197" s="11" t="s">
        <v>1359</v>
      </c>
      <c r="AB197" s="11" t="s">
        <v>1360</v>
      </c>
      <c r="AC197" s="11">
        <v>0</v>
      </c>
      <c r="AD197" s="11">
        <v>520</v>
      </c>
      <c r="AE197" s="11">
        <v>0</v>
      </c>
      <c r="AF197" s="11">
        <f>VLOOKUP(K197,'1290 ACIC'!$K$13:$AK$51,22,0)</f>
        <v>510</v>
      </c>
      <c r="AG197" s="11">
        <f>VLOOKUP(K197,'1290 ACIC'!$K$13:$AK$51,23,0)</f>
        <v>0</v>
      </c>
      <c r="AH197" s="11">
        <f t="shared" si="348"/>
        <v>510</v>
      </c>
      <c r="AI197" s="11" t="str">
        <f>VLOOKUP(K197,'1290 ACIC'!$K$13:$AK$51,25,0)</f>
        <v>meta ejecutada y cumplida por la sec retaria de competitividad</v>
      </c>
      <c r="AJ197" s="11">
        <f>VLOOKUP(K197,'1290 ACIC'!$K$13:$AK$51,26,0)</f>
        <v>0</v>
      </c>
      <c r="AK197" s="11">
        <f>VLOOKUP(K197,'1290 ACIC'!$K$13:$AK$51,27,0)</f>
        <v>0</v>
      </c>
      <c r="AL197" s="11">
        <v>1740</v>
      </c>
      <c r="AM197" s="11">
        <v>0</v>
      </c>
      <c r="AN197" s="11">
        <v>740</v>
      </c>
      <c r="AO197" s="11">
        <v>0</v>
      </c>
      <c r="AP197" s="11">
        <v>0</v>
      </c>
      <c r="AQ197" s="11">
        <v>0</v>
      </c>
      <c r="AR197" s="51">
        <v>700000000</v>
      </c>
      <c r="AS197" s="54">
        <v>0</v>
      </c>
      <c r="AT197" s="54">
        <f t="shared" si="246"/>
        <v>700000000</v>
      </c>
      <c r="AU197" s="51">
        <v>699979600</v>
      </c>
      <c r="AV197" s="243">
        <v>600000000</v>
      </c>
      <c r="AW197" s="244"/>
      <c r="AX197" s="244"/>
      <c r="AY197" s="243">
        <v>599885250</v>
      </c>
      <c r="AZ197" s="44">
        <f t="shared" si="349"/>
        <v>0.28333333333333333</v>
      </c>
      <c r="BA197" s="44">
        <v>0.1133</v>
      </c>
      <c r="BB197" s="44">
        <v>1</v>
      </c>
      <c r="BC197" s="44">
        <f t="shared" si="350"/>
        <v>0.17333333333333334</v>
      </c>
      <c r="BD197" s="44" cm="1">
        <f t="array" ref="BD197">_xlfn.IFS(AD197=0,"NA",AD197&gt;0,AH197/AD197)</f>
        <v>0.98076923076923073</v>
      </c>
      <c r="BE197" s="44">
        <f t="shared" si="351"/>
        <v>0.57999999999999996</v>
      </c>
      <c r="BF197" s="44">
        <v>0</v>
      </c>
      <c r="BG197" s="44">
        <f t="shared" si="352"/>
        <v>0.24666666666666667</v>
      </c>
      <c r="BH197" s="44">
        <v>0</v>
      </c>
      <c r="BI197" s="44">
        <f t="shared" si="353"/>
        <v>0</v>
      </c>
      <c r="BJ197" s="44" t="s">
        <v>115</v>
      </c>
      <c r="BK197" s="44">
        <f t="shared" si="247"/>
        <v>0.28333333333333333</v>
      </c>
      <c r="BL197" s="44">
        <v>1</v>
      </c>
      <c r="BM197" s="44" cm="1">
        <f t="array" ref="BM197">_xlfn.IFS(BD197="NA","NA",BD197&gt;100%,"100%",BD197&lt;100,BD197)</f>
        <v>0.98076923076923073</v>
      </c>
      <c r="BN197" s="44" cm="1">
        <f t="array" ref="BN197">_xlfn.IFS(BF197="NA","NA",BF197&gt;100%,"100%",BF197&lt;100,BF197)</f>
        <v>0</v>
      </c>
      <c r="BO197" s="44" cm="1">
        <f t="array" ref="BO197">_xlfn.IFS(BH197="NA","NA",BH197&gt;100%,"100%",BH197&lt;100,BH197)</f>
        <v>0</v>
      </c>
      <c r="BP197" s="44" t="str" cm="1">
        <f t="array" ref="BP197">_xlfn.IFS(BJ197="NA","NA",BJ197&gt;100%,"100%",BJ197&lt;100,BJ197)</f>
        <v>NA</v>
      </c>
      <c r="BQ197" s="45">
        <v>0.22500000000000001</v>
      </c>
      <c r="BR197" s="45">
        <f t="shared" si="252"/>
        <v>6.3750000000000001E-2</v>
      </c>
      <c r="BS197" s="45">
        <v>2.5499999999999998E-2</v>
      </c>
      <c r="BT197" s="45">
        <v>2.5499999999999998E-2</v>
      </c>
      <c r="BU197" s="45">
        <v>2.5499999999999998E-2</v>
      </c>
      <c r="BV197" s="45">
        <f t="shared" si="354"/>
        <v>3.9E-2</v>
      </c>
      <c r="BW197" s="45">
        <f t="shared" si="254"/>
        <v>3.8249999999999999E-2</v>
      </c>
      <c r="BX197" s="45">
        <f t="shared" si="255"/>
        <v>3.8250000000000006E-2</v>
      </c>
      <c r="BY197" s="45">
        <f t="shared" si="355"/>
        <v>0.1305</v>
      </c>
      <c r="BZ197" s="45">
        <f t="shared" si="356"/>
        <v>0</v>
      </c>
      <c r="CA197" s="45">
        <f t="shared" si="253"/>
        <v>0</v>
      </c>
      <c r="CB197" s="45">
        <f t="shared" si="357"/>
        <v>5.5500000000000001E-2</v>
      </c>
      <c r="CC197" s="45">
        <f t="shared" si="358"/>
        <v>0</v>
      </c>
      <c r="CD197" s="45">
        <v>0</v>
      </c>
      <c r="CE197" s="45">
        <f t="shared" si="359"/>
        <v>0</v>
      </c>
      <c r="CF197" s="45" t="str">
        <f t="shared" si="360"/>
        <v>NA</v>
      </c>
      <c r="CG197" s="45">
        <v>0</v>
      </c>
      <c r="CH197" s="244"/>
      <c r="CI197" s="244"/>
      <c r="CJ197" s="244"/>
      <c r="CK197" s="244"/>
      <c r="CM197" s="63">
        <v>850</v>
      </c>
    </row>
    <row r="198" spans="1:91" ht="18" hidden="1" customHeight="1">
      <c r="A198" s="260" t="s">
        <v>1361</v>
      </c>
      <c r="B198" s="260" t="s">
        <v>1362</v>
      </c>
      <c r="C198" s="260" t="s">
        <v>1286</v>
      </c>
      <c r="D198" s="260" t="s">
        <v>1287</v>
      </c>
      <c r="E198" s="260" t="s">
        <v>1363</v>
      </c>
      <c r="F198" s="260" t="s">
        <v>1364</v>
      </c>
      <c r="G198" s="260" t="s">
        <v>1365</v>
      </c>
      <c r="H198" s="260" t="s">
        <v>1366</v>
      </c>
      <c r="I198" s="260"/>
      <c r="J198" s="260"/>
      <c r="K198" s="260" t="s">
        <v>1367</v>
      </c>
      <c r="L198" s="260" t="s">
        <v>1368</v>
      </c>
      <c r="M198" s="260" t="s">
        <v>1369</v>
      </c>
      <c r="N198" s="260" t="s">
        <v>111</v>
      </c>
      <c r="O198" s="260" t="s">
        <v>112</v>
      </c>
      <c r="P198" s="10">
        <v>119</v>
      </c>
      <c r="Q198" s="11">
        <v>700</v>
      </c>
      <c r="R198" s="11">
        <f t="shared" si="347"/>
        <v>344</v>
      </c>
      <c r="S198" s="11" t="str">
        <f>VLOOKUP(K198,'1132 Minas'!$K$13:$AK$20,9,0)</f>
        <v>Asistencia técnica a 344 actores mineros en temas interdisciplinares en las Unidades de Producción Minera priorizada</v>
      </c>
      <c r="T198" s="11">
        <v>118</v>
      </c>
      <c r="U198" s="11">
        <v>0</v>
      </c>
      <c r="V198" s="11">
        <v>126</v>
      </c>
      <c r="W198" s="11">
        <v>0</v>
      </c>
      <c r="X198" s="11">
        <v>126</v>
      </c>
      <c r="Y198" s="11">
        <v>0</v>
      </c>
      <c r="Z198" s="11">
        <v>126</v>
      </c>
      <c r="AA198" s="11" t="s">
        <v>1370</v>
      </c>
      <c r="AB198" s="11" t="s">
        <v>1371</v>
      </c>
      <c r="AC198" s="11" t="s">
        <v>1372</v>
      </c>
      <c r="AD198" s="11">
        <v>233</v>
      </c>
      <c r="AE198" s="11">
        <v>0</v>
      </c>
      <c r="AF198" s="11">
        <f>VLOOKUP(K198,'1132 Minas'!$K$13:$AK$20,22,0)</f>
        <v>218</v>
      </c>
      <c r="AG198" s="11">
        <f>VLOOKUP(K198,'1132 Minas'!$K$13:$AK$20,23,0)</f>
        <v>0</v>
      </c>
      <c r="AH198" s="11">
        <f t="shared" si="348"/>
        <v>218</v>
      </c>
      <c r="AI198" s="11" t="str">
        <f>VLOOKUP(K198,'1132 Minas'!$K$13:$AK$20,25,0)</f>
        <v>Asistencia técnica interdisciplinar a las Unidades de Producción Minera priorizada</v>
      </c>
      <c r="AJ198" s="11" t="str">
        <f>VLOOKUP(K198,'1132 Minas'!$K$13:$AK$20,26,0)</f>
        <v>Asistencia técnica interdisciplinar a las Unidades de Producción Minera priorizada</v>
      </c>
      <c r="AK198" s="11" t="str">
        <f>VLOOKUP(K198,'1132 Minas'!$K$13:$AK$20,27,0)</f>
        <v>LOGRAR QUE EL TITULAR MINERO REALICE LAS ACTIVIDADES Y OBRAS RECOMENDADAS EN LA VISITA TECNICA DE CAMPO.</v>
      </c>
      <c r="AL198" s="11">
        <v>200</v>
      </c>
      <c r="AM198" s="11">
        <v>0</v>
      </c>
      <c r="AN198" s="11">
        <v>141</v>
      </c>
      <c r="AO198" s="11">
        <v>0</v>
      </c>
      <c r="AP198" s="11">
        <v>0</v>
      </c>
      <c r="AQ198" s="11">
        <v>0</v>
      </c>
      <c r="AR198" s="51">
        <v>67176191</v>
      </c>
      <c r="AS198" s="54">
        <v>0</v>
      </c>
      <c r="AT198" s="54">
        <f t="shared" si="246"/>
        <v>67176191</v>
      </c>
      <c r="AU198" s="51">
        <v>67176191</v>
      </c>
      <c r="AV198" s="243">
        <v>327000000</v>
      </c>
      <c r="AW198" s="244"/>
      <c r="AX198" s="244"/>
      <c r="AY198" s="243">
        <v>326083333</v>
      </c>
      <c r="AZ198" s="44">
        <f t="shared" si="349"/>
        <v>0.49142857142857144</v>
      </c>
      <c r="BA198" s="44">
        <v>0.18</v>
      </c>
      <c r="BB198" s="44">
        <v>1</v>
      </c>
      <c r="BC198" s="44">
        <f t="shared" si="350"/>
        <v>0.33285714285714285</v>
      </c>
      <c r="BD198" s="44" cm="1">
        <f t="array" ref="BD198">_xlfn.IFS(AD198=0,"NA",AD198&gt;0,AH198/AD198)</f>
        <v>0.93562231759656656</v>
      </c>
      <c r="BE198" s="44">
        <f t="shared" si="351"/>
        <v>0.2857142857142857</v>
      </c>
      <c r="BF198" s="44">
        <v>0</v>
      </c>
      <c r="BG198" s="44">
        <f t="shared" si="352"/>
        <v>0.20142857142857143</v>
      </c>
      <c r="BH198" s="44">
        <v>0</v>
      </c>
      <c r="BI198" s="44">
        <f t="shared" si="353"/>
        <v>0</v>
      </c>
      <c r="BJ198" s="44" t="s">
        <v>115</v>
      </c>
      <c r="BK198" s="44">
        <f t="shared" si="247"/>
        <v>0.49142857142857144</v>
      </c>
      <c r="BL198" s="44">
        <v>1</v>
      </c>
      <c r="BM198" s="44" cm="1">
        <f t="array" ref="BM198">_xlfn.IFS(BD198="NA","NA",BD198&gt;100%,"100%",BD198&lt;100,BD198)</f>
        <v>0.93562231759656656</v>
      </c>
      <c r="BN198" s="44" cm="1">
        <f t="array" ref="BN198">_xlfn.IFS(BF198="NA","NA",BF198&gt;100%,"100%",BF198&lt;100,BF198)</f>
        <v>0</v>
      </c>
      <c r="BO198" s="44" cm="1">
        <f t="array" ref="BO198">_xlfn.IFS(BH198="NA","NA",BH198&gt;100%,"100%",BH198&lt;100,BH198)</f>
        <v>0</v>
      </c>
      <c r="BP198" s="44" t="str" cm="1">
        <f t="array" ref="BP198">_xlfn.IFS(BJ198="NA","NA",BJ198&gt;100%,"100%",BJ198&lt;100,BJ198)</f>
        <v>NA</v>
      </c>
      <c r="BQ198" s="45">
        <v>0.22500000000000001</v>
      </c>
      <c r="BR198" s="45">
        <f t="shared" si="252"/>
        <v>0.11057142857142857</v>
      </c>
      <c r="BS198" s="45">
        <v>4.0500000000000001E-2</v>
      </c>
      <c r="BT198" s="45">
        <v>4.0500000000000001E-2</v>
      </c>
      <c r="BU198" s="45">
        <v>4.0500000000000001E-2</v>
      </c>
      <c r="BV198" s="45">
        <f t="shared" si="354"/>
        <v>7.489285714285715E-2</v>
      </c>
      <c r="BW198" s="45">
        <f t="shared" si="254"/>
        <v>7.0071428571428576E-2</v>
      </c>
      <c r="BX198" s="45">
        <f t="shared" si="255"/>
        <v>7.0071428571428562E-2</v>
      </c>
      <c r="BY198" s="45">
        <f t="shared" si="355"/>
        <v>6.4285714285714279E-2</v>
      </c>
      <c r="BZ198" s="45">
        <f t="shared" si="356"/>
        <v>0</v>
      </c>
      <c r="CA198" s="45">
        <f t="shared" si="253"/>
        <v>0</v>
      </c>
      <c r="CB198" s="45">
        <f t="shared" si="357"/>
        <v>4.5321428571428575E-2</v>
      </c>
      <c r="CC198" s="45">
        <f t="shared" si="358"/>
        <v>0</v>
      </c>
      <c r="CD198" s="45">
        <v>0</v>
      </c>
      <c r="CE198" s="45">
        <f t="shared" si="359"/>
        <v>0</v>
      </c>
      <c r="CF198" s="45" t="str">
        <f t="shared" si="360"/>
        <v>NA</v>
      </c>
      <c r="CG198" s="45">
        <v>0</v>
      </c>
      <c r="CH198" s="244"/>
      <c r="CI198" s="244"/>
      <c r="CJ198" s="244"/>
      <c r="CK198" s="244"/>
      <c r="CM198" s="63">
        <v>237</v>
      </c>
    </row>
    <row r="199" spans="1:91" ht="18" hidden="1" customHeight="1">
      <c r="A199" s="260" t="s">
        <v>1361</v>
      </c>
      <c r="B199" s="260" t="s">
        <v>1362</v>
      </c>
      <c r="C199" s="260" t="s">
        <v>1286</v>
      </c>
      <c r="D199" s="260" t="s">
        <v>1287</v>
      </c>
      <c r="E199" s="260" t="s">
        <v>1363</v>
      </c>
      <c r="F199" s="260" t="s">
        <v>1364</v>
      </c>
      <c r="G199" s="260" t="s">
        <v>1365</v>
      </c>
      <c r="H199" s="260" t="s">
        <v>1373</v>
      </c>
      <c r="I199" s="260"/>
      <c r="J199" s="260"/>
      <c r="K199" s="260" t="s">
        <v>1374</v>
      </c>
      <c r="L199" s="260" t="s">
        <v>1375</v>
      </c>
      <c r="M199" s="260" t="s">
        <v>1376</v>
      </c>
      <c r="N199" s="260" t="s">
        <v>111</v>
      </c>
      <c r="O199" s="260" t="s">
        <v>112</v>
      </c>
      <c r="P199" s="10">
        <v>4</v>
      </c>
      <c r="Q199" s="11">
        <v>10</v>
      </c>
      <c r="R199" s="11">
        <f t="shared" si="347"/>
        <v>7</v>
      </c>
      <c r="S199" s="11" t="str">
        <f>VLOOKUP(K199,'1132 Minas'!$K$13:$AK$20,9,0)</f>
        <v>7 espacios especializados para la promoción e intercambio de conocimeintos de la actividad minera.</v>
      </c>
      <c r="T199" s="11">
        <v>0</v>
      </c>
      <c r="U199" s="11">
        <v>0</v>
      </c>
      <c r="V199" s="11">
        <v>3</v>
      </c>
      <c r="W199" s="11">
        <v>0</v>
      </c>
      <c r="X199" s="11">
        <v>3</v>
      </c>
      <c r="Y199" s="11">
        <v>0</v>
      </c>
      <c r="Z199" s="11">
        <v>3</v>
      </c>
      <c r="AA199" s="11" t="s">
        <v>1377</v>
      </c>
      <c r="AB199" s="11" t="s">
        <v>1378</v>
      </c>
      <c r="AC199" s="11" t="s">
        <v>1379</v>
      </c>
      <c r="AD199" s="11">
        <v>4</v>
      </c>
      <c r="AE199" s="11">
        <v>0</v>
      </c>
      <c r="AF199" s="11">
        <f>VLOOKUP(K199,'1132 Minas'!$K$13:$AK$20,22,0)</f>
        <v>4</v>
      </c>
      <c r="AG199" s="11">
        <f>VLOOKUP(K199,'1132 Minas'!$K$13:$AK$20,23,0)</f>
        <v>0</v>
      </c>
      <c r="AH199" s="11">
        <f t="shared" si="348"/>
        <v>4</v>
      </c>
      <c r="AI199" s="11" t="str">
        <f>VLOOKUP(K199,'1132 Minas'!$K$13:$AK$20,25,0)</f>
        <v>Jornada ludico pedagogica concientización del auto cuidado.</v>
      </c>
      <c r="AJ199" s="11" t="str">
        <f>VLOOKUP(K199,'1132 Minas'!$K$13:$AK$20,26,0)</f>
        <v>Una jornada lúdico pedagogica realizada a través de la Agencia Nacional de Minería, el IDECUP y la Sec de inclusión social en el municipio de Sutatausa.</v>
      </c>
      <c r="AK199" s="11" t="str">
        <f>VLOOKUP(K199,'1132 Minas'!$K$13:$AK$20,27,0)</f>
        <v>No contar con recursos propios para realizar mas jornadas con el fin de ampliar la cobertura en el departamento.</v>
      </c>
      <c r="AL199" s="11">
        <v>2</v>
      </c>
      <c r="AM199" s="11">
        <v>0</v>
      </c>
      <c r="AN199" s="11">
        <v>1</v>
      </c>
      <c r="AO199" s="11">
        <v>0</v>
      </c>
      <c r="AP199" s="11">
        <v>0</v>
      </c>
      <c r="AQ199" s="11">
        <v>0</v>
      </c>
      <c r="AR199" s="52"/>
      <c r="AS199" s="54">
        <v>50000000</v>
      </c>
      <c r="AT199" s="54">
        <f t="shared" si="246"/>
        <v>50000000</v>
      </c>
      <c r="AU199" s="52"/>
      <c r="AV199" s="243"/>
      <c r="AW199" s="244"/>
      <c r="AX199" s="244"/>
      <c r="AY199" s="243"/>
      <c r="AZ199" s="44">
        <f t="shared" si="349"/>
        <v>0.7</v>
      </c>
      <c r="BA199" s="44">
        <v>0.3</v>
      </c>
      <c r="BB199" s="44">
        <v>1</v>
      </c>
      <c r="BC199" s="44">
        <f t="shared" si="350"/>
        <v>0.4</v>
      </c>
      <c r="BD199" s="44" cm="1">
        <f t="array" ref="BD199">_xlfn.IFS(AD199=0,"NA",AD199&gt;0,AH199/AD199)</f>
        <v>1</v>
      </c>
      <c r="BE199" s="44">
        <f t="shared" si="351"/>
        <v>0.2</v>
      </c>
      <c r="BF199" s="44">
        <v>0</v>
      </c>
      <c r="BG199" s="44">
        <f t="shared" si="352"/>
        <v>0.1</v>
      </c>
      <c r="BH199" s="44">
        <v>0</v>
      </c>
      <c r="BI199" s="44">
        <f t="shared" si="353"/>
        <v>0</v>
      </c>
      <c r="BJ199" s="44" t="s">
        <v>115</v>
      </c>
      <c r="BK199" s="44">
        <f t="shared" si="247"/>
        <v>0.7</v>
      </c>
      <c r="BL199" s="44">
        <v>1</v>
      </c>
      <c r="BM199" s="44" cm="1">
        <f t="array" ref="BM199">_xlfn.IFS(BD199="NA","NA",BD199&gt;100%,"100%",BD199&lt;100,BD199)</f>
        <v>1</v>
      </c>
      <c r="BN199" s="44" cm="1">
        <f t="array" ref="BN199">_xlfn.IFS(BF199="NA","NA",BF199&gt;100%,"100%",BF199&lt;100,BF199)</f>
        <v>0</v>
      </c>
      <c r="BO199" s="44" cm="1">
        <f t="array" ref="BO199">_xlfn.IFS(BH199="NA","NA",BH199&gt;100%,"100%",BH199&lt;100,BH199)</f>
        <v>0</v>
      </c>
      <c r="BP199" s="44" t="str" cm="1">
        <f t="array" ref="BP199">_xlfn.IFS(BJ199="NA","NA",BJ199&gt;100%,"100%",BJ199&lt;100,BJ199)</f>
        <v>NA</v>
      </c>
      <c r="BQ199" s="45">
        <v>0.22500000000000001</v>
      </c>
      <c r="BR199" s="45">
        <f t="shared" si="252"/>
        <v>0.1575</v>
      </c>
      <c r="BS199" s="45">
        <v>6.7500000000000004E-2</v>
      </c>
      <c r="BT199" s="45">
        <v>6.7500000000000004E-2</v>
      </c>
      <c r="BU199" s="45">
        <v>6.7500000000000004E-2</v>
      </c>
      <c r="BV199" s="45">
        <f t="shared" si="354"/>
        <v>0.09</v>
      </c>
      <c r="BW199" s="45">
        <f t="shared" si="254"/>
        <v>0.09</v>
      </c>
      <c r="BX199" s="45">
        <f t="shared" si="255"/>
        <v>0.09</v>
      </c>
      <c r="BY199" s="45">
        <f t="shared" si="355"/>
        <v>4.4999999999999998E-2</v>
      </c>
      <c r="BZ199" s="45">
        <f t="shared" si="356"/>
        <v>0</v>
      </c>
      <c r="CA199" s="45">
        <f t="shared" si="253"/>
        <v>0</v>
      </c>
      <c r="CB199" s="45">
        <f t="shared" si="357"/>
        <v>2.2499999999999999E-2</v>
      </c>
      <c r="CC199" s="45">
        <f t="shared" si="358"/>
        <v>0</v>
      </c>
      <c r="CD199" s="45">
        <v>0</v>
      </c>
      <c r="CE199" s="45">
        <f t="shared" si="359"/>
        <v>0</v>
      </c>
      <c r="CF199" s="45" t="str">
        <f t="shared" si="360"/>
        <v>NA</v>
      </c>
      <c r="CG199" s="45">
        <v>0</v>
      </c>
      <c r="CH199" s="244"/>
      <c r="CI199" s="244"/>
      <c r="CJ199" s="244"/>
      <c r="CK199" s="244"/>
      <c r="CM199" s="63">
        <v>6</v>
      </c>
    </row>
    <row r="200" spans="1:91" ht="18" hidden="1" customHeight="1">
      <c r="A200" s="260" t="s">
        <v>1361</v>
      </c>
      <c r="B200" s="260" t="s">
        <v>1362</v>
      </c>
      <c r="C200" s="260" t="s">
        <v>1286</v>
      </c>
      <c r="D200" s="260" t="s">
        <v>1287</v>
      </c>
      <c r="E200" s="260" t="s">
        <v>1363</v>
      </c>
      <c r="F200" s="260" t="s">
        <v>1364</v>
      </c>
      <c r="G200" s="260" t="s">
        <v>1365</v>
      </c>
      <c r="H200" s="260" t="s">
        <v>1380</v>
      </c>
      <c r="I200" s="260"/>
      <c r="J200" s="260"/>
      <c r="K200" s="260" t="s">
        <v>1381</v>
      </c>
      <c r="L200" s="260" t="s">
        <v>1382</v>
      </c>
      <c r="M200" s="260" t="s">
        <v>1383</v>
      </c>
      <c r="N200" s="260" t="s">
        <v>111</v>
      </c>
      <c r="O200" s="260" t="s">
        <v>112</v>
      </c>
      <c r="P200" s="10">
        <v>90</v>
      </c>
      <c r="Q200" s="11">
        <v>10</v>
      </c>
      <c r="R200" s="11">
        <f t="shared" si="347"/>
        <v>4</v>
      </c>
      <c r="S200" s="11" t="str">
        <f>VLOOKUP(K200,'1132 Minas'!$K$13:$AK$20,9,0)</f>
        <v>TRABAJO ARTICULADO CON LAS EMPRESAS MINERAS PARA ASISTIRLOS ADMINSITRATIVA Y CONTABLEMENTE FORTALECIENDO SU PRODUCTIVIDAD.</v>
      </c>
      <c r="T200" s="11">
        <v>1</v>
      </c>
      <c r="U200" s="11">
        <v>0</v>
      </c>
      <c r="V200" s="11">
        <v>1</v>
      </c>
      <c r="W200" s="11">
        <v>0</v>
      </c>
      <c r="X200" s="11">
        <v>1</v>
      </c>
      <c r="Y200" s="11">
        <v>0</v>
      </c>
      <c r="Z200" s="11">
        <v>1</v>
      </c>
      <c r="AA200" s="11" t="s">
        <v>1384</v>
      </c>
      <c r="AB200" s="11" t="s">
        <v>1385</v>
      </c>
      <c r="AC200" s="11" t="s">
        <v>1386</v>
      </c>
      <c r="AD200" s="11">
        <v>3</v>
      </c>
      <c r="AE200" s="11">
        <v>0</v>
      </c>
      <c r="AF200" s="11">
        <f>VLOOKUP(K200,'1132 Minas'!$K$13:$AK$20,22,0)</f>
        <v>3</v>
      </c>
      <c r="AG200" s="11">
        <f>VLOOKUP(K200,'1132 Minas'!$K$13:$AK$20,23,0)</f>
        <v>0</v>
      </c>
      <c r="AH200" s="11">
        <f t="shared" si="348"/>
        <v>3</v>
      </c>
      <c r="AI200" s="11" t="str">
        <f>VLOOKUP(K200,'1132 Minas'!$K$13:$AK$20,25,0)</f>
        <v>ASISTENCIA TECNICA PARA EL FORTALECIMIENTO EMPRESARIAL DE LOS  TÍTULOS MINEROS</v>
      </c>
      <c r="AJ200" s="11" t="str">
        <f>VLOOKUP(K200,'1132 Minas'!$K$13:$AK$20,26,0)</f>
        <v>SE REALIZÓ UN TRABAJO ARTICULADO CON LA EMPRESA MINERA PARA ASISTIRLOS EMPRESARIALMENTE</v>
      </c>
      <c r="AK200" s="11" t="str">
        <f>VLOOKUP(K200,'1132 Minas'!$K$13:$AK$20,27,0)</f>
        <v>HA SIDO DIFICIL ENCONTRAR LAS EMPRESAS MINERAS DISPUESTAS HA VINCULARSE AL PROGRAMA DE FORTALCIMIENTO EMPRESARIAL.</v>
      </c>
      <c r="AL200" s="11">
        <v>3</v>
      </c>
      <c r="AM200" s="11">
        <v>0</v>
      </c>
      <c r="AN200" s="11">
        <v>3</v>
      </c>
      <c r="AO200" s="11">
        <v>0</v>
      </c>
      <c r="AP200" s="11">
        <v>0</v>
      </c>
      <c r="AQ200" s="11">
        <v>0</v>
      </c>
      <c r="AR200" s="51">
        <v>83816666</v>
      </c>
      <c r="AS200" s="54">
        <v>0</v>
      </c>
      <c r="AT200" s="54">
        <f t="shared" si="246"/>
        <v>83816666</v>
      </c>
      <c r="AU200" s="51">
        <v>82945068</v>
      </c>
      <c r="AV200" s="243">
        <v>109427684</v>
      </c>
      <c r="AW200" s="244"/>
      <c r="AX200" s="244"/>
      <c r="AY200" s="243">
        <v>109427684</v>
      </c>
      <c r="AZ200" s="44">
        <f t="shared" si="349"/>
        <v>0.4</v>
      </c>
      <c r="BA200" s="44">
        <v>0.1</v>
      </c>
      <c r="BB200" s="44">
        <v>1</v>
      </c>
      <c r="BC200" s="44">
        <f t="shared" si="350"/>
        <v>0.3</v>
      </c>
      <c r="BD200" s="44" cm="1">
        <f t="array" ref="BD200">_xlfn.IFS(AD200=0,"NA",AD200&gt;0,AH200/AD200)</f>
        <v>1</v>
      </c>
      <c r="BE200" s="44">
        <f t="shared" si="351"/>
        <v>0.3</v>
      </c>
      <c r="BF200" s="44">
        <v>0</v>
      </c>
      <c r="BG200" s="44">
        <f t="shared" si="352"/>
        <v>0.3</v>
      </c>
      <c r="BH200" s="44">
        <v>0</v>
      </c>
      <c r="BI200" s="44">
        <f t="shared" si="353"/>
        <v>0</v>
      </c>
      <c r="BJ200" s="44" t="s">
        <v>115</v>
      </c>
      <c r="BK200" s="44">
        <f t="shared" si="247"/>
        <v>0.4</v>
      </c>
      <c r="BL200" s="44">
        <v>1</v>
      </c>
      <c r="BM200" s="44" cm="1">
        <f t="array" ref="BM200">_xlfn.IFS(BD200="NA","NA",BD200&gt;100%,"100%",BD200&lt;100,BD200)</f>
        <v>1</v>
      </c>
      <c r="BN200" s="44" cm="1">
        <f t="array" ref="BN200">_xlfn.IFS(BF200="NA","NA",BF200&gt;100%,"100%",BF200&lt;100,BF200)</f>
        <v>0</v>
      </c>
      <c r="BO200" s="44" cm="1">
        <f t="array" ref="BO200">_xlfn.IFS(BH200="NA","NA",BH200&gt;100%,"100%",BH200&lt;100,BH200)</f>
        <v>0</v>
      </c>
      <c r="BP200" s="44" t="str" cm="1">
        <f t="array" ref="BP200">_xlfn.IFS(BJ200="NA","NA",BJ200&gt;100%,"100%",BJ200&lt;100,BJ200)</f>
        <v>NA</v>
      </c>
      <c r="BQ200" s="45">
        <v>0.22500000000000001</v>
      </c>
      <c r="BR200" s="45">
        <f t="shared" si="252"/>
        <v>9.0000000000000011E-2</v>
      </c>
      <c r="BS200" s="45">
        <v>2.2499999999999999E-2</v>
      </c>
      <c r="BT200" s="45">
        <v>2.2499999999999999E-2</v>
      </c>
      <c r="BU200" s="45">
        <v>2.2499999999999999E-2</v>
      </c>
      <c r="BV200" s="45">
        <f t="shared" si="354"/>
        <v>6.7500000000000004E-2</v>
      </c>
      <c r="BW200" s="45">
        <f t="shared" si="254"/>
        <v>6.7500000000000004E-2</v>
      </c>
      <c r="BX200" s="45">
        <f t="shared" si="255"/>
        <v>6.7500000000000004E-2</v>
      </c>
      <c r="BY200" s="45">
        <f t="shared" si="355"/>
        <v>6.7500000000000004E-2</v>
      </c>
      <c r="BZ200" s="45">
        <f t="shared" si="356"/>
        <v>0</v>
      </c>
      <c r="CA200" s="45">
        <f t="shared" si="253"/>
        <v>0</v>
      </c>
      <c r="CB200" s="45">
        <f t="shared" si="357"/>
        <v>6.7500000000000004E-2</v>
      </c>
      <c r="CC200" s="45">
        <f t="shared" si="358"/>
        <v>0</v>
      </c>
      <c r="CD200" s="45">
        <v>0</v>
      </c>
      <c r="CE200" s="45">
        <f t="shared" si="359"/>
        <v>0</v>
      </c>
      <c r="CF200" s="45" t="str">
        <f t="shared" si="360"/>
        <v>NA</v>
      </c>
      <c r="CG200" s="45">
        <v>0</v>
      </c>
      <c r="CH200" s="244"/>
      <c r="CI200" s="244"/>
      <c r="CJ200" s="244"/>
      <c r="CK200" s="244"/>
      <c r="CM200" s="63">
        <v>4</v>
      </c>
    </row>
    <row r="201" spans="1:91" ht="30.75" hidden="1" customHeight="1">
      <c r="A201" s="260" t="s">
        <v>1387</v>
      </c>
      <c r="B201" s="260" t="s">
        <v>1388</v>
      </c>
      <c r="C201" s="260" t="s">
        <v>1286</v>
      </c>
      <c r="D201" s="260" t="s">
        <v>1389</v>
      </c>
      <c r="E201" s="260" t="s">
        <v>1390</v>
      </c>
      <c r="F201" s="260" t="s">
        <v>1391</v>
      </c>
      <c r="G201" s="260" t="s">
        <v>1392</v>
      </c>
      <c r="H201" s="260" t="s">
        <v>1393</v>
      </c>
      <c r="I201" s="260"/>
      <c r="J201" s="260"/>
      <c r="K201" s="260" t="s">
        <v>1394</v>
      </c>
      <c r="L201" s="12" t="s">
        <v>1395</v>
      </c>
      <c r="M201" s="260" t="s">
        <v>1396</v>
      </c>
      <c r="N201" s="260" t="s">
        <v>111</v>
      </c>
      <c r="O201" s="260" t="s">
        <v>112</v>
      </c>
      <c r="P201" s="10">
        <v>0</v>
      </c>
      <c r="Q201" s="11">
        <v>1</v>
      </c>
      <c r="R201" s="11">
        <f t="shared" si="347"/>
        <v>0.05</v>
      </c>
      <c r="S201" s="11">
        <f>VLOOKUP(K201,'1285 EPC'!$K$13:$AK$35,9,0)</f>
        <v>0</v>
      </c>
      <c r="T201" s="11">
        <v>0.1</v>
      </c>
      <c r="U201" s="11">
        <v>0</v>
      </c>
      <c r="V201" s="11">
        <v>0</v>
      </c>
      <c r="W201" s="11">
        <v>0</v>
      </c>
      <c r="X201" s="11">
        <v>0</v>
      </c>
      <c r="Y201" s="11">
        <v>0</v>
      </c>
      <c r="Z201" s="11">
        <v>0</v>
      </c>
      <c r="AA201" s="11"/>
      <c r="AB201" s="11"/>
      <c r="AC201" s="11"/>
      <c r="AD201" s="11">
        <v>0.2</v>
      </c>
      <c r="AE201" s="11">
        <v>0</v>
      </c>
      <c r="AF201" s="11">
        <f>VLOOKUP(K201,'1285 EPC'!$K$13:$AK$35,22,0)</f>
        <v>0.05</v>
      </c>
      <c r="AG201" s="11" t="str">
        <f>VLOOKUP(K201,'1285 EPC'!$K$13:$AK$35,23,0)</f>
        <v> </v>
      </c>
      <c r="AH201" s="11">
        <f t="shared" si="348"/>
        <v>0.05</v>
      </c>
      <c r="AI201" s="11" t="str">
        <f>VLOOKUP(K201,'1285 EPC'!$K$13:$AK$35,25,0)</f>
        <v>Proyecto de Investigación Actualizado</v>
      </c>
      <c r="AJ201" s="11" t="str">
        <f>VLOOKUP(K201,'1285 EPC'!$K$13:$AK$35,26,0)</f>
        <v>Se han realizado reuniones  periódicas (semanalmente) con la universidad de los Andes y la Secretaría de Ciencia Tecnología en Innovación, donde se ha trabajado el documento técnico y el presupuesto.
Se realizó reunión  con el Viceministerio el 9 de marzo de 2021, donde asistió el Subdirector de Programas Viceministerio de Agua y Saneamiento Básico, la Directora de Infraestructura, Universidad de los Andes y un representante de la Secretaría de Ciencia Tecnología e Innovación, donde se presentó el proyecto, y se envió el día 11 de marzo vía correo electrónico el borrador del documento técnico y presupuesto para adelantar una revisión por parte de los profesionales del Viceministerio.
Se cuenta con el presupuesto y documento técnico actualizado. 
En el mes de abril se llevó a cabo reunión con la Secretaria de Ciencia Tecnología e Innovación, la Universidad de los Andes y el Subgerente General de EPC, con el fin de revisar los recursos que posiblemente se van a usar para financiar el proyecto de investigación e innovación.
Ya se cuenta con documento técnico actualizado y presupuesto, sin embargo, este último se dividió en fases para estudio de posibles fuentes de financiación. Internamente EPC ha venido desarrollando reuniones para verificar estas posibles fuentes. Para el próximo 3 de junio se llevará  a cabo reunión con la Secretaría de Ciencia Tecnología e Información con el fin de definir la presentación del proyecto ante la convocatoria del Ministerio.
En el mes de junio, se continua en la espera de la apertura de la convocatoria por parte del Ministerio.
Se solicita reprogramación de la meta teniendo en cuenta la modificación que sufrió  la normatividad de regalías y los recursos asignados al Departamento para la ejecución de este tipo de proyectos, por lo cual no fue posible presentarlo ante la convocatoria del Ministerio este año.
En el mes de septiembre se realiza mesa de trabajo con la Secretaria de Ciencia y Tecnología, Universidad de los Andes, Viceministerio de Agua y EPC para dar a conocer las alternativas que desde la Gerencia se consideran viables para la financiación del proyecto. Se realizará próxima reunión el jueves 14 de octubre donde la Universidad expondrá la alternativa de reducir el alcance del proyecto para reducir los costos en caso de no obtener la financiación completa del proyecto.
Entre los meses de octubre y noviembre se Integró la Dirección de Nuevos Negocios al apoyo del cumplimiento de la meta, buscando que ésta plantee alternativas de financiación, se ha realizado la búsqueda de financiación en entidades de educación superior que realizan convocatorias para proyectos de investigación, entidades del orden nacional, se realizó la solicitud y viabilidad de ajuste de la propuesta general por parte de la Universidad de los Andes</v>
      </c>
      <c r="AK201" s="11" t="str">
        <f>VLOOKUP(K201,'1285 EPC'!$K$13:$AK$35,27,0)</f>
        <v xml:space="preserve">Las fechas de las convocatorias para presentar el proyecto aun no se han definido por el Ministerio, 
Frente a la búsqueda de financiación para el proyecto, la principal problemática fue que las convocatorias que se pudieron identificar, tenían como fecha máxima para postulación en octubre, por ende, se contaba con menos de 10 días hábiles para poderlo hacer.  2. El borrador de la propuesta que se solicitó para un posible ajuste al proyecto, será enviada a más tardar el 6 de diciembre del 2021, por parte de la Universidad de los Andes, para posteriormente ser socializada con la subgerencia general, en caso tal, sea determinada como viable, la Universidad de los Andes envía a la propuesta formal antes del 31 de diciembre del 2021. </v>
      </c>
      <c r="AL201" s="11">
        <v>0.2</v>
      </c>
      <c r="AM201" s="11">
        <v>0</v>
      </c>
      <c r="AN201" s="11">
        <v>0.6</v>
      </c>
      <c r="AO201" s="11">
        <v>0</v>
      </c>
      <c r="AP201" s="11">
        <v>0</v>
      </c>
      <c r="AQ201" s="11">
        <v>0</v>
      </c>
      <c r="AR201" s="52"/>
      <c r="AS201" s="54">
        <v>0</v>
      </c>
      <c r="AT201" s="54">
        <f t="shared" si="246"/>
        <v>0</v>
      </c>
      <c r="AU201" s="52"/>
      <c r="AV201" s="243">
        <v>1000000</v>
      </c>
      <c r="AW201" s="244"/>
      <c r="AX201" s="244"/>
      <c r="AY201" s="243">
        <v>1000000</v>
      </c>
      <c r="AZ201" s="44">
        <f t="shared" si="349"/>
        <v>0.05</v>
      </c>
      <c r="BA201" s="44">
        <v>0</v>
      </c>
      <c r="BB201" s="44" t="s">
        <v>115</v>
      </c>
      <c r="BC201" s="44">
        <f t="shared" si="350"/>
        <v>0.2</v>
      </c>
      <c r="BD201" s="44" cm="1">
        <f t="array" ref="BD201">_xlfn.IFS(AD201=0,"NA",AD201&gt;0,AH201/AD201)</f>
        <v>0.25</v>
      </c>
      <c r="BE201" s="44">
        <f t="shared" si="351"/>
        <v>0.2</v>
      </c>
      <c r="BF201" s="44">
        <v>0</v>
      </c>
      <c r="BG201" s="44">
        <f t="shared" si="352"/>
        <v>0.6</v>
      </c>
      <c r="BH201" s="44">
        <v>0</v>
      </c>
      <c r="BI201" s="44">
        <f t="shared" si="353"/>
        <v>0</v>
      </c>
      <c r="BJ201" s="44" t="s">
        <v>115</v>
      </c>
      <c r="BK201" s="44">
        <f t="shared" si="247"/>
        <v>0.05</v>
      </c>
      <c r="BL201" s="44" t="s">
        <v>115</v>
      </c>
      <c r="BM201" s="44" cm="1">
        <f t="array" ref="BM201">_xlfn.IFS(BD201="NA","NA",BD201&gt;100%,"100%",BD201&lt;100,BD201)</f>
        <v>0.25</v>
      </c>
      <c r="BN201" s="44" cm="1">
        <f t="array" ref="BN201">_xlfn.IFS(BF201="NA","NA",BF201&gt;100%,"100%",BF201&lt;100,BF201)</f>
        <v>0</v>
      </c>
      <c r="BO201" s="44" cm="1">
        <f t="array" ref="BO201">_xlfn.IFS(BH201="NA","NA",BH201&gt;100%,"100%",BH201&lt;100,BH201)</f>
        <v>0</v>
      </c>
      <c r="BP201" s="44" t="str" cm="1">
        <f t="array" ref="BP201">_xlfn.IFS(BJ201="NA","NA",BJ201&gt;100%,"100%",BJ201&lt;100,BJ201)</f>
        <v>NA</v>
      </c>
      <c r="BQ201" s="45">
        <v>0.22500000000000001</v>
      </c>
      <c r="BR201" s="45">
        <f t="shared" si="252"/>
        <v>1.1250000000000001E-2</v>
      </c>
      <c r="BS201" s="45">
        <v>0</v>
      </c>
      <c r="BT201" s="45" t="s">
        <v>115</v>
      </c>
      <c r="BU201" s="45">
        <v>0</v>
      </c>
      <c r="BV201" s="45">
        <f t="shared" si="354"/>
        <v>4.5000000000000005E-2</v>
      </c>
      <c r="BW201" s="45">
        <f t="shared" si="254"/>
        <v>1.1250000000000001E-2</v>
      </c>
      <c r="BX201" s="45">
        <f t="shared" si="255"/>
        <v>1.1250000000000001E-2</v>
      </c>
      <c r="BY201" s="45">
        <f t="shared" si="355"/>
        <v>4.5000000000000005E-2</v>
      </c>
      <c r="BZ201" s="45">
        <f t="shared" si="356"/>
        <v>0</v>
      </c>
      <c r="CA201" s="45">
        <f t="shared" si="253"/>
        <v>0</v>
      </c>
      <c r="CB201" s="45">
        <f t="shared" si="357"/>
        <v>0.13500000000000001</v>
      </c>
      <c r="CC201" s="45">
        <f t="shared" si="358"/>
        <v>0</v>
      </c>
      <c r="CD201" s="45">
        <v>0</v>
      </c>
      <c r="CE201" s="45">
        <f t="shared" si="359"/>
        <v>0</v>
      </c>
      <c r="CF201" s="45" t="str">
        <f t="shared" si="360"/>
        <v>NA</v>
      </c>
      <c r="CG201" s="45">
        <v>0</v>
      </c>
      <c r="CH201" s="244"/>
      <c r="CI201" s="244"/>
      <c r="CJ201" s="244"/>
      <c r="CK201" s="244"/>
      <c r="CM201" s="63">
        <v>0.05</v>
      </c>
    </row>
    <row r="202" spans="1:91" ht="18" hidden="1" customHeight="1">
      <c r="A202" s="260" t="s">
        <v>221</v>
      </c>
      <c r="B202" s="260" t="s">
        <v>222</v>
      </c>
      <c r="C202" s="260" t="s">
        <v>1286</v>
      </c>
      <c r="D202" s="260" t="s">
        <v>1389</v>
      </c>
      <c r="E202" s="260" t="s">
        <v>1390</v>
      </c>
      <c r="F202" s="260" t="s">
        <v>1391</v>
      </c>
      <c r="G202" s="260" t="s">
        <v>1392</v>
      </c>
      <c r="H202" s="260" t="s">
        <v>1397</v>
      </c>
      <c r="I202" s="260"/>
      <c r="J202" s="260"/>
      <c r="K202" s="260" t="s">
        <v>1398</v>
      </c>
      <c r="L202" s="260" t="s">
        <v>1399</v>
      </c>
      <c r="M202" s="260" t="s">
        <v>1400</v>
      </c>
      <c r="N202" s="260" t="s">
        <v>111</v>
      </c>
      <c r="O202" s="260" t="s">
        <v>112</v>
      </c>
      <c r="P202" s="10">
        <v>0</v>
      </c>
      <c r="Q202" s="11">
        <v>1</v>
      </c>
      <c r="R202" s="11">
        <f t="shared" ca="1" si="347"/>
        <v>0</v>
      </c>
      <c r="S202" s="11">
        <f ca="1">VLOOKUP(K202,'1220 IDECUT'!$K$13:$AK$48,9,0)</f>
        <v>0</v>
      </c>
      <c r="T202" s="11">
        <v>0</v>
      </c>
      <c r="U202" s="11">
        <v>0</v>
      </c>
      <c r="V202" s="11">
        <v>0</v>
      </c>
      <c r="W202" s="11">
        <v>0</v>
      </c>
      <c r="X202" s="11">
        <v>0</v>
      </c>
      <c r="Y202" s="11">
        <v>0</v>
      </c>
      <c r="Z202" s="11">
        <v>0</v>
      </c>
      <c r="AA202" s="11"/>
      <c r="AB202" s="11"/>
      <c r="AC202" s="11"/>
      <c r="AD202" s="11">
        <v>0</v>
      </c>
      <c r="AE202" s="11">
        <v>0</v>
      </c>
      <c r="AF202" s="11">
        <f ca="1">VLOOKUP(K202,'1220 IDECUT'!$K$13:$AK$48,22,0)</f>
        <v>0</v>
      </c>
      <c r="AG202" s="11">
        <f ca="1">VLOOKUP(K202,'1220 IDECUT'!$K$13:$AK$48,23,0)</f>
        <v>0</v>
      </c>
      <c r="AH202" s="11">
        <f t="shared" ca="1" si="348"/>
        <v>0</v>
      </c>
      <c r="AI202" s="11">
        <f ca="1">VLOOKUP(K202,'1220 IDECUT'!$K$13:$AK$48,25,0)</f>
        <v>0</v>
      </c>
      <c r="AJ202" s="11">
        <f ca="1">VLOOKUP(K202,'1220 IDECUT'!$K$13:$AK$48,26,0)</f>
        <v>0</v>
      </c>
      <c r="AK202" s="11">
        <f ca="1">VLOOKUP(K202,'1220 IDECUT'!$K$13:$AK$48,27,0)</f>
        <v>0</v>
      </c>
      <c r="AL202" s="11">
        <v>0.5</v>
      </c>
      <c r="AM202" s="11">
        <v>0</v>
      </c>
      <c r="AN202" s="11">
        <v>0.5</v>
      </c>
      <c r="AO202" s="11">
        <v>0</v>
      </c>
      <c r="AP202" s="11">
        <v>0</v>
      </c>
      <c r="AQ202" s="11">
        <v>0</v>
      </c>
      <c r="AR202" s="52"/>
      <c r="AS202" s="54">
        <v>0</v>
      </c>
      <c r="AT202" s="54">
        <f t="shared" si="246"/>
        <v>0</v>
      </c>
      <c r="AU202" s="52"/>
      <c r="AV202" s="243"/>
      <c r="AW202" s="244"/>
      <c r="AX202" s="244"/>
      <c r="AY202" s="243"/>
      <c r="AZ202" s="44">
        <f t="shared" ca="1" si="349"/>
        <v>0</v>
      </c>
      <c r="BA202" s="44">
        <v>0</v>
      </c>
      <c r="BB202" s="44" t="s">
        <v>115</v>
      </c>
      <c r="BC202" s="44">
        <f t="shared" si="350"/>
        <v>0</v>
      </c>
      <c r="BD202" s="44" t="str" cm="1">
        <f t="array" aca="1" ref="BD202" ca="1">_xlfn.IFS(AD202=0,"NA",AD202&gt;0,AH202/AD202)</f>
        <v>NA</v>
      </c>
      <c r="BE202" s="44">
        <f t="shared" si="351"/>
        <v>0.5</v>
      </c>
      <c r="BF202" s="44">
        <v>0</v>
      </c>
      <c r="BG202" s="44">
        <f t="shared" si="352"/>
        <v>0.5</v>
      </c>
      <c r="BH202" s="44">
        <v>0</v>
      </c>
      <c r="BI202" s="44">
        <f t="shared" si="353"/>
        <v>0</v>
      </c>
      <c r="BJ202" s="44" t="s">
        <v>115</v>
      </c>
      <c r="BK202" s="44">
        <f t="shared" ca="1" si="247"/>
        <v>0</v>
      </c>
      <c r="BL202" s="44" t="s">
        <v>115</v>
      </c>
      <c r="BM202" s="44" t="str" cm="1">
        <f t="array" aca="1" ref="BM202" ca="1">_xlfn.IFS(BD202="NA","NA",BD202&gt;100%,"100%",BD202&lt;100,BD202)</f>
        <v>NA</v>
      </c>
      <c r="BN202" s="44" cm="1">
        <f t="array" ref="BN202">_xlfn.IFS(BF202="NA","NA",BF202&gt;100%,"100%",BF202&lt;100,BF202)</f>
        <v>0</v>
      </c>
      <c r="BO202" s="44" cm="1">
        <f t="array" ref="BO202">_xlfn.IFS(BH202="NA","NA",BH202&gt;100%,"100%",BH202&lt;100,BH202)</f>
        <v>0</v>
      </c>
      <c r="BP202" s="44" t="str" cm="1">
        <f t="array" ref="BP202">_xlfn.IFS(BJ202="NA","NA",BJ202&gt;100%,"100%",BJ202&lt;100,BJ202)</f>
        <v>NA</v>
      </c>
      <c r="BQ202" s="45">
        <v>0.22500000000000001</v>
      </c>
      <c r="BR202" s="45">
        <f t="shared" ca="1" si="252"/>
        <v>0</v>
      </c>
      <c r="BS202" s="45">
        <v>0</v>
      </c>
      <c r="BT202" s="45" t="s">
        <v>115</v>
      </c>
      <c r="BU202" s="45">
        <v>0</v>
      </c>
      <c r="BV202" s="45">
        <f t="shared" si="354"/>
        <v>0</v>
      </c>
      <c r="BW202" s="45" t="str">
        <f t="shared" ca="1" si="254"/>
        <v>NA</v>
      </c>
      <c r="BX202" s="45">
        <f t="shared" ca="1" si="255"/>
        <v>0</v>
      </c>
      <c r="BY202" s="45">
        <f t="shared" si="355"/>
        <v>0.1125</v>
      </c>
      <c r="BZ202" s="45">
        <f t="shared" si="356"/>
        <v>0</v>
      </c>
      <c r="CA202" s="45">
        <f t="shared" ca="1" si="253"/>
        <v>0</v>
      </c>
      <c r="CB202" s="45">
        <f t="shared" si="357"/>
        <v>0.1125</v>
      </c>
      <c r="CC202" s="45">
        <f t="shared" si="358"/>
        <v>0</v>
      </c>
      <c r="CD202" s="45">
        <v>0</v>
      </c>
      <c r="CE202" s="45">
        <f t="shared" si="359"/>
        <v>0</v>
      </c>
      <c r="CF202" s="45" t="str">
        <f t="shared" si="360"/>
        <v>NA</v>
      </c>
      <c r="CG202" s="45">
        <v>0</v>
      </c>
      <c r="CH202" s="244"/>
      <c r="CI202" s="244"/>
      <c r="CJ202" s="244"/>
      <c r="CK202" s="244"/>
      <c r="CM202" s="63">
        <v>0</v>
      </c>
    </row>
    <row r="203" spans="1:91" ht="18" hidden="1" customHeight="1">
      <c r="A203" s="260" t="s">
        <v>1310</v>
      </c>
      <c r="B203" s="260" t="s">
        <v>1311</v>
      </c>
      <c r="C203" s="260" t="s">
        <v>1286</v>
      </c>
      <c r="D203" s="260" t="s">
        <v>1389</v>
      </c>
      <c r="E203" s="260" t="s">
        <v>1390</v>
      </c>
      <c r="F203" s="260" t="s">
        <v>1391</v>
      </c>
      <c r="G203" s="260" t="s">
        <v>1392</v>
      </c>
      <c r="H203" s="260" t="s">
        <v>1401</v>
      </c>
      <c r="I203" s="260"/>
      <c r="J203" s="260"/>
      <c r="K203" s="260" t="s">
        <v>1402</v>
      </c>
      <c r="L203" s="260" t="s">
        <v>1403</v>
      </c>
      <c r="M203" s="260" t="s">
        <v>1404</v>
      </c>
      <c r="N203" s="260" t="s">
        <v>111</v>
      </c>
      <c r="O203" s="260" t="s">
        <v>112</v>
      </c>
      <c r="P203" s="10">
        <v>2</v>
      </c>
      <c r="Q203" s="11">
        <v>3</v>
      </c>
      <c r="R203" s="11">
        <f t="shared" ca="1" si="347"/>
        <v>1</v>
      </c>
      <c r="S203" s="11">
        <f ca="1">VLOOKUP(K203,'1120 Competitividad'!$K$13:$AK$51,9,0)</f>
        <v>0</v>
      </c>
      <c r="T203" s="11">
        <v>0</v>
      </c>
      <c r="U203" s="11">
        <v>0</v>
      </c>
      <c r="V203" s="11">
        <v>0</v>
      </c>
      <c r="W203" s="11">
        <v>0</v>
      </c>
      <c r="X203" s="11">
        <v>0</v>
      </c>
      <c r="Y203" s="11">
        <v>0</v>
      </c>
      <c r="Z203" s="11">
        <v>0</v>
      </c>
      <c r="AA203" s="11"/>
      <c r="AB203" s="11"/>
      <c r="AC203" s="11"/>
      <c r="AD203" s="11">
        <v>1</v>
      </c>
      <c r="AE203" s="11">
        <v>0</v>
      </c>
      <c r="AF203" s="11">
        <f ca="1">VLOOKUP(K203,'1120 Competitividad'!$K$13:$AK$51,22,0)</f>
        <v>1</v>
      </c>
      <c r="AG203" s="11">
        <f ca="1">VLOOKUP(K203,'1120 Competitividad'!$K$13:$AK$51,23,0)</f>
        <v>0</v>
      </c>
      <c r="AH203" s="11">
        <f t="shared" ca="1" si="348"/>
        <v>1</v>
      </c>
      <c r="AI203" s="11" t="str">
        <f ca="1">VLOOKUP(K203,'1120 Competitividad'!$K$13:$AK$51,25,0)</f>
        <v xml:space="preserve">APOYO DE ESPACIOS PARA EVENTOS DE COMERCIALIZACIÓN </v>
      </c>
      <c r="AJ203" s="11" t="str">
        <f ca="1">VLOOKUP(K203,'1120 Competitividad'!$K$13:$AK$51,26,0)</f>
        <v xml:space="preserve">Se han adelantado 36 circuitos cortos de comercialización </v>
      </c>
      <c r="AK203" s="11">
        <f ca="1">VLOOKUP(K203,'1120 Competitividad'!$K$13:$AK$51,27,0)</f>
        <v>0</v>
      </c>
      <c r="AL203" s="11">
        <v>1</v>
      </c>
      <c r="AM203" s="11">
        <v>0</v>
      </c>
      <c r="AN203" s="11">
        <v>1</v>
      </c>
      <c r="AO203" s="11">
        <v>0</v>
      </c>
      <c r="AP203" s="11">
        <v>0</v>
      </c>
      <c r="AQ203" s="11">
        <v>0</v>
      </c>
      <c r="AR203" s="52"/>
      <c r="AS203" s="54">
        <v>0</v>
      </c>
      <c r="AT203" s="54">
        <f t="shared" si="246"/>
        <v>0</v>
      </c>
      <c r="AU203" s="52"/>
      <c r="AV203" s="243">
        <v>500000000</v>
      </c>
      <c r="AW203" s="244"/>
      <c r="AX203" s="244"/>
      <c r="AY203" s="243">
        <v>500000000</v>
      </c>
      <c r="AZ203" s="44">
        <f t="shared" ca="1" si="349"/>
        <v>0.33333333333333331</v>
      </c>
      <c r="BA203" s="44">
        <v>0</v>
      </c>
      <c r="BB203" s="44" t="s">
        <v>115</v>
      </c>
      <c r="BC203" s="44">
        <f t="shared" si="350"/>
        <v>0.33333333333333331</v>
      </c>
      <c r="BD203" s="44" cm="1">
        <f t="array" aca="1" ref="BD203" ca="1">_xlfn.IFS(AD203=0,"NA",AD203&gt;0,AH203/AD203)</f>
        <v>1</v>
      </c>
      <c r="BE203" s="44">
        <f t="shared" si="351"/>
        <v>0.33333333333333331</v>
      </c>
      <c r="BF203" s="44">
        <v>0</v>
      </c>
      <c r="BG203" s="44">
        <f t="shared" si="352"/>
        <v>0.33333333333333331</v>
      </c>
      <c r="BH203" s="44">
        <v>0</v>
      </c>
      <c r="BI203" s="44">
        <f t="shared" si="353"/>
        <v>0</v>
      </c>
      <c r="BJ203" s="44" t="s">
        <v>115</v>
      </c>
      <c r="BK203" s="44">
        <f t="shared" ca="1" si="247"/>
        <v>0.33333333333333331</v>
      </c>
      <c r="BL203" s="44" t="s">
        <v>115</v>
      </c>
      <c r="BM203" s="44" cm="1">
        <f t="array" aca="1" ref="BM203" ca="1">_xlfn.IFS(BD203="NA","NA",BD203&gt;100%,"100%",BD203&lt;100,BD203)</f>
        <v>1</v>
      </c>
      <c r="BN203" s="44" cm="1">
        <f t="array" ref="BN203">_xlfn.IFS(BF203="NA","NA",BF203&gt;100%,"100%",BF203&lt;100,BF203)</f>
        <v>0</v>
      </c>
      <c r="BO203" s="44" cm="1">
        <f t="array" ref="BO203">_xlfn.IFS(BH203="NA","NA",BH203&gt;100%,"100%",BH203&lt;100,BH203)</f>
        <v>0</v>
      </c>
      <c r="BP203" s="44" t="str" cm="1">
        <f t="array" ref="BP203">_xlfn.IFS(BJ203="NA","NA",BJ203&gt;100%,"100%",BJ203&lt;100,BJ203)</f>
        <v>NA</v>
      </c>
      <c r="BQ203" s="45">
        <v>0.22500000000000001</v>
      </c>
      <c r="BR203" s="45">
        <f t="shared" ca="1" si="252"/>
        <v>7.4999999999999997E-2</v>
      </c>
      <c r="BS203" s="45">
        <v>0</v>
      </c>
      <c r="BT203" s="45" t="s">
        <v>115</v>
      </c>
      <c r="BU203" s="45">
        <v>0</v>
      </c>
      <c r="BV203" s="45">
        <f t="shared" si="354"/>
        <v>7.4999999999999997E-2</v>
      </c>
      <c r="BW203" s="45">
        <f t="shared" ca="1" si="254"/>
        <v>7.4999999999999997E-2</v>
      </c>
      <c r="BX203" s="45">
        <f t="shared" ca="1" si="255"/>
        <v>7.4999999999999997E-2</v>
      </c>
      <c r="BY203" s="45">
        <f t="shared" si="355"/>
        <v>7.4999999999999997E-2</v>
      </c>
      <c r="BZ203" s="45">
        <f t="shared" si="356"/>
        <v>0</v>
      </c>
      <c r="CA203" s="45">
        <f t="shared" ca="1" si="253"/>
        <v>0</v>
      </c>
      <c r="CB203" s="45">
        <f t="shared" si="357"/>
        <v>7.4999999999999997E-2</v>
      </c>
      <c r="CC203" s="45">
        <f t="shared" si="358"/>
        <v>0</v>
      </c>
      <c r="CD203" s="45">
        <v>0</v>
      </c>
      <c r="CE203" s="45">
        <f t="shared" si="359"/>
        <v>0</v>
      </c>
      <c r="CF203" s="45" t="str">
        <f t="shared" si="360"/>
        <v>NA</v>
      </c>
      <c r="CG203" s="45">
        <v>0</v>
      </c>
      <c r="CH203" s="244"/>
      <c r="CI203" s="244"/>
      <c r="CJ203" s="244"/>
      <c r="CK203" s="244"/>
      <c r="CM203" s="63">
        <v>0</v>
      </c>
    </row>
    <row r="204" spans="1:91" ht="18" hidden="1" customHeight="1">
      <c r="A204" s="260" t="s">
        <v>1361</v>
      </c>
      <c r="B204" s="260" t="s">
        <v>1362</v>
      </c>
      <c r="C204" s="260" t="s">
        <v>1286</v>
      </c>
      <c r="D204" s="260" t="s">
        <v>1389</v>
      </c>
      <c r="E204" s="260" t="s">
        <v>1390</v>
      </c>
      <c r="F204" s="260" t="s">
        <v>1391</v>
      </c>
      <c r="G204" s="260" t="s">
        <v>1392</v>
      </c>
      <c r="H204" s="260" t="s">
        <v>1405</v>
      </c>
      <c r="I204" s="260"/>
      <c r="J204" s="260"/>
      <c r="K204" s="260" t="s">
        <v>1406</v>
      </c>
      <c r="L204" s="260" t="s">
        <v>1407</v>
      </c>
      <c r="M204" s="260" t="s">
        <v>1408</v>
      </c>
      <c r="N204" s="260" t="s">
        <v>111</v>
      </c>
      <c r="O204" s="260" t="s">
        <v>112</v>
      </c>
      <c r="P204" s="10">
        <v>1</v>
      </c>
      <c r="Q204" s="11">
        <v>3</v>
      </c>
      <c r="R204" s="11">
        <f t="shared" si="347"/>
        <v>0</v>
      </c>
      <c r="S204" s="11">
        <f>VLOOKUP(K204,'1132 Minas'!$K$13:$AK$20,9,0)</f>
        <v>0</v>
      </c>
      <c r="T204" s="11">
        <v>0</v>
      </c>
      <c r="U204" s="11">
        <v>0</v>
      </c>
      <c r="V204" s="11">
        <v>0</v>
      </c>
      <c r="W204" s="11">
        <v>0</v>
      </c>
      <c r="X204" s="11">
        <v>0</v>
      </c>
      <c r="Y204" s="11">
        <v>0</v>
      </c>
      <c r="Z204" s="11">
        <v>0</v>
      </c>
      <c r="AA204" s="11"/>
      <c r="AB204" s="11"/>
      <c r="AC204" s="11"/>
      <c r="AD204" s="11">
        <v>1</v>
      </c>
      <c r="AE204" s="11">
        <v>0</v>
      </c>
      <c r="AF204" s="11">
        <f>VLOOKUP(K204,'1132 Minas'!$K$13:$AK$20,22,0)</f>
        <v>0</v>
      </c>
      <c r="AG204" s="11">
        <f>VLOOKUP(K204,'1132 Minas'!$K$13:$AK$20,23,0)</f>
        <v>0</v>
      </c>
      <c r="AH204" s="11">
        <f t="shared" si="348"/>
        <v>0</v>
      </c>
      <c r="AI204" s="11">
        <f>VLOOKUP(K204,'1132 Minas'!$K$13:$AK$20,25,0)</f>
        <v>0</v>
      </c>
      <c r="AJ204" s="11">
        <f>VLOOKUP(K204,'1132 Minas'!$K$13:$AK$20,26,0)</f>
        <v>0</v>
      </c>
      <c r="AK204" s="11">
        <f>VLOOKUP(K204,'1132 Minas'!$K$13:$AK$20,27,0)</f>
        <v>0</v>
      </c>
      <c r="AL204" s="11">
        <v>1</v>
      </c>
      <c r="AM204" s="11">
        <v>0</v>
      </c>
      <c r="AN204" s="11">
        <v>1</v>
      </c>
      <c r="AO204" s="11">
        <v>0</v>
      </c>
      <c r="AP204" s="11">
        <v>0</v>
      </c>
      <c r="AQ204" s="11">
        <v>0</v>
      </c>
      <c r="AR204" s="52"/>
      <c r="AS204" s="54">
        <v>0</v>
      </c>
      <c r="AT204" s="54">
        <f t="shared" ref="AT204:AT267" si="361">AR204+AS204</f>
        <v>0</v>
      </c>
      <c r="AU204" s="52"/>
      <c r="AV204" s="243">
        <v>15000000</v>
      </c>
      <c r="AW204" s="244"/>
      <c r="AX204" s="244"/>
      <c r="AY204" s="243">
        <v>0</v>
      </c>
      <c r="AZ204" s="44">
        <f t="shared" si="349"/>
        <v>0</v>
      </c>
      <c r="BA204" s="44">
        <v>0</v>
      </c>
      <c r="BB204" s="44" t="s">
        <v>115</v>
      </c>
      <c r="BC204" s="44">
        <f t="shared" si="350"/>
        <v>0.33333333333333331</v>
      </c>
      <c r="BD204" s="44" cm="1">
        <f t="array" ref="BD204">_xlfn.IFS(AD204=0,"NA",AD204&gt;0,AH204/AD204)</f>
        <v>0</v>
      </c>
      <c r="BE204" s="44">
        <f t="shared" si="351"/>
        <v>0.33333333333333331</v>
      </c>
      <c r="BF204" s="44">
        <v>0</v>
      </c>
      <c r="BG204" s="44">
        <f t="shared" si="352"/>
        <v>0.33333333333333331</v>
      </c>
      <c r="BH204" s="44">
        <v>0</v>
      </c>
      <c r="BI204" s="44">
        <f t="shared" si="353"/>
        <v>0</v>
      </c>
      <c r="BJ204" s="44" t="s">
        <v>115</v>
      </c>
      <c r="BK204" s="44">
        <f t="shared" ref="BK204:BK267" si="362">IF(AZ204&gt;100%,"100%",AZ204)</f>
        <v>0</v>
      </c>
      <c r="BL204" s="44" t="s">
        <v>115</v>
      </c>
      <c r="BM204" s="44" cm="1">
        <f t="array" ref="BM204">_xlfn.IFS(BD204="NA","NA",BD204&gt;100%,"100%",BD204&lt;100,BD204)</f>
        <v>0</v>
      </c>
      <c r="BN204" s="44" cm="1">
        <f t="array" ref="BN204">_xlfn.IFS(BF204="NA","NA",BF204&gt;100%,"100%",BF204&lt;100,BF204)</f>
        <v>0</v>
      </c>
      <c r="BO204" s="44" cm="1">
        <f t="array" ref="BO204">_xlfn.IFS(BH204="NA","NA",BH204&gt;100%,"100%",BH204&lt;100,BH204)</f>
        <v>0</v>
      </c>
      <c r="BP204" s="44" t="str" cm="1">
        <f t="array" ref="BP204">_xlfn.IFS(BJ204="NA","NA",BJ204&gt;100%,"100%",BJ204&lt;100,BJ204)</f>
        <v>NA</v>
      </c>
      <c r="BQ204" s="45">
        <v>0.22500000000000001</v>
      </c>
      <c r="BR204" s="45">
        <f t="shared" ref="BR204:BR209" si="363">BQ204*BK204</f>
        <v>0</v>
      </c>
      <c r="BS204" s="45">
        <v>0</v>
      </c>
      <c r="BT204" s="45" t="s">
        <v>115</v>
      </c>
      <c r="BU204" s="45">
        <v>0</v>
      </c>
      <c r="BV204" s="45">
        <f t="shared" si="354"/>
        <v>7.4999999999999997E-2</v>
      </c>
      <c r="BW204" s="45">
        <f t="shared" ref="BW204:BW212" si="364">IF(BM204="NA","NA",BM204*BV204)</f>
        <v>0</v>
      </c>
      <c r="BX204" s="45">
        <f t="shared" ref="BX204:BX212" si="365">BR204-BU204</f>
        <v>0</v>
      </c>
      <c r="BY204" s="45">
        <f t="shared" si="355"/>
        <v>7.4999999999999997E-2</v>
      </c>
      <c r="BZ204" s="45">
        <f t="shared" si="356"/>
        <v>0</v>
      </c>
      <c r="CA204" s="45">
        <f t="shared" ref="CA204:CA209" si="366">BR204-BU204-BX204</f>
        <v>0</v>
      </c>
      <c r="CB204" s="45">
        <f t="shared" si="357"/>
        <v>7.4999999999999997E-2</v>
      </c>
      <c r="CC204" s="45">
        <f t="shared" si="358"/>
        <v>0</v>
      </c>
      <c r="CD204" s="45">
        <v>0</v>
      </c>
      <c r="CE204" s="45">
        <f t="shared" si="359"/>
        <v>0</v>
      </c>
      <c r="CF204" s="45" t="str">
        <f t="shared" si="360"/>
        <v>NA</v>
      </c>
      <c r="CG204" s="45">
        <v>0</v>
      </c>
      <c r="CH204" s="244"/>
      <c r="CI204" s="244"/>
      <c r="CJ204" s="244"/>
      <c r="CK204" s="244"/>
      <c r="CM204" s="63">
        <v>0</v>
      </c>
    </row>
    <row r="205" spans="1:91" ht="18" hidden="1" customHeight="1">
      <c r="A205" s="260" t="s">
        <v>1409</v>
      </c>
      <c r="B205" s="260" t="s">
        <v>1410</v>
      </c>
      <c r="C205" s="260" t="s">
        <v>1286</v>
      </c>
      <c r="D205" s="260" t="s">
        <v>1389</v>
      </c>
      <c r="E205" s="260" t="s">
        <v>1411</v>
      </c>
      <c r="F205" s="260" t="s">
        <v>1412</v>
      </c>
      <c r="G205" s="260" t="s">
        <v>1413</v>
      </c>
      <c r="H205" s="260" t="s">
        <v>1414</v>
      </c>
      <c r="I205" s="260"/>
      <c r="J205" s="260"/>
      <c r="K205" s="260" t="s">
        <v>1415</v>
      </c>
      <c r="L205" s="260" t="s">
        <v>1416</v>
      </c>
      <c r="M205" s="260" t="s">
        <v>1417</v>
      </c>
      <c r="N205" s="260" t="s">
        <v>111</v>
      </c>
      <c r="O205" s="260" t="s">
        <v>112</v>
      </c>
      <c r="P205" s="10">
        <v>40</v>
      </c>
      <c r="Q205" s="11">
        <v>140</v>
      </c>
      <c r="R205" s="11">
        <f t="shared" si="347"/>
        <v>40</v>
      </c>
      <c r="S205" s="11" t="str">
        <f>VLOOKUP(K205,'1125 CTeI'!$K$13:$AK$20,9,0)</f>
        <v>Entrega de 40 becas condonables en Formación de alto nivel en maestrías para jóvenes Cundinamarqueses, beneficiando a jóvenes de 27 municipios y 14 provincias del departamento en los siguientes programas: 
Maestría en ingeniería y afines 9
Maestría en áreas de ciencias, sostenibilidad, ambiente, desarrollo rural y afines 21
Maestría en matemáticas 1
Maestría en áreas de ciencias sociales y educación 9
  y 100 becas maestrías docentes que se encuentran en proceso de firma del convenio por parte del ministerio de CTeI y el ministerio de Educación.</v>
      </c>
      <c r="T205" s="11">
        <v>0</v>
      </c>
      <c r="U205" s="11">
        <v>0</v>
      </c>
      <c r="V205" s="11">
        <v>20</v>
      </c>
      <c r="W205" s="11">
        <v>0</v>
      </c>
      <c r="X205" s="11">
        <v>0</v>
      </c>
      <c r="Y205" s="11">
        <v>0</v>
      </c>
      <c r="Z205" s="11">
        <v>0</v>
      </c>
      <c r="AA205" s="11"/>
      <c r="AB205" s="11"/>
      <c r="AC205" s="11"/>
      <c r="AD205" s="11">
        <v>40</v>
      </c>
      <c r="AE205" s="11">
        <v>0</v>
      </c>
      <c r="AF205" s="11">
        <f>VLOOKUP(K205,'1125 CTeI'!$K$13:$AK$20,22,0)</f>
        <v>40</v>
      </c>
      <c r="AG205" s="11">
        <f>VLOOKUP(K205,'1125 CTeI'!$K$13:$AK$20,23,0)</f>
        <v>0</v>
      </c>
      <c r="AH205" s="11">
        <f t="shared" si="348"/>
        <v>40</v>
      </c>
      <c r="AI205" s="11" t="str">
        <f>VLOOKUP(K205,'1125 CTeI'!$K$13:$AK$20,25,0)</f>
        <v>Un documento contractual "convenio Formacion de alto nivel Maestrias Docentes" - Acompañamiento y seguimiento a los 40 beneficiarios</v>
      </c>
      <c r="AJ205" s="11" t="str">
        <f>VLOOKUP(K205,'1125 CTeI'!$K$13:$AK$20,26,0)</f>
        <v>Seguimiento y acompañamiento académico a los 40 beneficiarios que se encuentran cursando su maestría. Firma del convenio en Formación de Alto nivel (Maestrías de Investigación) para 100 docentes de instituciones públicas de departamento de Cundinamarca.
1 Gualiva
1Guavio
2 Oriente
2 Rio Negro
5 Soacha
2 Sumapaz
3 Tequendama 
1 ubate 
1 Sábana Centro
Llegando a 9 provincias de las 15 que conforman el departamento. 
9 Mujeres y 11 hombres conforman el banco de elegibles.</v>
      </c>
      <c r="AK205" s="11" t="str">
        <f>VLOOKUP(K205,'1125 CTeI'!$K$13:$AK$20,27,0)</f>
        <v>No se presento</v>
      </c>
      <c r="AL205" s="11">
        <v>70</v>
      </c>
      <c r="AM205" s="11">
        <v>0</v>
      </c>
      <c r="AN205" s="11">
        <v>30</v>
      </c>
      <c r="AO205" s="11">
        <v>0</v>
      </c>
      <c r="AP205" s="11">
        <v>0</v>
      </c>
      <c r="AQ205" s="11">
        <v>0</v>
      </c>
      <c r="AR205" s="52"/>
      <c r="AS205" s="54">
        <v>449422510</v>
      </c>
      <c r="AT205" s="54">
        <f t="shared" si="361"/>
        <v>449422510</v>
      </c>
      <c r="AU205" s="52"/>
      <c r="AV205" s="243">
        <v>55000000</v>
      </c>
      <c r="AW205" s="244"/>
      <c r="AX205" s="244"/>
      <c r="AY205" s="243">
        <v>55000000</v>
      </c>
      <c r="AZ205" s="44">
        <f t="shared" si="349"/>
        <v>0.2857142857142857</v>
      </c>
      <c r="BA205" s="44">
        <v>0.1429</v>
      </c>
      <c r="BB205" s="44">
        <v>0</v>
      </c>
      <c r="BC205" s="44">
        <f t="shared" si="350"/>
        <v>0.2857142857142857</v>
      </c>
      <c r="BD205" s="44" cm="1">
        <f t="array" ref="BD205">_xlfn.IFS(AD205=0,"NA",AD205&gt;0,AH205/AD205)</f>
        <v>1</v>
      </c>
      <c r="BE205" s="44">
        <f t="shared" si="351"/>
        <v>0.5</v>
      </c>
      <c r="BF205" s="44">
        <v>0</v>
      </c>
      <c r="BG205" s="44">
        <f t="shared" si="352"/>
        <v>0.21428571428571427</v>
      </c>
      <c r="BH205" s="44">
        <v>0</v>
      </c>
      <c r="BI205" s="44">
        <f t="shared" si="353"/>
        <v>0</v>
      </c>
      <c r="BJ205" s="44" t="s">
        <v>115</v>
      </c>
      <c r="BK205" s="44">
        <f t="shared" si="362"/>
        <v>0.2857142857142857</v>
      </c>
      <c r="BL205" s="44">
        <v>0</v>
      </c>
      <c r="BM205" s="44" cm="1">
        <f t="array" ref="BM205">_xlfn.IFS(BD205="NA","NA",BD205&gt;100%,"100%",BD205&lt;100,BD205)</f>
        <v>1</v>
      </c>
      <c r="BN205" s="44" cm="1">
        <f t="array" ref="BN205">_xlfn.IFS(BF205="NA","NA",BF205&gt;100%,"100%",BF205&lt;100,BF205)</f>
        <v>0</v>
      </c>
      <c r="BO205" s="44" cm="1">
        <f t="array" ref="BO205">_xlfn.IFS(BH205="NA","NA",BH205&gt;100%,"100%",BH205&lt;100,BH205)</f>
        <v>0</v>
      </c>
      <c r="BP205" s="44" t="str" cm="1">
        <f t="array" ref="BP205">_xlfn.IFS(BJ205="NA","NA",BJ205&gt;100%,"100%",BJ205&lt;100,BJ205)</f>
        <v>NA</v>
      </c>
      <c r="BQ205" s="45">
        <v>0.22500000000000001</v>
      </c>
      <c r="BR205" s="45">
        <f t="shared" si="363"/>
        <v>6.4285714285714279E-2</v>
      </c>
      <c r="BS205" s="45">
        <v>3.2199999999999999E-2</v>
      </c>
      <c r="BT205" s="45">
        <v>0</v>
      </c>
      <c r="BU205" s="45">
        <v>0</v>
      </c>
      <c r="BV205" s="266">
        <v>5.5085714285714286E-2</v>
      </c>
      <c r="BW205" s="45">
        <f t="shared" si="364"/>
        <v>5.5085714285714286E-2</v>
      </c>
      <c r="BX205" s="45">
        <f t="shared" si="365"/>
        <v>6.4285714285714279E-2</v>
      </c>
      <c r="BY205" s="266">
        <v>9.64E-2</v>
      </c>
      <c r="BZ205" s="45">
        <f t="shared" si="356"/>
        <v>0</v>
      </c>
      <c r="CA205" s="45">
        <f t="shared" si="366"/>
        <v>0</v>
      </c>
      <c r="CB205" s="266">
        <v>4.1314285714285713E-2</v>
      </c>
      <c r="CC205" s="45">
        <f>IF(BO205="NA","NA",BO205*CB205)</f>
        <v>0</v>
      </c>
      <c r="CD205" s="45">
        <v>0</v>
      </c>
      <c r="CE205" s="45">
        <f t="shared" si="359"/>
        <v>0</v>
      </c>
      <c r="CF205" s="45" t="str">
        <f t="shared" si="360"/>
        <v>NA</v>
      </c>
      <c r="CG205" s="45">
        <v>0</v>
      </c>
      <c r="CH205" s="244"/>
      <c r="CI205" s="244"/>
      <c r="CJ205" s="244"/>
      <c r="CK205" s="244"/>
      <c r="CM205" s="63">
        <v>40</v>
      </c>
    </row>
    <row r="206" spans="1:91" ht="18" hidden="1" customHeight="1">
      <c r="A206" s="260" t="s">
        <v>1409</v>
      </c>
      <c r="B206" s="260" t="s">
        <v>1410</v>
      </c>
      <c r="C206" s="260" t="s">
        <v>1286</v>
      </c>
      <c r="D206" s="260" t="s">
        <v>1389</v>
      </c>
      <c r="E206" s="260" t="s">
        <v>1411</v>
      </c>
      <c r="F206" s="260" t="s">
        <v>1412</v>
      </c>
      <c r="G206" s="260" t="s">
        <v>1413</v>
      </c>
      <c r="H206" s="260" t="s">
        <v>1418</v>
      </c>
      <c r="I206" s="260"/>
      <c r="J206" s="260"/>
      <c r="K206" s="260" t="s">
        <v>1419</v>
      </c>
      <c r="L206" s="260" t="s">
        <v>1420</v>
      </c>
      <c r="M206" s="260" t="s">
        <v>1421</v>
      </c>
      <c r="N206" s="260" t="s">
        <v>111</v>
      </c>
      <c r="O206" s="260" t="s">
        <v>112</v>
      </c>
      <c r="P206" s="10">
        <v>1</v>
      </c>
      <c r="Q206" s="11">
        <v>14</v>
      </c>
      <c r="R206" s="11">
        <f t="shared" si="347"/>
        <v>6</v>
      </c>
      <c r="S206" s="11" t="str">
        <f>VLOOKUP(K206,'1125 CTeI'!$K$13:$AK$20,9,0)</f>
        <v>A través del Proyecto Cundinamarca Apropia la Ciencia, Tecnología e Innovación (CACTI) y el grupo de investigación de la Secretaría de CTeI se realizó la identificación y selección de semilleros de formación temprana en las 15 provincias del departamento de Cundinamarca con la conformación de comunidades de aprendizaje. Se han capacitado 204 docentes formados "experiencias stem" bajo la metodología aprender haciendo, 195 madres comunitarias formadas stem md: escenario para el desarrollo integral de la primera infancia desde la educación inicial en Cundinamarca, 500 líderes comunitarios curso especializado en ofimática, 13,049 niños y niñas impactadas programa Stem robotics. Además se realizó fortalecimiento y transferencia de conocimiento a seis Semilleros de investigación conformado por docentes y estudiantes de los municipios de Ubaté, Sopo, Girardot, Zipaquirá, Soacha y Madrid.</v>
      </c>
      <c r="T206" s="11">
        <v>3</v>
      </c>
      <c r="U206" s="11">
        <v>0</v>
      </c>
      <c r="V206" s="11">
        <v>0</v>
      </c>
      <c r="W206" s="11">
        <v>0</v>
      </c>
      <c r="X206" s="11">
        <v>0</v>
      </c>
      <c r="Y206" s="11">
        <v>0</v>
      </c>
      <c r="Z206" s="11">
        <v>0</v>
      </c>
      <c r="AA206" s="11" t="s">
        <v>1422</v>
      </c>
      <c r="AB206" s="11" t="s">
        <v>1423</v>
      </c>
      <c r="AC206" s="11" t="s">
        <v>1424</v>
      </c>
      <c r="AD206" s="11">
        <v>6</v>
      </c>
      <c r="AE206" s="11">
        <v>0</v>
      </c>
      <c r="AF206" s="11">
        <f>VLOOKUP(K206,'1125 CTeI'!$K$13:$AK$20,22,0)</f>
        <v>6</v>
      </c>
      <c r="AG206" s="11">
        <f>VLOOKUP(K206,'1125 CTeI'!$K$13:$AK$20,23,0)</f>
        <v>0</v>
      </c>
      <c r="AH206" s="11">
        <f t="shared" si="348"/>
        <v>6</v>
      </c>
      <c r="AI206" s="11" t="str">
        <f>VLOOKUP(K206,'1125 CTeI'!$K$13:$AK$20,25,0)</f>
        <v>2 Capacitaciones  a Docentes</v>
      </c>
      <c r="AJ206" s="11" t="str">
        <f>VLOOKUP(K206,'1125 CTeI'!$K$13:$AK$20,26,0)</f>
        <v>Capacitacion a los lideres  y docentes de las comunidades de aprendizaje en el marco del proyecto CACTI dirigido a los 66 municipio beneficiados, Se realizo la estruturacion legal para la conformación de la red de semilleros  de investigacion de Cundinamarca.</v>
      </c>
      <c r="AK206" s="11" t="str">
        <f>VLOOKUP(K206,'1125 CTeI'!$K$13:$AK$20,27,0)</f>
        <v>No se presento</v>
      </c>
      <c r="AL206" s="11">
        <v>6</v>
      </c>
      <c r="AM206" s="11">
        <v>0</v>
      </c>
      <c r="AN206" s="11">
        <v>2</v>
      </c>
      <c r="AO206" s="11">
        <v>0</v>
      </c>
      <c r="AP206" s="11">
        <v>0</v>
      </c>
      <c r="AQ206" s="11">
        <v>0</v>
      </c>
      <c r="AR206" s="51">
        <v>210126928</v>
      </c>
      <c r="AS206" s="54">
        <v>0</v>
      </c>
      <c r="AT206" s="54">
        <f t="shared" si="361"/>
        <v>210126928</v>
      </c>
      <c r="AU206" s="51">
        <v>205006928</v>
      </c>
      <c r="AV206" s="243">
        <v>147973000</v>
      </c>
      <c r="AW206" s="244"/>
      <c r="AX206" s="244"/>
      <c r="AY206" s="243">
        <v>147673000</v>
      </c>
      <c r="AZ206" s="44">
        <f t="shared" si="349"/>
        <v>0.42857142857142855</v>
      </c>
      <c r="BA206" s="44">
        <v>0</v>
      </c>
      <c r="BB206" s="44" t="s">
        <v>115</v>
      </c>
      <c r="BC206" s="44">
        <f t="shared" si="350"/>
        <v>0.42857142857142855</v>
      </c>
      <c r="BD206" s="44" cm="1">
        <f t="array" ref="BD206">_xlfn.IFS(AD206=0,"NA",AD206&gt;0,AH206/AD206)</f>
        <v>1</v>
      </c>
      <c r="BE206" s="44">
        <f t="shared" si="351"/>
        <v>0.42857142857142855</v>
      </c>
      <c r="BF206" s="44">
        <v>0</v>
      </c>
      <c r="BG206" s="44">
        <f t="shared" si="352"/>
        <v>0.14285714285714285</v>
      </c>
      <c r="BH206" s="44">
        <v>0</v>
      </c>
      <c r="BI206" s="44">
        <f t="shared" si="353"/>
        <v>0</v>
      </c>
      <c r="BJ206" s="44" t="s">
        <v>115</v>
      </c>
      <c r="BK206" s="44">
        <f t="shared" si="362"/>
        <v>0.42857142857142855</v>
      </c>
      <c r="BL206" s="44" t="s">
        <v>115</v>
      </c>
      <c r="BM206" s="44" cm="1">
        <f t="array" ref="BM206">_xlfn.IFS(BD206="NA","NA",BD206&gt;100%,"100%",BD206&lt;100,BD206)</f>
        <v>1</v>
      </c>
      <c r="BN206" s="44" cm="1">
        <f t="array" ref="BN206">_xlfn.IFS(BF206="NA","NA",BF206&gt;100%,"100%",BF206&lt;100,BF206)</f>
        <v>0</v>
      </c>
      <c r="BO206" s="44" cm="1">
        <f t="array" ref="BO206">_xlfn.IFS(BH206="NA","NA",BH206&gt;100%,"100%",BH206&lt;100,BH206)</f>
        <v>0</v>
      </c>
      <c r="BP206" s="44" t="str" cm="1">
        <f t="array" ref="BP206">_xlfn.IFS(BJ206="NA","NA",BJ206&gt;100%,"100%",BJ206&lt;100,BJ206)</f>
        <v>NA</v>
      </c>
      <c r="BQ206" s="45">
        <v>0.22500000000000001</v>
      </c>
      <c r="BR206" s="45">
        <f t="shared" si="363"/>
        <v>9.6428571428571419E-2</v>
      </c>
      <c r="BS206" s="45">
        <v>0</v>
      </c>
      <c r="BT206" s="45" t="s">
        <v>115</v>
      </c>
      <c r="BU206" s="45">
        <v>0</v>
      </c>
      <c r="BV206" s="45">
        <f t="shared" si="354"/>
        <v>9.6428571428571433E-2</v>
      </c>
      <c r="BW206" s="45">
        <f t="shared" si="364"/>
        <v>9.6428571428571433E-2</v>
      </c>
      <c r="BX206" s="45">
        <f t="shared" si="365"/>
        <v>9.6428571428571419E-2</v>
      </c>
      <c r="BY206" s="45">
        <f t="shared" si="355"/>
        <v>9.6428571428571433E-2</v>
      </c>
      <c r="BZ206" s="45">
        <f t="shared" si="356"/>
        <v>0</v>
      </c>
      <c r="CA206" s="45">
        <f t="shared" si="366"/>
        <v>0</v>
      </c>
      <c r="CB206" s="45">
        <f t="shared" si="357"/>
        <v>3.2142857142857147E-2</v>
      </c>
      <c r="CC206" s="45">
        <f t="shared" si="358"/>
        <v>0</v>
      </c>
      <c r="CD206" s="45">
        <v>0</v>
      </c>
      <c r="CE206" s="45">
        <f t="shared" si="359"/>
        <v>0</v>
      </c>
      <c r="CF206" s="45" t="str">
        <f t="shared" si="360"/>
        <v>NA</v>
      </c>
      <c r="CG206" s="45">
        <v>0</v>
      </c>
      <c r="CH206" s="244"/>
      <c r="CI206" s="244"/>
      <c r="CJ206" s="244"/>
      <c r="CK206" s="244"/>
      <c r="CM206" s="63">
        <v>4</v>
      </c>
    </row>
    <row r="207" spans="1:91" ht="18" hidden="1" customHeight="1">
      <c r="A207" s="260" t="s">
        <v>1409</v>
      </c>
      <c r="B207" s="260" t="s">
        <v>1410</v>
      </c>
      <c r="C207" s="260" t="s">
        <v>1286</v>
      </c>
      <c r="D207" s="260" t="s">
        <v>1389</v>
      </c>
      <c r="E207" s="260" t="s">
        <v>1411</v>
      </c>
      <c r="F207" s="260" t="s">
        <v>1412</v>
      </c>
      <c r="G207" s="260" t="s">
        <v>1413</v>
      </c>
      <c r="H207" s="260" t="s">
        <v>1425</v>
      </c>
      <c r="I207" s="260"/>
      <c r="J207" s="260"/>
      <c r="K207" s="260" t="s">
        <v>1426</v>
      </c>
      <c r="L207" s="260" t="s">
        <v>1427</v>
      </c>
      <c r="M207" s="260" t="s">
        <v>1428</v>
      </c>
      <c r="N207" s="260" t="s">
        <v>111</v>
      </c>
      <c r="O207" s="260" t="s">
        <v>112</v>
      </c>
      <c r="P207" s="10">
        <v>200</v>
      </c>
      <c r="Q207" s="11">
        <v>1000</v>
      </c>
      <c r="R207" s="11">
        <f t="shared" si="347"/>
        <v>220</v>
      </c>
      <c r="S207" s="11" t="str">
        <f>VLOOKUP(K207,'1125 CTeI'!$K$13:$AK$20,9,0)</f>
        <v>Con el proyecto Innovación sistema de producción de frutas/hortalizas frescas/procesadas tipo exportación con tecnología biológica /integral inocua de Cundinamarca, “FRUTAS Y HORTALIZAS". Se realizo la entrega Seis paquetes tecnológicos (Uchuva, Granadilla, Gulupa, Tomate, Aguacate Hass y Limón Tahity) y artículos de investigación y transferencia de tecnología a 1750 productores agrícolas de frutas y hortalizas del departamento de Cundinamarca. Se conformó la red de laboratorios Agrolabs de Cundinamarca que les permitirá a productores realizar pruebas analíticas autorizadas, pruebas acreditadas y pruebas con reconocimiento de Buenas Prácticas de Laboratorio en forma detallada, actualizada, consolidada, fácil de comprender y de fácil acceso a través de tecnología informática que llegue al usuario. Se gestionaron los recurso del Fondo CTeI SGR para  los convenios Fortalecimiento de la competitividad de la cadena productiva de la Guadua por medio del desarrollo e implementación de dos (2) paquetes tecnológicos para la generación de productos con valor agregado a base de carbón activado y laminados en el departamento de Cundinamarca y el proyecto Fortalecimiento de Capacidades de CTeI para la Reactivación Económica y la Transformación Productiva en Cundinamarca.
Se encuentra en proceso de ejecución el proyecto “Análisis de factores genéticos sanitarios y medio ambientales que afectan las tasas de preñez a partir de embriones invitro en el departamento de Cundinamarca. - "EMBRIONES DE GANADERÍA", beneficiando pequeños productores del sector pecuario.</v>
      </c>
      <c r="T207" s="11">
        <v>70</v>
      </c>
      <c r="U207" s="11">
        <v>0</v>
      </c>
      <c r="V207" s="11">
        <v>0</v>
      </c>
      <c r="W207" s="11">
        <v>0</v>
      </c>
      <c r="X207" s="11">
        <v>0</v>
      </c>
      <c r="Y207" s="11">
        <v>0</v>
      </c>
      <c r="Z207" s="11">
        <v>0</v>
      </c>
      <c r="AA207" s="11"/>
      <c r="AB207" s="11"/>
      <c r="AC207" s="11"/>
      <c r="AD207" s="11">
        <v>220</v>
      </c>
      <c r="AE207" s="11">
        <v>0</v>
      </c>
      <c r="AF207" s="11">
        <f>VLOOKUP(K207,'1125 CTeI'!$K$13:$AK$20,22,0)</f>
        <v>220</v>
      </c>
      <c r="AG207" s="11">
        <f>VLOOKUP(K207,'1125 CTeI'!$K$13:$AK$20,23,0)</f>
        <v>0</v>
      </c>
      <c r="AH207" s="11">
        <f t="shared" si="348"/>
        <v>220</v>
      </c>
      <c r="AI207" s="11" t="str">
        <f>VLOOKUP(K207,'1125 CTeI'!$K$13:$AK$20,25,0)</f>
        <v>Un evento de lanzamiento del proyecto Reactivación Economica - Un evento de lanzamiento Fortalecimiento de la competitividad de la cadena productiva de la Guadua</v>
      </c>
      <c r="AJ207" s="11" t="str">
        <f>VLOOKUP(K207,'1125 CTeI'!$K$13:$AK$20,26,0)</f>
        <v>Para el proyecto Fortalecimiento de Capacidades de CTeI para la Reactivación Económica y la Transformación Productiva en Cundinamarca Se realiza la difusión  en las 15 Provincias del Departamento de manera Presencial en las Cabeceras Municipales con el acompañamiento de las Alcaldías, Secretarias de desarrollo,Agricultura y Umatas,  Asi mismo se formaliza la Preinscripción e Inscripción de las Comunidades Agropecuarias y Agroalimentarias que deseen ser beneficiarias del proyecto. - Con el proyecto Fortalecimiento de la competitividad de la cadena productiva de la Guadua se realizo el evento de lanzamiento a traves de la emisora el dorado radio con la participacion de los productores de guadua del departamento y alcaldes municipales.</v>
      </c>
      <c r="AK207" s="11" t="str">
        <f>VLOOKUP(K207,'1125 CTeI'!$K$13:$AK$20,27,0)</f>
        <v>No se presento</v>
      </c>
      <c r="AL207" s="11">
        <v>520</v>
      </c>
      <c r="AM207" s="11">
        <v>0</v>
      </c>
      <c r="AN207" s="11">
        <v>260</v>
      </c>
      <c r="AO207" s="11">
        <v>0</v>
      </c>
      <c r="AP207" s="11">
        <v>0</v>
      </c>
      <c r="AQ207" s="11">
        <v>0</v>
      </c>
      <c r="AR207" s="52"/>
      <c r="AS207" s="54">
        <v>169209376</v>
      </c>
      <c r="AT207" s="54">
        <f t="shared" si="361"/>
        <v>169209376</v>
      </c>
      <c r="AU207" s="52"/>
      <c r="AV207" s="243">
        <v>750000000</v>
      </c>
      <c r="AW207" s="244"/>
      <c r="AX207" s="244"/>
      <c r="AY207" s="243">
        <v>699429435</v>
      </c>
      <c r="AZ207" s="44">
        <f t="shared" si="349"/>
        <v>0.22</v>
      </c>
      <c r="BA207" s="44">
        <v>0</v>
      </c>
      <c r="BB207" s="44" t="s">
        <v>115</v>
      </c>
      <c r="BC207" s="44">
        <f t="shared" si="350"/>
        <v>0.22</v>
      </c>
      <c r="BD207" s="44" cm="1">
        <f t="array" ref="BD207">_xlfn.IFS(AD207=0,"NA",AD207&gt;0,AH207/AD207)</f>
        <v>1</v>
      </c>
      <c r="BE207" s="44">
        <f t="shared" si="351"/>
        <v>0.52</v>
      </c>
      <c r="BF207" s="44">
        <v>0</v>
      </c>
      <c r="BG207" s="44">
        <f t="shared" si="352"/>
        <v>0.26</v>
      </c>
      <c r="BH207" s="44">
        <v>0</v>
      </c>
      <c r="BI207" s="44">
        <f t="shared" si="353"/>
        <v>0</v>
      </c>
      <c r="BJ207" s="44" t="s">
        <v>115</v>
      </c>
      <c r="BK207" s="44">
        <f t="shared" si="362"/>
        <v>0.22</v>
      </c>
      <c r="BL207" s="44" t="s">
        <v>115</v>
      </c>
      <c r="BM207" s="44" cm="1">
        <f t="array" ref="BM207">_xlfn.IFS(BD207="NA","NA",BD207&gt;100%,"100%",BD207&lt;100,BD207)</f>
        <v>1</v>
      </c>
      <c r="BN207" s="44" cm="1">
        <f t="array" ref="BN207">_xlfn.IFS(BF207="NA","NA",BF207&gt;100%,"100%",BF207&lt;100,BF207)</f>
        <v>0</v>
      </c>
      <c r="BO207" s="44" cm="1">
        <f t="array" ref="BO207">_xlfn.IFS(BH207="NA","NA",BH207&gt;100%,"100%",BH207&lt;100,BH207)</f>
        <v>0</v>
      </c>
      <c r="BP207" s="44" t="str" cm="1">
        <f t="array" ref="BP207">_xlfn.IFS(BJ207="NA","NA",BJ207&gt;100%,"100%",BJ207&lt;100,BJ207)</f>
        <v>NA</v>
      </c>
      <c r="BQ207" s="45">
        <v>0.22500000000000001</v>
      </c>
      <c r="BR207" s="45">
        <f t="shared" si="363"/>
        <v>4.9500000000000002E-2</v>
      </c>
      <c r="BS207" s="45">
        <v>0</v>
      </c>
      <c r="BT207" s="45" t="s">
        <v>115</v>
      </c>
      <c r="BU207" s="45">
        <v>0</v>
      </c>
      <c r="BV207" s="45">
        <f t="shared" si="354"/>
        <v>4.9500000000000002E-2</v>
      </c>
      <c r="BW207" s="45">
        <f t="shared" si="364"/>
        <v>4.9500000000000002E-2</v>
      </c>
      <c r="BX207" s="45">
        <f t="shared" si="365"/>
        <v>4.9500000000000002E-2</v>
      </c>
      <c r="BY207" s="45">
        <f t="shared" si="355"/>
        <v>0.11700000000000001</v>
      </c>
      <c r="BZ207" s="45">
        <f t="shared" si="356"/>
        <v>0</v>
      </c>
      <c r="CA207" s="45">
        <f t="shared" si="366"/>
        <v>0</v>
      </c>
      <c r="CB207" s="45">
        <f t="shared" si="357"/>
        <v>5.8500000000000003E-2</v>
      </c>
      <c r="CC207" s="45">
        <f t="shared" si="358"/>
        <v>0</v>
      </c>
      <c r="CD207" s="45">
        <v>0</v>
      </c>
      <c r="CE207" s="45">
        <f t="shared" si="359"/>
        <v>0</v>
      </c>
      <c r="CF207" s="45" t="str">
        <f t="shared" si="360"/>
        <v>NA</v>
      </c>
      <c r="CG207" s="45">
        <v>0</v>
      </c>
      <c r="CH207" s="244"/>
      <c r="CI207" s="244"/>
      <c r="CJ207" s="244"/>
      <c r="CK207" s="244"/>
      <c r="CM207" s="63">
        <v>220</v>
      </c>
    </row>
    <row r="208" spans="1:91" ht="18" hidden="1" customHeight="1">
      <c r="A208" s="260" t="s">
        <v>292</v>
      </c>
      <c r="B208" s="260" t="s">
        <v>293</v>
      </c>
      <c r="C208" s="260" t="s">
        <v>1286</v>
      </c>
      <c r="D208" s="260" t="s">
        <v>1389</v>
      </c>
      <c r="E208" s="260" t="s">
        <v>1411</v>
      </c>
      <c r="F208" s="260" t="s">
        <v>1412</v>
      </c>
      <c r="G208" s="260" t="s">
        <v>1413</v>
      </c>
      <c r="H208" s="260" t="s">
        <v>1429</v>
      </c>
      <c r="I208" s="260" t="s">
        <v>255</v>
      </c>
      <c r="J208" s="260" t="s">
        <v>632</v>
      </c>
      <c r="K208" s="260" t="s">
        <v>1430</v>
      </c>
      <c r="L208" s="260" t="s">
        <v>1431</v>
      </c>
      <c r="M208" s="260" t="s">
        <v>1432</v>
      </c>
      <c r="N208" s="260" t="s">
        <v>111</v>
      </c>
      <c r="O208" s="260" t="s">
        <v>112</v>
      </c>
      <c r="P208" s="10">
        <v>5196</v>
      </c>
      <c r="Q208" s="11">
        <v>4000</v>
      </c>
      <c r="R208" s="11">
        <f t="shared" si="347"/>
        <v>1463</v>
      </c>
      <c r="S208" s="11">
        <f>VLOOKUP(K208,'1108 Educación'!$K$13:$AK$40,9,0)</f>
        <v>0</v>
      </c>
      <c r="T208" s="11">
        <v>600</v>
      </c>
      <c r="U208" s="11">
        <v>0</v>
      </c>
      <c r="V208" s="11">
        <v>600</v>
      </c>
      <c r="W208" s="11">
        <v>0</v>
      </c>
      <c r="X208" s="11">
        <v>602</v>
      </c>
      <c r="Y208" s="11">
        <v>0</v>
      </c>
      <c r="Z208" s="11">
        <v>602</v>
      </c>
      <c r="AA208" s="11">
        <v>0</v>
      </c>
      <c r="AB208" s="11" t="s">
        <v>1433</v>
      </c>
      <c r="AC208" s="11">
        <v>0</v>
      </c>
      <c r="AD208" s="11">
        <v>1198</v>
      </c>
      <c r="AE208" s="11">
        <v>0</v>
      </c>
      <c r="AF208" s="11">
        <f>VLOOKUP(K208,'1108 Educación'!$K$13:$AK$40,22,0)</f>
        <v>861</v>
      </c>
      <c r="AG208" s="11">
        <f>VLOOKUP(K208,'1108 Educación'!$K$13:$AK$40,23,0)</f>
        <v>0</v>
      </c>
      <c r="AH208" s="11">
        <f t="shared" si="348"/>
        <v>861</v>
      </c>
      <c r="AI208" s="11" t="str">
        <f>VLOOKUP(K208,'1108 Educación'!$K$13:$AK$40,25,0)</f>
        <v>Vinculación a redes sociales de la conmunidad educativa de Cundinamarca</v>
      </c>
      <c r="AJ208" s="11" t="str">
        <f>VLOOKUP(K208,'1108 Educación'!$K$13:$AK$40,26,0)</f>
        <v xml:space="preserve"> en el mes de octubre se logró la vinculación de 100 nuevos usuarios de la comunidad educativa de Cundinamarca, buscando la visibilizacion proyectos académicos del departamento.</v>
      </c>
      <c r="AK208" s="11" t="str">
        <f>VLOOKUP(K208,'1108 Educación'!$K$13:$AK$40,27,0)</f>
        <v>Cambios de fecha en las capacitaciones debido al inicio de la alternacia en las instituciones educativas.</v>
      </c>
      <c r="AL208" s="11">
        <v>1200</v>
      </c>
      <c r="AM208" s="11">
        <v>0</v>
      </c>
      <c r="AN208" s="11">
        <v>1000</v>
      </c>
      <c r="AO208" s="11">
        <v>0</v>
      </c>
      <c r="AP208" s="11">
        <v>0</v>
      </c>
      <c r="AQ208" s="11">
        <v>0</v>
      </c>
      <c r="AR208" s="52"/>
      <c r="AS208" s="54">
        <v>24000000</v>
      </c>
      <c r="AT208" s="54">
        <f t="shared" si="361"/>
        <v>24000000</v>
      </c>
      <c r="AU208" s="52"/>
      <c r="AV208" s="243"/>
      <c r="AW208" s="244"/>
      <c r="AX208" s="244"/>
      <c r="AY208" s="243"/>
      <c r="AZ208" s="44">
        <f t="shared" si="349"/>
        <v>0.36575000000000002</v>
      </c>
      <c r="BA208" s="44">
        <v>0.15</v>
      </c>
      <c r="BB208" s="44">
        <v>1.0033000000000001</v>
      </c>
      <c r="BC208" s="44">
        <f t="shared" si="350"/>
        <v>0.29949999999999999</v>
      </c>
      <c r="BD208" s="44" cm="1">
        <f t="array" ref="BD208">_xlfn.IFS(AD208=0,"NA",AD208&gt;0,AH208/AD208)</f>
        <v>0.71869782971619367</v>
      </c>
      <c r="BE208" s="44">
        <f t="shared" si="351"/>
        <v>0.3</v>
      </c>
      <c r="BF208" s="44">
        <v>0</v>
      </c>
      <c r="BG208" s="44">
        <f t="shared" si="352"/>
        <v>0.25</v>
      </c>
      <c r="BH208" s="44">
        <v>0</v>
      </c>
      <c r="BI208" s="44">
        <f t="shared" si="353"/>
        <v>0</v>
      </c>
      <c r="BJ208" s="44" t="s">
        <v>115</v>
      </c>
      <c r="BK208" s="44">
        <f t="shared" si="362"/>
        <v>0.36575000000000002</v>
      </c>
      <c r="BL208" s="44">
        <v>1</v>
      </c>
      <c r="BM208" s="44" cm="1">
        <f t="array" ref="BM208">_xlfn.IFS(BD208="NA","NA",BD208&gt;100%,"100%",BD208&lt;100,BD208)</f>
        <v>0.71869782971619367</v>
      </c>
      <c r="BN208" s="44" cm="1">
        <f t="array" ref="BN208">_xlfn.IFS(BF208="NA","NA",BF208&gt;100%,"100%",BF208&lt;100,BF208)</f>
        <v>0</v>
      </c>
      <c r="BO208" s="44" cm="1">
        <f t="array" ref="BO208">_xlfn.IFS(BH208="NA","NA",BH208&gt;100%,"100%",BH208&lt;100,BH208)</f>
        <v>0</v>
      </c>
      <c r="BP208" s="44" t="str" cm="1">
        <f t="array" ref="BP208">_xlfn.IFS(BJ208="NA","NA",BJ208&gt;100%,"100%",BJ208&lt;100,BJ208)</f>
        <v>NA</v>
      </c>
      <c r="BQ208" s="220">
        <v>0.22500000000000001</v>
      </c>
      <c r="BR208" s="45">
        <f t="shared" si="363"/>
        <v>8.2293750000000013E-2</v>
      </c>
      <c r="BS208" s="45">
        <v>3.3799999999999997E-2</v>
      </c>
      <c r="BT208" s="45">
        <v>3.3799999999999997E-2</v>
      </c>
      <c r="BU208" s="45">
        <v>3.39E-2</v>
      </c>
      <c r="BV208" s="45">
        <f t="shared" si="354"/>
        <v>6.7387500000000003E-2</v>
      </c>
      <c r="BW208" s="45">
        <f t="shared" si="364"/>
        <v>4.8431250000000002E-2</v>
      </c>
      <c r="BX208" s="45">
        <f t="shared" si="365"/>
        <v>4.8393750000000013E-2</v>
      </c>
      <c r="BY208" s="45">
        <f t="shared" si="355"/>
        <v>6.7500000000000004E-2</v>
      </c>
      <c r="BZ208" s="45">
        <f t="shared" si="356"/>
        <v>0</v>
      </c>
      <c r="CA208" s="45">
        <f t="shared" si="366"/>
        <v>0</v>
      </c>
      <c r="CB208" s="45">
        <f t="shared" si="357"/>
        <v>5.6250000000000001E-2</v>
      </c>
      <c r="CC208" s="45">
        <f t="shared" si="358"/>
        <v>0</v>
      </c>
      <c r="CD208" s="45">
        <v>0</v>
      </c>
      <c r="CE208" s="45">
        <f t="shared" si="359"/>
        <v>0</v>
      </c>
      <c r="CF208" s="45" t="str">
        <f t="shared" si="360"/>
        <v>NA</v>
      </c>
      <c r="CG208" s="45">
        <v>0</v>
      </c>
      <c r="CH208" s="244"/>
      <c r="CI208" s="244"/>
      <c r="CJ208" s="244"/>
      <c r="CK208" s="244"/>
      <c r="CM208" s="63">
        <v>1005</v>
      </c>
    </row>
    <row r="209" spans="1:91" ht="18" hidden="1" customHeight="1">
      <c r="A209" s="260" t="s">
        <v>1434</v>
      </c>
      <c r="B209" s="260" t="s">
        <v>1435</v>
      </c>
      <c r="C209" s="260" t="s">
        <v>1286</v>
      </c>
      <c r="D209" s="260" t="s">
        <v>1389</v>
      </c>
      <c r="E209" s="260" t="s">
        <v>1411</v>
      </c>
      <c r="F209" s="260" t="s">
        <v>1412</v>
      </c>
      <c r="G209" s="260" t="s">
        <v>1413</v>
      </c>
      <c r="H209" s="260" t="s">
        <v>1436</v>
      </c>
      <c r="I209" s="260"/>
      <c r="J209" s="260"/>
      <c r="K209" s="260" t="s">
        <v>1437</v>
      </c>
      <c r="L209" s="260" t="s">
        <v>1438</v>
      </c>
      <c r="M209" s="260" t="s">
        <v>1439</v>
      </c>
      <c r="N209" s="260" t="s">
        <v>111</v>
      </c>
      <c r="O209" s="260" t="s">
        <v>112</v>
      </c>
      <c r="P209" s="10">
        <v>0</v>
      </c>
      <c r="Q209" s="11">
        <v>1</v>
      </c>
      <c r="R209" s="11">
        <f t="shared" si="347"/>
        <v>0.48000000000000004</v>
      </c>
      <c r="S209" s="11" t="str">
        <f>VLOOKUP(K209,'1128 TICS'!$K$13:$AK$27,9,0)</f>
        <v>Se realizó taller de emprendimiento digital, con  acompañamiento del MINTIC,  
Se iniciara en el mes de diciembre  un PROCESO DE FORMACIÓN CERTIFICADA EN HERRAMIENTAS TIC PARA IMPULSAR EL EMPRENDIMIENTO DE JÓVENES EN CUNDINAMARCA".</v>
      </c>
      <c r="T209" s="11">
        <v>0</v>
      </c>
      <c r="U209" s="11">
        <v>0</v>
      </c>
      <c r="V209" s="11">
        <v>0</v>
      </c>
      <c r="W209" s="11">
        <v>0</v>
      </c>
      <c r="X209" s="11">
        <v>0</v>
      </c>
      <c r="Y209" s="11">
        <v>0</v>
      </c>
      <c r="Z209" s="11">
        <v>0</v>
      </c>
      <c r="AA209" s="11"/>
      <c r="AB209" s="11"/>
      <c r="AC209" s="11"/>
      <c r="AD209" s="11">
        <v>0.5</v>
      </c>
      <c r="AE209" s="11">
        <v>0</v>
      </c>
      <c r="AF209" s="11">
        <f>VLOOKUP(K209,'1128 TICS'!$K$13:$AK$27,22,0)</f>
        <v>0.48000000000000004</v>
      </c>
      <c r="AG209" s="11">
        <f>VLOOKUP(K209,'1128 TICS'!$K$13:$AK$27,23,0)</f>
        <v>0</v>
      </c>
      <c r="AH209" s="11">
        <f t="shared" si="348"/>
        <v>0.48000000000000004</v>
      </c>
      <c r="AI209" s="11" t="str">
        <f>VLOOKUP(K209,'1128 TICS'!$K$13:$AK$27,25,0)</f>
        <v>Se realizó taller de emprendimiento digital, con  acompañamiento del MINTIC,  
Se iniciara en el mes de diciembre  un PROCESO DE FORMACIÓN CERTIFICADA EN HERRAMIENTAS TIC PARA IMPULSAR EL EMPRENDIMIENTO DE JÓVENES EN CUNDINAMARCA".</v>
      </c>
      <c r="AJ209" s="11" t="str">
        <f>VLOOKUP(K209,'1128 TICS'!$K$13:$AK$27,26,0)</f>
        <v>Se realizó taller de emprendimiento digital, con  acompañamiento del MINTIC,  
Se iniciara en el mes de diciembre  un PROCESO DE FORMACIÓN CERTIFICADA EN HERRAMIENTAS TIC PARA IMPULSAR EL EMPRENDIMIENTO DE JÓVENES EN CUNDINAMARCA".</v>
      </c>
      <c r="AK209" s="11">
        <f>VLOOKUP(K209,'1128 TICS'!$K$13:$AK$27,27,0)</f>
        <v>0</v>
      </c>
      <c r="AL209" s="11">
        <v>0.5</v>
      </c>
      <c r="AM209" s="11">
        <v>0</v>
      </c>
      <c r="AN209" s="11">
        <v>0</v>
      </c>
      <c r="AO209" s="11">
        <v>0</v>
      </c>
      <c r="AP209" s="11">
        <v>0</v>
      </c>
      <c r="AQ209" s="11">
        <v>0</v>
      </c>
      <c r="AR209" s="52"/>
      <c r="AS209" s="54">
        <v>0</v>
      </c>
      <c r="AT209" s="54">
        <f t="shared" si="361"/>
        <v>0</v>
      </c>
      <c r="AU209" s="52"/>
      <c r="AV209" s="243">
        <v>40000000</v>
      </c>
      <c r="AW209" s="244"/>
      <c r="AX209" s="244"/>
      <c r="AY209" s="243">
        <v>40000000</v>
      </c>
      <c r="AZ209" s="44">
        <f t="shared" si="349"/>
        <v>0.48000000000000004</v>
      </c>
      <c r="BA209" s="44">
        <v>0</v>
      </c>
      <c r="BB209" s="44" t="s">
        <v>115</v>
      </c>
      <c r="BC209" s="44">
        <f t="shared" si="350"/>
        <v>0.5</v>
      </c>
      <c r="BD209" s="44" cm="1">
        <f t="array" ref="BD209">_xlfn.IFS(AD209=0,"NA",AD209&gt;0,AH209/AD209)</f>
        <v>0.96000000000000008</v>
      </c>
      <c r="BE209" s="44">
        <f t="shared" si="351"/>
        <v>0.5</v>
      </c>
      <c r="BF209" s="44">
        <v>0</v>
      </c>
      <c r="BG209" s="44">
        <f t="shared" si="352"/>
        <v>0</v>
      </c>
      <c r="BH209" s="44">
        <v>0</v>
      </c>
      <c r="BI209" s="44">
        <f t="shared" si="353"/>
        <v>0</v>
      </c>
      <c r="BJ209" s="44" t="s">
        <v>115</v>
      </c>
      <c r="BK209" s="44">
        <f t="shared" si="362"/>
        <v>0.48000000000000004</v>
      </c>
      <c r="BL209" s="44" t="s">
        <v>115</v>
      </c>
      <c r="BM209" s="44" cm="1">
        <f t="array" ref="BM209">_xlfn.IFS(BD209="NA","NA",BD209&gt;100%,"100%",BD209&lt;100,BD209)</f>
        <v>0.96000000000000008</v>
      </c>
      <c r="BN209" s="44" cm="1">
        <f t="array" ref="BN209">_xlfn.IFS(BF209="NA","NA",BF209&gt;100%,"100%",BF209&lt;100,BF209)</f>
        <v>0</v>
      </c>
      <c r="BO209" s="44" cm="1">
        <f t="array" ref="BO209">_xlfn.IFS(BH209="NA","NA",BH209&gt;100%,"100%",BH209&lt;100,BH209)</f>
        <v>0</v>
      </c>
      <c r="BP209" s="44" t="str" cm="1">
        <f t="array" ref="BP209">_xlfn.IFS(BJ209="NA","NA",BJ209&gt;100%,"100%",BJ209&lt;100,BJ209)</f>
        <v>NA</v>
      </c>
      <c r="BQ209" s="45">
        <v>0.22500000000000001</v>
      </c>
      <c r="BR209" s="45">
        <f t="shared" si="363"/>
        <v>0.10800000000000001</v>
      </c>
      <c r="BS209" s="45">
        <v>0</v>
      </c>
      <c r="BT209" s="45" t="s">
        <v>115</v>
      </c>
      <c r="BU209" s="45">
        <v>0</v>
      </c>
      <c r="BV209" s="45">
        <f t="shared" si="354"/>
        <v>0.1125</v>
      </c>
      <c r="BW209" s="45">
        <f t="shared" si="364"/>
        <v>0.10800000000000001</v>
      </c>
      <c r="BX209" s="45">
        <f t="shared" si="365"/>
        <v>0.10800000000000001</v>
      </c>
      <c r="BY209" s="45">
        <f t="shared" si="355"/>
        <v>0.1125</v>
      </c>
      <c r="BZ209" s="45">
        <f t="shared" si="356"/>
        <v>0</v>
      </c>
      <c r="CA209" s="45">
        <f t="shared" si="366"/>
        <v>0</v>
      </c>
      <c r="CB209" s="45">
        <f t="shared" si="357"/>
        <v>0</v>
      </c>
      <c r="CC209" s="45">
        <f t="shared" si="358"/>
        <v>0</v>
      </c>
      <c r="CD209" s="45">
        <v>0</v>
      </c>
      <c r="CE209" s="45">
        <f t="shared" si="359"/>
        <v>0</v>
      </c>
      <c r="CF209" s="45" t="str">
        <f t="shared" si="360"/>
        <v>NA</v>
      </c>
      <c r="CG209" s="45">
        <v>0</v>
      </c>
      <c r="CH209" s="244"/>
      <c r="CI209" s="244"/>
      <c r="CJ209" s="244"/>
      <c r="CK209" s="244"/>
      <c r="CM209" s="63">
        <v>0.4</v>
      </c>
    </row>
    <row r="210" spans="1:91" ht="18" hidden="1" customHeight="1">
      <c r="A210" s="260" t="s">
        <v>1434</v>
      </c>
      <c r="B210" s="260" t="s">
        <v>1435</v>
      </c>
      <c r="C210" s="260" t="s">
        <v>1286</v>
      </c>
      <c r="D210" s="260" t="s">
        <v>1389</v>
      </c>
      <c r="E210" s="260" t="s">
        <v>1411</v>
      </c>
      <c r="F210" s="260" t="s">
        <v>1440</v>
      </c>
      <c r="G210" s="260" t="s">
        <v>1441</v>
      </c>
      <c r="H210" s="260" t="s">
        <v>1442</v>
      </c>
      <c r="I210" s="260"/>
      <c r="J210" s="260"/>
      <c r="K210" s="260" t="s">
        <v>1443</v>
      </c>
      <c r="L210" s="260" t="s">
        <v>1444</v>
      </c>
      <c r="M210" s="260" t="s">
        <v>1445</v>
      </c>
      <c r="N210" s="260" t="s">
        <v>111</v>
      </c>
      <c r="O210" s="260" t="s">
        <v>124</v>
      </c>
      <c r="P210" s="10">
        <v>5</v>
      </c>
      <c r="Q210" s="11">
        <v>8</v>
      </c>
      <c r="R210" s="11">
        <f t="shared" ref="R210:R212" si="367">(Z210+AH210)/CL210</f>
        <v>4</v>
      </c>
      <c r="S210" s="11" t="str">
        <f>VLOOKUP(K210,'1128 TICS'!$K$13:$AK$27,9,0)</f>
        <v>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v>
      </c>
      <c r="T210" s="11">
        <v>0</v>
      </c>
      <c r="U210" s="11">
        <v>8</v>
      </c>
      <c r="V210" s="11">
        <v>0</v>
      </c>
      <c r="W210" s="11">
        <v>8</v>
      </c>
      <c r="X210" s="11" t="s">
        <v>115</v>
      </c>
      <c r="Y210" s="11">
        <v>8</v>
      </c>
      <c r="Z210" s="11">
        <v>8</v>
      </c>
      <c r="AA210" s="11" t="s">
        <v>1446</v>
      </c>
      <c r="AB210" s="11" t="s">
        <v>1447</v>
      </c>
      <c r="AC210" s="11">
        <v>0</v>
      </c>
      <c r="AD210" s="11">
        <v>0</v>
      </c>
      <c r="AE210" s="11">
        <v>8</v>
      </c>
      <c r="AF210" s="11">
        <f>VLOOKUP(K210,'1128 TICS'!$K$13:$AK$27,22,0)</f>
        <v>0</v>
      </c>
      <c r="AG210" s="11">
        <f>VLOOKUP(K210,'1128 TICS'!$K$13:$AK$27,23,0)</f>
        <v>8</v>
      </c>
      <c r="AH210" s="11">
        <f t="shared" ref="AH210:AH211" si="368">AG210</f>
        <v>8</v>
      </c>
      <c r="AI210" s="11" t="str">
        <f>VLOOKUP(K210,'1128 TICS'!$K$13:$AK$27,25,0)</f>
        <v>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v>
      </c>
      <c r="AJ210" s="11" t="str">
        <f>VLOOKUP(K210,'1128 TICS'!$K$13:$AK$27,26,0)</f>
        <v>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v>
      </c>
      <c r="AK210" s="11">
        <f>VLOOKUP(K210,'1128 TICS'!$K$13:$AK$27,27,0)</f>
        <v>0</v>
      </c>
      <c r="AL210" s="11">
        <v>0</v>
      </c>
      <c r="AM210" s="11">
        <v>8</v>
      </c>
      <c r="AN210" s="11">
        <v>0</v>
      </c>
      <c r="AO210" s="11">
        <v>8</v>
      </c>
      <c r="AP210" s="11">
        <v>0</v>
      </c>
      <c r="AQ210" s="11">
        <v>0</v>
      </c>
      <c r="AR210" s="51">
        <v>4389527434</v>
      </c>
      <c r="AS210" s="54">
        <v>0</v>
      </c>
      <c r="AT210" s="54">
        <f t="shared" si="361"/>
        <v>4389527434</v>
      </c>
      <c r="AU210" s="51">
        <v>4320229753</v>
      </c>
      <c r="AV210" s="243">
        <v>7662142271</v>
      </c>
      <c r="AW210" s="244"/>
      <c r="AX210" s="244"/>
      <c r="AY210" s="243">
        <v>7141737701</v>
      </c>
      <c r="AZ210" s="44" cm="1">
        <f t="array" ref="AZ210">_xlfn.IFS((BA210=0),(BD210/CL210),(BA210&gt;0),((BB210+BD210)/CL210),(BE210&gt;0),((BB210+BD210+BE210)/CL210),(BG210&gt;0),((BB210+BD210+BE210+G210)/CL210))</f>
        <v>0.5</v>
      </c>
      <c r="BA210" s="44">
        <v>0.25</v>
      </c>
      <c r="BB210" s="44">
        <v>1</v>
      </c>
      <c r="BC210" s="44">
        <f t="shared" ref="BC210:BC212" si="369">IF(AE210&gt;0,(1/CL210),0)</f>
        <v>0.25</v>
      </c>
      <c r="BD210" s="44" cm="1">
        <f t="array" ref="BD210">_xlfn.IFS(AE210=0,"NA",AE210&gt;0,AH210/AE210)</f>
        <v>1</v>
      </c>
      <c r="BE210" s="44">
        <f t="shared" ref="BE210:BE212" si="370">IF(AM210&gt;0,(1/CL210),0)</f>
        <v>0.25</v>
      </c>
      <c r="BF210" s="44">
        <v>0</v>
      </c>
      <c r="BG210" s="44">
        <f t="shared" ref="BG210:BG212" si="371">IF(AO210&gt;0,(1/CL210),0)</f>
        <v>0.25</v>
      </c>
      <c r="BH210" s="44">
        <v>0</v>
      </c>
      <c r="BI210" s="44">
        <v>0</v>
      </c>
      <c r="BJ210" s="44" t="s">
        <v>115</v>
      </c>
      <c r="BK210" s="44">
        <f t="shared" si="362"/>
        <v>0.5</v>
      </c>
      <c r="BL210" s="44">
        <v>1</v>
      </c>
      <c r="BM210" s="44" cm="1">
        <f t="array" ref="BM210">_xlfn.IFS(BD210="NA","NA",BD210&gt;100%,"100%",BD210&lt;100,BD210)</f>
        <v>1</v>
      </c>
      <c r="BN210" s="44">
        <v>0</v>
      </c>
      <c r="BO210" s="44">
        <v>0</v>
      </c>
      <c r="BP210" s="44" t="s">
        <v>115</v>
      </c>
      <c r="BQ210" s="45">
        <v>0.22500000000000001</v>
      </c>
      <c r="BR210" s="45">
        <f t="shared" ref="BR210:BR267" si="372">BQ210*BK210</f>
        <v>0.1125</v>
      </c>
      <c r="BS210" s="45">
        <v>5.6300000000000003E-2</v>
      </c>
      <c r="BT210" s="45">
        <v>5.6300000000000003E-2</v>
      </c>
      <c r="BU210" s="45">
        <v>5.6300000000000003E-2</v>
      </c>
      <c r="BV210" s="45">
        <v>5.6300000000000003E-2</v>
      </c>
      <c r="BW210" s="45">
        <f t="shared" si="364"/>
        <v>5.6300000000000003E-2</v>
      </c>
      <c r="BX210" s="45">
        <f t="shared" si="365"/>
        <v>5.62E-2</v>
      </c>
      <c r="BY210" s="45">
        <v>5.6300000000000003E-2</v>
      </c>
      <c r="BZ210" s="45">
        <v>0</v>
      </c>
      <c r="CA210" s="45">
        <f t="shared" ref="CA210:CA267" si="373">BR210-BU210-BX210</f>
        <v>0</v>
      </c>
      <c r="CB210" s="45">
        <v>5.6300000000000003E-2</v>
      </c>
      <c r="CC210" s="45">
        <v>0</v>
      </c>
      <c r="CD210" s="45">
        <v>0</v>
      </c>
      <c r="CE210" s="45">
        <v>0</v>
      </c>
      <c r="CF210" s="45" t="s">
        <v>115</v>
      </c>
      <c r="CG210" s="45">
        <v>0</v>
      </c>
      <c r="CH210" s="244">
        <f t="shared" ref="CH210:CH212" si="374">IF(W210&gt;0,1,0)</f>
        <v>1</v>
      </c>
      <c r="CI210" s="244">
        <f t="shared" ref="CI210:CI212" si="375">IF(AE210&gt;0,1,0)</f>
        <v>1</v>
      </c>
      <c r="CJ210" s="244">
        <f t="shared" ref="CJ210:CJ212" si="376">IF(AM210&gt;0,1,0)</f>
        <v>1</v>
      </c>
      <c r="CK210" s="244">
        <f t="shared" ref="CK210:CK212" si="377">IF(AO210&gt;0,1,0)</f>
        <v>1</v>
      </c>
      <c r="CL210">
        <f t="shared" ref="CL210:CL212" si="378">CH210+CI210+CJ210+CK210</f>
        <v>4</v>
      </c>
      <c r="CM210" s="63">
        <f t="shared" ref="CM210:CM212" si="379">AVERAGE(Z210,AH210)</f>
        <v>8</v>
      </c>
    </row>
    <row r="211" spans="1:91" ht="18" hidden="1" customHeight="1">
      <c r="A211" s="260" t="s">
        <v>1434</v>
      </c>
      <c r="B211" s="260" t="s">
        <v>1435</v>
      </c>
      <c r="C211" s="260" t="s">
        <v>1286</v>
      </c>
      <c r="D211" s="260" t="s">
        <v>1389</v>
      </c>
      <c r="E211" s="260" t="s">
        <v>1411</v>
      </c>
      <c r="F211" s="260" t="s">
        <v>1440</v>
      </c>
      <c r="G211" s="260" t="s">
        <v>1441</v>
      </c>
      <c r="H211" s="260" t="s">
        <v>1448</v>
      </c>
      <c r="I211" s="260"/>
      <c r="J211" s="260"/>
      <c r="K211" s="260" t="s">
        <v>1449</v>
      </c>
      <c r="L211" s="260" t="s">
        <v>1450</v>
      </c>
      <c r="M211" s="260" t="s">
        <v>1451</v>
      </c>
      <c r="N211" s="260" t="s">
        <v>111</v>
      </c>
      <c r="O211" s="260" t="s">
        <v>124</v>
      </c>
      <c r="P211" s="10">
        <v>0</v>
      </c>
      <c r="Q211" s="11">
        <v>100</v>
      </c>
      <c r="R211" s="11">
        <f t="shared" si="367"/>
        <v>52</v>
      </c>
      <c r="S211" s="11" t="str">
        <f>VLOOKUP(K211,'1128 TICS'!$K$13:$AK$27,9,0)</f>
        <v>LA  ADC BRINDA SERVICIO DE CONECTIVIDAD A 106 SEDES PUBLICAS DE SALUD</v>
      </c>
      <c r="T211" s="11">
        <v>30</v>
      </c>
      <c r="U211" s="11">
        <v>0</v>
      </c>
      <c r="V211" s="337">
        <v>0</v>
      </c>
      <c r="W211" s="337">
        <v>92</v>
      </c>
      <c r="X211" s="337">
        <v>0</v>
      </c>
      <c r="Y211" s="337">
        <v>92</v>
      </c>
      <c r="Z211" s="337">
        <v>92</v>
      </c>
      <c r="AA211" s="11" t="s">
        <v>1446</v>
      </c>
      <c r="AB211" s="11" t="s">
        <v>1452</v>
      </c>
      <c r="AC211" s="11">
        <v>0</v>
      </c>
      <c r="AD211" s="11">
        <v>0</v>
      </c>
      <c r="AE211" s="11">
        <v>100</v>
      </c>
      <c r="AF211" s="11">
        <f>VLOOKUP(K211,'1128 TICS'!$K$13:$AK$27,22,0)</f>
        <v>0</v>
      </c>
      <c r="AG211" s="11">
        <f>VLOOKUP(K211,'1128 TICS'!$K$13:$AK$27,23,0)</f>
        <v>116</v>
      </c>
      <c r="AH211" s="11">
        <f t="shared" si="368"/>
        <v>116</v>
      </c>
      <c r="AI211" s="11" t="str">
        <f>VLOOKUP(K211,'1128 TICS'!$K$13:$AK$27,25,0)</f>
        <v>LA  ADC BRINDA SERVICIO DE CONECTIVIDAD A 116 SEDES PUBLICAS DE SALUD</v>
      </c>
      <c r="AJ211" s="11" t="str">
        <f>VLOOKUP(K211,'1128 TICS'!$K$13:$AK$27,26,0)</f>
        <v>LA  ADC BRINDA SERVICIO DE CONECTIVIDAD A 116 SEDES PUBLICAS DE SALUD</v>
      </c>
      <c r="AK211" s="11">
        <f>VLOOKUP(K211,'1128 TICS'!$K$13:$AK$27,27,0)</f>
        <v>0</v>
      </c>
      <c r="AL211" s="11">
        <v>0</v>
      </c>
      <c r="AM211" s="11">
        <v>100</v>
      </c>
      <c r="AN211" s="11">
        <v>0</v>
      </c>
      <c r="AO211" s="11">
        <v>100</v>
      </c>
      <c r="AP211" s="11">
        <v>0</v>
      </c>
      <c r="AQ211" s="11">
        <v>0</v>
      </c>
      <c r="AR211" s="182">
        <v>150000000</v>
      </c>
      <c r="AS211" s="54">
        <v>0</v>
      </c>
      <c r="AT211" s="54">
        <f t="shared" si="361"/>
        <v>150000000</v>
      </c>
      <c r="AU211" s="182">
        <v>150000000</v>
      </c>
      <c r="AV211" s="243">
        <v>60000000</v>
      </c>
      <c r="AW211" s="244"/>
      <c r="AX211" s="244"/>
      <c r="AY211" s="243">
        <v>17712940</v>
      </c>
      <c r="AZ211" s="44" cm="1">
        <f t="array" ref="AZ211">_xlfn.IFS((BA211=0),(BD211/CL211),(BA211&gt;0),((BB211+BD211)/CL211),(BE211&gt;0),((BB211+BD211+BE211)/CL211),(BG211&gt;0),((BB211+BD211+BE211+G211)/CL211))</f>
        <v>0.54</v>
      </c>
      <c r="BA211" s="44">
        <v>0.25</v>
      </c>
      <c r="BB211" s="44">
        <v>1</v>
      </c>
      <c r="BC211" s="44">
        <f t="shared" si="369"/>
        <v>0.25</v>
      </c>
      <c r="BD211" s="44" cm="1">
        <f t="array" ref="BD211">_xlfn.IFS(AE211=0,"NA",AE211&gt;0,AH211/AE211)</f>
        <v>1.1599999999999999</v>
      </c>
      <c r="BE211" s="44">
        <f t="shared" si="370"/>
        <v>0.25</v>
      </c>
      <c r="BF211" s="44">
        <v>0</v>
      </c>
      <c r="BG211" s="44">
        <f t="shared" si="371"/>
        <v>0.25</v>
      </c>
      <c r="BH211" s="44">
        <v>0</v>
      </c>
      <c r="BI211" s="44">
        <f t="shared" ref="BI211:BI223" si="380">AP211/Q211</f>
        <v>0</v>
      </c>
      <c r="BJ211" s="44" t="s">
        <v>115</v>
      </c>
      <c r="BK211" s="44" t="str">
        <f>IF(AZ211&gt;50%,"50%",AZ211)</f>
        <v>50%</v>
      </c>
      <c r="BL211" s="44">
        <v>1</v>
      </c>
      <c r="BM211" s="44" t="str" cm="1">
        <f t="array" ref="BM211">_xlfn.IFS(BD211="NA","NA",BD211&gt;100%,"100%",BD211&lt;100,BD211)</f>
        <v>100%</v>
      </c>
      <c r="BN211" s="44" cm="1">
        <f t="array" ref="BN211">_xlfn.IFS(BF211="NA","NA",BF211&gt;100%,"100%",BF211&lt;100,BF211)</f>
        <v>0</v>
      </c>
      <c r="BO211" s="44" cm="1">
        <f t="array" ref="BO211">_xlfn.IFS(BH211="NA","NA",BH211&gt;100%,"100%",BH211&lt;100,BH211)</f>
        <v>0</v>
      </c>
      <c r="BP211" s="44" t="str" cm="1">
        <f t="array" ref="BP211">_xlfn.IFS(BJ211="NA","NA",BJ211&gt;100%,"100%",BJ211&lt;100,BJ211)</f>
        <v>NA</v>
      </c>
      <c r="BQ211" s="45">
        <v>0.22500000000000001</v>
      </c>
      <c r="BR211" s="45">
        <f>BQ211*BK211</f>
        <v>0.1125</v>
      </c>
      <c r="BS211" s="262">
        <v>5.62E-2</v>
      </c>
      <c r="BT211" s="45">
        <v>5.62E-2</v>
      </c>
      <c r="BU211" s="45">
        <v>5.62E-2</v>
      </c>
      <c r="BV211" s="262">
        <v>5.62E-2</v>
      </c>
      <c r="BW211" s="45">
        <f>IF(BM211="NA","NA",BM211*BV211)</f>
        <v>5.62E-2</v>
      </c>
      <c r="BX211" s="45">
        <f>BR211-BU211</f>
        <v>5.6300000000000003E-2</v>
      </c>
      <c r="BY211" s="262">
        <v>5.62E-2</v>
      </c>
      <c r="BZ211" s="45">
        <f t="shared" ref="BZ211:BZ223" si="381">IF(BN211="NA","NA",BN211*BY211)</f>
        <v>0</v>
      </c>
      <c r="CA211" s="45">
        <f t="shared" si="373"/>
        <v>0</v>
      </c>
      <c r="CB211" s="262">
        <v>5.62E-2</v>
      </c>
      <c r="CC211" s="45">
        <f t="shared" ref="CC211:CC223" si="382">IF(BO211="NA","NA",BO211*CB211)</f>
        <v>0</v>
      </c>
      <c r="CD211" s="45">
        <v>0</v>
      </c>
      <c r="CE211" s="45">
        <f t="shared" ref="CE211:CE223" si="383">(AP211*BQ211)/Q211</f>
        <v>0</v>
      </c>
      <c r="CF211" s="45" t="str">
        <f t="shared" ref="CF211:CF223" si="384">IF(BP211="NA","NA",BP211*CE211)</f>
        <v>NA</v>
      </c>
      <c r="CG211" s="45">
        <v>0</v>
      </c>
      <c r="CH211" s="244">
        <f t="shared" si="374"/>
        <v>1</v>
      </c>
      <c r="CI211" s="244">
        <f t="shared" si="375"/>
        <v>1</v>
      </c>
      <c r="CJ211" s="244">
        <f t="shared" si="376"/>
        <v>1</v>
      </c>
      <c r="CK211" s="244">
        <f t="shared" si="377"/>
        <v>1</v>
      </c>
      <c r="CL211">
        <f t="shared" si="378"/>
        <v>4</v>
      </c>
      <c r="CM211" s="63">
        <f t="shared" si="379"/>
        <v>104</v>
      </c>
    </row>
    <row r="212" spans="1:91" ht="18" hidden="1" customHeight="1">
      <c r="A212" s="260" t="s">
        <v>1434</v>
      </c>
      <c r="B212" s="260" t="s">
        <v>1435</v>
      </c>
      <c r="C212" s="260" t="s">
        <v>1286</v>
      </c>
      <c r="D212" s="260" t="s">
        <v>1389</v>
      </c>
      <c r="E212" s="260" t="s">
        <v>1411</v>
      </c>
      <c r="F212" s="260" t="s">
        <v>1440</v>
      </c>
      <c r="G212" s="260" t="s">
        <v>1441</v>
      </c>
      <c r="H212" s="260" t="s">
        <v>1453</v>
      </c>
      <c r="I212" s="260"/>
      <c r="J212" s="260"/>
      <c r="K212" s="260" t="s">
        <v>1454</v>
      </c>
      <c r="L212" s="260" t="s">
        <v>1455</v>
      </c>
      <c r="M212" s="260" t="s">
        <v>1456</v>
      </c>
      <c r="N212" s="260" t="s">
        <v>111</v>
      </c>
      <c r="O212" s="260" t="s">
        <v>124</v>
      </c>
      <c r="P212" s="10">
        <v>0</v>
      </c>
      <c r="Q212" s="11">
        <v>6</v>
      </c>
      <c r="R212" s="11">
        <f t="shared" si="367"/>
        <v>3</v>
      </c>
      <c r="S212" s="11" t="str">
        <f>VLOOKUP(K212,'1128 TICS'!$K$13:$AK$27,9,0)</f>
        <v>Se han capacitado 17.703 Cundinamarqueses en apropiación de herramientas tecnológicas de forma presencial y virtual</v>
      </c>
      <c r="T212" s="11">
        <v>10000</v>
      </c>
      <c r="U212" s="11">
        <v>0</v>
      </c>
      <c r="V212" s="337">
        <v>0</v>
      </c>
      <c r="W212" s="337">
        <v>6</v>
      </c>
      <c r="X212" s="337">
        <v>0</v>
      </c>
      <c r="Y212" s="337">
        <v>6</v>
      </c>
      <c r="Z212" s="337">
        <v>6</v>
      </c>
      <c r="AA212" s="11" t="s">
        <v>1457</v>
      </c>
      <c r="AB212" s="11" t="s">
        <v>1458</v>
      </c>
      <c r="AC212" s="11">
        <v>0</v>
      </c>
      <c r="AD212" s="11">
        <v>0</v>
      </c>
      <c r="AE212" s="11">
        <v>6</v>
      </c>
      <c r="AF212" s="11">
        <f>VLOOKUP(K212,'1128 TICS'!$K$13:$AK$27,22,0)</f>
        <v>0</v>
      </c>
      <c r="AG212" s="11">
        <f>VLOOKUP(K212,'1128 TICS'!$K$13:$AK$27,23,0)</f>
        <v>6</v>
      </c>
      <c r="AH212" s="11">
        <f>AG212</f>
        <v>6</v>
      </c>
      <c r="AI212" s="11" t="str">
        <f>VLOOKUP(K212,'1128 TICS'!$K$13:$AK$27,25,0)</f>
        <v xml:space="preserve">7.031   CUNDINAMARQUESES SE HAN CAPACITADO DE MANERA PRESENCIAL Y VIRTUAL, EN USO Y APROPIACIÓN DE LAS TIC. PERTENECIENTES A 6 SECORES DE DESARROLLO DEL DEPARRAMENTO (ESTUDIANTES, JAC, FUNCIONARIOS PUBLICOS, PERSONAS EN CONDICION DE DISCAPACIDAD, MIPYMES Y JOVENES) </v>
      </c>
      <c r="AJ212" s="11" t="str">
        <f>VLOOKUP(K212,'1128 TICS'!$K$13:$AK$27,26,0)</f>
        <v xml:space="preserve">  18.774 CUNDINAMARQUESES SE HAN CAPACITADO DE MANERA PRESCENCIAL Y VIRTUAL, EN USO Y APROPIACIÓN DE LAS TIC, PERTENECIENTES A 6 SECTORES DE DESARROLLO (ESTUDIENTES, JAC, FUNCIONARIOS PUBLICOS, PERSONAS EN CONDICION DE DISCAPACIDAD.MIPYMES Y JOVENES)</v>
      </c>
      <c r="AK212" s="11">
        <f>VLOOKUP(K212,'1128 TICS'!$K$13:$AK$27,27,0)</f>
        <v>0</v>
      </c>
      <c r="AL212" s="11">
        <v>0</v>
      </c>
      <c r="AM212" s="11">
        <v>6</v>
      </c>
      <c r="AN212" s="11">
        <v>0</v>
      </c>
      <c r="AO212" s="11">
        <v>6</v>
      </c>
      <c r="AP212" s="11">
        <v>0</v>
      </c>
      <c r="AQ212" s="11">
        <v>0</v>
      </c>
      <c r="AR212" s="51">
        <v>11495504</v>
      </c>
      <c r="AS212" s="54">
        <v>0</v>
      </c>
      <c r="AT212" s="54">
        <f t="shared" si="361"/>
        <v>11495504</v>
      </c>
      <c r="AU212" s="51">
        <v>11495504</v>
      </c>
      <c r="AV212" s="243">
        <v>85000000</v>
      </c>
      <c r="AW212" s="244"/>
      <c r="AX212" s="244"/>
      <c r="AY212" s="243">
        <v>40452674</v>
      </c>
      <c r="AZ212" s="44" cm="1">
        <f t="array" ref="AZ212">_xlfn.IFS((BA212=0),(BD212/CL212),(BA212&gt;0),((BB212+BD212)/CL212),(BE212&gt;0),((BB212+BD212+BE212)/CL212),(BG212&gt;0),((BB212+BD212+BE212+G212)/CL212))</f>
        <v>0.5</v>
      </c>
      <c r="BA212" s="44">
        <v>0.25</v>
      </c>
      <c r="BB212" s="44">
        <v>1</v>
      </c>
      <c r="BC212" s="44">
        <f t="shared" si="369"/>
        <v>0.25</v>
      </c>
      <c r="BD212" s="44" cm="1">
        <f t="array" ref="BD212">_xlfn.IFS(AE212=0,"NA",AE212&gt;0,AH212/AE212)</f>
        <v>1</v>
      </c>
      <c r="BE212" s="44">
        <f t="shared" si="370"/>
        <v>0.25</v>
      </c>
      <c r="BF212" s="44">
        <v>0</v>
      </c>
      <c r="BG212" s="44">
        <f t="shared" si="371"/>
        <v>0.25</v>
      </c>
      <c r="BH212" s="44">
        <v>0</v>
      </c>
      <c r="BI212" s="44">
        <f t="shared" si="380"/>
        <v>0</v>
      </c>
      <c r="BJ212" s="44" t="s">
        <v>115</v>
      </c>
      <c r="BK212" s="44">
        <f t="shared" si="362"/>
        <v>0.5</v>
      </c>
      <c r="BL212" s="44">
        <v>1</v>
      </c>
      <c r="BM212" s="44" cm="1">
        <f t="array" ref="BM212">_xlfn.IFS(BD212="NA","NA",BD212&gt;100%,"100%",BD212&lt;100,BD212)</f>
        <v>1</v>
      </c>
      <c r="BN212" s="44" cm="1">
        <f t="array" ref="BN212">_xlfn.IFS(BF212="NA","NA",BF212&gt;100%,"100%",BF212&lt;100,BF212)</f>
        <v>0</v>
      </c>
      <c r="BO212" s="44" cm="1">
        <f t="array" ref="BO212">_xlfn.IFS(BH212="NA","NA",BH212&gt;100%,"100%",BH212&lt;100,BH212)</f>
        <v>0</v>
      </c>
      <c r="BP212" s="44" t="str" cm="1">
        <f t="array" ref="BP212">_xlfn.IFS(BJ212="NA","NA",BJ212&gt;100%,"100%",BJ212&lt;100,BJ212)</f>
        <v>NA</v>
      </c>
      <c r="BQ212" s="45">
        <v>0.22500000000000001</v>
      </c>
      <c r="BR212" s="45">
        <f t="shared" si="372"/>
        <v>0.1125</v>
      </c>
      <c r="BS212" s="262">
        <v>5.62E-2</v>
      </c>
      <c r="BT212" s="45">
        <v>5.62E-2</v>
      </c>
      <c r="BU212" s="45">
        <v>5.62E-2</v>
      </c>
      <c r="BV212" s="262">
        <v>5.62E-2</v>
      </c>
      <c r="BW212" s="45">
        <f t="shared" si="364"/>
        <v>5.62E-2</v>
      </c>
      <c r="BX212" s="45">
        <f t="shared" si="365"/>
        <v>5.6300000000000003E-2</v>
      </c>
      <c r="BY212" s="262">
        <v>5.62E-2</v>
      </c>
      <c r="BZ212" s="45">
        <f t="shared" si="381"/>
        <v>0</v>
      </c>
      <c r="CA212" s="45">
        <f t="shared" si="373"/>
        <v>0</v>
      </c>
      <c r="CB212" s="262">
        <v>5.62E-2</v>
      </c>
      <c r="CC212" s="45">
        <f t="shared" si="382"/>
        <v>0</v>
      </c>
      <c r="CD212" s="45">
        <v>0</v>
      </c>
      <c r="CE212" s="45">
        <f t="shared" si="383"/>
        <v>0</v>
      </c>
      <c r="CF212" s="45" t="str">
        <f t="shared" si="384"/>
        <v>NA</v>
      </c>
      <c r="CG212" s="45">
        <v>0</v>
      </c>
      <c r="CH212" s="244">
        <f t="shared" si="374"/>
        <v>1</v>
      </c>
      <c r="CI212" s="244">
        <f t="shared" si="375"/>
        <v>1</v>
      </c>
      <c r="CJ212" s="244">
        <f t="shared" si="376"/>
        <v>1</v>
      </c>
      <c r="CK212" s="244">
        <f t="shared" si="377"/>
        <v>1</v>
      </c>
      <c r="CL212">
        <f t="shared" si="378"/>
        <v>4</v>
      </c>
      <c r="CM212" s="63">
        <f t="shared" si="379"/>
        <v>6</v>
      </c>
    </row>
    <row r="213" spans="1:91" ht="18" hidden="1" customHeight="1">
      <c r="A213" s="260" t="s">
        <v>1434</v>
      </c>
      <c r="B213" s="260" t="s">
        <v>1435</v>
      </c>
      <c r="C213" s="260" t="s">
        <v>1286</v>
      </c>
      <c r="D213" s="260" t="s">
        <v>1389</v>
      </c>
      <c r="E213" s="260" t="s">
        <v>1411</v>
      </c>
      <c r="F213" s="260" t="s">
        <v>1440</v>
      </c>
      <c r="G213" s="260" t="s">
        <v>1441</v>
      </c>
      <c r="H213" s="260" t="s">
        <v>1459</v>
      </c>
      <c r="I213" s="260"/>
      <c r="J213" s="260"/>
      <c r="K213" s="260" t="s">
        <v>1460</v>
      </c>
      <c r="L213" s="260" t="s">
        <v>1461</v>
      </c>
      <c r="M213" s="260" t="s">
        <v>1462</v>
      </c>
      <c r="N213" s="260" t="s">
        <v>111</v>
      </c>
      <c r="O213" s="260" t="s">
        <v>112</v>
      </c>
      <c r="P213" s="10">
        <v>1</v>
      </c>
      <c r="Q213" s="11">
        <v>2</v>
      </c>
      <c r="R213" s="11">
        <f t="shared" ref="R213:R223" si="385">Z213+AH213</f>
        <v>1</v>
      </c>
      <c r="S213" s="11" t="str">
        <f>VLOOKUP(K213,'1128 TICS'!$K$13:$AK$27,9,0)</f>
        <v>1. Se formuló y presentó ante el Ministerio TIC el proyecto regional Regiobici Cundinamarca y se está a la espera de firmar el Acuerdo de Voluntades entre los municipios y la Gobernación.
2. El proyecto Regiobici Cundinamarca, resultó ganador entre los presentados por la región de centro-oriente y es ahora un modelo o proyecto tipo para las demás entidades territoriales.</v>
      </c>
      <c r="T213" s="11">
        <v>0</v>
      </c>
      <c r="U213" s="11">
        <v>0</v>
      </c>
      <c r="V213" s="11">
        <v>0</v>
      </c>
      <c r="W213" s="11">
        <v>0</v>
      </c>
      <c r="X213" s="11">
        <v>0</v>
      </c>
      <c r="Y213" s="11">
        <v>0</v>
      </c>
      <c r="Z213" s="11">
        <v>0</v>
      </c>
      <c r="AA213" s="11"/>
      <c r="AB213" s="11"/>
      <c r="AC213" s="11"/>
      <c r="AD213" s="11">
        <v>1</v>
      </c>
      <c r="AE213" s="11">
        <v>0</v>
      </c>
      <c r="AF213" s="11">
        <f>VLOOKUP(K213,'1128 TICS'!$K$13:$AK$27,22,0)</f>
        <v>1</v>
      </c>
      <c r="AG213" s="11">
        <f>VLOOKUP(K213,'1128 TICS'!$K$13:$AK$27,23,0)</f>
        <v>0</v>
      </c>
      <c r="AH213" s="11">
        <f t="shared" ref="AH213:AH223" si="386">AF213</f>
        <v>1</v>
      </c>
      <c r="AI213" s="11" t="str">
        <f>VLOOKUP(K213,'1128 TICS'!$K$13:$AK$27,25,0)</f>
        <v>1. El proyecto Regiobici Cundinamarca, resultó ganador entre los presentados por la región de centro-oriente y es ahora un modelo o proyecto tipo para las demás entidades territoriales. 2. Se suscribió el CONTRATO INTERADMINISTRATIVO STM – CDCTI - 466 -2021, entre la Secretaría de Movilidad y la Universidad Nacional de Colombia que tiene por objeto realizar los "ESTUDIOS DE DEMANDA PARA LA IMPLEMENTACIÓN DEL SISTEMA PÚBLICO DE BICICLETAS – REGIOBICI – EN LOS MUNICIPIOS DE MOSQUERA Y FUNZA", dicho estudio debe ser entregado en el mes de diciembre.</v>
      </c>
      <c r="AJ213" s="11" t="str">
        <f>VLOOKUP(K213,'1128 TICS'!$K$13:$AK$27,26,0)</f>
        <v>1. El proyecto Regiobici Cundinamarca, resultó ganador entre los presentados por la región de centro-oriente y es ahora un modelo o proyecto tipo para las demás entidades territoriales. 2. Se suscribió el CONTRATO INTERADMINISTRATIVO STM – CDCTI - 466 -2021, entre la Secretaría de Movilidad y la Universidad Nacional de Colombia que tiene por objeto realizar los "ESTUDIOS DE DEMANDA PARA LA IMPLEMENTACIÓN DEL SISTEMA PÚBLICO DE BICICLETAS – REGIOBICI – EN LOS MUNICIPIOS DE MOSQUERA Y FUNZA", dicho estudio debe ser entregado en el mes de diciembre.</v>
      </c>
      <c r="AK213" s="11">
        <f>VLOOKUP(K213,'1128 TICS'!$K$13:$AK$27,27,0)</f>
        <v>0</v>
      </c>
      <c r="AL213" s="11">
        <v>1</v>
      </c>
      <c r="AM213" s="11">
        <v>0</v>
      </c>
      <c r="AN213" s="11">
        <v>0</v>
      </c>
      <c r="AO213" s="11">
        <v>0</v>
      </c>
      <c r="AP213" s="11">
        <v>0</v>
      </c>
      <c r="AQ213" s="11">
        <v>0</v>
      </c>
      <c r="AR213" s="52"/>
      <c r="AS213" s="54">
        <v>0</v>
      </c>
      <c r="AT213" s="54">
        <f t="shared" si="361"/>
        <v>0</v>
      </c>
      <c r="AU213" s="52"/>
      <c r="AV213" s="243">
        <v>95000000</v>
      </c>
      <c r="AW213" s="244"/>
      <c r="AX213" s="244"/>
      <c r="AY213" s="243">
        <v>50623503</v>
      </c>
      <c r="AZ213" s="44">
        <f t="shared" ref="AZ213:AZ223" si="387">R213/Q213</f>
        <v>0.5</v>
      </c>
      <c r="BA213" s="44">
        <v>0</v>
      </c>
      <c r="BB213" s="44" t="s">
        <v>115</v>
      </c>
      <c r="BC213" s="44">
        <f t="shared" ref="BC213:BC223" si="388">AD213/Q213</f>
        <v>0.5</v>
      </c>
      <c r="BD213" s="44" cm="1">
        <f t="array" ref="BD213">_xlfn.IFS(AD213=0,"NA",AD213&gt;0,AH213/AD213)</f>
        <v>1</v>
      </c>
      <c r="BE213" s="44">
        <f t="shared" ref="BE213:BE223" si="389">AL213/Q213</f>
        <v>0.5</v>
      </c>
      <c r="BF213" s="44">
        <v>0</v>
      </c>
      <c r="BG213" s="44">
        <f t="shared" ref="BG213:BG223" si="390">AN213/Q213</f>
        <v>0</v>
      </c>
      <c r="BH213" s="44">
        <v>0</v>
      </c>
      <c r="BI213" s="44">
        <f t="shared" si="380"/>
        <v>0</v>
      </c>
      <c r="BJ213" s="44" t="s">
        <v>115</v>
      </c>
      <c r="BK213" s="44">
        <f t="shared" si="362"/>
        <v>0.5</v>
      </c>
      <c r="BL213" s="44" t="s">
        <v>115</v>
      </c>
      <c r="BM213" s="44" cm="1">
        <f t="array" ref="BM213">_xlfn.IFS(BD213="NA","NA",BD213&gt;100%,"100%",BD213&lt;100,BD213)</f>
        <v>1</v>
      </c>
      <c r="BN213" s="44" cm="1">
        <f t="array" ref="BN213">_xlfn.IFS(BF213="NA","NA",BF213&gt;100%,"100%",BF213&lt;100,BF213)</f>
        <v>0</v>
      </c>
      <c r="BO213" s="44" cm="1">
        <f t="array" ref="BO213">_xlfn.IFS(BH213="NA","NA",BH213&gt;100%,"100%",BH213&lt;100,BH213)</f>
        <v>0</v>
      </c>
      <c r="BP213" s="44" t="str" cm="1">
        <f t="array" ref="BP213">_xlfn.IFS(BJ213="NA","NA",BJ213&gt;100%,"100%",BJ213&lt;100,BJ213)</f>
        <v>NA</v>
      </c>
      <c r="BQ213" s="45">
        <v>0.22500000000000001</v>
      </c>
      <c r="BR213" s="45">
        <f t="shared" si="372"/>
        <v>0.1125</v>
      </c>
      <c r="BS213" s="45">
        <v>0</v>
      </c>
      <c r="BT213" s="45" t="s">
        <v>115</v>
      </c>
      <c r="BU213" s="45">
        <v>0</v>
      </c>
      <c r="BV213" s="45">
        <f t="shared" ref="BV213:BV223" si="391">(AD213*BQ213)/Q213</f>
        <v>0.1125</v>
      </c>
      <c r="BW213" s="45">
        <f t="shared" ref="BW213:BW267" si="392">IF(BM213="NA","NA",BM213*BV213)</f>
        <v>0.1125</v>
      </c>
      <c r="BX213" s="45">
        <f t="shared" ref="BX213:BX267" si="393">BR213-BU213</f>
        <v>0.1125</v>
      </c>
      <c r="BY213" s="45">
        <f t="shared" ref="BY213:BY223" si="394">(AL213*BQ213)/Q213</f>
        <v>0.1125</v>
      </c>
      <c r="BZ213" s="45">
        <f t="shared" si="381"/>
        <v>0</v>
      </c>
      <c r="CA213" s="45">
        <f t="shared" si="373"/>
        <v>0</v>
      </c>
      <c r="CB213" s="45">
        <f t="shared" ref="CB213:CB223" si="395">(AN213*BQ213)/Q213</f>
        <v>0</v>
      </c>
      <c r="CC213" s="45">
        <f t="shared" si="382"/>
        <v>0</v>
      </c>
      <c r="CD213" s="45">
        <v>0</v>
      </c>
      <c r="CE213" s="45">
        <f t="shared" si="383"/>
        <v>0</v>
      </c>
      <c r="CF213" s="45" t="str">
        <f t="shared" si="384"/>
        <v>NA</v>
      </c>
      <c r="CG213" s="45">
        <v>0</v>
      </c>
      <c r="CH213" s="244"/>
      <c r="CI213" s="244"/>
      <c r="CJ213" s="244"/>
      <c r="CK213" s="244"/>
      <c r="CM213" s="63">
        <v>1</v>
      </c>
    </row>
    <row r="214" spans="1:91" s="105" customFormat="1" ht="18" hidden="1" customHeight="1">
      <c r="A214" s="96" t="s">
        <v>1434</v>
      </c>
      <c r="B214" s="96" t="s">
        <v>1435</v>
      </c>
      <c r="C214" s="96" t="s">
        <v>1286</v>
      </c>
      <c r="D214" s="96" t="s">
        <v>1389</v>
      </c>
      <c r="E214" s="96" t="s">
        <v>1411</v>
      </c>
      <c r="F214" s="96" t="s">
        <v>1440</v>
      </c>
      <c r="G214" s="96" t="s">
        <v>1441</v>
      </c>
      <c r="H214" s="96" t="s">
        <v>1463</v>
      </c>
      <c r="I214" s="96"/>
      <c r="J214" s="96"/>
      <c r="K214" s="96" t="s">
        <v>1464</v>
      </c>
      <c r="L214" s="96" t="s">
        <v>1465</v>
      </c>
      <c r="M214" s="96" t="s">
        <v>1466</v>
      </c>
      <c r="N214" s="96" t="s">
        <v>123</v>
      </c>
      <c r="O214" s="96" t="s">
        <v>112</v>
      </c>
      <c r="P214" s="249">
        <v>78</v>
      </c>
      <c r="Q214" s="99">
        <v>100</v>
      </c>
      <c r="R214" s="99">
        <f>Z214+AH214</f>
        <v>64</v>
      </c>
      <c r="S214" s="99" t="str">
        <f>VLOOKUP(K214,'1128 TICS'!$K$13:$AK$27,9,0)</f>
        <v>A LA FECHA SE ENCUENTRAN OPERATIVOS 46 CENTROS INTERACTIVOS.</v>
      </c>
      <c r="T214" s="99">
        <v>10</v>
      </c>
      <c r="U214" s="99">
        <v>0</v>
      </c>
      <c r="V214" s="99">
        <v>10</v>
      </c>
      <c r="W214" s="99">
        <v>0</v>
      </c>
      <c r="X214" s="99">
        <v>59</v>
      </c>
      <c r="Y214" s="99">
        <v>0</v>
      </c>
      <c r="Z214" s="99">
        <v>59</v>
      </c>
      <c r="AA214" s="99" t="s">
        <v>1467</v>
      </c>
      <c r="AB214" s="99" t="s">
        <v>1468</v>
      </c>
      <c r="AC214" s="99">
        <v>0</v>
      </c>
      <c r="AD214" s="99">
        <v>59</v>
      </c>
      <c r="AE214" s="99">
        <v>0</v>
      </c>
      <c r="AF214" s="99">
        <f>VLOOKUP(K214,'1128 TICS'!$K$13:$AK$27,22,0)</f>
        <v>5</v>
      </c>
      <c r="AG214" s="99">
        <f>VLOOKUP(K214,'1128 TICS'!$K$13:$AK$27,23,0)</f>
        <v>0</v>
      </c>
      <c r="AH214" s="99">
        <f t="shared" si="386"/>
        <v>5</v>
      </c>
      <c r="AI214" s="99" t="str">
        <f>VLOOKUP(K214,'1128 TICS'!$K$13:$AK$27,25,0)</f>
        <v>A LA FECHA SE ENCUENTRAN OPERATIVOS 51 CENTROS INTERACTIVOS (65% DE LOS CENTROS INSTALADOS)</v>
      </c>
      <c r="AJ214" s="99" t="str">
        <f>VLOOKUP(K214,'1128 TICS'!$K$13:$AK$27,26,0)</f>
        <v>A LA FECHA SE ENCUENTRAN OPERATIVOS 51 CENTROS INTERACTIVOS (65% DE LOS CENTROS INSTALADOS)</v>
      </c>
      <c r="AK214" s="99">
        <f>VLOOKUP(K214,'1128 TICS'!$K$13:$AK$27,27,0)</f>
        <v>0</v>
      </c>
      <c r="AL214" s="99">
        <v>41</v>
      </c>
      <c r="AM214" s="99">
        <v>0</v>
      </c>
      <c r="AN214" s="99">
        <v>0</v>
      </c>
      <c r="AO214" s="99">
        <v>0</v>
      </c>
      <c r="AP214" s="99">
        <v>0</v>
      </c>
      <c r="AQ214" s="99">
        <v>0</v>
      </c>
      <c r="AR214" s="250">
        <v>200000000</v>
      </c>
      <c r="AS214" s="251">
        <v>0</v>
      </c>
      <c r="AT214" s="251">
        <f t="shared" si="361"/>
        <v>200000000</v>
      </c>
      <c r="AU214" s="250">
        <v>72937480</v>
      </c>
      <c r="AV214" s="243">
        <v>30000000</v>
      </c>
      <c r="AW214" s="244"/>
      <c r="AX214" s="244"/>
      <c r="AY214" s="243">
        <v>0</v>
      </c>
      <c r="AZ214" s="102">
        <f>R214/Q214</f>
        <v>0.64</v>
      </c>
      <c r="BA214" s="102">
        <v>0.1111</v>
      </c>
      <c r="BB214" s="102">
        <v>4.5999999999999996</v>
      </c>
      <c r="BC214" s="102">
        <f t="shared" si="388"/>
        <v>0.59</v>
      </c>
      <c r="BD214" s="102" cm="1">
        <f t="array" ref="BD214">_xlfn.IFS(AD214=0,"NA",AD214&gt;0,AH214/AD214)</f>
        <v>8.4745762711864403E-2</v>
      </c>
      <c r="BE214" s="102">
        <f t="shared" si="389"/>
        <v>0.41</v>
      </c>
      <c r="BF214" s="102">
        <v>0</v>
      </c>
      <c r="BG214" s="102">
        <f t="shared" si="390"/>
        <v>0</v>
      </c>
      <c r="BH214" s="102">
        <v>0</v>
      </c>
      <c r="BI214" s="102">
        <f t="shared" si="380"/>
        <v>0</v>
      </c>
      <c r="BJ214" s="102" t="s">
        <v>115</v>
      </c>
      <c r="BK214" s="102">
        <f t="shared" si="362"/>
        <v>0.64</v>
      </c>
      <c r="BL214" s="102">
        <v>1</v>
      </c>
      <c r="BM214" s="102" cm="1">
        <f t="array" ref="BM214">_xlfn.IFS(BD214="NA","NA",BD214&gt;100%,"100%",BD214&lt;100,BD214)</f>
        <v>8.4745762711864403E-2</v>
      </c>
      <c r="BN214" s="102" cm="1">
        <f t="array" ref="BN214">_xlfn.IFS(BF214="NA","NA",BF214&gt;100%,"100%",BF214&lt;100,BF214)</f>
        <v>0</v>
      </c>
      <c r="BO214" s="102" cm="1">
        <f t="array" ref="BO214">_xlfn.IFS(BH214="NA","NA",BH214&gt;100%,"100%",BH214&lt;100,BH214)</f>
        <v>0</v>
      </c>
      <c r="BP214" s="102" t="str" cm="1">
        <f t="array" ref="BP214">_xlfn.IFS(BJ214="NA","NA",BJ214&gt;100%,"100%",BJ214&lt;100,BJ214)</f>
        <v>NA</v>
      </c>
      <c r="BQ214" s="103">
        <v>0.22500000000000001</v>
      </c>
      <c r="BR214" s="103">
        <f t="shared" si="372"/>
        <v>0.14400000000000002</v>
      </c>
      <c r="BS214" s="103">
        <v>2.5000000000000001E-2</v>
      </c>
      <c r="BT214" s="103">
        <v>2.5000000000000001E-2</v>
      </c>
      <c r="BU214" s="103">
        <v>0.115</v>
      </c>
      <c r="BV214" s="103">
        <f t="shared" si="391"/>
        <v>0.13275000000000001</v>
      </c>
      <c r="BW214" s="103">
        <f t="shared" si="392"/>
        <v>1.125E-2</v>
      </c>
      <c r="BX214" s="103">
        <f t="shared" si="393"/>
        <v>2.9000000000000012E-2</v>
      </c>
      <c r="BY214" s="103">
        <f t="shared" si="394"/>
        <v>9.2249999999999999E-2</v>
      </c>
      <c r="BZ214" s="103">
        <f t="shared" si="381"/>
        <v>0</v>
      </c>
      <c r="CA214" s="103">
        <f t="shared" si="373"/>
        <v>0</v>
      </c>
      <c r="CB214" s="103">
        <f t="shared" si="395"/>
        <v>0</v>
      </c>
      <c r="CC214" s="103">
        <f t="shared" si="382"/>
        <v>0</v>
      </c>
      <c r="CD214" s="103">
        <v>0</v>
      </c>
      <c r="CE214" s="103">
        <f t="shared" si="383"/>
        <v>0</v>
      </c>
      <c r="CF214" s="103" t="str">
        <f t="shared" si="384"/>
        <v>NA</v>
      </c>
      <c r="CG214" s="103">
        <v>0</v>
      </c>
      <c r="CH214" s="252"/>
      <c r="CI214" s="252"/>
      <c r="CJ214" s="252"/>
      <c r="CK214" s="252"/>
      <c r="CM214" s="336">
        <v>46</v>
      </c>
    </row>
    <row r="215" spans="1:91" ht="18" hidden="1" customHeight="1">
      <c r="A215" s="260" t="s">
        <v>1409</v>
      </c>
      <c r="B215" s="260" t="s">
        <v>1410</v>
      </c>
      <c r="C215" s="260" t="s">
        <v>1286</v>
      </c>
      <c r="D215" s="260" t="s">
        <v>1389</v>
      </c>
      <c r="E215" s="260" t="s">
        <v>1469</v>
      </c>
      <c r="F215" s="260" t="s">
        <v>1470</v>
      </c>
      <c r="G215" s="260" t="s">
        <v>1471</v>
      </c>
      <c r="H215" s="260" t="s">
        <v>1472</v>
      </c>
      <c r="I215" s="260"/>
      <c r="J215" s="260"/>
      <c r="K215" s="260" t="s">
        <v>1473</v>
      </c>
      <c r="L215" s="260" t="s">
        <v>1474</v>
      </c>
      <c r="M215" s="260" t="s">
        <v>1475</v>
      </c>
      <c r="N215" s="260" t="s">
        <v>111</v>
      </c>
      <c r="O215" s="260" t="s">
        <v>112</v>
      </c>
      <c r="P215" s="10">
        <v>0</v>
      </c>
      <c r="Q215" s="11">
        <v>2</v>
      </c>
      <c r="R215" s="11">
        <f t="shared" si="385"/>
        <v>1.2</v>
      </c>
      <c r="S215" s="11" t="str">
        <f>VLOOKUP(K215,'1125 CTeI'!$K$13:$AK$20,9,0)</f>
        <v>Creación del primer actor CTeI, con la estructuración del grupo de investigación de la Secretaria de CTeI del departamento, quien a su vez  ha participado en eventos de CTeI a nivel nacional e internacional como el WEA-CITINF, se capacito a los integrantes del grupo en cuanto a metodologías y tipos de investigación, además del diseño y puesta en marcha del programa radial "Cundinamarca avanza en I+D" proyecto de generación de contenidos de comunicación social del conocimiento a través de la emisora el Dorado radio, presentando los avances de los productos que desarrolla el grupo de investigación. Se llevo a cabo la publicacion de un capítulo del libro "Productos relevantes del proyecto Fortalecimiento de la competitividad del sector floricultor colombiano mediante el uso de ciencia, tecnología e innovación aplicadas en Cundinamarca. Para la creación del segundo actor se realizó el Cumplimiento de requisitos previos para el inicio, estudio previo y suscripción del Convenio del Proyecto Generación de espacios de encuentro de la sociedad con la ciencia y la tecnología “Un viaje con la ciencia en el departamento de Cundinamarca”(Centro de ciencia itinerante).</v>
      </c>
      <c r="T215" s="11">
        <v>0.2</v>
      </c>
      <c r="U215" s="11">
        <v>0</v>
      </c>
      <c r="V215" s="11">
        <v>1</v>
      </c>
      <c r="W215" s="11">
        <v>0</v>
      </c>
      <c r="X215" s="11">
        <v>1</v>
      </c>
      <c r="Y215" s="11">
        <v>0</v>
      </c>
      <c r="Z215" s="11">
        <v>1</v>
      </c>
      <c r="AA215" s="11" t="s">
        <v>1476</v>
      </c>
      <c r="AB215" s="11" t="s">
        <v>1477</v>
      </c>
      <c r="AC215" s="11" t="s">
        <v>1478</v>
      </c>
      <c r="AD215" s="11">
        <v>0.3</v>
      </c>
      <c r="AE215" s="11">
        <v>0</v>
      </c>
      <c r="AF215" s="11">
        <f>VLOOKUP(K215,'1125 CTeI'!$K$13:$AK$20,22,0)</f>
        <v>0.2</v>
      </c>
      <c r="AG215" s="11">
        <f>VLOOKUP(K215,'1125 CTeI'!$K$13:$AK$20,23,0)</f>
        <v>0</v>
      </c>
      <c r="AH215" s="11">
        <f t="shared" si="386"/>
        <v>0.2</v>
      </c>
      <c r="AI215" s="11" t="str">
        <f>VLOOKUP(K215,'1125 CTeI'!$K$13:$AK$20,25,0)</f>
        <v>Firma de acta de inicio del convenio de espacios de encuentro de la sociedad con la ciencia y la tecnología “Un viaje con la ciencia en el departamento de Cundinamarca”.  El grupo de investigación realizó Un poster “Ciclos Ecosistémicos”, una ponencia magistral “Fortalecimiento Territorial”, un taller “Tipologías de Investigación” y dos ponencias denominadas “Creación Grupos de Investigación” y “Metodologías de Investigación”.</v>
      </c>
      <c r="AJ215" s="11" t="str">
        <f>VLOOKUP(K215,'1125 CTeI'!$K$13:$AK$20,26,0)</f>
        <v>Se firmo acta de inicio para la ejecución del convenio Generación de espacios de encuentro de la sociedad con la ciencia y la tecnología “Un viaje con la ciencia en el departamento de Cundinamarca” A través del grupo de investigación de la SCTeI se participó con un Poster denominado “Ciclos Ecosistémicos” y una ponencia magistral “Fortalecimiento Territorial” en el evento CITINF 2021, Participación en el primer Congreso internacional de CTeI de la Policía Nacional en el municipio de Sibaté con apoyo logístico, Participación en  el primer Congreso Académico y de Investigación Saberes Regionales en el municipio de Sopo con la realización de un taller “Tipologías de Investigación” y la presentación de  dos ponencias denominadas “Creación Grupos de Investigación” y “Metodologías de Investigación”. Realización del programa radial Cundinamarca Innovadora presentando el balance general de los proyectos e investigaciones realizadas durante la vigencia 2021.</v>
      </c>
      <c r="AK215" s="11" t="str">
        <f>VLOOKUP(K215,'1125 CTeI'!$K$13:$AK$20,27,0)</f>
        <v>No se presento</v>
      </c>
      <c r="AL215" s="11">
        <v>0.5</v>
      </c>
      <c r="AM215" s="11">
        <v>0</v>
      </c>
      <c r="AN215" s="11">
        <v>0.2</v>
      </c>
      <c r="AO215" s="11">
        <v>0</v>
      </c>
      <c r="AP215" s="11">
        <v>0</v>
      </c>
      <c r="AQ215" s="11">
        <v>0</v>
      </c>
      <c r="AR215" s="51">
        <v>4084983092</v>
      </c>
      <c r="AS215" s="54">
        <v>1500000000</v>
      </c>
      <c r="AT215" s="54">
        <f t="shared" si="361"/>
        <v>5584983092</v>
      </c>
      <c r="AU215" s="51">
        <v>1766073439</v>
      </c>
      <c r="AV215" s="243">
        <v>195000000</v>
      </c>
      <c r="AW215" s="244"/>
      <c r="AX215" s="244"/>
      <c r="AY215" s="243">
        <v>194110000</v>
      </c>
      <c r="AZ215" s="44">
        <f t="shared" si="387"/>
        <v>0.6</v>
      </c>
      <c r="BA215" s="44">
        <v>0.5</v>
      </c>
      <c r="BB215" s="44">
        <v>1</v>
      </c>
      <c r="BC215" s="44">
        <f t="shared" si="388"/>
        <v>0.15</v>
      </c>
      <c r="BD215" s="44" cm="1">
        <f t="array" ref="BD215">_xlfn.IFS(AD215=0,"NA",AD215&gt;0,AH215/AD215)</f>
        <v>0.66666666666666674</v>
      </c>
      <c r="BE215" s="44">
        <f t="shared" si="389"/>
        <v>0.25</v>
      </c>
      <c r="BF215" s="44">
        <v>0</v>
      </c>
      <c r="BG215" s="44">
        <f t="shared" si="390"/>
        <v>0.1</v>
      </c>
      <c r="BH215" s="44">
        <v>0</v>
      </c>
      <c r="BI215" s="44">
        <f t="shared" si="380"/>
        <v>0</v>
      </c>
      <c r="BJ215" s="44" t="s">
        <v>115</v>
      </c>
      <c r="BK215" s="44">
        <f t="shared" si="362"/>
        <v>0.6</v>
      </c>
      <c r="BL215" s="44">
        <v>1</v>
      </c>
      <c r="BM215" s="44" cm="1">
        <f t="array" ref="BM215">_xlfn.IFS(BD215="NA","NA",BD215&gt;100%,"100%",BD215&lt;100,BD215)</f>
        <v>0.66666666666666674</v>
      </c>
      <c r="BN215" s="44" cm="1">
        <f t="array" ref="BN215">_xlfn.IFS(BF215="NA","NA",BF215&gt;100%,"100%",BF215&lt;100,BF215)</f>
        <v>0</v>
      </c>
      <c r="BO215" s="44" cm="1">
        <f t="array" ref="BO215">_xlfn.IFS(BH215="NA","NA",BH215&gt;100%,"100%",BH215&lt;100,BH215)</f>
        <v>0</v>
      </c>
      <c r="BP215" s="44" t="str" cm="1">
        <f t="array" ref="BP215">_xlfn.IFS(BJ215="NA","NA",BJ215&gt;100%,"100%",BJ215&lt;100,BJ215)</f>
        <v>NA</v>
      </c>
      <c r="BQ215" s="45">
        <v>0.22500000000000001</v>
      </c>
      <c r="BR215" s="45">
        <f t="shared" si="372"/>
        <v>0.13500000000000001</v>
      </c>
      <c r="BS215" s="45">
        <v>0.1125</v>
      </c>
      <c r="BT215" s="45">
        <v>0.1125</v>
      </c>
      <c r="BU215" s="45">
        <v>0.1125</v>
      </c>
      <c r="BV215" s="45">
        <f t="shared" si="391"/>
        <v>3.3750000000000002E-2</v>
      </c>
      <c r="BW215" s="45">
        <f t="shared" si="392"/>
        <v>2.2500000000000003E-2</v>
      </c>
      <c r="BX215" s="45">
        <f t="shared" si="393"/>
        <v>2.2500000000000006E-2</v>
      </c>
      <c r="BY215" s="45">
        <f t="shared" si="394"/>
        <v>5.6250000000000001E-2</v>
      </c>
      <c r="BZ215" s="45">
        <f t="shared" si="381"/>
        <v>0</v>
      </c>
      <c r="CA215" s="45">
        <f t="shared" si="373"/>
        <v>0</v>
      </c>
      <c r="CB215" s="45">
        <f t="shared" si="395"/>
        <v>2.2500000000000003E-2</v>
      </c>
      <c r="CC215" s="45">
        <f t="shared" si="382"/>
        <v>0</v>
      </c>
      <c r="CD215" s="45">
        <v>0</v>
      </c>
      <c r="CE215" s="45">
        <f t="shared" si="383"/>
        <v>0</v>
      </c>
      <c r="CF215" s="45" t="str">
        <f t="shared" si="384"/>
        <v>NA</v>
      </c>
      <c r="CG215" s="45">
        <v>0</v>
      </c>
      <c r="CH215" s="244"/>
      <c r="CI215" s="244"/>
      <c r="CJ215" s="244"/>
      <c r="CK215" s="244"/>
      <c r="CM215" s="63">
        <v>1.5</v>
      </c>
    </row>
    <row r="216" spans="1:91" ht="18" hidden="1" customHeight="1">
      <c r="A216" s="260" t="s">
        <v>1409</v>
      </c>
      <c r="B216" s="260" t="s">
        <v>1410</v>
      </c>
      <c r="C216" s="260" t="s">
        <v>1286</v>
      </c>
      <c r="D216" s="260" t="s">
        <v>1389</v>
      </c>
      <c r="E216" s="260" t="s">
        <v>1469</v>
      </c>
      <c r="F216" s="260" t="s">
        <v>1470</v>
      </c>
      <c r="G216" s="260" t="s">
        <v>1471</v>
      </c>
      <c r="H216" s="260" t="s">
        <v>1479</v>
      </c>
      <c r="I216" s="260"/>
      <c r="J216" s="260"/>
      <c r="K216" s="260" t="s">
        <v>1480</v>
      </c>
      <c r="L216" s="260" t="s">
        <v>1481</v>
      </c>
      <c r="M216" s="260" t="s">
        <v>1482</v>
      </c>
      <c r="N216" s="260" t="s">
        <v>111</v>
      </c>
      <c r="O216" s="260" t="s">
        <v>112</v>
      </c>
      <c r="P216" s="10">
        <v>110</v>
      </c>
      <c r="Q216" s="11">
        <v>250</v>
      </c>
      <c r="R216" s="11">
        <f t="shared" si="385"/>
        <v>147</v>
      </c>
      <c r="S216" s="11" t="str">
        <f>VLOOKUP(K216,'1125 CTeI'!$K$13:$AK$20,9,0)</f>
        <v>Con la ejecución del proyecto Implementación de Estrategias de Fomento a la Cultura y Servicios de Innovación, se beneficiaron 147 pequeñas y medianas empresas de las provincias de Sumapaz, sabana centro, Soacha y sábana occidente a través de bonos de innovación que permitieron impulsar y transformar las Mipymes del departamento los cuales ofrecieron servicios de innovación como: Prototipos y Pruebas Especializadas, Desarrollo  de Productos o Servicios Nuevos, Vigilancia Tecnológica e Inteligencia Competitiva, Servicios de Extensión Tecnológica y Propiedad Intelectual y Transferencia de Tecnología. Con el proyecto "Innovacion mas País" se beneficio a 30 empresas del sector industrial con un entrenamiento especializado y la implementación de un sistema de innovación para el mejoramiento de su competitividad, asi como la vinculación a una red de confianza colaborativa y apoyada por ANDI. A través de la secretaría se gestionó la firma del convenio para el proyecto Fortalecimiento de Capacidades de CTeI para la Reactivación Económica y la Transformación Productiva en Cundinamarca que busca fortalecimiento de capacidades de innovación para micro y pequeñas empresas, asociaciones productivas, pequeños productores de los sectores seleccionados incrementado su nivel de innovación.</v>
      </c>
      <c r="T216" s="11">
        <v>5</v>
      </c>
      <c r="U216" s="11">
        <v>0</v>
      </c>
      <c r="V216" s="11">
        <v>30</v>
      </c>
      <c r="W216" s="11">
        <v>0</v>
      </c>
      <c r="X216" s="11">
        <v>0</v>
      </c>
      <c r="Y216" s="11">
        <v>0</v>
      </c>
      <c r="Z216" s="11">
        <v>0</v>
      </c>
      <c r="AA216" s="11"/>
      <c r="AB216" s="11"/>
      <c r="AC216" s="11"/>
      <c r="AD216" s="11">
        <v>147</v>
      </c>
      <c r="AE216" s="11">
        <v>0</v>
      </c>
      <c r="AF216" s="11">
        <f>VLOOKUP(K216,'1125 CTeI'!$K$13:$AK$20,22,0)</f>
        <v>147</v>
      </c>
      <c r="AG216" s="11">
        <f>VLOOKUP(K216,'1125 CTeI'!$K$13:$AK$20,23,0)</f>
        <v>0</v>
      </c>
      <c r="AH216" s="11">
        <f t="shared" si="386"/>
        <v>147</v>
      </c>
      <c r="AI216" s="11" t="str">
        <f>VLOOKUP(K216,'1125 CTeI'!$K$13:$AK$20,25,0)</f>
        <v>Un evento de lanzamiento del proyecto Reactivación Economica</v>
      </c>
      <c r="AJ216" s="11" t="str">
        <f>VLOOKUP(K216,'1125 CTeI'!$K$13:$AK$20,26,0)</f>
        <v>Para el proyecto Fortalecimiento de Capacidades de CTeI para la Reactivación Económica y la Transformación Productiva en Cundinamarca Se realiza la difusión  en las 15 Provincias del Departamento de manera Presencial en las Cabeceras Municipales con el acompañamiento de las Alcaldías, Secretarias de desarrollo,Agricultura y Umatas,  Asi mismo se formaliza la Preinscripción e Inscripción de las Comunidades Agropecuarias y Agroalimentarias que deseen ser beneficiarias del proyecto.</v>
      </c>
      <c r="AK216" s="11" t="str">
        <f>VLOOKUP(K216,'1125 CTeI'!$K$13:$AK$20,27,0)</f>
        <v>No se presento</v>
      </c>
      <c r="AL216" s="11">
        <v>60</v>
      </c>
      <c r="AM216" s="11">
        <v>0</v>
      </c>
      <c r="AN216" s="11">
        <v>43</v>
      </c>
      <c r="AO216" s="11">
        <v>0</v>
      </c>
      <c r="AP216" s="11">
        <v>0</v>
      </c>
      <c r="AQ216" s="11">
        <v>0</v>
      </c>
      <c r="AR216" s="52"/>
      <c r="AS216" s="54">
        <v>235125000</v>
      </c>
      <c r="AT216" s="54">
        <f t="shared" si="361"/>
        <v>235125000</v>
      </c>
      <c r="AU216" s="52"/>
      <c r="AV216" s="243">
        <v>350000000</v>
      </c>
      <c r="AW216" s="244"/>
      <c r="AX216" s="244"/>
      <c r="AY216" s="243">
        <v>329513538</v>
      </c>
      <c r="AZ216" s="44">
        <f t="shared" si="387"/>
        <v>0.58799999999999997</v>
      </c>
      <c r="BA216" s="44">
        <v>0.12</v>
      </c>
      <c r="BB216" s="44">
        <v>0</v>
      </c>
      <c r="BC216" s="44">
        <f t="shared" si="388"/>
        <v>0.58799999999999997</v>
      </c>
      <c r="BD216" s="44" cm="1">
        <f t="array" ref="BD216">_xlfn.IFS(AD216=0,"NA",AD216&gt;0,AH216/AD216)</f>
        <v>1</v>
      </c>
      <c r="BE216" s="44">
        <f t="shared" si="389"/>
        <v>0.24</v>
      </c>
      <c r="BF216" s="44">
        <v>0</v>
      </c>
      <c r="BG216" s="44">
        <f t="shared" si="390"/>
        <v>0.17199999999999999</v>
      </c>
      <c r="BH216" s="44">
        <v>0</v>
      </c>
      <c r="BI216" s="44">
        <f t="shared" si="380"/>
        <v>0</v>
      </c>
      <c r="BJ216" s="44" t="s">
        <v>115</v>
      </c>
      <c r="BK216" s="44">
        <f t="shared" si="362"/>
        <v>0.58799999999999997</v>
      </c>
      <c r="BL216" s="44">
        <v>0</v>
      </c>
      <c r="BM216" s="44" cm="1">
        <f t="array" ref="BM216">_xlfn.IFS(BD216="NA","NA",BD216&gt;100%,"100%",BD216&lt;100,BD216)</f>
        <v>1</v>
      </c>
      <c r="BN216" s="44" cm="1">
        <f t="array" ref="BN216">_xlfn.IFS(BF216="NA","NA",BF216&gt;100%,"100%",BF216&lt;100,BF216)</f>
        <v>0</v>
      </c>
      <c r="BO216" s="44" cm="1">
        <f t="array" ref="BO216">_xlfn.IFS(BH216="NA","NA",BH216&gt;100%,"100%",BH216&lt;100,BH216)</f>
        <v>0</v>
      </c>
      <c r="BP216" s="44" t="str" cm="1">
        <f t="array" ref="BP216">_xlfn.IFS(BJ216="NA","NA",BJ216&gt;100%,"100%",BJ216&lt;100,BJ216)</f>
        <v>NA</v>
      </c>
      <c r="BQ216" s="45">
        <v>0.22500000000000001</v>
      </c>
      <c r="BR216" s="45">
        <f t="shared" si="372"/>
        <v>0.1323</v>
      </c>
      <c r="BS216" s="45">
        <v>2.7E-2</v>
      </c>
      <c r="BT216" s="45">
        <v>0</v>
      </c>
      <c r="BU216" s="45">
        <v>0</v>
      </c>
      <c r="BV216" s="212">
        <v>0.116424</v>
      </c>
      <c r="BW216" s="45">
        <f t="shared" si="392"/>
        <v>0.116424</v>
      </c>
      <c r="BX216" s="45">
        <f t="shared" si="393"/>
        <v>0.1323</v>
      </c>
      <c r="BY216" s="212">
        <v>4.752E-2</v>
      </c>
      <c r="BZ216" s="45">
        <f t="shared" si="381"/>
        <v>0</v>
      </c>
      <c r="CA216" s="45">
        <f t="shared" si="373"/>
        <v>0</v>
      </c>
      <c r="CB216" s="212">
        <v>3.4056000000000003E-2</v>
      </c>
      <c r="CC216" s="45">
        <f t="shared" si="382"/>
        <v>0</v>
      </c>
      <c r="CD216" s="45">
        <v>0</v>
      </c>
      <c r="CE216" s="45">
        <f t="shared" si="383"/>
        <v>0</v>
      </c>
      <c r="CF216" s="45" t="str">
        <f t="shared" si="384"/>
        <v>NA</v>
      </c>
      <c r="CG216" s="45">
        <v>0</v>
      </c>
      <c r="CH216" s="244"/>
      <c r="CI216" s="244"/>
      <c r="CJ216" s="244"/>
      <c r="CK216" s="244"/>
      <c r="CM216" s="63">
        <v>117</v>
      </c>
    </row>
    <row r="217" spans="1:91" ht="18" hidden="1" customHeight="1">
      <c r="A217" s="260" t="s">
        <v>1409</v>
      </c>
      <c r="B217" s="260" t="s">
        <v>1410</v>
      </c>
      <c r="C217" s="260" t="s">
        <v>1286</v>
      </c>
      <c r="D217" s="260" t="s">
        <v>1389</v>
      </c>
      <c r="E217" s="260" t="s">
        <v>1469</v>
      </c>
      <c r="F217" s="260" t="s">
        <v>1470</v>
      </c>
      <c r="G217" s="260" t="s">
        <v>1471</v>
      </c>
      <c r="H217" s="260" t="s">
        <v>1483</v>
      </c>
      <c r="I217" s="260"/>
      <c r="J217" s="260"/>
      <c r="K217" s="260" t="s">
        <v>1484</v>
      </c>
      <c r="L217" s="260" t="s">
        <v>1485</v>
      </c>
      <c r="M217" s="260" t="s">
        <v>1486</v>
      </c>
      <c r="N217" s="260" t="s">
        <v>111</v>
      </c>
      <c r="O217" s="260" t="s">
        <v>112</v>
      </c>
      <c r="P217" s="10">
        <v>0</v>
      </c>
      <c r="Q217" s="11">
        <v>2</v>
      </c>
      <c r="R217" s="11">
        <f t="shared" si="385"/>
        <v>0.35</v>
      </c>
      <c r="S217" s="11" t="str">
        <f>VLOOKUP(K217,'1125 CTeI'!$K$13:$AK$20,9,0)</f>
        <v>A través de la secretaría se gestionó los recursos de proyecto “Fortalecer y mejorar las capacidades de CTeI de los municipios del departamento de Cundinamarca para comprender, prevenir, atender y/o mitigar problemáticas sociales con enfoque diferencial de violencias basadas en género, derivadas por el Covid 19”, que nos permite el diseño de la herramienta denominada "Factores de Análisis Basados en la Equidad de Género (Mujer)". Se realizo la estructuración del proyecto para la construcción de la herramienta Índice Provincial CTeI en el marco de la convocatoria de Fortalecimiento territorial ofertada por Minciencias.</v>
      </c>
      <c r="T217" s="11">
        <v>0.2</v>
      </c>
      <c r="U217" s="11">
        <v>0</v>
      </c>
      <c r="V217" s="11">
        <v>0.5</v>
      </c>
      <c r="W217" s="11">
        <v>0</v>
      </c>
      <c r="X217" s="11">
        <v>0</v>
      </c>
      <c r="Y217" s="11">
        <v>0</v>
      </c>
      <c r="Z217" s="11">
        <v>0</v>
      </c>
      <c r="AA217" s="11"/>
      <c r="AB217" s="11"/>
      <c r="AC217" s="11"/>
      <c r="AD217" s="11">
        <v>0.4</v>
      </c>
      <c r="AE217" s="11">
        <v>0</v>
      </c>
      <c r="AF217" s="11">
        <f>VLOOKUP(K217,'1125 CTeI'!$K$13:$AK$20,22,0)</f>
        <v>0.35</v>
      </c>
      <c r="AG217" s="11">
        <f>VLOOKUP(K217,'1125 CTeI'!$K$13:$AK$20,23,0)</f>
        <v>0</v>
      </c>
      <c r="AH217" s="11">
        <f t="shared" si="386"/>
        <v>0.35</v>
      </c>
      <c r="AI217" s="11" t="str">
        <f>VLOOKUP(K217,'1125 CTeI'!$K$13:$AK$20,25,0)</f>
        <v>Documento Tecnico en lista de elegibles por minciencias convocatora de fortalecimiento territorial para la construccion de la herramienta Indice CTeI Provincial</v>
      </c>
      <c r="AJ217" s="11" t="str">
        <f>VLOOKUP(K217,'1125 CTeI'!$K$13:$AK$20,26,0)</f>
        <v>Documento Tecnico en lista de elegibles por minciencias convocatora de fortalecimiento territorial para la construccion de la herramienta Indice CTeI Provincial, mencionado proyecto se encuentra en cumplimiento de requisitos para su aprobación</v>
      </c>
      <c r="AK217" s="11" t="str">
        <f>VLOOKUP(K217,'1125 CTeI'!$K$13:$AK$20,27,0)</f>
        <v>No se presento</v>
      </c>
      <c r="AL217" s="11">
        <v>1</v>
      </c>
      <c r="AM217" s="11">
        <v>0</v>
      </c>
      <c r="AN217" s="11">
        <v>0.6</v>
      </c>
      <c r="AO217" s="11">
        <v>0</v>
      </c>
      <c r="AP217" s="11">
        <v>0</v>
      </c>
      <c r="AQ217" s="11">
        <v>0</v>
      </c>
      <c r="AR217" s="52"/>
      <c r="AS217" s="54">
        <v>0</v>
      </c>
      <c r="AT217" s="54">
        <f t="shared" si="361"/>
        <v>0</v>
      </c>
      <c r="AU217" s="52"/>
      <c r="AV217" s="243">
        <v>110000000</v>
      </c>
      <c r="AW217" s="244"/>
      <c r="AX217" s="244"/>
      <c r="AY217" s="243">
        <v>103533333</v>
      </c>
      <c r="AZ217" s="44">
        <f t="shared" si="387"/>
        <v>0.17499999999999999</v>
      </c>
      <c r="BA217" s="44">
        <v>0.25</v>
      </c>
      <c r="BB217" s="44">
        <v>0</v>
      </c>
      <c r="BC217" s="44">
        <f t="shared" si="388"/>
        <v>0.2</v>
      </c>
      <c r="BD217" s="44" cm="1">
        <f t="array" ref="BD217">_xlfn.IFS(AD217=0,"NA",AD217&gt;0,AH217/AD217)</f>
        <v>0.87499999999999989</v>
      </c>
      <c r="BE217" s="44">
        <f t="shared" si="389"/>
        <v>0.5</v>
      </c>
      <c r="BF217" s="44">
        <v>0</v>
      </c>
      <c r="BG217" s="44">
        <f t="shared" si="390"/>
        <v>0.3</v>
      </c>
      <c r="BH217" s="44">
        <v>0</v>
      </c>
      <c r="BI217" s="44">
        <f t="shared" si="380"/>
        <v>0</v>
      </c>
      <c r="BJ217" s="44" t="s">
        <v>115</v>
      </c>
      <c r="BK217" s="44">
        <f t="shared" si="362"/>
        <v>0.17499999999999999</v>
      </c>
      <c r="BL217" s="44">
        <v>0</v>
      </c>
      <c r="BM217" s="44" cm="1">
        <f t="array" ref="BM217">_xlfn.IFS(BD217="NA","NA",BD217&gt;100%,"100%",BD217&lt;100,BD217)</f>
        <v>0.87499999999999989</v>
      </c>
      <c r="BN217" s="44" cm="1">
        <f t="array" ref="BN217">_xlfn.IFS(BF217="NA","NA",BF217&gt;100%,"100%",BF217&lt;100,BF217)</f>
        <v>0</v>
      </c>
      <c r="BO217" s="44" cm="1">
        <f t="array" ref="BO217">_xlfn.IFS(BH217="NA","NA",BH217&gt;100%,"100%",BH217&lt;100,BH217)</f>
        <v>0</v>
      </c>
      <c r="BP217" s="44" t="str" cm="1">
        <f t="array" ref="BP217">_xlfn.IFS(BJ217="NA","NA",BJ217&gt;100%,"100%",BJ217&lt;100,BJ217)</f>
        <v>NA</v>
      </c>
      <c r="BQ217" s="45">
        <v>0.22500000000000001</v>
      </c>
      <c r="BR217" s="45">
        <f t="shared" si="372"/>
        <v>3.9375E-2</v>
      </c>
      <c r="BS217" s="45">
        <v>5.6300000000000003E-2</v>
      </c>
      <c r="BT217" s="45">
        <v>0</v>
      </c>
      <c r="BU217" s="45">
        <v>0</v>
      </c>
      <c r="BV217" s="45">
        <v>3.3740000000000006E-2</v>
      </c>
      <c r="BW217" s="45">
        <f t="shared" si="392"/>
        <v>2.95225E-2</v>
      </c>
      <c r="BX217" s="45">
        <f t="shared" si="393"/>
        <v>3.9375E-2</v>
      </c>
      <c r="BY217" s="45">
        <v>8.4350000000000008E-2</v>
      </c>
      <c r="BZ217" s="45">
        <f t="shared" si="381"/>
        <v>0</v>
      </c>
      <c r="CA217" s="45">
        <f t="shared" si="373"/>
        <v>0</v>
      </c>
      <c r="CB217" s="45">
        <v>5.0610000000000002E-2</v>
      </c>
      <c r="CC217" s="45">
        <f t="shared" si="382"/>
        <v>0</v>
      </c>
      <c r="CD217" s="45">
        <v>0</v>
      </c>
      <c r="CE217" s="45">
        <f t="shared" si="383"/>
        <v>0</v>
      </c>
      <c r="CF217" s="45" t="str">
        <f t="shared" si="384"/>
        <v>NA</v>
      </c>
      <c r="CG217" s="45">
        <v>0</v>
      </c>
      <c r="CH217" s="244"/>
      <c r="CI217" s="244"/>
      <c r="CJ217" s="244"/>
      <c r="CK217" s="244"/>
      <c r="CM217" s="63">
        <v>0.3</v>
      </c>
    </row>
    <row r="218" spans="1:91" ht="18" hidden="1" customHeight="1">
      <c r="A218" s="260" t="s">
        <v>1409</v>
      </c>
      <c r="B218" s="260" t="s">
        <v>1410</v>
      </c>
      <c r="C218" s="260" t="s">
        <v>1286</v>
      </c>
      <c r="D218" s="260" t="s">
        <v>1389</v>
      </c>
      <c r="E218" s="260" t="s">
        <v>1469</v>
      </c>
      <c r="F218" s="260" t="s">
        <v>1470</v>
      </c>
      <c r="G218" s="260" t="s">
        <v>1471</v>
      </c>
      <c r="H218" s="260" t="s">
        <v>1487</v>
      </c>
      <c r="I218" s="260"/>
      <c r="J218" s="260"/>
      <c r="K218" s="260" t="s">
        <v>1488</v>
      </c>
      <c r="L218" s="260" t="s">
        <v>1489</v>
      </c>
      <c r="M218" s="260" t="s">
        <v>1490</v>
      </c>
      <c r="N218" s="260" t="s">
        <v>111</v>
      </c>
      <c r="O218" s="260" t="s">
        <v>112</v>
      </c>
      <c r="P218" s="10">
        <v>1</v>
      </c>
      <c r="Q218" s="11">
        <v>1</v>
      </c>
      <c r="R218" s="11">
        <f t="shared" si="385"/>
        <v>0.35</v>
      </c>
      <c r="S218" s="11" t="str">
        <f>VLOOKUP(K218,'1125 CTeI'!$K$13:$AK$20,9,0)</f>
        <v>Participación activa en las sesiones del CODEPS con el objetivo recibir la aprobación para la formulación y actualización de la Política Pública de CTeI, de acuerdo a la metodología de gestión de PP de la secretaria de Planeación se realizaron las siguientes acciones:  Activación de mesa institucional CTeI de la gobernación de Cundinamarca con la socialización del Plan Operativo, Activación de instancias de participación como el CODECTI y Consejo Regional CTeI de Sabana Centro, divulgación de la Política Pública CTeI a través de la emisora el Dorado radio, Pagina de la Gobernación y redes sociales. Inicio del Diagnostico Participativo a través del desarrollo de la mesa provincial de Medina Cundinamarca.</v>
      </c>
      <c r="T218" s="11">
        <v>0.1</v>
      </c>
      <c r="U218" s="11">
        <v>0</v>
      </c>
      <c r="V218" s="11">
        <v>0</v>
      </c>
      <c r="W218" s="11">
        <v>0</v>
      </c>
      <c r="X218" s="11">
        <v>0</v>
      </c>
      <c r="Y218" s="11">
        <v>0</v>
      </c>
      <c r="Z218" s="11">
        <v>0</v>
      </c>
      <c r="AA218" s="11"/>
      <c r="AB218" s="11"/>
      <c r="AC218" s="11"/>
      <c r="AD218" s="11">
        <v>0.4</v>
      </c>
      <c r="AE218" s="11">
        <v>0</v>
      </c>
      <c r="AF218" s="11">
        <f>VLOOKUP(K218,'1125 CTeI'!$K$13:$AK$20,22,0)</f>
        <v>0.35</v>
      </c>
      <c r="AG218" s="11">
        <f>VLOOKUP(K218,'1125 CTeI'!$K$13:$AK$20,23,0)</f>
        <v>0</v>
      </c>
      <c r="AH218" s="11">
        <f t="shared" si="386"/>
        <v>0.35</v>
      </c>
      <c r="AI218" s="11" t="str">
        <f>VLOOKUP(K218,'1125 CTeI'!$K$13:$AK$20,25,0)</f>
        <v xml:space="preserve">Diagnostico estadistico de CTeI </v>
      </c>
      <c r="AJ218" s="11" t="str">
        <f>VLOOKUP(K218,'1125 CTeI'!$K$13:$AK$20,26,0)</f>
        <v>Avance en el diagnostico participativo y estadistico para la actualizacion de la politica publica de CTeI, según lineamientos de la secretaria de Planeación de la Gobernación de Cundinamarca</v>
      </c>
      <c r="AK218" s="11" t="str">
        <f>VLOOKUP(K218,'1125 CTeI'!$K$13:$AK$20,27,0)</f>
        <v>No se presento</v>
      </c>
      <c r="AL218" s="11">
        <v>0.4</v>
      </c>
      <c r="AM218" s="11">
        <v>0</v>
      </c>
      <c r="AN218" s="11">
        <v>0.2</v>
      </c>
      <c r="AO218" s="11">
        <v>0</v>
      </c>
      <c r="AP218" s="11">
        <v>0</v>
      </c>
      <c r="AQ218" s="11">
        <v>0</v>
      </c>
      <c r="AR218" s="52"/>
      <c r="AS218" s="54">
        <v>0</v>
      </c>
      <c r="AT218" s="54">
        <f t="shared" si="361"/>
        <v>0</v>
      </c>
      <c r="AU218" s="52"/>
      <c r="AV218" s="243">
        <v>95000000</v>
      </c>
      <c r="AW218" s="244"/>
      <c r="AX218" s="244"/>
      <c r="AY218" s="243">
        <v>88286267</v>
      </c>
      <c r="AZ218" s="44">
        <f t="shared" si="387"/>
        <v>0.35</v>
      </c>
      <c r="BA218" s="44">
        <v>0</v>
      </c>
      <c r="BB218" s="44" t="s">
        <v>115</v>
      </c>
      <c r="BC218" s="44">
        <f t="shared" si="388"/>
        <v>0.4</v>
      </c>
      <c r="BD218" s="44" cm="1">
        <f t="array" ref="BD218">_xlfn.IFS(AD218=0,"NA",AD218&gt;0,AH218/AD218)</f>
        <v>0.87499999999999989</v>
      </c>
      <c r="BE218" s="44">
        <f t="shared" si="389"/>
        <v>0.4</v>
      </c>
      <c r="BF218" s="44">
        <v>0</v>
      </c>
      <c r="BG218" s="44">
        <f t="shared" si="390"/>
        <v>0.2</v>
      </c>
      <c r="BH218" s="44">
        <v>0</v>
      </c>
      <c r="BI218" s="44">
        <f t="shared" si="380"/>
        <v>0</v>
      </c>
      <c r="BJ218" s="44" t="s">
        <v>115</v>
      </c>
      <c r="BK218" s="44">
        <f t="shared" si="362"/>
        <v>0.35</v>
      </c>
      <c r="BL218" s="44" t="s">
        <v>115</v>
      </c>
      <c r="BM218" s="44" cm="1">
        <f t="array" ref="BM218">_xlfn.IFS(BD218="NA","NA",BD218&gt;100%,"100%",BD218&lt;100,BD218)</f>
        <v>0.87499999999999989</v>
      </c>
      <c r="BN218" s="44" cm="1">
        <f t="array" ref="BN218">_xlfn.IFS(BF218="NA","NA",BF218&gt;100%,"100%",BF218&lt;100,BF218)</f>
        <v>0</v>
      </c>
      <c r="BO218" s="44" cm="1">
        <f t="array" ref="BO218">_xlfn.IFS(BH218="NA","NA",BH218&gt;100%,"100%",BH218&lt;100,BH218)</f>
        <v>0</v>
      </c>
      <c r="BP218" s="44" t="str" cm="1">
        <f t="array" ref="BP218">_xlfn.IFS(BJ218="NA","NA",BJ218&gt;100%,"100%",BJ218&lt;100,BJ218)</f>
        <v>NA</v>
      </c>
      <c r="BQ218" s="45">
        <v>0.22500000000000001</v>
      </c>
      <c r="BR218" s="45">
        <f t="shared" si="372"/>
        <v>7.8750000000000001E-2</v>
      </c>
      <c r="BS218" s="45">
        <v>0</v>
      </c>
      <c r="BT218" s="45" t="s">
        <v>115</v>
      </c>
      <c r="BU218" s="45">
        <v>0</v>
      </c>
      <c r="BV218" s="45">
        <f t="shared" si="391"/>
        <v>9.0000000000000011E-2</v>
      </c>
      <c r="BW218" s="45">
        <f t="shared" si="392"/>
        <v>7.8750000000000001E-2</v>
      </c>
      <c r="BX218" s="45">
        <f t="shared" si="393"/>
        <v>7.8750000000000001E-2</v>
      </c>
      <c r="BY218" s="45">
        <f t="shared" si="394"/>
        <v>9.0000000000000011E-2</v>
      </c>
      <c r="BZ218" s="45">
        <f t="shared" si="381"/>
        <v>0</v>
      </c>
      <c r="CA218" s="45">
        <f t="shared" si="373"/>
        <v>0</v>
      </c>
      <c r="CB218" s="45">
        <f t="shared" si="395"/>
        <v>4.5000000000000005E-2</v>
      </c>
      <c r="CC218" s="45">
        <f t="shared" si="382"/>
        <v>0</v>
      </c>
      <c r="CD218" s="45">
        <v>0</v>
      </c>
      <c r="CE218" s="45">
        <f t="shared" si="383"/>
        <v>0</v>
      </c>
      <c r="CF218" s="45" t="str">
        <f t="shared" si="384"/>
        <v>NA</v>
      </c>
      <c r="CG218" s="45">
        <v>0</v>
      </c>
      <c r="CH218" s="244"/>
      <c r="CI218" s="244"/>
      <c r="CJ218" s="244"/>
      <c r="CK218" s="244"/>
      <c r="CM218" s="63">
        <v>0.2</v>
      </c>
    </row>
    <row r="219" spans="1:91" ht="18" hidden="1" customHeight="1">
      <c r="A219" s="260" t="s">
        <v>1409</v>
      </c>
      <c r="B219" s="260" t="s">
        <v>1410</v>
      </c>
      <c r="C219" s="260" t="s">
        <v>1286</v>
      </c>
      <c r="D219" s="260" t="s">
        <v>1389</v>
      </c>
      <c r="E219" s="260" t="s">
        <v>1469</v>
      </c>
      <c r="F219" s="260" t="s">
        <v>1470</v>
      </c>
      <c r="G219" s="260" t="s">
        <v>1471</v>
      </c>
      <c r="H219" s="260" t="s">
        <v>1491</v>
      </c>
      <c r="I219" s="260"/>
      <c r="J219" s="260"/>
      <c r="K219" s="260" t="s">
        <v>1492</v>
      </c>
      <c r="L219" s="260" t="s">
        <v>1493</v>
      </c>
      <c r="M219" s="260" t="s">
        <v>1494</v>
      </c>
      <c r="N219" s="260" t="s">
        <v>111</v>
      </c>
      <c r="O219" s="260" t="s">
        <v>112</v>
      </c>
      <c r="P219" s="10">
        <v>0</v>
      </c>
      <c r="Q219" s="11">
        <v>8</v>
      </c>
      <c r="R219" s="11">
        <f t="shared" si="385"/>
        <v>3</v>
      </c>
      <c r="S219" s="11" t="str">
        <f>VLOOKUP(K219,'1125 CTeI'!$K$13:$AK$20,9,0)</f>
        <v xml:space="preserve">La Secretaría de CTeI participo en el II conversatorio” Hablemos de CTeI en Sabana Centro” realizado en el municipio de Sopó, Conto con la participación de la Exministra de ciencia, tecnología e innovación Dra. Mabel Torres Torres y la Dra. Nelly Russi Secretaria de Ciencia, Tecnología e Innovación del departamento de Cundinamarca quien socializó las acciones a desarrollar en el marco de la actualización de la Política Pública CTeI, avance en proceso de Apropiación social del conocimiento, entrega de becas en estudios de alto nivel para jóvenes cundinamarqueses, consolidación y desarrollo de proyectos que respaldan los agricultores y ganaderos para mejorar sus procesos productivos y el trabajo articulado interinstitucional identificando las capacidades y desarrollo de los actores del Ecosistema Departamental.
La Secretaría de CTeI participa como co-organizador del evento Open Innovation Summit (OISummit) 2021, Evento que busca generar relacionamiento entre los emprendedores e investigadores con empresarios e inversionistas, con el fin de generar nuevas alianzas y negocios entre las partes a través de un formato de speed dating o citas rápidas. Cundinamarca participó con 20 emprendimientos que incorporan CTeI, tuvieron la oportunidad de participar en citas de 20 minutos para presentar sus emprendimientos con inversionistas y representantes de 30 empresas nacionales e internacionales. También La Secretaría de CTeI Participo como coorganizador  con la escuela de Infantería del ejército nacional del evento internacional CITINF 2021 el cual permitió la participación de estudiantes, docentes, investigadores, miembros de las fuerzas militares, emprendedores y empresarios en un encuentro que consintió en la presentación de ponencias magistrales, artículos de revista, posters y stands que muestran el avance en ciencia, tecnología e innovación en la industria militar y el ecosistema de CTeI.
</v>
      </c>
      <c r="T219" s="11">
        <v>2</v>
      </c>
      <c r="U219" s="11">
        <v>0</v>
      </c>
      <c r="V219" s="11">
        <v>2</v>
      </c>
      <c r="W219" s="11">
        <v>0</v>
      </c>
      <c r="X219" s="11">
        <v>0</v>
      </c>
      <c r="Y219" s="11">
        <v>0</v>
      </c>
      <c r="Z219" s="11">
        <v>0</v>
      </c>
      <c r="AA219" s="11" t="s">
        <v>1495</v>
      </c>
      <c r="AB219" s="11"/>
      <c r="AC219" s="11">
        <v>0</v>
      </c>
      <c r="AD219" s="11">
        <v>3</v>
      </c>
      <c r="AE219" s="11">
        <v>0</v>
      </c>
      <c r="AF219" s="11">
        <f>VLOOKUP(K219,'1125 CTeI'!$K$13:$AK$20,22,0)</f>
        <v>3</v>
      </c>
      <c r="AG219" s="11">
        <f>VLOOKUP(K219,'1125 CTeI'!$K$13:$AK$20,23,0)</f>
        <v>0</v>
      </c>
      <c r="AH219" s="11">
        <f t="shared" si="386"/>
        <v>3</v>
      </c>
      <c r="AI219" s="11" t="str">
        <f>VLOOKUP(K219,'1125 CTeI'!$K$13:$AK$20,25,0)</f>
        <v>Realización  del Evento Internacional CITINF 2021 y Primer Congreso CTeI de la Policia Nacional.</v>
      </c>
      <c r="AJ219" s="11" t="str">
        <f>VLOOKUP(K219,'1125 CTeI'!$K$13:$AK$20,26,0)</f>
        <v>La Secretaría de CTeI Participo como coorganizador con la escuela de Infantería del ejército nacional del evento internacional CITINF 2021 el cual permitió la participación de estudiantes, docentes, investigadores, miembros de las fuerzas militares, emprendedores y empresarios en un encuentro que consintió en la presentación de ponencias magistrales, artículos de revista, posters y stands que muestran el avance en ciencia, tecnología e innovación en la industria militar y el ecosistema de CTeI. Además la secretaría participo en el primer congreso de CTeI realizado por la policía Nacional en el municipio de Sibaté presentando el avance en estrategias de pedagógicas de prevención.</v>
      </c>
      <c r="AK219" s="11" t="str">
        <f>VLOOKUP(K219,'1125 CTeI'!$K$13:$AK$20,27,0)</f>
        <v>No se Presento</v>
      </c>
      <c r="AL219" s="11">
        <v>3</v>
      </c>
      <c r="AM219" s="11">
        <v>0</v>
      </c>
      <c r="AN219" s="11">
        <v>2</v>
      </c>
      <c r="AO219" s="11">
        <v>0</v>
      </c>
      <c r="AP219" s="11">
        <v>0</v>
      </c>
      <c r="AQ219" s="11">
        <v>0</v>
      </c>
      <c r="AR219" s="51">
        <v>81000000</v>
      </c>
      <c r="AS219" s="54">
        <v>0</v>
      </c>
      <c r="AT219" s="54">
        <f t="shared" si="361"/>
        <v>81000000</v>
      </c>
      <c r="AU219" s="51">
        <v>0</v>
      </c>
      <c r="AV219" s="243">
        <v>255000000</v>
      </c>
      <c r="AW219" s="244"/>
      <c r="AX219" s="244"/>
      <c r="AY219" s="243">
        <v>252747333</v>
      </c>
      <c r="AZ219" s="44">
        <f t="shared" si="387"/>
        <v>0.375</v>
      </c>
      <c r="BA219" s="44">
        <v>0.25</v>
      </c>
      <c r="BB219" s="44">
        <v>0</v>
      </c>
      <c r="BC219" s="44">
        <f t="shared" si="388"/>
        <v>0.375</v>
      </c>
      <c r="BD219" s="44" cm="1">
        <f t="array" ref="BD219">_xlfn.IFS(AD219=0,"NA",AD219&gt;0,AH219/AD219)</f>
        <v>1</v>
      </c>
      <c r="BE219" s="44">
        <f t="shared" si="389"/>
        <v>0.375</v>
      </c>
      <c r="BF219" s="44">
        <v>0</v>
      </c>
      <c r="BG219" s="44">
        <f t="shared" si="390"/>
        <v>0.25</v>
      </c>
      <c r="BH219" s="44">
        <v>0</v>
      </c>
      <c r="BI219" s="44">
        <f t="shared" si="380"/>
        <v>0</v>
      </c>
      <c r="BJ219" s="44" t="s">
        <v>115</v>
      </c>
      <c r="BK219" s="44">
        <f t="shared" si="362"/>
        <v>0.375</v>
      </c>
      <c r="BL219" s="44">
        <v>0</v>
      </c>
      <c r="BM219" s="44" cm="1">
        <f t="array" ref="BM219">_xlfn.IFS(BD219="NA","NA",BD219&gt;100%,"100%",BD219&lt;100,BD219)</f>
        <v>1</v>
      </c>
      <c r="BN219" s="44" cm="1">
        <f t="array" ref="BN219">_xlfn.IFS(BF219="NA","NA",BF219&gt;100%,"100%",BF219&lt;100,BF219)</f>
        <v>0</v>
      </c>
      <c r="BO219" s="44" cm="1">
        <f t="array" ref="BO219">_xlfn.IFS(BH219="NA","NA",BH219&gt;100%,"100%",BH219&lt;100,BH219)</f>
        <v>0</v>
      </c>
      <c r="BP219" s="44" t="str" cm="1">
        <f t="array" ref="BP219">_xlfn.IFS(BJ219="NA","NA",BJ219&gt;100%,"100%",BJ219&lt;100,BJ219)</f>
        <v>NA</v>
      </c>
      <c r="BQ219" s="45">
        <v>0.22500000000000001</v>
      </c>
      <c r="BR219" s="45">
        <f t="shared" si="372"/>
        <v>8.4375000000000006E-2</v>
      </c>
      <c r="BS219" s="45">
        <v>5.6300000000000003E-2</v>
      </c>
      <c r="BT219" s="45">
        <v>0</v>
      </c>
      <c r="BU219" s="45">
        <v>0</v>
      </c>
      <c r="BV219" s="45">
        <f t="shared" si="391"/>
        <v>8.4375000000000006E-2</v>
      </c>
      <c r="BW219" s="45">
        <f t="shared" si="392"/>
        <v>8.4375000000000006E-2</v>
      </c>
      <c r="BX219" s="45">
        <f t="shared" si="393"/>
        <v>8.4375000000000006E-2</v>
      </c>
      <c r="BY219" s="45">
        <f t="shared" si="394"/>
        <v>8.4375000000000006E-2</v>
      </c>
      <c r="BZ219" s="45">
        <f t="shared" si="381"/>
        <v>0</v>
      </c>
      <c r="CA219" s="45">
        <f t="shared" si="373"/>
        <v>0</v>
      </c>
      <c r="CB219" s="45">
        <f t="shared" si="395"/>
        <v>5.6250000000000001E-2</v>
      </c>
      <c r="CC219" s="45">
        <f t="shared" si="382"/>
        <v>0</v>
      </c>
      <c r="CD219" s="45">
        <v>0</v>
      </c>
      <c r="CE219" s="45">
        <f t="shared" si="383"/>
        <v>0</v>
      </c>
      <c r="CF219" s="45" t="str">
        <f t="shared" si="384"/>
        <v>NA</v>
      </c>
      <c r="CG219" s="45">
        <v>0</v>
      </c>
      <c r="CH219" s="244"/>
      <c r="CI219" s="244"/>
      <c r="CJ219" s="244"/>
      <c r="CK219" s="244"/>
      <c r="CM219" s="63">
        <v>2</v>
      </c>
    </row>
    <row r="220" spans="1:91" ht="18" hidden="1" customHeight="1">
      <c r="A220" s="260" t="s">
        <v>428</v>
      </c>
      <c r="B220" s="260" t="s">
        <v>429</v>
      </c>
      <c r="C220" s="260" t="s">
        <v>1286</v>
      </c>
      <c r="D220" s="260" t="s">
        <v>1496</v>
      </c>
      <c r="E220" s="260" t="s">
        <v>1497</v>
      </c>
      <c r="F220" s="260" t="s">
        <v>1498</v>
      </c>
      <c r="G220" s="260" t="s">
        <v>1499</v>
      </c>
      <c r="H220" s="260" t="s">
        <v>1500</v>
      </c>
      <c r="I220" s="260"/>
      <c r="J220" s="260"/>
      <c r="K220" s="260" t="s">
        <v>1501</v>
      </c>
      <c r="L220" s="260" t="s">
        <v>1502</v>
      </c>
      <c r="M220" s="260" t="s">
        <v>1503</v>
      </c>
      <c r="N220" s="260" t="s">
        <v>111</v>
      </c>
      <c r="O220" s="260" t="s">
        <v>112</v>
      </c>
      <c r="P220" s="10">
        <v>0</v>
      </c>
      <c r="Q220" s="11">
        <v>350</v>
      </c>
      <c r="R220" s="11">
        <f t="shared" si="385"/>
        <v>168.59</v>
      </c>
      <c r="S220" s="11" t="str">
        <f>VLOOKUP(K220,'1223 ICCU'!$K$13:$AK$25,9,0)</f>
        <v> Durante el cuatrienio se han realizado el mejoramiento de 168,59 Km de vías de primer orden, mejorando la transitabilidad y seguridad en las vías con tercer carril y segunda calzada, que propician mayor conectividad y reducción en los tiempos de desplazamiento.</v>
      </c>
      <c r="T220" s="11">
        <v>65</v>
      </c>
      <c r="U220" s="11">
        <v>0</v>
      </c>
      <c r="V220" s="11">
        <v>70</v>
      </c>
      <c r="W220" s="11">
        <v>0</v>
      </c>
      <c r="X220" s="11">
        <v>74.650000000000006</v>
      </c>
      <c r="Y220" s="11">
        <v>0</v>
      </c>
      <c r="Z220" s="11">
        <v>74.650000000000006</v>
      </c>
      <c r="AA220" s="11" t="s">
        <v>1504</v>
      </c>
      <c r="AB220" s="11" t="s">
        <v>1505</v>
      </c>
      <c r="AC220" s="11">
        <v>0</v>
      </c>
      <c r="AD220" s="11">
        <v>100</v>
      </c>
      <c r="AE220" s="11">
        <v>0</v>
      </c>
      <c r="AF220" s="11">
        <f>VLOOKUP(K220,'1223 ICCU'!$K$13:$AK$25,22,0)</f>
        <v>93.94</v>
      </c>
      <c r="AG220" s="11" t="str">
        <f>VLOOKUP(K220,'1223 ICCU'!$K$13:$AK$25,23,0)</f>
        <v> </v>
      </c>
      <c r="AH220" s="11">
        <f t="shared" si="386"/>
        <v>93.94</v>
      </c>
      <c r="AI220" s="11" t="str">
        <f>VLOOKUP(K220,'1223 ICCU'!$K$13:$AK$25,25,0)</f>
        <v>93,94 Km de vías de primer orden mejorados</v>
      </c>
      <c r="AJ220" s="11" t="str">
        <f>VLOOKUP(K220,'1223 ICCU'!$K$13:$AK$25,26,0)</f>
        <v> Durante la vigencia 2021 se han mejorado 93,94 Km de vías de primer orden, en ejecución del proyecto correspondiente a los meses de enero, febrero, marzo y abril de 2021, el cual tiene una ejecución de total de  37.31 km, equivalente a 30.08 km de tercer carril y 7.23 km de segunda calzada nueva. Para el presente reporte de acuerdo con el informe presentado por INVIAS se obtuvo una ejecución financiera y un avance de: 0,36 km de tercer carril y 1,15 km de segunda calzada. Cabe resaltar que dicha inversión corresponde a gestión no incorporada, la cual sale del presupuesto de la nación, el cual tiene impacto en la vía Departamental de primer orden Chía- Mosquera - La Mesa -Girardot. Conforme al reporte de la ANI de fecha 15 de julio de 2021, en la que se reporta el avance de las unidades funcionales UF2 Y UF3  que corresponde a los sectores Cumaral - Paratebueno con 14 km y Paratebueno - Villanueva con 12 km. Ejecución financiera de las concesiones Devisab y Panamericana.</v>
      </c>
      <c r="AK220" s="11" t="str">
        <f>VLOOKUP(K220,'1223 ICCU'!$K$13:$AK$25,27,0)</f>
        <v> </v>
      </c>
      <c r="AL220" s="11">
        <v>90</v>
      </c>
      <c r="AM220" s="11">
        <v>0</v>
      </c>
      <c r="AN220" s="11">
        <v>85.35</v>
      </c>
      <c r="AO220" s="11">
        <v>0</v>
      </c>
      <c r="AP220" s="11">
        <v>0</v>
      </c>
      <c r="AQ220" s="11">
        <v>0</v>
      </c>
      <c r="AR220" s="52"/>
      <c r="AS220" s="54">
        <v>1285000000000</v>
      </c>
      <c r="AT220" s="54">
        <f t="shared" si="361"/>
        <v>1285000000000</v>
      </c>
      <c r="AU220" s="52"/>
      <c r="AV220" s="243">
        <v>52302000000</v>
      </c>
      <c r="AW220" s="244"/>
      <c r="AX220" s="244"/>
      <c r="AY220" s="243">
        <v>52302000000</v>
      </c>
      <c r="AZ220" s="44">
        <f t="shared" si="387"/>
        <v>0.48168571428571427</v>
      </c>
      <c r="BA220" s="44">
        <v>0.2</v>
      </c>
      <c r="BB220" s="44">
        <v>1.0664</v>
      </c>
      <c r="BC220" s="44">
        <f t="shared" si="388"/>
        <v>0.2857142857142857</v>
      </c>
      <c r="BD220" s="44" cm="1">
        <f t="array" ref="BD220">_xlfn.IFS(AD220=0,"NA",AD220&gt;0,AH220/AD220)</f>
        <v>0.93940000000000001</v>
      </c>
      <c r="BE220" s="44">
        <f t="shared" si="389"/>
        <v>0.25714285714285712</v>
      </c>
      <c r="BF220" s="44">
        <v>0</v>
      </c>
      <c r="BG220" s="44">
        <f t="shared" si="390"/>
        <v>0.24385714285714283</v>
      </c>
      <c r="BH220" s="44">
        <v>0</v>
      </c>
      <c r="BI220" s="44">
        <f t="shared" si="380"/>
        <v>0</v>
      </c>
      <c r="BJ220" s="44" t="s">
        <v>115</v>
      </c>
      <c r="BK220" s="44">
        <f t="shared" si="362"/>
        <v>0.48168571428571427</v>
      </c>
      <c r="BL220" s="44">
        <v>1</v>
      </c>
      <c r="BM220" s="44" cm="1">
        <f t="array" ref="BM220">_xlfn.IFS(BD220="NA","NA",BD220&gt;100%,"100%",BD220&lt;100,BD220)</f>
        <v>0.93940000000000001</v>
      </c>
      <c r="BN220" s="44" cm="1">
        <f t="array" ref="BN220">_xlfn.IFS(BF220="NA","NA",BF220&gt;100%,"100%",BF220&lt;100,BF220)</f>
        <v>0</v>
      </c>
      <c r="BO220" s="44" cm="1">
        <f t="array" ref="BO220">_xlfn.IFS(BH220="NA","NA",BH220&gt;100%,"100%",BH220&lt;100,BH220)</f>
        <v>0</v>
      </c>
      <c r="BP220" s="44" t="str" cm="1">
        <f t="array" ref="BP220">_xlfn.IFS(BJ220="NA","NA",BJ220&gt;100%,"100%",BJ220&lt;100,BJ220)</f>
        <v>NA</v>
      </c>
      <c r="BQ220" s="45">
        <v>0.22500000000000001</v>
      </c>
      <c r="BR220" s="45">
        <f t="shared" si="372"/>
        <v>0.10837928571428572</v>
      </c>
      <c r="BS220" s="45">
        <v>4.4999999999999998E-2</v>
      </c>
      <c r="BT220" s="45">
        <v>4.4999999999999998E-2</v>
      </c>
      <c r="BU220" s="45">
        <v>4.8000000000000001E-2</v>
      </c>
      <c r="BV220" s="45">
        <f t="shared" si="391"/>
        <v>6.4285714285714279E-2</v>
      </c>
      <c r="BW220" s="45">
        <f t="shared" si="392"/>
        <v>6.0389999999999992E-2</v>
      </c>
      <c r="BX220" s="45">
        <f t="shared" si="393"/>
        <v>6.0379285714285719E-2</v>
      </c>
      <c r="BY220" s="45">
        <f t="shared" si="394"/>
        <v>5.7857142857142857E-2</v>
      </c>
      <c r="BZ220" s="45">
        <f t="shared" si="381"/>
        <v>0</v>
      </c>
      <c r="CA220" s="45">
        <f t="shared" si="373"/>
        <v>0</v>
      </c>
      <c r="CB220" s="45">
        <f t="shared" si="395"/>
        <v>5.4867857142857142E-2</v>
      </c>
      <c r="CC220" s="45">
        <f t="shared" si="382"/>
        <v>0</v>
      </c>
      <c r="CD220" s="45">
        <v>0</v>
      </c>
      <c r="CE220" s="45">
        <f t="shared" si="383"/>
        <v>0</v>
      </c>
      <c r="CF220" s="45" t="str">
        <f t="shared" si="384"/>
        <v>NA</v>
      </c>
      <c r="CG220" s="45">
        <v>0</v>
      </c>
      <c r="CH220" s="244"/>
      <c r="CI220" s="244"/>
      <c r="CJ220" s="244"/>
      <c r="CK220" s="244"/>
      <c r="CM220" s="63">
        <v>102.42</v>
      </c>
    </row>
    <row r="221" spans="1:91" ht="18" hidden="1" customHeight="1">
      <c r="A221" s="260" t="s">
        <v>428</v>
      </c>
      <c r="B221" s="260" t="s">
        <v>429</v>
      </c>
      <c r="C221" s="260" t="s">
        <v>1286</v>
      </c>
      <c r="D221" s="260" t="s">
        <v>1496</v>
      </c>
      <c r="E221" s="260" t="s">
        <v>1497</v>
      </c>
      <c r="F221" s="260" t="s">
        <v>1498</v>
      </c>
      <c r="G221" s="260" t="s">
        <v>1499</v>
      </c>
      <c r="H221" s="260" t="s">
        <v>1506</v>
      </c>
      <c r="I221" s="260"/>
      <c r="J221" s="260"/>
      <c r="K221" s="260" t="s">
        <v>1507</v>
      </c>
      <c r="L221" s="260" t="s">
        <v>1508</v>
      </c>
      <c r="M221" s="260" t="s">
        <v>1509</v>
      </c>
      <c r="N221" s="260" t="s">
        <v>111</v>
      </c>
      <c r="O221" s="260" t="s">
        <v>112</v>
      </c>
      <c r="P221" s="10">
        <v>0</v>
      </c>
      <c r="Q221" s="11">
        <v>300</v>
      </c>
      <c r="R221" s="11">
        <f t="shared" si="385"/>
        <v>107.79</v>
      </c>
      <c r="S221" s="11" t="str">
        <f>VLOOKUP(K221,'1223 ICCU'!$K$13:$AK$25,9,0)</f>
        <v> Durante el cuatrienio se han realizado estudios y diseños a 107,79 Km de vías en el Departamento para proyectos de infraestructura víal.</v>
      </c>
      <c r="T221" s="11">
        <v>50</v>
      </c>
      <c r="U221" s="11">
        <v>0</v>
      </c>
      <c r="V221" s="11">
        <v>0</v>
      </c>
      <c r="W221" s="11">
        <v>0</v>
      </c>
      <c r="X221" s="11">
        <v>0</v>
      </c>
      <c r="Y221" s="11">
        <v>0</v>
      </c>
      <c r="Z221" s="11">
        <v>0</v>
      </c>
      <c r="AA221" s="11"/>
      <c r="AB221" s="11"/>
      <c r="AC221" s="11"/>
      <c r="AD221" s="11">
        <v>125</v>
      </c>
      <c r="AE221" s="11">
        <v>0</v>
      </c>
      <c r="AF221" s="11">
        <f>VLOOKUP(K221,'1223 ICCU'!$K$13:$AK$25,22,0)</f>
        <v>107.79</v>
      </c>
      <c r="AG221" s="11" t="str">
        <f>VLOOKUP(K221,'1223 ICCU'!$K$13:$AK$25,23,0)</f>
        <v> </v>
      </c>
      <c r="AH221" s="11">
        <f t="shared" si="386"/>
        <v>107.79</v>
      </c>
      <c r="AI221" s="11" t="str">
        <f>VLOOKUP(K221,'1223 ICCU'!$K$13:$AK$25,25,0)</f>
        <v>107,79 Km de vías con estudios y diseños para infraestructura víal en el departamento.</v>
      </c>
      <c r="AJ221" s="11" t="str">
        <f>VLOOKUP(K221,'1223 ICCU'!$K$13:$AK$25,26,0)</f>
        <v>Durante la vigencia 2021 se han realizado Estudios y Diseños a 107,79 Km de vías en los municipios de Villeta, Quebradanegra, Útica, Reventones-Los Alpes, Ubalá- Sueva, Nimaima-Nocaima, La Calera, Pulí-San juan de Rio seco, Cabrera, Venecia, Pandi, Arbeláez, Fusagasugá.</v>
      </c>
      <c r="AK221" s="11" t="str">
        <f>VLOOKUP(K221,'1223 ICCU'!$K$13:$AK$25,27,0)</f>
        <v> </v>
      </c>
      <c r="AL221" s="11">
        <v>100</v>
      </c>
      <c r="AM221" s="11">
        <v>0</v>
      </c>
      <c r="AN221" s="11">
        <v>75</v>
      </c>
      <c r="AO221" s="11">
        <v>0</v>
      </c>
      <c r="AP221" s="11">
        <v>0</v>
      </c>
      <c r="AQ221" s="11">
        <v>0</v>
      </c>
      <c r="AR221" s="52"/>
      <c r="AS221" s="54">
        <v>0</v>
      </c>
      <c r="AT221" s="54">
        <f t="shared" si="361"/>
        <v>0</v>
      </c>
      <c r="AU221" s="52"/>
      <c r="AV221" s="243">
        <v>16862000000</v>
      </c>
      <c r="AW221" s="244"/>
      <c r="AX221" s="244"/>
      <c r="AY221" s="243">
        <v>16740635811</v>
      </c>
      <c r="AZ221" s="44">
        <f t="shared" si="387"/>
        <v>0.35930000000000001</v>
      </c>
      <c r="BA221" s="44">
        <v>0</v>
      </c>
      <c r="BB221" s="44" t="s">
        <v>115</v>
      </c>
      <c r="BC221" s="44">
        <f t="shared" si="388"/>
        <v>0.41666666666666669</v>
      </c>
      <c r="BD221" s="44" cm="1">
        <f t="array" ref="BD221">_xlfn.IFS(AD221=0,"NA",AD221&gt;0,AH221/AD221)</f>
        <v>0.86232000000000009</v>
      </c>
      <c r="BE221" s="44">
        <f t="shared" si="389"/>
        <v>0.33333333333333331</v>
      </c>
      <c r="BF221" s="44">
        <v>0</v>
      </c>
      <c r="BG221" s="44">
        <f t="shared" si="390"/>
        <v>0.25</v>
      </c>
      <c r="BH221" s="44">
        <v>0</v>
      </c>
      <c r="BI221" s="44">
        <f t="shared" si="380"/>
        <v>0</v>
      </c>
      <c r="BJ221" s="44" t="s">
        <v>115</v>
      </c>
      <c r="BK221" s="44">
        <f t="shared" si="362"/>
        <v>0.35930000000000001</v>
      </c>
      <c r="BL221" s="44" t="s">
        <v>115</v>
      </c>
      <c r="BM221" s="44" cm="1">
        <f t="array" ref="BM221">_xlfn.IFS(BD221="NA","NA",BD221&gt;100%,"100%",BD221&lt;100,BD221)</f>
        <v>0.86232000000000009</v>
      </c>
      <c r="BN221" s="44" cm="1">
        <f t="array" ref="BN221">_xlfn.IFS(BF221="NA","NA",BF221&gt;100%,"100%",BF221&lt;100,BF221)</f>
        <v>0</v>
      </c>
      <c r="BO221" s="44" cm="1">
        <f t="array" ref="BO221">_xlfn.IFS(BH221="NA","NA",BH221&gt;100%,"100%",BH221&lt;100,BH221)</f>
        <v>0</v>
      </c>
      <c r="BP221" s="44" t="str" cm="1">
        <f t="array" ref="BP221">_xlfn.IFS(BJ221="NA","NA",BJ221&gt;100%,"100%",BJ221&lt;100,BJ221)</f>
        <v>NA</v>
      </c>
      <c r="BQ221" s="45">
        <v>0.22500000000000001</v>
      </c>
      <c r="BR221" s="45">
        <f t="shared" si="372"/>
        <v>8.0842499999999998E-2</v>
      </c>
      <c r="BS221" s="45">
        <v>0</v>
      </c>
      <c r="BT221" s="45" t="s">
        <v>115</v>
      </c>
      <c r="BU221" s="45">
        <v>0</v>
      </c>
      <c r="BV221" s="45">
        <f t="shared" si="391"/>
        <v>9.375E-2</v>
      </c>
      <c r="BW221" s="45">
        <f t="shared" si="392"/>
        <v>8.0842500000000012E-2</v>
      </c>
      <c r="BX221" s="45">
        <f t="shared" si="393"/>
        <v>8.0842499999999998E-2</v>
      </c>
      <c r="BY221" s="45">
        <f t="shared" si="394"/>
        <v>7.4999999999999997E-2</v>
      </c>
      <c r="BZ221" s="45">
        <f t="shared" si="381"/>
        <v>0</v>
      </c>
      <c r="CA221" s="45">
        <f t="shared" si="373"/>
        <v>0</v>
      </c>
      <c r="CB221" s="45">
        <f t="shared" si="395"/>
        <v>5.6250000000000001E-2</v>
      </c>
      <c r="CC221" s="45">
        <f t="shared" si="382"/>
        <v>0</v>
      </c>
      <c r="CD221" s="45">
        <v>0</v>
      </c>
      <c r="CE221" s="45">
        <f t="shared" si="383"/>
        <v>0</v>
      </c>
      <c r="CF221" s="45" t="str">
        <f t="shared" si="384"/>
        <v>NA</v>
      </c>
      <c r="CG221" s="45">
        <v>0</v>
      </c>
      <c r="CH221" s="244"/>
      <c r="CI221" s="244"/>
      <c r="CJ221" s="244"/>
      <c r="CK221" s="244"/>
      <c r="CM221" s="63">
        <v>12.29</v>
      </c>
    </row>
    <row r="222" spans="1:91" ht="18" hidden="1" customHeight="1">
      <c r="A222" s="260" t="s">
        <v>428</v>
      </c>
      <c r="B222" s="260" t="s">
        <v>429</v>
      </c>
      <c r="C222" s="260" t="s">
        <v>1286</v>
      </c>
      <c r="D222" s="260" t="s">
        <v>1496</v>
      </c>
      <c r="E222" s="260" t="s">
        <v>1497</v>
      </c>
      <c r="F222" s="260" t="s">
        <v>1498</v>
      </c>
      <c r="G222" s="260" t="s">
        <v>1499</v>
      </c>
      <c r="H222" s="260" t="s">
        <v>1510</v>
      </c>
      <c r="I222" s="260"/>
      <c r="J222" s="260"/>
      <c r="K222" s="260" t="s">
        <v>1511</v>
      </c>
      <c r="L222" s="260" t="s">
        <v>1512</v>
      </c>
      <c r="M222" s="260" t="s">
        <v>1503</v>
      </c>
      <c r="N222" s="260" t="s">
        <v>111</v>
      </c>
      <c r="O222" s="260" t="s">
        <v>112</v>
      </c>
      <c r="P222" s="10">
        <v>0</v>
      </c>
      <c r="Q222" s="11">
        <v>270</v>
      </c>
      <c r="R222" s="11">
        <f t="shared" si="385"/>
        <v>52.47</v>
      </c>
      <c r="S222" s="11" t="str">
        <f>VLOOKUP(K222,'1223 ICCU'!$K$13:$AK$25,9,0)</f>
        <v xml:space="preserve">Durante el cuatrienio se han adelantado obras de infraestructura en 52,47 Km de vías de segundo orden contribuyendo a la ejecución del proyecto memorable Plan 500, adicionalmente se han puesto en operación 4 casetas de recaudo para la financiación de proyectos de infraestructura operadas directamente por el Departamento, y se adelantó la reversión de la concesión Tequendama, permitiendo un recaudo directo para la ejecución de obras de mejoramiento, mantenimiento y rehabilitación que permitiran mejorar las condiciones de la red vial de segundo orden. </v>
      </c>
      <c r="T222" s="11">
        <v>25</v>
      </c>
      <c r="U222" s="11">
        <v>0</v>
      </c>
      <c r="V222" s="11">
        <v>0</v>
      </c>
      <c r="W222" s="11">
        <v>0</v>
      </c>
      <c r="X222" s="11">
        <v>0</v>
      </c>
      <c r="Y222" s="11">
        <v>0</v>
      </c>
      <c r="Z222" s="11">
        <v>0</v>
      </c>
      <c r="AA222" s="11"/>
      <c r="AB222" s="11"/>
      <c r="AC222" s="11"/>
      <c r="AD222" s="11">
        <v>55</v>
      </c>
      <c r="AE222" s="11">
        <v>0</v>
      </c>
      <c r="AF222" s="11">
        <f>VLOOKUP(K222,'1223 ICCU'!$K$13:$AK$25,22,0)</f>
        <v>52.47</v>
      </c>
      <c r="AG222" s="11" t="str">
        <f>VLOOKUP(K222,'1223 ICCU'!$K$13:$AK$25,23,0)</f>
        <v> </v>
      </c>
      <c r="AH222" s="11">
        <f t="shared" si="386"/>
        <v>52.47</v>
      </c>
      <c r="AI222" s="11" t="str">
        <f>VLOOKUP(K222,'1223 ICCU'!$K$13:$AK$25,25,0)</f>
        <v xml:space="preserve">52,47 Km de vías de segundo orden mejorados </v>
      </c>
      <c r="AJ222" s="11" t="str">
        <f>VLOOKUP(K222,'1223 ICCU'!$K$13:$AK$25,26,0)</f>
        <v>Durante la vigencia 2021 se han ejecutado obras de mejoramiento en 52,47 Km de vías de segundo orden en el Departamento, beneficiando a los municipios de Nimaima, La Peña, Cachipay, Guachetá, Anolaima, Sesquilé, Cáqueza, Chaguaní, Pacho, Supatá, Lenguazaque, Villapinzón, La Palma.</v>
      </c>
      <c r="AK222" s="11" t="str">
        <f>VLOOKUP(K222,'1223 ICCU'!$K$13:$AK$25,27,0)</f>
        <v> </v>
      </c>
      <c r="AL222" s="11">
        <v>120</v>
      </c>
      <c r="AM222" s="11">
        <v>0</v>
      </c>
      <c r="AN222" s="11">
        <v>95</v>
      </c>
      <c r="AO222" s="11">
        <v>0</v>
      </c>
      <c r="AP222" s="11">
        <v>0</v>
      </c>
      <c r="AQ222" s="11">
        <v>0</v>
      </c>
      <c r="AR222" s="51">
        <v>13162805275</v>
      </c>
      <c r="AS222" s="54">
        <v>-1526347067</v>
      </c>
      <c r="AT222" s="54">
        <f t="shared" si="361"/>
        <v>11636458208</v>
      </c>
      <c r="AU222" s="51">
        <v>13162805275</v>
      </c>
      <c r="AV222" s="243">
        <v>11358046406</v>
      </c>
      <c r="AW222" s="244"/>
      <c r="AX222" s="244"/>
      <c r="AY222" s="243">
        <v>6108992625.21</v>
      </c>
      <c r="AZ222" s="44">
        <f t="shared" si="387"/>
        <v>0.19433333333333333</v>
      </c>
      <c r="BA222" s="44">
        <v>0</v>
      </c>
      <c r="BB222" s="44" t="s">
        <v>115</v>
      </c>
      <c r="BC222" s="44">
        <f t="shared" si="388"/>
        <v>0.20370370370370369</v>
      </c>
      <c r="BD222" s="44" cm="1">
        <f t="array" ref="BD222">_xlfn.IFS(AD222=0,"NA",AD222&gt;0,AH222/AD222)</f>
        <v>0.95399999999999996</v>
      </c>
      <c r="BE222" s="44">
        <f t="shared" si="389"/>
        <v>0.44444444444444442</v>
      </c>
      <c r="BF222" s="44">
        <v>0</v>
      </c>
      <c r="BG222" s="44">
        <f t="shared" si="390"/>
        <v>0.35185185185185186</v>
      </c>
      <c r="BH222" s="44">
        <v>0</v>
      </c>
      <c r="BI222" s="44">
        <f t="shared" si="380"/>
        <v>0</v>
      </c>
      <c r="BJ222" s="44" t="s">
        <v>115</v>
      </c>
      <c r="BK222" s="44">
        <f t="shared" si="362"/>
        <v>0.19433333333333333</v>
      </c>
      <c r="BL222" s="44" t="s">
        <v>115</v>
      </c>
      <c r="BM222" s="44" cm="1">
        <f t="array" ref="BM222">_xlfn.IFS(BD222="NA","NA",BD222&gt;100%,"100%",BD222&lt;100,BD222)</f>
        <v>0.95399999999999996</v>
      </c>
      <c r="BN222" s="44" cm="1">
        <f t="array" ref="BN222">_xlfn.IFS(BF222="NA","NA",BF222&gt;100%,"100%",BF222&lt;100,BF222)</f>
        <v>0</v>
      </c>
      <c r="BO222" s="44" cm="1">
        <f t="array" ref="BO222">_xlfn.IFS(BH222="NA","NA",BH222&gt;100%,"100%",BH222&lt;100,BH222)</f>
        <v>0</v>
      </c>
      <c r="BP222" s="44" t="str" cm="1">
        <f t="array" ref="BP222">_xlfn.IFS(BJ222="NA","NA",BJ222&gt;100%,"100%",BJ222&lt;100,BJ222)</f>
        <v>NA</v>
      </c>
      <c r="BQ222" s="45">
        <v>0.22500000000000001</v>
      </c>
      <c r="BR222" s="45">
        <f t="shared" si="372"/>
        <v>4.3725E-2</v>
      </c>
      <c r="BS222" s="45">
        <v>0</v>
      </c>
      <c r="BT222" s="45" t="s">
        <v>115</v>
      </c>
      <c r="BU222" s="45">
        <v>0</v>
      </c>
      <c r="BV222" s="45">
        <f t="shared" si="391"/>
        <v>4.583333333333333E-2</v>
      </c>
      <c r="BW222" s="45">
        <f t="shared" si="392"/>
        <v>4.3724999999999993E-2</v>
      </c>
      <c r="BX222" s="45">
        <f t="shared" si="393"/>
        <v>4.3725E-2</v>
      </c>
      <c r="BY222" s="45">
        <f t="shared" si="394"/>
        <v>0.1</v>
      </c>
      <c r="BZ222" s="45">
        <f t="shared" si="381"/>
        <v>0</v>
      </c>
      <c r="CA222" s="45">
        <f t="shared" si="373"/>
        <v>0</v>
      </c>
      <c r="CB222" s="45">
        <f t="shared" si="395"/>
        <v>7.9166666666666663E-2</v>
      </c>
      <c r="CC222" s="45">
        <f t="shared" si="382"/>
        <v>0</v>
      </c>
      <c r="CD222" s="45">
        <v>0</v>
      </c>
      <c r="CE222" s="45">
        <f t="shared" si="383"/>
        <v>0</v>
      </c>
      <c r="CF222" s="45" t="str">
        <f t="shared" si="384"/>
        <v>NA</v>
      </c>
      <c r="CG222" s="45">
        <v>0</v>
      </c>
      <c r="CH222" s="244"/>
      <c r="CI222" s="244"/>
      <c r="CJ222" s="244"/>
      <c r="CK222" s="244"/>
      <c r="CM222" s="63">
        <v>36.619999999999997</v>
      </c>
    </row>
    <row r="223" spans="1:91" ht="18" hidden="1" customHeight="1">
      <c r="A223" s="260" t="s">
        <v>428</v>
      </c>
      <c r="B223" s="260" t="s">
        <v>429</v>
      </c>
      <c r="C223" s="260" t="s">
        <v>1286</v>
      </c>
      <c r="D223" s="260" t="s">
        <v>1496</v>
      </c>
      <c r="E223" s="260" t="s">
        <v>1497</v>
      </c>
      <c r="F223" s="260" t="s">
        <v>1498</v>
      </c>
      <c r="G223" s="260" t="s">
        <v>1499</v>
      </c>
      <c r="H223" s="260" t="s">
        <v>1513</v>
      </c>
      <c r="I223" s="260"/>
      <c r="J223" s="260"/>
      <c r="K223" s="260" t="s">
        <v>1514</v>
      </c>
      <c r="L223" s="260" t="s">
        <v>1515</v>
      </c>
      <c r="M223" s="260" t="s">
        <v>1516</v>
      </c>
      <c r="N223" s="260" t="s">
        <v>111</v>
      </c>
      <c r="O223" s="260" t="s">
        <v>112</v>
      </c>
      <c r="P223" s="10">
        <v>0</v>
      </c>
      <c r="Q223" s="11">
        <v>130</v>
      </c>
      <c r="R223" s="11">
        <f t="shared" si="385"/>
        <v>3.61</v>
      </c>
      <c r="S223" s="11" t="str">
        <f>VLOOKUP(K223,'1223 ICCU'!$K$13:$AK$25,9,0)</f>
        <v> Durante el cuatrienio se han rehabilitado de 3.61 Km de vías de segundo orden, realizando obras de mitigación en los sitios inestables que contribuyen a la seguridad vial del Departamento.</v>
      </c>
      <c r="T223" s="11">
        <v>20</v>
      </c>
      <c r="U223" s="11">
        <v>0</v>
      </c>
      <c r="V223" s="11">
        <v>5</v>
      </c>
      <c r="W223" s="11">
        <v>0</v>
      </c>
      <c r="X223" s="11">
        <v>2.48</v>
      </c>
      <c r="Y223" s="11">
        <v>0</v>
      </c>
      <c r="Z223" s="11">
        <v>2.48</v>
      </c>
      <c r="AA223" s="11" t="s">
        <v>1517</v>
      </c>
      <c r="AB223" s="11" t="s">
        <v>1518</v>
      </c>
      <c r="AC223" s="11" t="s">
        <v>1519</v>
      </c>
      <c r="AD223" s="11">
        <v>2</v>
      </c>
      <c r="AE223" s="11">
        <v>0</v>
      </c>
      <c r="AF223" s="11">
        <f>VLOOKUP(K223,'1223 ICCU'!$K$13:$AK$25,22,0)</f>
        <v>1.1299999999999999</v>
      </c>
      <c r="AG223" s="11" t="str">
        <f>VLOOKUP(K223,'1223 ICCU'!$K$13:$AK$25,23,0)</f>
        <v> </v>
      </c>
      <c r="AH223" s="11">
        <f t="shared" si="386"/>
        <v>1.1299999999999999</v>
      </c>
      <c r="AI223" s="11" t="str">
        <f>VLOOKUP(K223,'1223 ICCU'!$K$13:$AK$25,25,0)</f>
        <v>1.13 Km de vías de segundo orden rehabilitadas</v>
      </c>
      <c r="AJ223" s="11" t="str">
        <f>VLOOKUP(K223,'1223 ICCU'!$K$13:$AK$25,26,0)</f>
        <v> Durante la vigencia 2021 se han rehabilitado 1,13 Km de vías de segundo orden, realizando obras de mitigación en los sitios inestables que contribuyen a la seguridad vial del Departamento.</v>
      </c>
      <c r="AK223" s="11" t="str">
        <f>VLOOKUP(K223,'1223 ICCU'!$K$13:$AK$25,27,0)</f>
        <v> </v>
      </c>
      <c r="AL223" s="11">
        <v>98</v>
      </c>
      <c r="AM223" s="11">
        <v>0</v>
      </c>
      <c r="AN223" s="11">
        <v>20</v>
      </c>
      <c r="AO223" s="11">
        <v>0</v>
      </c>
      <c r="AP223" s="11">
        <v>0</v>
      </c>
      <c r="AQ223" s="11">
        <v>0</v>
      </c>
      <c r="AR223" s="51">
        <v>2119000000</v>
      </c>
      <c r="AS223" s="54">
        <v>2477775238</v>
      </c>
      <c r="AT223" s="54">
        <f t="shared" si="361"/>
        <v>4596775238</v>
      </c>
      <c r="AU223" s="51">
        <v>2119000000</v>
      </c>
      <c r="AV223" s="243">
        <v>32533142394</v>
      </c>
      <c r="AW223" s="244"/>
      <c r="AX223" s="244"/>
      <c r="AY223" s="243">
        <v>29508820585</v>
      </c>
      <c r="AZ223" s="44">
        <f t="shared" si="387"/>
        <v>2.7769230769230768E-2</v>
      </c>
      <c r="BA223" s="44">
        <v>3.85E-2</v>
      </c>
      <c r="BB223" s="44">
        <v>0.496</v>
      </c>
      <c r="BC223" s="44">
        <f t="shared" si="388"/>
        <v>1.5384615384615385E-2</v>
      </c>
      <c r="BD223" s="44" cm="1">
        <f t="array" ref="BD223">_xlfn.IFS(AD223=0,"NA",AD223&gt;0,AH223/AD223)</f>
        <v>0.56499999999999995</v>
      </c>
      <c r="BE223" s="44">
        <f t="shared" si="389"/>
        <v>0.75384615384615383</v>
      </c>
      <c r="BF223" s="44">
        <v>0</v>
      </c>
      <c r="BG223" s="44">
        <f t="shared" si="390"/>
        <v>0.15384615384615385</v>
      </c>
      <c r="BH223" s="44">
        <v>0</v>
      </c>
      <c r="BI223" s="44">
        <f t="shared" si="380"/>
        <v>0</v>
      </c>
      <c r="BJ223" s="44" t="s">
        <v>115</v>
      </c>
      <c r="BK223" s="44">
        <f t="shared" si="362"/>
        <v>2.7769230769230768E-2</v>
      </c>
      <c r="BL223" s="44">
        <v>0.496</v>
      </c>
      <c r="BM223" s="44" cm="1">
        <f t="array" ref="BM223">_xlfn.IFS(BD223="NA","NA",BD223&gt;100%,"100%",BD223&lt;100,BD223)</f>
        <v>0.56499999999999995</v>
      </c>
      <c r="BN223" s="44" cm="1">
        <f t="array" ref="BN223">_xlfn.IFS(BF223="NA","NA",BF223&gt;100%,"100%",BF223&lt;100,BF223)</f>
        <v>0</v>
      </c>
      <c r="BO223" s="44" cm="1">
        <f t="array" ref="BO223">_xlfn.IFS(BH223="NA","NA",BH223&gt;100%,"100%",BH223&lt;100,BH223)</f>
        <v>0</v>
      </c>
      <c r="BP223" s="44" t="str" cm="1">
        <f t="array" ref="BP223">_xlfn.IFS(BJ223="NA","NA",BJ223&gt;100%,"100%",BJ223&lt;100,BJ223)</f>
        <v>NA</v>
      </c>
      <c r="BQ223" s="45">
        <v>0.22500000000000001</v>
      </c>
      <c r="BR223" s="45">
        <f t="shared" si="372"/>
        <v>6.248076923076923E-3</v>
      </c>
      <c r="BS223" s="45">
        <v>8.6999999999999994E-3</v>
      </c>
      <c r="BT223" s="45">
        <v>4.3E-3</v>
      </c>
      <c r="BU223" s="45">
        <v>4.3E-3</v>
      </c>
      <c r="BV223" s="45">
        <f t="shared" si="391"/>
        <v>3.4615384615384616E-3</v>
      </c>
      <c r="BW223" s="45">
        <f t="shared" si="392"/>
        <v>1.9557692307692305E-3</v>
      </c>
      <c r="BX223" s="45">
        <f t="shared" si="393"/>
        <v>1.948076923076923E-3</v>
      </c>
      <c r="BY223" s="45">
        <f t="shared" si="394"/>
        <v>0.16961538461538461</v>
      </c>
      <c r="BZ223" s="45">
        <f t="shared" si="381"/>
        <v>0</v>
      </c>
      <c r="CA223" s="45">
        <f t="shared" si="373"/>
        <v>0</v>
      </c>
      <c r="CB223" s="45">
        <f t="shared" si="395"/>
        <v>3.4615384615384617E-2</v>
      </c>
      <c r="CC223" s="45">
        <f t="shared" si="382"/>
        <v>0</v>
      </c>
      <c r="CD223" s="45">
        <v>0</v>
      </c>
      <c r="CE223" s="45">
        <f t="shared" si="383"/>
        <v>0</v>
      </c>
      <c r="CF223" s="45" t="str">
        <f t="shared" si="384"/>
        <v>NA</v>
      </c>
      <c r="CG223" s="45">
        <v>0</v>
      </c>
      <c r="CH223" s="244"/>
      <c r="CI223" s="244"/>
      <c r="CJ223" s="244"/>
      <c r="CK223" s="244"/>
      <c r="CM223" s="63">
        <v>3.61</v>
      </c>
    </row>
    <row r="224" spans="1:91" ht="18" hidden="1" customHeight="1">
      <c r="A224" s="260" t="s">
        <v>428</v>
      </c>
      <c r="B224" s="260" t="s">
        <v>429</v>
      </c>
      <c r="C224" s="260" t="s">
        <v>1286</v>
      </c>
      <c r="D224" s="260" t="s">
        <v>1496</v>
      </c>
      <c r="E224" s="260" t="s">
        <v>1497</v>
      </c>
      <c r="F224" s="260" t="s">
        <v>1498</v>
      </c>
      <c r="G224" s="260" t="s">
        <v>1499</v>
      </c>
      <c r="H224" s="260" t="s">
        <v>1520</v>
      </c>
      <c r="I224" s="260"/>
      <c r="J224" s="260"/>
      <c r="K224" s="260" t="s">
        <v>1521</v>
      </c>
      <c r="L224" s="260" t="s">
        <v>1522</v>
      </c>
      <c r="M224" s="260" t="s">
        <v>1523</v>
      </c>
      <c r="N224" s="260" t="s">
        <v>111</v>
      </c>
      <c r="O224" s="260" t="s">
        <v>124</v>
      </c>
      <c r="P224" s="10">
        <v>1000</v>
      </c>
      <c r="Q224" s="11">
        <v>1000</v>
      </c>
      <c r="R224" s="11">
        <f>(Z224+AH224)/CL224</f>
        <v>664.1875</v>
      </c>
      <c r="S224" s="11" t="str">
        <f>VLOOKUP(K224,'1223 ICCU'!$K$13:$AK$25,9,0)</f>
        <v>Durante el cuatrienio se ha mantenido la ejecución anual de 1000 km de vías pavimentadas a través de los tres contratos de concesion.</v>
      </c>
      <c r="T224" s="11">
        <v>0</v>
      </c>
      <c r="U224" s="11">
        <v>1000</v>
      </c>
      <c r="V224" s="11">
        <v>0</v>
      </c>
      <c r="W224" s="11">
        <v>1000</v>
      </c>
      <c r="X224" s="11" t="s">
        <v>115</v>
      </c>
      <c r="Y224" s="11">
        <v>1160.29</v>
      </c>
      <c r="Z224" s="11">
        <v>1160.29</v>
      </c>
      <c r="AA224" s="11" t="s">
        <v>1524</v>
      </c>
      <c r="AB224" s="11" t="s">
        <v>1525</v>
      </c>
      <c r="AC224" s="11" t="s">
        <v>1526</v>
      </c>
      <c r="AD224" s="11">
        <v>0</v>
      </c>
      <c r="AE224" s="11">
        <v>1000</v>
      </c>
      <c r="AF224" s="11" t="str">
        <f>VLOOKUP(K224,'1223 ICCU'!$K$13:$AK$25,22,0)</f>
        <v> </v>
      </c>
      <c r="AG224" s="11">
        <f>VLOOKUP(K224,'1223 ICCU'!$K$13:$AK$25,23,0)</f>
        <v>1496.46</v>
      </c>
      <c r="AH224" s="11">
        <f>AG224</f>
        <v>1496.46</v>
      </c>
      <c r="AI224" s="11" t="str">
        <f>VLOOKUP(K224,'1223 ICCU'!$K$13:$AK$25,25,0)</f>
        <v>1.496,46 Km de mantenimiento a vías Departamentales pavimentadas</v>
      </c>
      <c r="AJ224" s="11" t="str">
        <f>VLOOKUP(K224,'1223 ICCU'!$K$13:$AK$25,26,0)</f>
        <v>Durante la vigencia 2021 se ha realizado mantenimiento de 1.496,46 Km de vías pavimentadas del Departamento, con ejecución de proyectos de rehabilitación y mantenimiento rutinario de la red vial secundaria del Departamento de Cundinamarca, rehabilitando las vías de los municipios de La Calera, Guasca, Junín, Tausa, Sutatausa, Cucunuba, Tibirita, Pandi, Fusagasugá, Arbeláez, La Mesa, La Palma, La Peña, Pacho, Zipaquirá, Yacopí, Cota, Tenjo, Pasca, San Bernardo, Gachalá, Gachetá, Junín, Ubalá, Pacho, El Peñón, La Palma, Ubaté, Lenguazaque, Gachalá, Medina, Ubalá, Cogua, Manta, Pandi, Venecia, Cabrera, Manta, La Palma, Pacho, Sibaté, Silvania, Agua de Dios, Ricaurte, Anapoima, Bojacá, Soacha, Tena, Villeta, Sasaima, La Vega, Albán, San Juan de Rioseco, Pulí, Chaguaní, Vianí, Bituima, Guayabal de Síquima, Anolaima, Quipile, Ubaque, Chipaque, Gama, Suesca, Nocaima, Topaipí, Útica, Quebrada Negra, San Francisco, Pacho, Supatá, El Colegio.</v>
      </c>
      <c r="AK224" s="11" t="str">
        <f>VLOOKUP(K224,'1223 ICCU'!$K$13:$AK$25,27,0)</f>
        <v> </v>
      </c>
      <c r="AL224" s="11">
        <v>0</v>
      </c>
      <c r="AM224" s="11">
        <v>1000</v>
      </c>
      <c r="AN224" s="11">
        <v>0</v>
      </c>
      <c r="AO224" s="11">
        <v>1000</v>
      </c>
      <c r="AP224" s="11">
        <v>0</v>
      </c>
      <c r="AQ224" s="11">
        <v>0</v>
      </c>
      <c r="AR224" s="51">
        <v>1000000000</v>
      </c>
      <c r="AS224" s="54">
        <v>0</v>
      </c>
      <c r="AT224" s="54">
        <f t="shared" si="361"/>
        <v>1000000000</v>
      </c>
      <c r="AU224" s="51">
        <v>1000000000</v>
      </c>
      <c r="AV224" s="243">
        <v>3000000000</v>
      </c>
      <c r="AW224" s="244"/>
      <c r="AX224" s="244"/>
      <c r="AY224" s="243">
        <v>2999999995</v>
      </c>
      <c r="AZ224" s="44" cm="1">
        <f t="array" ref="AZ224">_xlfn.IFS((BA224=0),(BD224/CL224),(BA224&gt;0),((BB224+BD224)/CL224),(BE224&gt;0),((BB224+BD224+BE224)/CL224),(BG224&gt;0),((BB224+BD224+BE224+G224)/CL224))</f>
        <v>0.66419000000000006</v>
      </c>
      <c r="BA224" s="44">
        <v>0.25</v>
      </c>
      <c r="BB224" s="44">
        <v>1.1603000000000001</v>
      </c>
      <c r="BC224" s="44">
        <f>IF(AE224&gt;0,(1/CL224),0)</f>
        <v>0.25</v>
      </c>
      <c r="BD224" s="44" cm="1">
        <f t="array" ref="BD224">_xlfn.IFS(AE224=0,"NA",AE224&gt;0,AH224/AE224)</f>
        <v>1.4964600000000001</v>
      </c>
      <c r="BE224" s="44">
        <f>IF(AM224&gt;0,(1/CL224),0)</f>
        <v>0.25</v>
      </c>
      <c r="BF224" s="44">
        <v>0</v>
      </c>
      <c r="BG224" s="44">
        <f>IF(AO224&gt;0,(1/CL224),0)</f>
        <v>0.25</v>
      </c>
      <c r="BH224" s="44">
        <v>0</v>
      </c>
      <c r="BI224" s="44">
        <v>0</v>
      </c>
      <c r="BJ224" s="44" t="s">
        <v>115</v>
      </c>
      <c r="BK224" s="44" t="str">
        <f>IF(AZ224&gt;50%,"50%",AZ224)</f>
        <v>50%</v>
      </c>
      <c r="BL224" s="44">
        <v>1</v>
      </c>
      <c r="BM224" s="44" t="str" cm="1">
        <f t="array" ref="BM224">_xlfn.IFS(BD224="NA","NA",BD224&gt;100%,"100%",BD224&lt;100,BD224)</f>
        <v>100%</v>
      </c>
      <c r="BN224" s="44">
        <v>0</v>
      </c>
      <c r="BO224" s="44">
        <v>0</v>
      </c>
      <c r="BP224" s="44" t="s">
        <v>115</v>
      </c>
      <c r="BQ224" s="45">
        <v>0.22500000000000001</v>
      </c>
      <c r="BR224" s="45">
        <f t="shared" si="372"/>
        <v>0.1125</v>
      </c>
      <c r="BS224" s="45">
        <v>5.6300000000000003E-2</v>
      </c>
      <c r="BT224" s="45">
        <v>5.6300000000000003E-2</v>
      </c>
      <c r="BU224" s="45">
        <v>5.6300000000000003E-2</v>
      </c>
      <c r="BV224" s="45">
        <v>5.6300000000000003E-2</v>
      </c>
      <c r="BW224" s="45">
        <f t="shared" si="392"/>
        <v>5.6300000000000003E-2</v>
      </c>
      <c r="BX224" s="45">
        <f t="shared" si="393"/>
        <v>5.62E-2</v>
      </c>
      <c r="BY224" s="45">
        <v>5.6300000000000003E-2</v>
      </c>
      <c r="BZ224" s="45">
        <v>0</v>
      </c>
      <c r="CA224" s="45">
        <f t="shared" si="373"/>
        <v>0</v>
      </c>
      <c r="CB224" s="45">
        <v>5.6300000000000003E-2</v>
      </c>
      <c r="CC224" s="45">
        <v>0</v>
      </c>
      <c r="CD224" s="45">
        <v>0</v>
      </c>
      <c r="CE224" s="45">
        <v>0</v>
      </c>
      <c r="CF224" s="45" t="s">
        <v>115</v>
      </c>
      <c r="CG224" s="45">
        <v>0</v>
      </c>
      <c r="CH224" s="244">
        <f>IF(W224&gt;0,1,0)</f>
        <v>1</v>
      </c>
      <c r="CI224" s="244">
        <f>IF(AE224&gt;0,1,0)</f>
        <v>1</v>
      </c>
      <c r="CJ224" s="244">
        <f>IF(AM224&gt;0,1,0)</f>
        <v>1</v>
      </c>
      <c r="CK224" s="244">
        <f>IF(AO224&gt;0,1,0)</f>
        <v>1</v>
      </c>
      <c r="CL224">
        <f>CH224+CI224+CJ224+CK224</f>
        <v>4</v>
      </c>
      <c r="CM224" s="63">
        <f>AVERAGE(Z224,AH224)</f>
        <v>1328.375</v>
      </c>
    </row>
    <row r="225" spans="1:261" ht="18" hidden="1" customHeight="1">
      <c r="A225" s="260" t="s">
        <v>428</v>
      </c>
      <c r="B225" s="260" t="s">
        <v>429</v>
      </c>
      <c r="C225" s="260" t="s">
        <v>1286</v>
      </c>
      <c r="D225" s="260" t="s">
        <v>1496</v>
      </c>
      <c r="E225" s="260" t="s">
        <v>1497</v>
      </c>
      <c r="F225" s="260" t="s">
        <v>1498</v>
      </c>
      <c r="G225" s="260" t="s">
        <v>1499</v>
      </c>
      <c r="H225" s="260" t="s">
        <v>1527</v>
      </c>
      <c r="I225" s="260"/>
      <c r="J225" s="260"/>
      <c r="K225" s="260" t="s">
        <v>1528</v>
      </c>
      <c r="L225" s="260" t="s">
        <v>1529</v>
      </c>
      <c r="M225" s="260" t="s">
        <v>1523</v>
      </c>
      <c r="N225" s="260" t="s">
        <v>111</v>
      </c>
      <c r="O225" s="260" t="s">
        <v>112</v>
      </c>
      <c r="P225" s="10">
        <v>10000</v>
      </c>
      <c r="Q225" s="11">
        <v>10000</v>
      </c>
      <c r="R225" s="11">
        <f t="shared" ref="R225:R226" si="396">Z225+AH225</f>
        <v>5255.8300000000008</v>
      </c>
      <c r="S225" s="11" t="str">
        <f>VLOOKUP(K225,'1223 ICCU'!$K$13:$AK$25,9,0)</f>
        <v> Durante el cuatrenio se ha realizado mantenimiento de 5.555,83 Km de vías de segundo y tercer orden en afirmado, con la atención y prevención de emergencias viales, así mismo, la operación de combos de maquinaria que contribuyen al mantenimiento de las vías existentes en afirmado en las diferentes provincias del Departamento.</v>
      </c>
      <c r="T225" s="11">
        <v>1500</v>
      </c>
      <c r="U225" s="11">
        <v>0</v>
      </c>
      <c r="V225" s="11">
        <v>200</v>
      </c>
      <c r="W225" s="11">
        <v>0</v>
      </c>
      <c r="X225" s="11">
        <v>122.81</v>
      </c>
      <c r="Y225" s="11">
        <v>0</v>
      </c>
      <c r="Z225" s="11">
        <v>122.81</v>
      </c>
      <c r="AA225" s="11" t="s">
        <v>1530</v>
      </c>
      <c r="AB225" s="11" t="s">
        <v>1531</v>
      </c>
      <c r="AC225" s="11" t="s">
        <v>1526</v>
      </c>
      <c r="AD225" s="11">
        <v>5500</v>
      </c>
      <c r="AE225" s="11">
        <v>0</v>
      </c>
      <c r="AF225" s="11">
        <f>VLOOKUP(K225,'1223 ICCU'!$K$13:$AK$25,22,0)</f>
        <v>5133.0200000000004</v>
      </c>
      <c r="AG225" s="11" t="str">
        <f>VLOOKUP(K225,'1223 ICCU'!$K$13:$AK$25,23,0)</f>
        <v> </v>
      </c>
      <c r="AH225" s="11">
        <f t="shared" ref="AH225:AH226" si="397">AF225</f>
        <v>5133.0200000000004</v>
      </c>
      <c r="AI225" s="11" t="str">
        <f>VLOOKUP(K225,'1223 ICCU'!$K$13:$AK$25,25,0)</f>
        <v>5133,02 Km de vías de segundo y tercer orden en afirmado</v>
      </c>
      <c r="AJ225" s="11" t="str">
        <f>VLOOKUP(K225,'1223 ICCU'!$K$13:$AK$25,26,0)</f>
        <v> Durante la vigencia 2021 se ha realizado mantenimiento de 5.133,02 Km de vías de segundo y tercer orden en afirmado, con la atención y prevención de emergencias viales, así mismo, la operación de combos de maquinaria que contribuyen al mantenimiento de las vías existentes en afirmado en las diferentes provincias del Departamento.</v>
      </c>
      <c r="AK225" s="11" t="str">
        <f>VLOOKUP(K225,'1223 ICCU'!$K$13:$AK$25,27,0)</f>
        <v> </v>
      </c>
      <c r="AL225" s="11">
        <v>2377.9</v>
      </c>
      <c r="AM225" s="11">
        <v>0</v>
      </c>
      <c r="AN225" s="11">
        <v>2000</v>
      </c>
      <c r="AO225" s="11">
        <v>0</v>
      </c>
      <c r="AP225" s="11">
        <v>0</v>
      </c>
      <c r="AQ225" s="11">
        <v>0</v>
      </c>
      <c r="AR225" s="51">
        <v>18862905184</v>
      </c>
      <c r="AS225" s="54">
        <v>0</v>
      </c>
      <c r="AT225" s="54">
        <f t="shared" si="361"/>
        <v>18862905184</v>
      </c>
      <c r="AU225" s="51">
        <v>18862905184</v>
      </c>
      <c r="AV225" s="243">
        <v>70872596823</v>
      </c>
      <c r="AW225" s="244"/>
      <c r="AX225" s="244"/>
      <c r="AY225" s="243">
        <v>69550344636</v>
      </c>
      <c r="AZ225" s="44">
        <f>R225/Q225</f>
        <v>0.52558300000000013</v>
      </c>
      <c r="BA225" s="44">
        <v>0.02</v>
      </c>
      <c r="BB225" s="44">
        <v>0.61409999999999998</v>
      </c>
      <c r="BC225" s="44">
        <f t="shared" ref="BC225:BC226" si="398">AD225/Q225</f>
        <v>0.55000000000000004</v>
      </c>
      <c r="BD225" s="44" cm="1">
        <f t="array" ref="BD225">_xlfn.IFS(AD225=0,"NA",AD225&gt;0,AH225/AD225)</f>
        <v>0.93327636363636368</v>
      </c>
      <c r="BE225" s="44">
        <f t="shared" ref="BE225:BE226" si="399">AL225/Q225</f>
        <v>0.23779</v>
      </c>
      <c r="BF225" s="44">
        <v>0</v>
      </c>
      <c r="BG225" s="44">
        <f t="shared" ref="BG225:BG226" si="400">AN225/Q225</f>
        <v>0.2</v>
      </c>
      <c r="BH225" s="44">
        <v>0</v>
      </c>
      <c r="BI225" s="44">
        <f>AP225/Q225</f>
        <v>0</v>
      </c>
      <c r="BJ225" s="44" t="s">
        <v>115</v>
      </c>
      <c r="BK225" s="44">
        <f t="shared" si="362"/>
        <v>0.52558300000000013</v>
      </c>
      <c r="BL225" s="44">
        <v>0.61409999999999998</v>
      </c>
      <c r="BM225" s="44" cm="1">
        <f t="array" ref="BM225">_xlfn.IFS(BD225="NA","NA",BD225&gt;100%,"100%",BD225&lt;100,BD225)</f>
        <v>0.93327636363636368</v>
      </c>
      <c r="BN225" s="44" cm="1">
        <f t="array" ref="BN225">_xlfn.IFS(BF225="NA","NA",BF225&gt;100%,"100%",BF225&lt;100,BF225)</f>
        <v>0</v>
      </c>
      <c r="BO225" s="44" cm="1">
        <f t="array" ref="BO225">_xlfn.IFS(BH225="NA","NA",BH225&gt;100%,"100%",BH225&lt;100,BH225)</f>
        <v>0</v>
      </c>
      <c r="BP225" s="44" t="str" cm="1">
        <f t="array" ref="BP225">_xlfn.IFS(BJ225="NA","NA",BJ225&gt;100%,"100%",BJ225&lt;100,BJ225)</f>
        <v>NA</v>
      </c>
      <c r="BQ225" s="45">
        <v>0.22500000000000001</v>
      </c>
      <c r="BR225" s="45">
        <f t="shared" si="372"/>
        <v>0.11825617500000003</v>
      </c>
      <c r="BS225" s="45">
        <v>4.4999999999999997E-3</v>
      </c>
      <c r="BT225" s="45">
        <v>2.8E-3</v>
      </c>
      <c r="BU225" s="45">
        <v>2.8E-3</v>
      </c>
      <c r="BV225" s="45">
        <f t="shared" ref="BV225:BV226" si="401">(AD225*BQ225)/Q225</f>
        <v>0.12375</v>
      </c>
      <c r="BW225" s="45">
        <f t="shared" si="392"/>
        <v>0.11549295000000001</v>
      </c>
      <c r="BX225" s="45">
        <f t="shared" si="393"/>
        <v>0.11545617500000004</v>
      </c>
      <c r="BY225" s="45">
        <f t="shared" ref="BY225:BY226" si="402">(AL225*BQ225)/Q225</f>
        <v>5.3502750000000002E-2</v>
      </c>
      <c r="BZ225" s="45">
        <f t="shared" ref="BZ225:BZ226" si="403">IF(BN225="NA","NA",BN225*BY225)</f>
        <v>0</v>
      </c>
      <c r="CA225" s="45">
        <f t="shared" si="373"/>
        <v>0</v>
      </c>
      <c r="CB225" s="45">
        <f t="shared" ref="CB225:CB226" si="404">(AN225*BQ225)/Q225</f>
        <v>4.4999999999999998E-2</v>
      </c>
      <c r="CC225" s="45">
        <f t="shared" ref="CC225:CC226" si="405">IF(BO225="NA","NA",BO225*CB225)</f>
        <v>0</v>
      </c>
      <c r="CD225" s="45">
        <v>0</v>
      </c>
      <c r="CE225" s="45">
        <f>(AP225*BQ225)/Q225</f>
        <v>0</v>
      </c>
      <c r="CF225" s="45" t="str">
        <f>IF(BP225="NA","NA",BP225*CE225)</f>
        <v>NA</v>
      </c>
      <c r="CG225" s="45">
        <v>0</v>
      </c>
      <c r="CH225" s="244"/>
      <c r="CI225" s="244"/>
      <c r="CJ225" s="244"/>
      <c r="CK225" s="244"/>
      <c r="CM225" s="63">
        <v>812.48</v>
      </c>
    </row>
    <row r="226" spans="1:261" ht="18" hidden="1" customHeight="1">
      <c r="A226" s="260" t="s">
        <v>428</v>
      </c>
      <c r="B226" s="260" t="s">
        <v>429</v>
      </c>
      <c r="C226" s="260" t="s">
        <v>1286</v>
      </c>
      <c r="D226" s="260" t="s">
        <v>1496</v>
      </c>
      <c r="E226" s="260" t="s">
        <v>1497</v>
      </c>
      <c r="F226" s="260" t="s">
        <v>1498</v>
      </c>
      <c r="G226" s="260" t="s">
        <v>1499</v>
      </c>
      <c r="H226" s="260" t="s">
        <v>1532</v>
      </c>
      <c r="I226" s="260"/>
      <c r="J226" s="260"/>
      <c r="K226" s="260" t="s">
        <v>1533</v>
      </c>
      <c r="L226" s="260" t="s">
        <v>1534</v>
      </c>
      <c r="M226" s="260" t="s">
        <v>1535</v>
      </c>
      <c r="N226" s="260" t="s">
        <v>111</v>
      </c>
      <c r="O226" s="260" t="s">
        <v>112</v>
      </c>
      <c r="P226" s="10">
        <v>176</v>
      </c>
      <c r="Q226" s="11">
        <v>220</v>
      </c>
      <c r="R226" s="11">
        <f t="shared" si="396"/>
        <v>59</v>
      </c>
      <c r="S226" s="11" t="str">
        <f>VLOOKUP(K226,'1223 ICCU'!$K$13:$AK$25,9,0)</f>
        <v xml:space="preserve">Durante el cuatrienio se han intervenido 58 puentes en el departamento con obras de construcción y mejoramiento, permitiendo mejorar las condiciones de conectividad y reduciendo los tiempos de desplazamiento. </v>
      </c>
      <c r="T226" s="11">
        <v>40</v>
      </c>
      <c r="U226" s="11">
        <v>0</v>
      </c>
      <c r="V226" s="11">
        <v>10</v>
      </c>
      <c r="W226" s="11">
        <v>0</v>
      </c>
      <c r="X226" s="11">
        <v>6</v>
      </c>
      <c r="Y226" s="11">
        <v>0</v>
      </c>
      <c r="Z226" s="11">
        <v>6</v>
      </c>
      <c r="AA226" s="11" t="s">
        <v>1536</v>
      </c>
      <c r="AB226" s="11" t="s">
        <v>1537</v>
      </c>
      <c r="AC226" s="11">
        <v>0</v>
      </c>
      <c r="AD226" s="11">
        <v>55</v>
      </c>
      <c r="AE226" s="11">
        <v>0</v>
      </c>
      <c r="AF226" s="11">
        <f>VLOOKUP(K226,'1223 ICCU'!$K$13:$AK$25,22,0)</f>
        <v>53</v>
      </c>
      <c r="AG226" s="11" t="str">
        <f>VLOOKUP(K226,'1223 ICCU'!$K$13:$AK$25,23,0)</f>
        <v> </v>
      </c>
      <c r="AH226" s="11">
        <f t="shared" si="397"/>
        <v>53</v>
      </c>
      <c r="AI226" s="11" t="str">
        <f>VLOOKUP(K226,'1223 ICCU'!$K$13:$AK$25,25,0)</f>
        <v xml:space="preserve">53 puentes intervenidos </v>
      </c>
      <c r="AJ226" s="11" t="str">
        <f>VLOOKUP(K226,'1223 ICCU'!$K$13:$AK$25,26,0)</f>
        <v>Durante la vigencia 2021 se han ejecutado obras de construcción y adecuación 53 puentes en el Departamento, beneficiando a los municipios de: Lenguazaque, Carmen de Carupa, Machetá, Villapinzón, Tibirita, San Cayetano, Viotá, Paime, Guayabetal, Fúquene, Ubalá, San Antonio del Tequendama, Quipile, Medina, Anapoima, Alban, Gachetá, Tocaima, Bituima, Gutiérrez, Cachipay, Manta, El Colegio, Fusagasugá, Suesca.</v>
      </c>
      <c r="AK226" s="11" t="str">
        <f>VLOOKUP(K226,'1223 ICCU'!$K$13:$AK$25,27,0)</f>
        <v> </v>
      </c>
      <c r="AL226" s="11">
        <v>95</v>
      </c>
      <c r="AM226" s="11">
        <v>0</v>
      </c>
      <c r="AN226" s="11">
        <v>64</v>
      </c>
      <c r="AO226" s="11">
        <v>0</v>
      </c>
      <c r="AP226" s="11">
        <v>0</v>
      </c>
      <c r="AQ226" s="11">
        <v>0</v>
      </c>
      <c r="AR226" s="51">
        <v>6000000000</v>
      </c>
      <c r="AS226" s="54">
        <v>20000000</v>
      </c>
      <c r="AT226" s="54">
        <f t="shared" si="361"/>
        <v>6020000000</v>
      </c>
      <c r="AU226" s="51">
        <v>6000000000</v>
      </c>
      <c r="AV226" s="243">
        <v>5656000000</v>
      </c>
      <c r="AW226" s="244"/>
      <c r="AX226" s="244"/>
      <c r="AY226" s="243">
        <v>5216616936</v>
      </c>
      <c r="AZ226" s="44">
        <f>R226/Q226</f>
        <v>0.26818181818181819</v>
      </c>
      <c r="BA226" s="44">
        <v>4.5499999999999999E-2</v>
      </c>
      <c r="BB226" s="44">
        <v>0.6</v>
      </c>
      <c r="BC226" s="44">
        <f t="shared" si="398"/>
        <v>0.25</v>
      </c>
      <c r="BD226" s="44" cm="1">
        <f t="array" ref="BD226">_xlfn.IFS(AD226=0,"NA",AD226&gt;0,AH226/AD226)</f>
        <v>0.96363636363636362</v>
      </c>
      <c r="BE226" s="44">
        <f t="shared" si="399"/>
        <v>0.43181818181818182</v>
      </c>
      <c r="BF226" s="44">
        <v>0</v>
      </c>
      <c r="BG226" s="44">
        <f t="shared" si="400"/>
        <v>0.29090909090909089</v>
      </c>
      <c r="BH226" s="44">
        <v>0</v>
      </c>
      <c r="BI226" s="44">
        <f>AP226/Q226</f>
        <v>0</v>
      </c>
      <c r="BJ226" s="44" t="s">
        <v>115</v>
      </c>
      <c r="BK226" s="44">
        <f t="shared" si="362"/>
        <v>0.26818181818181819</v>
      </c>
      <c r="BL226" s="44">
        <v>0.6</v>
      </c>
      <c r="BM226" s="44" cm="1">
        <f t="array" ref="BM226">_xlfn.IFS(BD226="NA","NA",BD226&gt;100%,"100%",BD226&lt;100,BD226)</f>
        <v>0.96363636363636362</v>
      </c>
      <c r="BN226" s="44" cm="1">
        <f t="array" ref="BN226">_xlfn.IFS(BF226="NA","NA",BF226&gt;100%,"100%",BF226&lt;100,BF226)</f>
        <v>0</v>
      </c>
      <c r="BO226" s="44" cm="1">
        <f t="array" ref="BO226">_xlfn.IFS(BH226="NA","NA",BH226&gt;100%,"100%",BH226&lt;100,BH226)</f>
        <v>0</v>
      </c>
      <c r="BP226" s="44" t="str" cm="1">
        <f t="array" ref="BP226">_xlfn.IFS(BJ226="NA","NA",BJ226&gt;100%,"100%",BJ226&lt;100,BJ226)</f>
        <v>NA</v>
      </c>
      <c r="BQ226" s="45">
        <v>0.22500000000000001</v>
      </c>
      <c r="BR226" s="45">
        <f t="shared" si="372"/>
        <v>6.0340909090909091E-2</v>
      </c>
      <c r="BS226" s="45">
        <v>1.0200000000000001E-2</v>
      </c>
      <c r="BT226" s="45">
        <v>6.1000000000000004E-3</v>
      </c>
      <c r="BU226" s="45">
        <v>6.1000000000000004E-3</v>
      </c>
      <c r="BV226" s="45">
        <f t="shared" si="401"/>
        <v>5.6250000000000001E-2</v>
      </c>
      <c r="BW226" s="45">
        <f t="shared" si="392"/>
        <v>5.4204545454545457E-2</v>
      </c>
      <c r="BX226" s="45">
        <f t="shared" si="393"/>
        <v>5.424090909090909E-2</v>
      </c>
      <c r="BY226" s="45">
        <f t="shared" si="402"/>
        <v>9.7159090909090903E-2</v>
      </c>
      <c r="BZ226" s="45">
        <f t="shared" si="403"/>
        <v>0</v>
      </c>
      <c r="CA226" s="45">
        <f t="shared" si="373"/>
        <v>0</v>
      </c>
      <c r="CB226" s="45">
        <f t="shared" si="404"/>
        <v>6.545454545454546E-2</v>
      </c>
      <c r="CC226" s="45">
        <f t="shared" si="405"/>
        <v>0</v>
      </c>
      <c r="CD226" s="45">
        <v>0</v>
      </c>
      <c r="CE226" s="45">
        <f>(AP226*BQ226)/Q226</f>
        <v>0</v>
      </c>
      <c r="CF226" s="45" t="str">
        <f>IF(BP226="NA","NA",BP226*CE226)</f>
        <v>NA</v>
      </c>
      <c r="CG226" s="45">
        <v>0</v>
      </c>
      <c r="CH226" s="244"/>
      <c r="CI226" s="244"/>
      <c r="CJ226" s="244"/>
      <c r="CK226" s="244"/>
      <c r="CM226" s="63">
        <v>41</v>
      </c>
    </row>
    <row r="227" spans="1:261" ht="18" hidden="1" customHeight="1">
      <c r="A227" s="260" t="s">
        <v>428</v>
      </c>
      <c r="B227" s="260" t="s">
        <v>429</v>
      </c>
      <c r="C227" s="260" t="s">
        <v>1286</v>
      </c>
      <c r="D227" s="260" t="s">
        <v>1496</v>
      </c>
      <c r="E227" s="260" t="s">
        <v>1497</v>
      </c>
      <c r="F227" s="260" t="s">
        <v>1498</v>
      </c>
      <c r="G227" s="260" t="s">
        <v>1499</v>
      </c>
      <c r="H227" s="260" t="s">
        <v>1538</v>
      </c>
      <c r="I227" s="260"/>
      <c r="J227" s="260"/>
      <c r="K227" s="260" t="s">
        <v>1539</v>
      </c>
      <c r="L227" s="260" t="s">
        <v>1540</v>
      </c>
      <c r="M227" s="260" t="s">
        <v>1541</v>
      </c>
      <c r="N227" s="260" t="s">
        <v>123</v>
      </c>
      <c r="O227" s="260" t="s">
        <v>124</v>
      </c>
      <c r="P227" s="10">
        <v>100</v>
      </c>
      <c r="Q227" s="11">
        <v>100</v>
      </c>
      <c r="R227" s="11">
        <f>(Z227+AH227)/CL227</f>
        <v>50</v>
      </c>
      <c r="S227" s="11" t="str">
        <f>VLOOKUP(K227,'1223 ICCU'!$K$13:$AK$25,9,0)</f>
        <v xml:space="preserve">Durante el cuatrienio se han atendido el 100% de las emeregencias viales presentadas en el Departamento, garantizando la transitabilidad y mejorando la seguridad vial. </v>
      </c>
      <c r="T227" s="11">
        <v>0</v>
      </c>
      <c r="U227" s="11">
        <v>100</v>
      </c>
      <c r="V227" s="11">
        <v>0</v>
      </c>
      <c r="W227" s="11">
        <v>100</v>
      </c>
      <c r="X227" s="11" t="s">
        <v>115</v>
      </c>
      <c r="Y227" s="11">
        <v>100</v>
      </c>
      <c r="Z227" s="11">
        <v>100</v>
      </c>
      <c r="AA227" s="11" t="s">
        <v>1542</v>
      </c>
      <c r="AB227" s="11" t="s">
        <v>1543</v>
      </c>
      <c r="AC227" s="11">
        <v>0</v>
      </c>
      <c r="AD227" s="11">
        <v>0</v>
      </c>
      <c r="AE227" s="11">
        <v>100</v>
      </c>
      <c r="AF227" s="11" t="str">
        <f>VLOOKUP(K227,'1223 ICCU'!$K$13:$AK$25,22,0)</f>
        <v> </v>
      </c>
      <c r="AG227" s="11">
        <f>VLOOKUP(K227,'1223 ICCU'!$K$13:$AK$25,23,0)</f>
        <v>100</v>
      </c>
      <c r="AH227" s="11">
        <f>AG227</f>
        <v>100</v>
      </c>
      <c r="AI227" s="11" t="str">
        <f>VLOOKUP(K227,'1223 ICCU'!$K$13:$AK$25,25,0)</f>
        <v xml:space="preserve">100% de las emergencias viales reportadas por los municipios atendidas </v>
      </c>
      <c r="AJ227" s="11" t="str">
        <f>VLOOKUP(K227,'1223 ICCU'!$K$13:$AK$25,26,0)</f>
        <v>Durante el año 2021 se han atendido al 100% las emergencias presentadas en el Departamento. Se han atendido 120 emergencias en 65 municpios del Departamento.</v>
      </c>
      <c r="AK227" s="11" t="str">
        <f>VLOOKUP(K227,'1223 ICCU'!$K$13:$AK$25,27,0)</f>
        <v> </v>
      </c>
      <c r="AL227" s="11">
        <v>0</v>
      </c>
      <c r="AM227" s="11">
        <v>100</v>
      </c>
      <c r="AN227" s="11">
        <v>0</v>
      </c>
      <c r="AO227" s="11">
        <v>100</v>
      </c>
      <c r="AP227" s="11">
        <v>0</v>
      </c>
      <c r="AQ227" s="11">
        <v>0</v>
      </c>
      <c r="AR227" s="51">
        <v>350000000</v>
      </c>
      <c r="AS227" s="54">
        <v>450000000</v>
      </c>
      <c r="AT227" s="54">
        <f t="shared" si="361"/>
        <v>800000000</v>
      </c>
      <c r="AU227" s="51">
        <v>350000000</v>
      </c>
      <c r="AV227" s="243">
        <v>15450000000</v>
      </c>
      <c r="AW227" s="244"/>
      <c r="AX227" s="244"/>
      <c r="AY227" s="243">
        <v>10999993540</v>
      </c>
      <c r="AZ227" s="44" cm="1">
        <f t="array" ref="AZ227">_xlfn.IFS((BA227=0),(BD227/CL227),(BA227&gt;0),((BB227+BD227)/CL227),(BE227&gt;0),((BB227+BD227+BE227)/CL227),(BG227&gt;0),((BB227+BD227+BE227+G227)/CL227))</f>
        <v>0.5</v>
      </c>
      <c r="BA227" s="44">
        <v>0.25</v>
      </c>
      <c r="BB227" s="44">
        <v>1</v>
      </c>
      <c r="BC227" s="44">
        <f>IF(AE227&gt;0,(1/CL227),0)</f>
        <v>0.25</v>
      </c>
      <c r="BD227" s="44" cm="1">
        <f t="array" ref="BD227">_xlfn.IFS(AE227=0,"NA",AE227&gt;0,AH227/AE227)</f>
        <v>1</v>
      </c>
      <c r="BE227" s="44">
        <f>IF(AM227&gt;0,(1/CL227),0)</f>
        <v>0.25</v>
      </c>
      <c r="BF227" s="44">
        <v>0</v>
      </c>
      <c r="BG227" s="44">
        <f>IF(AO227&gt;0,(1/CL227),0)</f>
        <v>0.25</v>
      </c>
      <c r="BH227" s="44">
        <v>0</v>
      </c>
      <c r="BI227" s="44">
        <v>0</v>
      </c>
      <c r="BJ227" s="44" t="s">
        <v>115</v>
      </c>
      <c r="BK227" s="44">
        <f t="shared" si="362"/>
        <v>0.5</v>
      </c>
      <c r="BL227" s="44">
        <v>1</v>
      </c>
      <c r="BM227" s="44" cm="1">
        <f t="array" ref="BM227">_xlfn.IFS(BD227="NA","NA",BD227&gt;100%,"100%",BD227&lt;100,BD227)</f>
        <v>1</v>
      </c>
      <c r="BN227" s="44">
        <v>0</v>
      </c>
      <c r="BO227" s="44">
        <v>0</v>
      </c>
      <c r="BP227" s="44" t="s">
        <v>115</v>
      </c>
      <c r="BQ227" s="45">
        <v>0.22500000000000001</v>
      </c>
      <c r="BR227" s="45">
        <f t="shared" si="372"/>
        <v>0.1125</v>
      </c>
      <c r="BS227" s="45">
        <v>5.6300000000000003E-2</v>
      </c>
      <c r="BT227" s="45">
        <v>5.6300000000000003E-2</v>
      </c>
      <c r="BU227" s="45">
        <v>5.6300000000000003E-2</v>
      </c>
      <c r="BV227" s="45">
        <v>5.6300000000000003E-2</v>
      </c>
      <c r="BW227" s="45">
        <f t="shared" si="392"/>
        <v>5.6300000000000003E-2</v>
      </c>
      <c r="BX227" s="45">
        <f t="shared" si="393"/>
        <v>5.62E-2</v>
      </c>
      <c r="BY227" s="45">
        <v>5.6300000000000003E-2</v>
      </c>
      <c r="BZ227" s="45">
        <v>0</v>
      </c>
      <c r="CA227" s="45">
        <f t="shared" si="373"/>
        <v>0</v>
      </c>
      <c r="CB227" s="45">
        <v>5.6300000000000003E-2</v>
      </c>
      <c r="CC227" s="45">
        <v>0</v>
      </c>
      <c r="CD227" s="45">
        <v>0</v>
      </c>
      <c r="CE227" s="45">
        <v>0</v>
      </c>
      <c r="CF227" s="45" t="s">
        <v>115</v>
      </c>
      <c r="CG227" s="45">
        <v>0</v>
      </c>
      <c r="CH227" s="244">
        <f>IF(W227&gt;0,1,0)</f>
        <v>1</v>
      </c>
      <c r="CI227" s="244">
        <f>IF(AE227&gt;0,1,0)</f>
        <v>1</v>
      </c>
      <c r="CJ227" s="244">
        <f>IF(AM227&gt;0,1,0)</f>
        <v>1</v>
      </c>
      <c r="CK227" s="244">
        <f>IF(AO227&gt;0,1,0)</f>
        <v>1</v>
      </c>
      <c r="CL227">
        <f>CH227+CI227+CJ227+CK227</f>
        <v>4</v>
      </c>
      <c r="CM227" s="63">
        <f>AVERAGE(Z227,AH227)</f>
        <v>100</v>
      </c>
    </row>
    <row r="228" spans="1:261" ht="18" hidden="1" customHeight="1">
      <c r="A228" s="260" t="s">
        <v>428</v>
      </c>
      <c r="B228" s="260" t="s">
        <v>429</v>
      </c>
      <c r="C228" s="260" t="s">
        <v>1286</v>
      </c>
      <c r="D228" s="260" t="s">
        <v>1496</v>
      </c>
      <c r="E228" s="260" t="s">
        <v>1497</v>
      </c>
      <c r="F228" s="260" t="s">
        <v>1498</v>
      </c>
      <c r="G228" s="260" t="s">
        <v>1499</v>
      </c>
      <c r="H228" s="260" t="s">
        <v>1544</v>
      </c>
      <c r="I228" s="260"/>
      <c r="J228" s="260"/>
      <c r="K228" s="260" t="s">
        <v>1545</v>
      </c>
      <c r="L228" s="260" t="s">
        <v>1546</v>
      </c>
      <c r="M228" s="260" t="s">
        <v>1547</v>
      </c>
      <c r="N228" s="260" t="s">
        <v>111</v>
      </c>
      <c r="O228" s="260" t="s">
        <v>112</v>
      </c>
      <c r="P228" s="10">
        <v>120068</v>
      </c>
      <c r="Q228" s="11">
        <v>80000</v>
      </c>
      <c r="R228" s="11">
        <f t="shared" ref="R228:R250" si="406">Z228+AH228</f>
        <v>27960.14</v>
      </c>
      <c r="S228" s="11" t="str">
        <f>VLOOKUP(K228,'1223 ICCU'!$K$13:$AK$25,9,0)</f>
        <v xml:space="preserve">Durante el cuatrienio se han ejecutado obras de mejoramiento en 27.960,14 m2 de vías urbanas mejorando las condiciones de la infraestructura vial en el casco urbano de los municipios del Departamento, y permitiendo una mejor transitabilidad al interior de cada entidad territorial. </v>
      </c>
      <c r="T228" s="11">
        <v>10000</v>
      </c>
      <c r="U228" s="11">
        <v>0</v>
      </c>
      <c r="V228" s="11">
        <v>6000</v>
      </c>
      <c r="W228" s="11">
        <v>0</v>
      </c>
      <c r="X228" s="11">
        <v>4509.6099999999997</v>
      </c>
      <c r="Y228" s="11">
        <v>0</v>
      </c>
      <c r="Z228" s="11">
        <v>4509.6099999999997</v>
      </c>
      <c r="AA228" s="11" t="s">
        <v>1548</v>
      </c>
      <c r="AB228" s="11" t="s">
        <v>1549</v>
      </c>
      <c r="AC228" s="11" t="s">
        <v>1550</v>
      </c>
      <c r="AD228" s="11">
        <v>24000</v>
      </c>
      <c r="AE228" s="11">
        <v>0</v>
      </c>
      <c r="AF228" s="11">
        <f>VLOOKUP(K228,'1223 ICCU'!$K$13:$AK$25,22,0)</f>
        <v>23450.53</v>
      </c>
      <c r="AG228" s="11" t="str">
        <f>VLOOKUP(K228,'1223 ICCU'!$K$13:$AK$25,23,0)</f>
        <v> </v>
      </c>
      <c r="AH228" s="11">
        <f t="shared" ref="AH228:AH250" si="407">AF228</f>
        <v>23450.53</v>
      </c>
      <c r="AI228" s="11" t="str">
        <f>VLOOKUP(K228,'1223 ICCU'!$K$13:$AK$25,25,0)</f>
        <v xml:space="preserve">23.450,53 m2 de vías urbanas mejorados </v>
      </c>
      <c r="AJ228" s="11" t="str">
        <f>VLOOKUP(K228,'1223 ICCU'!$K$13:$AK$25,26,0)</f>
        <v>Durante la vigencia 2021 se han ejecutado obras de mejoramiento en 23.450,53m2 de vías urbanas en el Departamento beneficiando los municipios de El Colegio, La Mesa, Apulo, Pacho, Chocontá, Sutatausa, Susa, Agua de Dios.</v>
      </c>
      <c r="AK228" s="11" t="str">
        <f>VLOOKUP(K228,'1223 ICCU'!$K$13:$AK$25,27,0)</f>
        <v> </v>
      </c>
      <c r="AL228" s="11">
        <v>26490</v>
      </c>
      <c r="AM228" s="11">
        <v>0</v>
      </c>
      <c r="AN228" s="11">
        <v>25000</v>
      </c>
      <c r="AO228" s="11">
        <v>0</v>
      </c>
      <c r="AP228" s="11">
        <v>0</v>
      </c>
      <c r="AQ228" s="11">
        <v>0</v>
      </c>
      <c r="AR228" s="51">
        <v>6000000000</v>
      </c>
      <c r="AS228" s="54">
        <v>20000000</v>
      </c>
      <c r="AT228" s="54">
        <f t="shared" si="361"/>
        <v>6020000000</v>
      </c>
      <c r="AU228" s="51">
        <v>6000000000</v>
      </c>
      <c r="AV228" s="243">
        <v>8038359513</v>
      </c>
      <c r="AW228" s="244"/>
      <c r="AX228" s="244"/>
      <c r="AY228" s="243">
        <v>8003342988</v>
      </c>
      <c r="AZ228" s="44">
        <f t="shared" ref="AZ228:AZ250" si="408">R228/Q228</f>
        <v>0.34950175</v>
      </c>
      <c r="BA228" s="44">
        <v>0.05</v>
      </c>
      <c r="BB228" s="44">
        <v>0.75160000000000005</v>
      </c>
      <c r="BC228" s="44">
        <f t="shared" ref="BC228:BC250" si="409">AD228/Q228</f>
        <v>0.3</v>
      </c>
      <c r="BD228" s="44" cm="1">
        <f t="array" ref="BD228">_xlfn.IFS(AD228=0,"NA",AD228&gt;0,AH228/AD228)</f>
        <v>0.97710541666666662</v>
      </c>
      <c r="BE228" s="44">
        <f t="shared" ref="BE228:BE250" si="410">AL228/Q228</f>
        <v>0.331125</v>
      </c>
      <c r="BF228" s="44">
        <v>0</v>
      </c>
      <c r="BG228" s="44">
        <f t="shared" ref="BG228:BG250" si="411">AN228/Q228</f>
        <v>0.3125</v>
      </c>
      <c r="BH228" s="44">
        <v>0</v>
      </c>
      <c r="BI228" s="44">
        <f t="shared" ref="BI228:BI250" si="412">AP228/Q228</f>
        <v>0</v>
      </c>
      <c r="BJ228" s="44" t="s">
        <v>115</v>
      </c>
      <c r="BK228" s="44">
        <f t="shared" si="362"/>
        <v>0.34950175</v>
      </c>
      <c r="BL228" s="44">
        <v>0.75160000000000005</v>
      </c>
      <c r="BM228" s="44" cm="1">
        <f t="array" ref="BM228">_xlfn.IFS(BD228="NA","NA",BD228&gt;100%,"100%",BD228&lt;100,BD228)</f>
        <v>0.97710541666666662</v>
      </c>
      <c r="BN228" s="44" cm="1">
        <f t="array" ref="BN228">_xlfn.IFS(BF228="NA","NA",BF228&gt;100%,"100%",BF228&lt;100,BF228)</f>
        <v>0</v>
      </c>
      <c r="BO228" s="44" cm="1">
        <f t="array" ref="BO228">_xlfn.IFS(BH228="NA","NA",BH228&gt;100%,"100%",BH228&lt;100,BH228)</f>
        <v>0</v>
      </c>
      <c r="BP228" s="44" t="str" cm="1">
        <f t="array" ref="BP228">_xlfn.IFS(BJ228="NA","NA",BJ228&gt;100%,"100%",BJ228&lt;100,BJ228)</f>
        <v>NA</v>
      </c>
      <c r="BQ228" s="45">
        <v>0.22500000000000001</v>
      </c>
      <c r="BR228" s="45">
        <f t="shared" si="372"/>
        <v>7.8637893750000007E-2</v>
      </c>
      <c r="BS228" s="45">
        <v>1.1299999999999999E-2</v>
      </c>
      <c r="BT228" s="45">
        <v>8.5000000000000006E-3</v>
      </c>
      <c r="BU228" s="45">
        <v>8.5000000000000006E-3</v>
      </c>
      <c r="BV228" s="45">
        <f t="shared" ref="BV228:BV250" si="413">(AD228*BQ228)/Q228</f>
        <v>6.7500000000000004E-2</v>
      </c>
      <c r="BW228" s="45">
        <f t="shared" si="392"/>
        <v>6.5954615625000004E-2</v>
      </c>
      <c r="BX228" s="45">
        <f t="shared" si="393"/>
        <v>7.0137893750000013E-2</v>
      </c>
      <c r="BY228" s="45">
        <f t="shared" ref="BY228:BY250" si="414">(AL228*BQ228)/Q228</f>
        <v>7.4503125000000003E-2</v>
      </c>
      <c r="BZ228" s="45">
        <f t="shared" ref="BZ228:BZ250" si="415">IF(BN228="NA","NA",BN228*BY228)</f>
        <v>0</v>
      </c>
      <c r="CA228" s="45">
        <f t="shared" si="373"/>
        <v>0</v>
      </c>
      <c r="CB228" s="45">
        <f t="shared" ref="CB228:CB250" si="416">(AN228*BQ228)/Q228</f>
        <v>7.03125E-2</v>
      </c>
      <c r="CC228" s="45">
        <f t="shared" ref="CC228:CC250" si="417">IF(BO228="NA","NA",BO228*CB228)</f>
        <v>0</v>
      </c>
      <c r="CD228" s="45">
        <v>0</v>
      </c>
      <c r="CE228" s="45">
        <f t="shared" ref="CE228:CE250" si="418">(AP228*BQ228)/Q228</f>
        <v>0</v>
      </c>
      <c r="CF228" s="45" t="str">
        <f t="shared" ref="CF228:CF250" si="419">IF(BP228="NA","NA",BP228*CE228)</f>
        <v>NA</v>
      </c>
      <c r="CG228" s="45">
        <v>0</v>
      </c>
      <c r="CH228" s="244"/>
      <c r="CI228" s="244"/>
      <c r="CJ228" s="244"/>
      <c r="CK228" s="244"/>
      <c r="CM228" s="63">
        <v>25415.14</v>
      </c>
    </row>
    <row r="229" spans="1:261" ht="18" hidden="1" customHeight="1">
      <c r="A229" s="260" t="s">
        <v>428</v>
      </c>
      <c r="B229" s="260" t="s">
        <v>429</v>
      </c>
      <c r="C229" s="260" t="s">
        <v>1286</v>
      </c>
      <c r="D229" s="260" t="s">
        <v>1496</v>
      </c>
      <c r="E229" s="260" t="s">
        <v>1497</v>
      </c>
      <c r="F229" s="260" t="s">
        <v>1498</v>
      </c>
      <c r="G229" s="260" t="s">
        <v>1499</v>
      </c>
      <c r="H229" s="260" t="s">
        <v>1551</v>
      </c>
      <c r="I229" s="260"/>
      <c r="J229" s="260"/>
      <c r="K229" s="260" t="s">
        <v>1552</v>
      </c>
      <c r="L229" s="260" t="s">
        <v>1553</v>
      </c>
      <c r="M229" s="260" t="s">
        <v>1547</v>
      </c>
      <c r="N229" s="260" t="s">
        <v>111</v>
      </c>
      <c r="O229" s="260" t="s">
        <v>112</v>
      </c>
      <c r="P229" s="10">
        <v>820977</v>
      </c>
      <c r="Q229" s="11">
        <v>1050000</v>
      </c>
      <c r="R229" s="11">
        <f t="shared" si="406"/>
        <v>293511.02</v>
      </c>
      <c r="S229" s="11" t="str">
        <f>VLOOKUP(K229,'1223 ICCU'!$K$13:$AK$25,9,0)</f>
        <v xml:space="preserve">Durante el cuatrienio se han construido 293.511,02 m2 de placa huella en las diferentes provincias del Departamento, mejorando las condiciones de la red terciaria Departamental y contribuyendo así en la mejora de las condiciones de conectividad y transitabilidad, fomentando las dinámicas competitivas y mejorando la calidad de vida de los habitantes de Cundinamarca. </v>
      </c>
      <c r="T229" s="11">
        <v>40000</v>
      </c>
      <c r="U229" s="11">
        <v>0</v>
      </c>
      <c r="V229" s="11">
        <v>100000</v>
      </c>
      <c r="W229" s="11">
        <v>0</v>
      </c>
      <c r="X229" s="11">
        <v>101691.3</v>
      </c>
      <c r="Y229" s="11">
        <v>0</v>
      </c>
      <c r="Z229" s="11">
        <v>101691.3</v>
      </c>
      <c r="AA229" s="11" t="s">
        <v>1554</v>
      </c>
      <c r="AB229" s="11" t="s">
        <v>1555</v>
      </c>
      <c r="AC229" s="11">
        <v>0</v>
      </c>
      <c r="AD229" s="11">
        <v>200000</v>
      </c>
      <c r="AE229" s="11">
        <v>0</v>
      </c>
      <c r="AF229" s="11">
        <f>VLOOKUP(K229,'1223 ICCU'!$K$13:$AK$25,22,0)</f>
        <v>191819.72</v>
      </c>
      <c r="AG229" s="11" t="str">
        <f>VLOOKUP(K229,'1223 ICCU'!$K$13:$AK$25,23,0)</f>
        <v> </v>
      </c>
      <c r="AH229" s="11">
        <f t="shared" si="407"/>
        <v>191819.72</v>
      </c>
      <c r="AI229" s="11" t="str">
        <f>VLOOKUP(K229,'1223 ICCU'!$K$13:$AK$25,25,0)</f>
        <v>191.819,72 m2 de placa huella construidos</v>
      </c>
      <c r="AJ229" s="11" t="str">
        <f>VLOOKUP(K229,'1223 ICCU'!$K$13:$AK$25,26,0)</f>
        <v>Durante el año 2021 se han construido 191.819,72 m2 de placa huella, beneficiando a los municipios de: Apulo, Granada, Sibaté, Silvania, Zipaquirá, Paime, El Colegio, Chocontá, Tena, Machetá, La Mesa, Cáqueza, Quetame, Gama, San Antonio, Viotá, Apulo, Arbeláez, Chocontá, Villagómez, Quebradanegra, Topaipí, Villapinzón, Vianí, Vergara, Chaguaní, Bituima, Villeta, Pacho, Carmén de Carupa, Chipaque, Cabrera, Pasca, San Bernardo, Silvania, Nemocón, Granada, Zipaquirá, Guayabetal, Pandi, Cachipay, San Cayetano, Guataquí, Nariño, Cabrera, Paca, San Bernardo.</v>
      </c>
      <c r="AK229" s="11" t="str">
        <f>VLOOKUP(K229,'1223 ICCU'!$K$13:$AK$25,27,0)</f>
        <v> </v>
      </c>
      <c r="AL229" s="11">
        <v>425000</v>
      </c>
      <c r="AM229" s="11">
        <v>0</v>
      </c>
      <c r="AN229" s="11">
        <v>323309</v>
      </c>
      <c r="AO229" s="11">
        <v>0</v>
      </c>
      <c r="AP229" s="11">
        <v>0</v>
      </c>
      <c r="AQ229" s="11">
        <v>0</v>
      </c>
      <c r="AR229" s="51">
        <v>11459951000</v>
      </c>
      <c r="AS229" s="54">
        <v>-430000000</v>
      </c>
      <c r="AT229" s="54">
        <f t="shared" si="361"/>
        <v>11029951000</v>
      </c>
      <c r="AU229" s="51">
        <v>11459951000</v>
      </c>
      <c r="AV229" s="243">
        <v>48781111454</v>
      </c>
      <c r="AW229" s="244"/>
      <c r="AX229" s="244"/>
      <c r="AY229" s="243">
        <v>47654536024</v>
      </c>
      <c r="AZ229" s="44">
        <f t="shared" si="408"/>
        <v>0.27953430476190477</v>
      </c>
      <c r="BA229" s="44">
        <v>0.1</v>
      </c>
      <c r="BB229" s="44">
        <v>1.0168999999999999</v>
      </c>
      <c r="BC229" s="44">
        <f t="shared" si="409"/>
        <v>0.19047619047619047</v>
      </c>
      <c r="BD229" s="44" cm="1">
        <f t="array" ref="BD229">_xlfn.IFS(AD229=0,"NA",AD229&gt;0,AH229/AD229)</f>
        <v>0.95909860000000002</v>
      </c>
      <c r="BE229" s="44">
        <f t="shared" si="410"/>
        <v>0.40476190476190477</v>
      </c>
      <c r="BF229" s="44">
        <v>0</v>
      </c>
      <c r="BG229" s="44">
        <f t="shared" si="411"/>
        <v>0.30791333333333332</v>
      </c>
      <c r="BH229" s="44">
        <v>0</v>
      </c>
      <c r="BI229" s="44">
        <f t="shared" si="412"/>
        <v>0</v>
      </c>
      <c r="BJ229" s="44" t="s">
        <v>115</v>
      </c>
      <c r="BK229" s="44">
        <f t="shared" si="362"/>
        <v>0.27953430476190477</v>
      </c>
      <c r="BL229" s="44">
        <v>1</v>
      </c>
      <c r="BM229" s="44" cm="1">
        <f t="array" ref="BM229">_xlfn.IFS(BD229="NA","NA",BD229&gt;100%,"100%",BD229&lt;100,BD229)</f>
        <v>0.95909860000000002</v>
      </c>
      <c r="BN229" s="44" cm="1">
        <f t="array" ref="BN229">_xlfn.IFS(BF229="NA","NA",BF229&gt;100%,"100%",BF229&lt;100,BF229)</f>
        <v>0</v>
      </c>
      <c r="BO229" s="44" cm="1">
        <f t="array" ref="BO229">_xlfn.IFS(BH229="NA","NA",BH229&gt;100%,"100%",BH229&lt;100,BH229)</f>
        <v>0</v>
      </c>
      <c r="BP229" s="44" t="str" cm="1">
        <f t="array" ref="BP229">_xlfn.IFS(BJ229="NA","NA",BJ229&gt;100%,"100%",BJ229&lt;100,BJ229)</f>
        <v>NA</v>
      </c>
      <c r="BQ229" s="45">
        <v>0.22500000000000001</v>
      </c>
      <c r="BR229" s="45">
        <f t="shared" si="372"/>
        <v>6.2895218571428574E-2</v>
      </c>
      <c r="BS229" s="45">
        <v>2.2499999999999999E-2</v>
      </c>
      <c r="BT229" s="45">
        <v>2.2499999999999999E-2</v>
      </c>
      <c r="BU229" s="45">
        <v>2.29E-2</v>
      </c>
      <c r="BV229" s="45">
        <f t="shared" si="413"/>
        <v>4.2857142857142858E-2</v>
      </c>
      <c r="BW229" s="45">
        <f t="shared" si="392"/>
        <v>4.1104225714285715E-2</v>
      </c>
      <c r="BX229" s="45">
        <f t="shared" si="393"/>
        <v>3.999521857142857E-2</v>
      </c>
      <c r="BY229" s="45">
        <f t="shared" si="414"/>
        <v>9.1071428571428567E-2</v>
      </c>
      <c r="BZ229" s="45">
        <f t="shared" si="415"/>
        <v>0</v>
      </c>
      <c r="CA229" s="45">
        <f t="shared" si="373"/>
        <v>0</v>
      </c>
      <c r="CB229" s="45">
        <f t="shared" si="416"/>
        <v>6.9280500000000009E-2</v>
      </c>
      <c r="CC229" s="45">
        <f t="shared" si="417"/>
        <v>0</v>
      </c>
      <c r="CD229" s="45">
        <v>0</v>
      </c>
      <c r="CE229" s="45">
        <f t="shared" si="418"/>
        <v>0</v>
      </c>
      <c r="CF229" s="45" t="str">
        <f t="shared" si="419"/>
        <v>NA</v>
      </c>
      <c r="CG229" s="45">
        <v>0</v>
      </c>
      <c r="CH229" s="244"/>
      <c r="CI229" s="244"/>
      <c r="CJ229" s="244"/>
      <c r="CK229" s="244"/>
      <c r="CM229" s="63">
        <v>230697.07</v>
      </c>
    </row>
    <row r="230" spans="1:261" s="16" customFormat="1" ht="18" hidden="1" customHeight="1">
      <c r="A230" s="198" t="s">
        <v>388</v>
      </c>
      <c r="B230" s="198" t="s">
        <v>389</v>
      </c>
      <c r="C230" s="198" t="s">
        <v>1286</v>
      </c>
      <c r="D230" s="198" t="s">
        <v>1496</v>
      </c>
      <c r="E230" s="198" t="s">
        <v>1497</v>
      </c>
      <c r="F230" s="198" t="s">
        <v>1498</v>
      </c>
      <c r="G230" s="198" t="s">
        <v>1499</v>
      </c>
      <c r="H230" s="198" t="s">
        <v>1556</v>
      </c>
      <c r="I230" s="198" t="s">
        <v>106</v>
      </c>
      <c r="J230" s="198"/>
      <c r="K230" s="198" t="s">
        <v>1557</v>
      </c>
      <c r="L230" s="198" t="s">
        <v>1558</v>
      </c>
      <c r="M230" s="198" t="s">
        <v>131</v>
      </c>
      <c r="N230" s="198" t="s">
        <v>111</v>
      </c>
      <c r="O230" s="198" t="s">
        <v>112</v>
      </c>
      <c r="P230" s="199">
        <v>1</v>
      </c>
      <c r="Q230" s="200">
        <v>1</v>
      </c>
      <c r="R230" s="11">
        <f t="shared" si="406"/>
        <v>0.28000000000000003</v>
      </c>
      <c r="S230" s="200" t="str">
        <f>VLOOKUP(K230,'1123 Transporte'!$K$13:$AK$23,9,0)</f>
        <v>*COMPONENTE  DESARROLLAR LA ESTRATEGIA GESTORES DE PROMOCIÓN DE SEGURIDAD VIAL – GPS67 gestores viales en los corredores Chía – Mosquera,Soacha – Sibate.*COMPONENTE DOTACIÓNElementos de señalización como 80 conos para intersección vial y señalización con elementos visuales para la gestión del tráfico.*COMPONENTE IMPLEMENTAR PARQUES PEDAGÓGICOS.Se ha identificado un parque móvil pedagógico infantil el cual está en mantenimiento con el objetivo de aplicar el uso del mismo en el 4 trimestre*COMPONENTE ESTRATEGIA DEL PROGRAMA DE APROPIACIÓN Y PEDAGOGÍA EN EL TRANSPORTE MULTIMODALse han desarrollado acercamientos con empresas de Transporte público de pasajeros en las provincias de Sabana de Occidente, Sabana Centro, Tequendama y Sumapaz, las cuales vienen implementado sus Planes Estratégicos de Seguridad Vial.COMPONENTE FLORA Y FAUNASe  logro  el reconocimiento y  recorrido, diagnostico e inventario de flora y fauna a las siguientes vías de segundo orden departamental denominadas troncales: en las Provincia de Ubaté y  Sabana Occidente: El Rosal, Funza, Subachoque y ZipacónTres jornadas de capacitación con 80 servidores públicos autoridades de tránsitoLas tres capacitaciones planeadas se pudieron cumplir por medio virtual y estuvo dirigida a autoridades de tránsito de los municipios de Sabana de Occidente y actores viales (bici usuarios y transportadores)</v>
      </c>
      <c r="T230" s="200">
        <v>0.05</v>
      </c>
      <c r="U230" s="200">
        <v>0</v>
      </c>
      <c r="V230" s="200">
        <v>0.05</v>
      </c>
      <c r="W230" s="200">
        <v>0</v>
      </c>
      <c r="X230" s="200">
        <v>0.05</v>
      </c>
      <c r="Y230" s="200">
        <v>0</v>
      </c>
      <c r="Z230" s="200">
        <v>0.05</v>
      </c>
      <c r="AA230" s="200" t="s">
        <v>1559</v>
      </c>
      <c r="AB230" s="200" t="s">
        <v>1560</v>
      </c>
      <c r="AC230" s="200">
        <v>0</v>
      </c>
      <c r="AD230" s="11">
        <v>0.25</v>
      </c>
      <c r="AE230" s="11">
        <v>0</v>
      </c>
      <c r="AF230" s="200">
        <f>VLOOKUP(K230,'1123 Transporte'!$K$13:$AK$23,22,0)</f>
        <v>0.23</v>
      </c>
      <c r="AG230" s="200">
        <f>VLOOKUP(K230,'1123 Transporte'!$K$13:$AK$23,23,0)</f>
        <v>0</v>
      </c>
      <c r="AH230" s="11">
        <f t="shared" si="407"/>
        <v>0.23</v>
      </c>
      <c r="AI230" s="200" t="str">
        <f>VLOOKUP(K230,'1123 Transporte'!$K$13:$AK$23,25,0)</f>
        <v>Gestores de Seguridad Vial ,programas de capacitacion en prevencion vial a usuarios y biciusurios entrega de cartillas a los diferentes actores viales por parte de la secretaria de transporte y movilidad.</v>
      </c>
      <c r="AJ230" s="200" t="str">
        <f>VLOOKUP(K230,'1123 Transporte'!$K$13:$AK$23,26,0)</f>
        <v xml:space="preserve">META 234
Actividad estrategia GPS
A partir de 1 de marzo de 2021 se empezó a realizar la gestión del corredor Calle 13 con la Estrategia Gestores de Seguridad Vial del Departamento de Cundinamarca, realizando control y gestión de pasos seguros a bici usuarios y Peatones en los puntos críticos de este corredor de la Sabana de Occidente.
Se realizaron apoyos para el control de Bici usuarios en los Municipios de Choachi, Chia y Cogua
Con la estrategia se realizó acompañamiento a las Ciclo vías por la Vida en los municipios de Suesca – Gachancipa y Villeta - Quebradanegra
Actividad estrategia Previsión y prevención
Se realizaron dos Ciclo vías por la Vida, generando espacios seguros para el desarrollo de la movilidad en bicicleta con los siguientes resultados:
1.	Suesca -  Gachancipa
550 Asistentes al evento a los cuales se les realizo sensibilización en el uso seguro de la bicicleta como medio de Transporte, resaltando el uso adecuado de los elementos de protección como el casco y prendas reflectivas para el tránsito nocturno.
2.	Villeta – Quebradanegra – Villeta
1120 Asistentes al evento a los cuales se les realizo sensibilización en el uso seguro de la bicicleta como medio de Transporte, resaltando el uso adecuado de los elementos de protección como el casco y prendas reflectivas para el tránsito nocturno.
Actividad estrategia de cultura ciudadana “ El Chacho de la Via”
1.	Se realizó actividades de sensibilización en biciusuarios con el uso adecuado y seguro de la bicicleta y sus elementos de protección asi:
Suesca: 140
Gachancipa: 160
Villeta: 151
Quebradanegra: 60 
2.	Capacitación a Motociclistas sobre el uso del casco según resolución 23385 de 2020 en el Municipio de Chipaque con participación de 70 Motociclistas
3.	Desarrollo de sensibilización a Motociclistas y Conductores de Vehículos en los ingresos a Cundinamarca desde Bogotá con un total de 2000 personas sensibilizadas en cuidado y prevención al transitar en el puente festivo de Semana Santa.
META 234 Avance mes de Abril de 2021
Actividad estrategia GPS
A partir de 1 de marzo de 2021 se empezó a realizar la gestión del corredor Calle 13 con la Estrategia Gestores de Seguridad Vial del Departamento de Cundinamarca, realizando control y gestión de pasos seguros a bici usuarios y Peatones en los puntos críticos de este corredor de la Sabana de Occidente.
Actividad estrategia Previsión y prevención
1.	Se inició el proceso con 19 profesionales expertos en seguridad vial para realizar el acompañamiento y apoyo a los 116 municipios del departamento en el desarrollo de los  locales de seguridad vial y a su vez apoyo en los planes estratégicos de seguridad vial en las empresas que según la normatividad vigente lo requieran.
Actividad estrategia de cultura ciudadana “ El Chacho de la Via”
1.	Desarrollo de sensibilización a Motociclistas y Conductores de Vehículos en los ingresos a Cundinamarca desde Bogotá con un total de 2500 personas sensibilizadas en cuidado y prevención al transitar en el puente festivo de Semana Santa el día 1 de abril 
Avance mes de junio 30 
* Estrategia GPS a partir de 1 de marzo de 2021 corredor calle 13 con la estrategia gestores de seguridad vial del departamento
* Estrategia GPS a partir de 7 de mayo de 2021 en el tramo Sibate - San Miguel -  Fusagasuga para la intervencion en esta importante via con alta siniestralidad
* Acompañamiento ciclovías para el control de bici usuarios en los municipios de , Suesca , Gachancipá, Villeta, quebrada negra, Tausa, Cogua, Fusagasuga, Sibate y Pacho
* Estrategia previsión y prevención en el uso seguro de la bicicleta como medio de transporte elementos de protección como el casco y prendas reflectivas para el tránsito nocturno para un total de (2181) actores viales capacitados 
* Acercamiento con los 116 municipios del departamento para el avance de los planes loceles y estrategicos de seguridad vial a traves del grupo de porfesionales contratados para tal fin.
* Avance en los convenios con la Car y asocolflores para la capacitacion en pedagogia vial para personas que se transportan en bicicelta hacia sus trabajos. Aproximadamante 1500 personas socializadas.
Avance mes de julio
* Durante el mes de julio se realizo el aporte de l estategia GPS en el desarrollo de pedagogia vial en el corredor calle 13 a los biciusuarios que utilizaran este corredor con la nueva dotacion de bicicarril  en el costado sur. Por otra parte a travez del convenio interadministratrivo con el municipio de Sibate, se inicio e desarollo de  laintervencion en el corredor Soacha - Sibate - San Miguel, con el fin de mejorar la movilidad y disminuir la accidentalidad en este sector.
* Desarrollo de ciclovias con nuestra estrategia de previcion y prevencion en los municipios de Tena - Cachipay, Ubate - Carmen de Carupa, Fomeque - Ubaque, con enfoque en pedagogia vial.
* Actividad de prevision y prevencion con enfoque en motocilistas a traves de campanas de pedagogicas, 150 actores viales socilizados.
CONSOLIDADO  Enero-agosto
CICLOVIAS 2021.
PARA ESTE AÑO LA ESTATEGIA EVOLUCIONA PARA GENERAR ESPACIOS DE REACTIVACION ECONOMICA EN ARTICULACION CON INDEPORTES,  IDECUT, LICORERA DE CUNDINAMARCA Y CAMARA DE COMERCIO DE BOGOTA
1a. Suesca - Gachancipa
627 Asistentes.
2a. Villeta - Quebradanegra
675 Asistentes.
3a. Tausa
423 Asistentes.
4a. Junin 
183 Asistentes.
5a. Sibate - Fusagasuga 
2137 Asistentes
6a. Pacho
397 Asistentes
7a. Ubaque - Fomeque 
577 Asistentes
8a. Cachipay Tena
619 Asistentes 
9a. Ubate - Carmen de Carupa
692 Asistentes
10a. Villapinzon - Turmeque 
2832 Asistentes
11a. Medina
Aplazada
12a. Fuquene
238 Asistentes
13a. Apulo - Anapoima
577 Asistentes
Avance mes de Septiembre
CICLOVIAS 2021.
PARA ESTE AÑO LA ESTATEGIA EVOLUCIONA PARA GENERAR ESPACIOS DE REACTIVACION ECONOMICA EN ARTICULACION CON INDEPORTES,  IDECUT, LICORERA DE CUNDINAMARCA Y CAMARA DE COMERCIO DE BOGOTA
1a. Suesca - Gachancipa
627 Asistentes.
2a. Villeta - Quebradanegra
675 Asistentes.
3a. Tausa
423 Asistentes.
4a. Junin 
183 Asistentes.
5a. Sibate - Fusagasuga 
2137 Asistentes
6a. Pacho
397 Asistentes
7a. Ubaque - Fomeque 
577 Asistentes
8a. Cachipay Tena
619 Asistentes 
9a. Ubate - Carmen de Carupa
692 Asistentes
10a. Villapinzon - Turmeque 
2832 Asistentes
11a. Medina
Aplazada
12a. Fuquene
238 Asistentes
13a. Apulo - Anapoima
577 Asistentes
14a. Subachoque 
378 Asistentes 
15a. Guayabal - Bituima
383 Asistentes
16a. Chia - Tenjo - Tabio - Cajica - Bogota
1347
17a. Madrid - Mosquera- Funza
1252
17  CICLOVIAS 2021. CON  13.337
 ASISTENTES 
26 municipios hicieron parte de la estrategia
COMPONENTE
Actividad de previsión y prevención con enfoque en motociclistas a través de campanas de pedagógicas, 150 actores viales socializados
● 528 personas capacitadas de los municipios como autoridades de transito
● 268 personas de empresas de transporte capacitadas en temas de prevención y previsión vial
COMPONENTE FLORA Y FAUNA 
OBJETIVO DEL PROGRAMA 
Sensibilizar a la ciudadanía a la hora de transitar por las carreteras, para que manejen con precaución; utilicen con cautela el pito para ahuyentar al animal; tengan presentes las señales de tránsito, en especial las de paso de animales; y se comuniquen con las autoridades territoriales competentes ante cualquier eventualidad con algún animal en las vías, generando así conciencia frente a la significativa cifra de mortandad de fauna.
En el año 2019 se presentaron 68 siniestros viales con fatalidad animal en Cundinamarca, 45 de ellos en vías nacionales, 20 en urbanas y tres rurales, en su mayoría corredores biológicos lo que implica una fragmentación del hábitat.  Dichos eventos causaron la muerte de 34 animales silvestres, 25 de compañía y 9 de granja.
GESTION REALIZADA
Se ha logrado la articulación con las Alcaldías Municipales y las Corporaciones Autónomas Regionales (CAR), de igual manera se han realizado capacitaciones de manera masiva en los colegios con ayuda de las Secretarias de Ambiente de los Municipios, Secretaria de Transporte y Movilidad del Departamento, Secretaria de Educación y las Corporaciones Autónomas Regionales (CAR).  donde se ha sensibilizado a los estudiantes por el cuidado de la Fauna silvestre sin descartar de igual manera la Fauna Agropecuaria y Domestica.
AVANCE MES DE NOVIEMBRE
Para este año la estrategia evoluciona para generar espacios de reactivación económica en articulación con INDEPORTES,  IDECUT, LICORERA DE CUNDINAMARCA Y CAMARA DE COMERCIO DE BOGOTA
20 ciclovias 2021. Con 14.169 Asistentes 31 municipios hicieron parte de la estrategia
ciclovias 2021.
</v>
      </c>
      <c r="AK230" s="200" t="str">
        <f>VLOOKUP(K230,'1123 Transporte'!$K$13:$AK$23,27,0)</f>
        <v>No se han podido llevar los parques didacticos a los diferentes municipios evitando la aglomeracion de personas en los coliceos</v>
      </c>
      <c r="AL230" s="200">
        <v>0.25</v>
      </c>
      <c r="AM230" s="200">
        <v>0</v>
      </c>
      <c r="AN230" s="200">
        <v>0.45</v>
      </c>
      <c r="AO230" s="200">
        <v>0</v>
      </c>
      <c r="AP230" s="200">
        <v>0</v>
      </c>
      <c r="AQ230" s="200">
        <v>0</v>
      </c>
      <c r="AR230" s="201">
        <v>711833501</v>
      </c>
      <c r="AS230" s="202">
        <v>0</v>
      </c>
      <c r="AT230" s="202">
        <f t="shared" si="361"/>
        <v>711833501</v>
      </c>
      <c r="AU230" s="201">
        <v>347749049</v>
      </c>
      <c r="AV230" s="245">
        <v>2204500000</v>
      </c>
      <c r="AW230" s="246"/>
      <c r="AX230" s="246"/>
      <c r="AY230" s="245">
        <v>1973100107</v>
      </c>
      <c r="AZ230" s="203">
        <f t="shared" si="408"/>
        <v>0.28000000000000003</v>
      </c>
      <c r="BA230" s="203">
        <v>0.05</v>
      </c>
      <c r="BB230" s="203">
        <v>1</v>
      </c>
      <c r="BC230" s="44">
        <f t="shared" si="409"/>
        <v>0.25</v>
      </c>
      <c r="BD230" s="44" cm="1">
        <f t="array" ref="BD230">_xlfn.IFS(AD230=0,"NA",AD230&gt;0,AH230/AD230)</f>
        <v>0.92</v>
      </c>
      <c r="BE230" s="44">
        <f t="shared" si="410"/>
        <v>0.25</v>
      </c>
      <c r="BF230" s="44">
        <v>0</v>
      </c>
      <c r="BG230" s="44">
        <f t="shared" si="411"/>
        <v>0.45</v>
      </c>
      <c r="BH230" s="44">
        <v>0</v>
      </c>
      <c r="BI230" s="203">
        <f t="shared" si="412"/>
        <v>0</v>
      </c>
      <c r="BJ230" s="203" t="s">
        <v>115</v>
      </c>
      <c r="BK230" s="203">
        <f t="shared" si="362"/>
        <v>0.28000000000000003</v>
      </c>
      <c r="BL230" s="203">
        <v>1</v>
      </c>
      <c r="BM230" s="203" cm="1">
        <f t="array" ref="BM230">_xlfn.IFS(BD230="NA","NA",BD230&gt;100%,"100%",BD230&lt;100,BD230)</f>
        <v>0.92</v>
      </c>
      <c r="BN230" s="203" cm="1">
        <f t="array" ref="BN230">_xlfn.IFS(BF230="NA","NA",BF230&gt;100%,"100%",BF230&lt;100,BF230)</f>
        <v>0</v>
      </c>
      <c r="BO230" s="203" cm="1">
        <f t="array" ref="BO230">_xlfn.IFS(BH230="NA","NA",BH230&gt;100%,"100%",BH230&lt;100,BH230)</f>
        <v>0</v>
      </c>
      <c r="BP230" s="203" t="str" cm="1">
        <f t="array" ref="BP230">_xlfn.IFS(BJ230="NA","NA",BJ230&gt;100%,"100%",BJ230&lt;100,BJ230)</f>
        <v>NA</v>
      </c>
      <c r="BQ230" s="204">
        <v>0.22500000000000001</v>
      </c>
      <c r="BR230" s="45">
        <f t="shared" si="372"/>
        <v>6.3000000000000014E-2</v>
      </c>
      <c r="BS230" s="204">
        <v>1.1299999999999999E-2</v>
      </c>
      <c r="BT230" s="204">
        <v>1.1299999999999999E-2</v>
      </c>
      <c r="BU230" s="204">
        <v>1.1299999999999999E-2</v>
      </c>
      <c r="BV230" s="45">
        <f t="shared" si="413"/>
        <v>5.6250000000000001E-2</v>
      </c>
      <c r="BW230" s="45">
        <f t="shared" si="392"/>
        <v>5.1750000000000004E-2</v>
      </c>
      <c r="BX230" s="45">
        <f t="shared" si="393"/>
        <v>5.1700000000000017E-2</v>
      </c>
      <c r="BY230" s="45">
        <f t="shared" si="414"/>
        <v>5.6250000000000001E-2</v>
      </c>
      <c r="BZ230" s="45">
        <f t="shared" si="415"/>
        <v>0</v>
      </c>
      <c r="CA230" s="45">
        <f t="shared" si="373"/>
        <v>0</v>
      </c>
      <c r="CB230" s="45">
        <f t="shared" si="416"/>
        <v>0.10125000000000001</v>
      </c>
      <c r="CC230" s="45">
        <f t="shared" si="417"/>
        <v>0</v>
      </c>
      <c r="CD230" s="45">
        <v>0</v>
      </c>
      <c r="CE230" s="204">
        <f t="shared" si="418"/>
        <v>0</v>
      </c>
      <c r="CF230" s="204" t="str">
        <f t="shared" si="419"/>
        <v>NA</v>
      </c>
      <c r="CG230" s="204">
        <v>0</v>
      </c>
      <c r="CH230" s="246"/>
      <c r="CI230" s="246"/>
      <c r="CJ230" s="246"/>
      <c r="CK230" s="246"/>
      <c r="CL230" s="48"/>
      <c r="CM230" s="63">
        <v>0.22999999999999998</v>
      </c>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c r="IW230" s="48"/>
      <c r="IX230" s="48"/>
      <c r="IY230" s="48"/>
      <c r="IZ230" s="48"/>
      <c r="JA230" s="48"/>
    </row>
    <row r="231" spans="1:261" ht="18" hidden="1" customHeight="1">
      <c r="A231" s="260" t="s">
        <v>221</v>
      </c>
      <c r="B231" s="260" t="s">
        <v>222</v>
      </c>
      <c r="C231" s="260" t="s">
        <v>1286</v>
      </c>
      <c r="D231" s="260" t="s">
        <v>1496</v>
      </c>
      <c r="E231" s="260" t="s">
        <v>1561</v>
      </c>
      <c r="F231" s="260" t="s">
        <v>1562</v>
      </c>
      <c r="G231" s="260" t="s">
        <v>1563</v>
      </c>
      <c r="H231" s="260" t="s">
        <v>1564</v>
      </c>
      <c r="I231" s="260"/>
      <c r="J231" s="260"/>
      <c r="K231" s="260" t="s">
        <v>1565</v>
      </c>
      <c r="L231" s="260" t="s">
        <v>1566</v>
      </c>
      <c r="M231" s="260" t="s">
        <v>1567</v>
      </c>
      <c r="N231" s="260" t="s">
        <v>111</v>
      </c>
      <c r="O231" s="260" t="s">
        <v>112</v>
      </c>
      <c r="P231" s="10">
        <v>4</v>
      </c>
      <c r="Q231" s="11">
        <v>10</v>
      </c>
      <c r="R231" s="11">
        <f t="shared" ca="1" si="406"/>
        <v>1</v>
      </c>
      <c r="S231" s="11" t="str">
        <f ca="1">VLOOKUP(K231,'1220 IDECUT'!$K$13:$AK$48,9,0)</f>
        <v xml:space="preserve"> El embellecimiento del centro histórico del municipio de Sesquilé, se encuentra en proceso de ejecución; actualmente se esta evaluando la  propuesta de color con la Fundación Pintuco y  con la Empresa Energía se están determinando la propuesta de avisos para los establecimientos comerciales, con el fin deunificarlas en el espacio turístico y cultural. La evaluación de las propuestas y las decisiones se trabajan en conjunto con la comunidad, como parte fundamental en la determinación de Pueblo Dorado.
Adicionalmente, se encuentra en proceso la firma del convenio con el municipio de Tena para el embellecimiento del centro históric, el cual tiene como objetivo  arreglar fachadas y mejorar los espacios públicos de la zona.</v>
      </c>
      <c r="T231" s="11">
        <v>0</v>
      </c>
      <c r="U231" s="11">
        <v>0</v>
      </c>
      <c r="V231" s="11">
        <v>0</v>
      </c>
      <c r="W231" s="11">
        <v>0</v>
      </c>
      <c r="X231" s="11">
        <v>0</v>
      </c>
      <c r="Y231" s="11">
        <v>0</v>
      </c>
      <c r="Z231" s="11">
        <v>0</v>
      </c>
      <c r="AA231" s="11"/>
      <c r="AB231" s="11"/>
      <c r="AC231" s="11"/>
      <c r="AD231" s="11">
        <v>3</v>
      </c>
      <c r="AE231" s="11">
        <v>0</v>
      </c>
      <c r="AF231" s="11">
        <f ca="1">VLOOKUP(K231,'1220 IDECUT'!$K$13:$AK$48,22,0)</f>
        <v>1</v>
      </c>
      <c r="AG231" s="11">
        <f ca="1">VLOOKUP(K231,'1220 IDECUT'!$K$13:$AK$48,23,0)</f>
        <v>0</v>
      </c>
      <c r="AH231" s="11">
        <f t="shared" ca="1" si="407"/>
        <v>1</v>
      </c>
      <c r="AI231" s="11" t="str">
        <f ca="1">VLOOKUP(K231,'1220 IDECUT'!$K$13:$AK$48,25,0)</f>
        <v>Convenio</v>
      </c>
      <c r="AJ231" s="11" t="str">
        <f ca="1">VLOOKUP(K231,'1220 IDECUT'!$K$13:$AK$48,26,0)</f>
        <v xml:space="preserve"> El embellecimiento del centro histórico del municipio de Sesquilé, se encuentra en proceso de ejecución; actualmente se esta evaluando la  propuesta de color con la Fundación Pintuco y  con la Empresa Energía se están determinando la propuesta de avisos para los establecimientos comerciales, con el fin deunificarlas en el espacio turístico y cultural. La evaluación de las propuestas y las decisiones se trabajan en conjunto con la comunidad, como parte fundamental en la determinación de Pueblo Dorado.
Adicionalmente, se encuentra en proceso la firma del convenio con el municipio de Tena para el embellecimiento del centro históric, el cual tiene como objetivo  arreglar fachadas y mejorar los espacios públicos de la zona.
Adicionalmente, se firmó convenio con PINTUCO para embellecer los centros historicos de municipios que hacen parte del proyecto pueblos dorados.</v>
      </c>
      <c r="AK231" s="11">
        <f ca="1">VLOOKUP(K231,'1220 IDECUT'!$K$13:$AK$48,27,0)</f>
        <v>0</v>
      </c>
      <c r="AL231" s="11">
        <v>4</v>
      </c>
      <c r="AM231" s="11">
        <v>0</v>
      </c>
      <c r="AN231" s="11">
        <v>3</v>
      </c>
      <c r="AO231" s="11">
        <v>0</v>
      </c>
      <c r="AP231" s="11">
        <v>0</v>
      </c>
      <c r="AQ231" s="11">
        <v>0</v>
      </c>
      <c r="AR231" s="52"/>
      <c r="AS231" s="54">
        <v>0</v>
      </c>
      <c r="AT231" s="54">
        <f t="shared" si="361"/>
        <v>0</v>
      </c>
      <c r="AU231" s="52"/>
      <c r="AV231" s="89">
        <v>210000000</v>
      </c>
      <c r="AW231" s="89"/>
      <c r="AX231" s="89"/>
      <c r="AY231" s="89">
        <v>210000000</v>
      </c>
      <c r="AZ231" s="44">
        <f t="shared" ca="1" si="408"/>
        <v>0.1</v>
      </c>
      <c r="BA231" s="44">
        <v>0</v>
      </c>
      <c r="BB231" s="44" t="s">
        <v>115</v>
      </c>
      <c r="BC231" s="44">
        <f t="shared" si="409"/>
        <v>0.3</v>
      </c>
      <c r="BD231" s="44" cm="1">
        <f t="array" aca="1" ref="BD231" ca="1">_xlfn.IFS(AD231=0,"NA",AD231&gt;0,AH231/AD231)</f>
        <v>0.33333333333333331</v>
      </c>
      <c r="BE231" s="44">
        <f t="shared" si="410"/>
        <v>0.4</v>
      </c>
      <c r="BF231" s="44">
        <v>0</v>
      </c>
      <c r="BG231" s="44">
        <f t="shared" si="411"/>
        <v>0.3</v>
      </c>
      <c r="BH231" s="44">
        <v>0</v>
      </c>
      <c r="BI231" s="44">
        <f t="shared" si="412"/>
        <v>0</v>
      </c>
      <c r="BJ231" s="44" t="s">
        <v>115</v>
      </c>
      <c r="BK231" s="44">
        <f t="shared" ca="1" si="362"/>
        <v>0.1</v>
      </c>
      <c r="BL231" s="44" t="s">
        <v>115</v>
      </c>
      <c r="BM231" s="44" cm="1">
        <f t="array" aca="1" ref="BM231" ca="1">_xlfn.IFS(BD231="NA","NA",BD231&gt;100%,"100%",BD231&lt;100,BD231)</f>
        <v>0.33333333333333331</v>
      </c>
      <c r="BN231" s="44" cm="1">
        <f t="array" ref="BN231">_xlfn.IFS(BF231="NA","NA",BF231&gt;100%,"100%",BF231&lt;100,BF231)</f>
        <v>0</v>
      </c>
      <c r="BO231" s="44" cm="1">
        <f t="array" ref="BO231">_xlfn.IFS(BH231="NA","NA",BH231&gt;100%,"100%",BH231&lt;100,BH231)</f>
        <v>0</v>
      </c>
      <c r="BP231" s="44" t="str" cm="1">
        <f t="array" ref="BP231">_xlfn.IFS(BJ231="NA","NA",BJ231&gt;100%,"100%",BJ231&lt;100,BJ231)</f>
        <v>NA</v>
      </c>
      <c r="BQ231" s="45">
        <v>0.22500000000000001</v>
      </c>
      <c r="BR231" s="45">
        <f t="shared" ca="1" si="372"/>
        <v>2.2500000000000003E-2</v>
      </c>
      <c r="BS231" s="45">
        <v>0</v>
      </c>
      <c r="BT231" s="45" t="s">
        <v>115</v>
      </c>
      <c r="BU231" s="45">
        <v>0</v>
      </c>
      <c r="BV231" s="45">
        <f t="shared" si="413"/>
        <v>6.7500000000000004E-2</v>
      </c>
      <c r="BW231" s="45">
        <f t="shared" ca="1" si="392"/>
        <v>2.2499999999999999E-2</v>
      </c>
      <c r="BX231" s="45">
        <f t="shared" ca="1" si="393"/>
        <v>2.2500000000000003E-2</v>
      </c>
      <c r="BY231" s="45">
        <f t="shared" si="414"/>
        <v>0.09</v>
      </c>
      <c r="BZ231" s="45">
        <f t="shared" si="415"/>
        <v>0</v>
      </c>
      <c r="CA231" s="45">
        <f t="shared" ca="1" si="373"/>
        <v>0</v>
      </c>
      <c r="CB231" s="45">
        <f t="shared" si="416"/>
        <v>6.7500000000000004E-2</v>
      </c>
      <c r="CC231" s="45">
        <f t="shared" si="417"/>
        <v>0</v>
      </c>
      <c r="CD231" s="45">
        <v>0</v>
      </c>
      <c r="CE231" s="45">
        <f t="shared" si="418"/>
        <v>0</v>
      </c>
      <c r="CF231" s="45" t="str">
        <f t="shared" si="419"/>
        <v>NA</v>
      </c>
      <c r="CG231" s="45">
        <v>0</v>
      </c>
      <c r="CH231" s="244"/>
      <c r="CI231" s="244"/>
      <c r="CJ231" s="244"/>
      <c r="CK231" s="244"/>
      <c r="CM231" s="63">
        <v>0</v>
      </c>
    </row>
    <row r="232" spans="1:261" ht="18" hidden="1" customHeight="1">
      <c r="A232" s="260" t="s">
        <v>1296</v>
      </c>
      <c r="B232" s="260" t="s">
        <v>1297</v>
      </c>
      <c r="C232" s="260" t="s">
        <v>1286</v>
      </c>
      <c r="D232" s="260" t="s">
        <v>1496</v>
      </c>
      <c r="E232" s="260" t="s">
        <v>1561</v>
      </c>
      <c r="F232" s="260" t="s">
        <v>1562</v>
      </c>
      <c r="G232" s="260" t="s">
        <v>1563</v>
      </c>
      <c r="H232" s="260" t="s">
        <v>1568</v>
      </c>
      <c r="I232" s="260"/>
      <c r="J232" s="260"/>
      <c r="K232" s="260" t="s">
        <v>1569</v>
      </c>
      <c r="L232" s="260" t="s">
        <v>1570</v>
      </c>
      <c r="M232" s="68" t="s">
        <v>1571</v>
      </c>
      <c r="N232" s="260" t="s">
        <v>111</v>
      </c>
      <c r="O232" s="260" t="s">
        <v>112</v>
      </c>
      <c r="P232" s="10">
        <v>15</v>
      </c>
      <c r="Q232" s="11">
        <v>100</v>
      </c>
      <c r="R232" s="11">
        <f t="shared" si="406"/>
        <v>0</v>
      </c>
      <c r="S232" s="11">
        <f>VLOOKUP(K232,'1290 ACIC'!$K$13:$AK$51,9,0)</f>
        <v>0</v>
      </c>
      <c r="T232" s="11">
        <v>8</v>
      </c>
      <c r="U232" s="11">
        <v>0</v>
      </c>
      <c r="V232" s="11">
        <v>0</v>
      </c>
      <c r="W232" s="11">
        <v>0</v>
      </c>
      <c r="X232" s="11">
        <v>0</v>
      </c>
      <c r="Y232" s="11">
        <v>0</v>
      </c>
      <c r="Z232" s="11">
        <v>0</v>
      </c>
      <c r="AA232" s="11"/>
      <c r="AB232" s="11"/>
      <c r="AC232" s="11"/>
      <c r="AD232" s="11">
        <v>34</v>
      </c>
      <c r="AE232" s="11">
        <v>0</v>
      </c>
      <c r="AF232" s="11">
        <f>VLOOKUP(K232,'1290 ACIC'!$K$13:$AK$51,22,0)</f>
        <v>0</v>
      </c>
      <c r="AG232" s="11">
        <f>VLOOKUP(K232,'1290 ACIC'!$K$13:$AK$51,23,0)</f>
        <v>0</v>
      </c>
      <c r="AH232" s="11">
        <f t="shared" si="407"/>
        <v>0</v>
      </c>
      <c r="AI232" s="11" t="str">
        <f>VLOOKUP(K232,'1290 ACIC'!$K$13:$AK$51,25,0)</f>
        <v>se celebro proceso contractual y precontractual con FONDECUN, para lograr un 20% y pendiente de ejecucion: celebracion de contrato derivado de ejecucion de obras con 39 municipios , para 80% de logro  de la meta</v>
      </c>
      <c r="AJ232" s="11">
        <f>VLOOKUP(K232,'1290 ACIC'!$K$13:$AK$51,26,0)</f>
        <v>0</v>
      </c>
      <c r="AK232" s="11">
        <f>VLOOKUP(K232,'1290 ACIC'!$K$13:$AK$51,27,0)</f>
        <v>0</v>
      </c>
      <c r="AL232" s="11">
        <v>50</v>
      </c>
      <c r="AM232" s="11">
        <v>0</v>
      </c>
      <c r="AN232" s="11">
        <v>16</v>
      </c>
      <c r="AO232" s="11">
        <v>0</v>
      </c>
      <c r="AP232" s="11">
        <v>0</v>
      </c>
      <c r="AQ232" s="11">
        <v>0</v>
      </c>
      <c r="AR232" s="52"/>
      <c r="AS232" s="54">
        <v>0</v>
      </c>
      <c r="AT232" s="54">
        <f t="shared" si="361"/>
        <v>0</v>
      </c>
      <c r="AU232" s="52"/>
      <c r="AV232" s="243">
        <v>2000000000</v>
      </c>
      <c r="AW232" s="244"/>
      <c r="AX232" s="244"/>
      <c r="AY232" s="243">
        <v>1998568948</v>
      </c>
      <c r="AZ232" s="44">
        <f t="shared" si="408"/>
        <v>0</v>
      </c>
      <c r="BA232" s="44">
        <v>0</v>
      </c>
      <c r="BB232" s="44" t="s">
        <v>115</v>
      </c>
      <c r="BC232" s="44">
        <f t="shared" si="409"/>
        <v>0.34</v>
      </c>
      <c r="BD232" s="44" cm="1">
        <f t="array" ref="BD232">_xlfn.IFS(AD232=0,"NA",AD232&gt;0,AH232/AD232)</f>
        <v>0</v>
      </c>
      <c r="BE232" s="44">
        <f t="shared" si="410"/>
        <v>0.5</v>
      </c>
      <c r="BF232" s="44">
        <v>0</v>
      </c>
      <c r="BG232" s="44">
        <f t="shared" si="411"/>
        <v>0.16</v>
      </c>
      <c r="BH232" s="44">
        <v>0</v>
      </c>
      <c r="BI232" s="44">
        <f t="shared" si="412"/>
        <v>0</v>
      </c>
      <c r="BJ232" s="44" t="s">
        <v>115</v>
      </c>
      <c r="BK232" s="44">
        <f t="shared" si="362"/>
        <v>0</v>
      </c>
      <c r="BL232" s="44" t="s">
        <v>115</v>
      </c>
      <c r="BM232" s="44" cm="1">
        <f t="array" ref="BM232">_xlfn.IFS(BD232="NA","NA",BD232&gt;100%,"100%",BD232&lt;100,BD232)</f>
        <v>0</v>
      </c>
      <c r="BN232" s="44" cm="1">
        <f t="array" ref="BN232">_xlfn.IFS(BF232="NA","NA",BF232&gt;100%,"100%",BF232&lt;100,BF232)</f>
        <v>0</v>
      </c>
      <c r="BO232" s="44" cm="1">
        <f t="array" ref="BO232">_xlfn.IFS(BH232="NA","NA",BH232&gt;100%,"100%",BH232&lt;100,BH232)</f>
        <v>0</v>
      </c>
      <c r="BP232" s="44" t="str" cm="1">
        <f t="array" ref="BP232">_xlfn.IFS(BJ232="NA","NA",BJ232&gt;100%,"100%",BJ232&lt;100,BJ232)</f>
        <v>NA</v>
      </c>
      <c r="BQ232" s="45">
        <v>0.22500000000000001</v>
      </c>
      <c r="BR232" s="45">
        <f t="shared" si="372"/>
        <v>0</v>
      </c>
      <c r="BS232" s="45">
        <v>0</v>
      </c>
      <c r="BT232" s="45" t="s">
        <v>115</v>
      </c>
      <c r="BU232" s="45">
        <v>0</v>
      </c>
      <c r="BV232" s="45">
        <f t="shared" si="413"/>
        <v>7.6499999999999999E-2</v>
      </c>
      <c r="BW232" s="45">
        <f t="shared" si="392"/>
        <v>0</v>
      </c>
      <c r="BX232" s="45">
        <f t="shared" si="393"/>
        <v>0</v>
      </c>
      <c r="BY232" s="45">
        <f t="shared" si="414"/>
        <v>0.1125</v>
      </c>
      <c r="BZ232" s="45">
        <f t="shared" si="415"/>
        <v>0</v>
      </c>
      <c r="CA232" s="45">
        <f t="shared" si="373"/>
        <v>0</v>
      </c>
      <c r="CB232" s="45">
        <f t="shared" si="416"/>
        <v>3.6000000000000004E-2</v>
      </c>
      <c r="CC232" s="45">
        <f t="shared" si="417"/>
        <v>0</v>
      </c>
      <c r="CD232" s="45">
        <v>0</v>
      </c>
      <c r="CE232" s="45">
        <f t="shared" si="418"/>
        <v>0</v>
      </c>
      <c r="CF232" s="45" t="str">
        <f t="shared" si="419"/>
        <v>NA</v>
      </c>
      <c r="CG232" s="45">
        <v>0</v>
      </c>
      <c r="CH232" s="244"/>
      <c r="CI232" s="244"/>
      <c r="CJ232" s="244"/>
      <c r="CK232" s="244"/>
      <c r="CM232" s="63">
        <v>0</v>
      </c>
    </row>
    <row r="233" spans="1:261" ht="18" hidden="1" customHeight="1">
      <c r="A233" s="260" t="s">
        <v>1296</v>
      </c>
      <c r="B233" s="260" t="s">
        <v>1297</v>
      </c>
      <c r="C233" s="260" t="s">
        <v>1286</v>
      </c>
      <c r="D233" s="260" t="s">
        <v>1496</v>
      </c>
      <c r="E233" s="260" t="s">
        <v>1561</v>
      </c>
      <c r="F233" s="260" t="s">
        <v>1562</v>
      </c>
      <c r="G233" s="260" t="s">
        <v>1563</v>
      </c>
      <c r="H233" s="260" t="s">
        <v>1572</v>
      </c>
      <c r="I233" s="260"/>
      <c r="J233" s="260"/>
      <c r="K233" s="260" t="s">
        <v>1573</v>
      </c>
      <c r="L233" s="260" t="s">
        <v>1574</v>
      </c>
      <c r="M233" s="211" t="s">
        <v>1575</v>
      </c>
      <c r="N233" s="260" t="s">
        <v>111</v>
      </c>
      <c r="O233" s="260" t="s">
        <v>112</v>
      </c>
      <c r="P233" s="10">
        <v>0</v>
      </c>
      <c r="Q233" s="11">
        <v>30</v>
      </c>
      <c r="R233" s="11">
        <f t="shared" si="406"/>
        <v>3</v>
      </c>
      <c r="S233" s="11">
        <f>VLOOKUP(K233,'1290 ACIC'!$K$13:$AK$51,9,0)</f>
        <v>0</v>
      </c>
      <c r="T233" s="11">
        <v>8</v>
      </c>
      <c r="U233" s="11">
        <v>0</v>
      </c>
      <c r="V233" s="11">
        <v>4</v>
      </c>
      <c r="W233" s="11">
        <v>0</v>
      </c>
      <c r="X233" s="11">
        <v>3</v>
      </c>
      <c r="Y233" s="11">
        <v>0</v>
      </c>
      <c r="Z233" s="11">
        <v>3</v>
      </c>
      <c r="AA233" s="11" t="s">
        <v>1576</v>
      </c>
      <c r="AB233" s="11" t="s">
        <v>1577</v>
      </c>
      <c r="AC233" s="11" t="s">
        <v>1578</v>
      </c>
      <c r="AD233" s="11">
        <v>2</v>
      </c>
      <c r="AE233" s="11">
        <v>0</v>
      </c>
      <c r="AF233" s="11">
        <f>VLOOKUP(K233,'1290 ACIC'!$K$13:$AK$51,22,0)</f>
        <v>0</v>
      </c>
      <c r="AG233" s="11">
        <f>VLOOKUP(K233,'1290 ACIC'!$K$13:$AK$51,23,0)</f>
        <v>0</v>
      </c>
      <c r="AH233" s="11">
        <f t="shared" si="407"/>
        <v>0</v>
      </c>
      <c r="AI233" s="11" t="str">
        <f>VLOOKUP(K233,'1290 ACIC'!$K$13:$AK$51,25,0)</f>
        <v>Construcción  plaza de mercado municipio de Choachí con ejecución del 44%, adecuación centro comercial plaza de mercado en el municipio de Ubaté se encuentra en el 1%, mejoramiento y construcción fase 2 plaza de mercado municipio de Tocaima 1%.</v>
      </c>
      <c r="AJ233" s="11">
        <f>VLOOKUP(K233,'1290 ACIC'!$K$13:$AK$51,26,0)</f>
        <v>0</v>
      </c>
      <c r="AK233" s="11">
        <f>VLOOKUP(K233,'1290 ACIC'!$K$13:$AK$51,27,0)</f>
        <v>0</v>
      </c>
      <c r="AL233" s="11">
        <v>23</v>
      </c>
      <c r="AM233" s="11">
        <v>0</v>
      </c>
      <c r="AN233" s="11">
        <v>2</v>
      </c>
      <c r="AO233" s="11">
        <v>0</v>
      </c>
      <c r="AP233" s="11">
        <v>0</v>
      </c>
      <c r="AQ233" s="11">
        <v>0</v>
      </c>
      <c r="AR233" s="51">
        <v>3763750000</v>
      </c>
      <c r="AS233" s="54">
        <v>4236250000</v>
      </c>
      <c r="AT233" s="54">
        <f t="shared" si="361"/>
        <v>8000000000</v>
      </c>
      <c r="AU233" s="51">
        <v>3763750000</v>
      </c>
      <c r="AV233" s="243">
        <v>4893800000</v>
      </c>
      <c r="AW233" s="244"/>
      <c r="AX233" s="244"/>
      <c r="AY233" s="243">
        <v>3358056333</v>
      </c>
      <c r="AZ233" s="44">
        <f t="shared" si="408"/>
        <v>0.1</v>
      </c>
      <c r="BA233" s="44">
        <v>0.2</v>
      </c>
      <c r="BB233" s="44">
        <v>0.75</v>
      </c>
      <c r="BC233" s="44">
        <f t="shared" si="409"/>
        <v>6.6666666666666666E-2</v>
      </c>
      <c r="BD233" s="44" cm="1">
        <f t="array" ref="BD233">_xlfn.IFS(AD233=0,"NA",AD233&gt;0,AH233/AD233)</f>
        <v>0</v>
      </c>
      <c r="BE233" s="44">
        <f t="shared" si="410"/>
        <v>0.76666666666666672</v>
      </c>
      <c r="BF233" s="44">
        <v>0</v>
      </c>
      <c r="BG233" s="44">
        <f t="shared" si="411"/>
        <v>6.6666666666666666E-2</v>
      </c>
      <c r="BH233" s="44">
        <v>0</v>
      </c>
      <c r="BI233" s="44">
        <f t="shared" si="412"/>
        <v>0</v>
      </c>
      <c r="BJ233" s="44" t="s">
        <v>115</v>
      </c>
      <c r="BK233" s="44">
        <f t="shared" si="362"/>
        <v>0.1</v>
      </c>
      <c r="BL233" s="44">
        <v>0.75</v>
      </c>
      <c r="BM233" s="44" cm="1">
        <f t="array" ref="BM233">_xlfn.IFS(BD233="NA","NA",BD233&gt;100%,"100%",BD233&lt;100,BD233)</f>
        <v>0</v>
      </c>
      <c r="BN233" s="44" cm="1">
        <f t="array" ref="BN233">_xlfn.IFS(BF233="NA","NA",BF233&gt;100%,"100%",BF233&lt;100,BF233)</f>
        <v>0</v>
      </c>
      <c r="BO233" s="44" cm="1">
        <f t="array" ref="BO233">_xlfn.IFS(BH233="NA","NA",BH233&gt;100%,"100%",BH233&lt;100,BH233)</f>
        <v>0</v>
      </c>
      <c r="BP233" s="44" t="str" cm="1">
        <f t="array" ref="BP233">_xlfn.IFS(BJ233="NA","NA",BJ233&gt;100%,"100%",BJ233&lt;100,BJ233)</f>
        <v>NA</v>
      </c>
      <c r="BQ233" s="45">
        <v>0.22500000000000001</v>
      </c>
      <c r="BR233" s="45">
        <f t="shared" si="372"/>
        <v>2.2500000000000003E-2</v>
      </c>
      <c r="BS233" s="45">
        <v>0.03</v>
      </c>
      <c r="BT233" s="45">
        <v>2.2499999999999999E-2</v>
      </c>
      <c r="BU233" s="45">
        <v>2.2499999999999999E-2</v>
      </c>
      <c r="BV233" s="45">
        <f t="shared" si="413"/>
        <v>1.5000000000000001E-2</v>
      </c>
      <c r="BW233" s="45">
        <f t="shared" si="392"/>
        <v>0</v>
      </c>
      <c r="BX233" s="45">
        <f t="shared" si="393"/>
        <v>0</v>
      </c>
      <c r="BY233" s="45">
        <f t="shared" si="414"/>
        <v>0.17249999999999999</v>
      </c>
      <c r="BZ233" s="45">
        <f t="shared" si="415"/>
        <v>0</v>
      </c>
      <c r="CA233" s="45">
        <f t="shared" si="373"/>
        <v>3.4694469519536142E-18</v>
      </c>
      <c r="CB233" s="45">
        <f t="shared" si="416"/>
        <v>1.5000000000000001E-2</v>
      </c>
      <c r="CC233" s="45">
        <f t="shared" si="417"/>
        <v>0</v>
      </c>
      <c r="CD233" s="45">
        <v>0</v>
      </c>
      <c r="CE233" s="45">
        <f t="shared" si="418"/>
        <v>0</v>
      </c>
      <c r="CF233" s="45" t="str">
        <f t="shared" si="419"/>
        <v>NA</v>
      </c>
      <c r="CG233" s="45">
        <v>0</v>
      </c>
      <c r="CH233" s="244"/>
      <c r="CI233" s="244"/>
      <c r="CJ233" s="244"/>
      <c r="CK233" s="244"/>
      <c r="CM233" s="63">
        <v>3</v>
      </c>
    </row>
    <row r="234" spans="1:261" ht="18" hidden="1" customHeight="1">
      <c r="A234" s="260" t="s">
        <v>1361</v>
      </c>
      <c r="B234" s="260" t="s">
        <v>1362</v>
      </c>
      <c r="C234" s="260" t="s">
        <v>1286</v>
      </c>
      <c r="D234" s="260" t="s">
        <v>1496</v>
      </c>
      <c r="E234" s="260" t="s">
        <v>1561</v>
      </c>
      <c r="F234" s="260" t="s">
        <v>1562</v>
      </c>
      <c r="G234" s="260" t="s">
        <v>1563</v>
      </c>
      <c r="H234" s="260" t="s">
        <v>1579</v>
      </c>
      <c r="I234" s="260"/>
      <c r="J234" s="260"/>
      <c r="K234" s="260" t="s">
        <v>1580</v>
      </c>
      <c r="L234" s="260" t="s">
        <v>1581</v>
      </c>
      <c r="M234" s="260" t="s">
        <v>1582</v>
      </c>
      <c r="N234" s="260" t="s">
        <v>111</v>
      </c>
      <c r="O234" s="260" t="s">
        <v>112</v>
      </c>
      <c r="P234" s="10">
        <v>0</v>
      </c>
      <c r="Q234" s="11">
        <v>1</v>
      </c>
      <c r="R234" s="11">
        <f t="shared" si="406"/>
        <v>0.2</v>
      </c>
      <c r="S234" s="11" t="str">
        <f>VLOOKUP(K234,'1132 Minas'!$K$13:$AK$20,9,0)</f>
        <v>Estudios y diseños del centro de formación minero energético. Mediante resolución No. 40137 del 30 de abril de 2021 el Ministerio de Minas y Energía adjudica recursos para la construcción del Centro minero energético de Cundinamarca</v>
      </c>
      <c r="T234" s="11">
        <v>0</v>
      </c>
      <c r="U234" s="11">
        <v>0</v>
      </c>
      <c r="V234" s="11">
        <v>0</v>
      </c>
      <c r="W234" s="11">
        <v>0</v>
      </c>
      <c r="X234" s="11">
        <v>0</v>
      </c>
      <c r="Y234" s="11">
        <v>0</v>
      </c>
      <c r="Z234" s="11">
        <v>0</v>
      </c>
      <c r="AA234" s="11"/>
      <c r="AB234" s="11"/>
      <c r="AC234" s="11"/>
      <c r="AD234" s="11">
        <v>0.2</v>
      </c>
      <c r="AE234" s="11">
        <v>0</v>
      </c>
      <c r="AF234" s="11">
        <f>VLOOKUP(K234,'1132 Minas'!$K$13:$AK$20,22,0)</f>
        <v>0.2</v>
      </c>
      <c r="AG234" s="11">
        <f>VLOOKUP(K234,'1132 Minas'!$K$13:$AK$20,23,0)</f>
        <v>0</v>
      </c>
      <c r="AH234" s="11">
        <f t="shared" si="407"/>
        <v>0.2</v>
      </c>
      <c r="AI234" s="11" t="str">
        <f>VLOOKUP(K234,'1132 Minas'!$K$13:$AK$20,25,0)</f>
        <v>Estudios y diseños del centro de formación minero energético</v>
      </c>
      <c r="AJ234" s="11" t="str">
        <f>VLOOKUP(K234,'1132 Minas'!$K$13:$AK$20,26,0)</f>
        <v>Estudios y diseños del centro de formación minero energético</v>
      </c>
      <c r="AK234" s="11" t="str">
        <f>VLOOKUP(K234,'1132 Minas'!$K$13:$AK$20,27,0)</f>
        <v>Demoras en las entregas de los resultados por observaciones de la Sec de Planeación para ser aprobado.</v>
      </c>
      <c r="AL234" s="11">
        <v>0.8</v>
      </c>
      <c r="AM234" s="11">
        <v>0</v>
      </c>
      <c r="AN234" s="11">
        <v>0</v>
      </c>
      <c r="AO234" s="11">
        <v>0</v>
      </c>
      <c r="AP234" s="11">
        <v>0</v>
      </c>
      <c r="AQ234" s="11">
        <v>0</v>
      </c>
      <c r="AR234" s="51">
        <v>600000000</v>
      </c>
      <c r="AS234" s="54">
        <v>0</v>
      </c>
      <c r="AT234" s="54">
        <f t="shared" si="361"/>
        <v>600000000</v>
      </c>
      <c r="AU234" s="51">
        <v>600000000</v>
      </c>
      <c r="AV234" s="243">
        <v>420000000</v>
      </c>
      <c r="AW234" s="244"/>
      <c r="AX234" s="244"/>
      <c r="AY234" s="243">
        <v>419999008</v>
      </c>
      <c r="AZ234" s="44">
        <f t="shared" si="408"/>
        <v>0.2</v>
      </c>
      <c r="BA234" s="44">
        <v>0</v>
      </c>
      <c r="BB234" s="44" t="s">
        <v>115</v>
      </c>
      <c r="BC234" s="44">
        <f t="shared" si="409"/>
        <v>0.2</v>
      </c>
      <c r="BD234" s="44" cm="1">
        <f t="array" ref="BD234">_xlfn.IFS(AD234=0,"NA",AD234&gt;0,AH234/AD234)</f>
        <v>1</v>
      </c>
      <c r="BE234" s="44">
        <f t="shared" si="410"/>
        <v>0.8</v>
      </c>
      <c r="BF234" s="44">
        <v>0</v>
      </c>
      <c r="BG234" s="44">
        <f t="shared" si="411"/>
        <v>0</v>
      </c>
      <c r="BH234" s="44">
        <v>0</v>
      </c>
      <c r="BI234" s="44">
        <f t="shared" si="412"/>
        <v>0</v>
      </c>
      <c r="BJ234" s="44" t="s">
        <v>115</v>
      </c>
      <c r="BK234" s="44">
        <f t="shared" si="362"/>
        <v>0.2</v>
      </c>
      <c r="BL234" s="44" t="s">
        <v>115</v>
      </c>
      <c r="BM234" s="44" cm="1">
        <f t="array" ref="BM234">_xlfn.IFS(BD234="NA","NA",BD234&gt;100%,"100%",BD234&lt;100,BD234)</f>
        <v>1</v>
      </c>
      <c r="BN234" s="44" cm="1">
        <f t="array" ref="BN234">_xlfn.IFS(BF234="NA","NA",BF234&gt;100%,"100%",BF234&lt;100,BF234)</f>
        <v>0</v>
      </c>
      <c r="BO234" s="44" cm="1">
        <f t="array" ref="BO234">_xlfn.IFS(BH234="NA","NA",BH234&gt;100%,"100%",BH234&lt;100,BH234)</f>
        <v>0</v>
      </c>
      <c r="BP234" s="44" t="str" cm="1">
        <f t="array" ref="BP234">_xlfn.IFS(BJ234="NA","NA",BJ234&gt;100%,"100%",BJ234&lt;100,BJ234)</f>
        <v>NA</v>
      </c>
      <c r="BQ234" s="45">
        <v>0.22500000000000001</v>
      </c>
      <c r="BR234" s="45">
        <f t="shared" si="372"/>
        <v>4.5000000000000005E-2</v>
      </c>
      <c r="BS234" s="45">
        <v>0</v>
      </c>
      <c r="BT234" s="45" t="s">
        <v>115</v>
      </c>
      <c r="BU234" s="45">
        <v>0</v>
      </c>
      <c r="BV234" s="45">
        <f t="shared" si="413"/>
        <v>4.5000000000000005E-2</v>
      </c>
      <c r="BW234" s="45">
        <f t="shared" si="392"/>
        <v>4.5000000000000005E-2</v>
      </c>
      <c r="BX234" s="45">
        <f t="shared" si="393"/>
        <v>4.5000000000000005E-2</v>
      </c>
      <c r="BY234" s="45">
        <f t="shared" si="414"/>
        <v>0.18000000000000002</v>
      </c>
      <c r="BZ234" s="45">
        <f t="shared" si="415"/>
        <v>0</v>
      </c>
      <c r="CA234" s="45">
        <f t="shared" si="373"/>
        <v>0</v>
      </c>
      <c r="CB234" s="45">
        <f t="shared" si="416"/>
        <v>0</v>
      </c>
      <c r="CC234" s="45">
        <f t="shared" si="417"/>
        <v>0</v>
      </c>
      <c r="CD234" s="45">
        <v>0</v>
      </c>
      <c r="CE234" s="45">
        <f t="shared" si="418"/>
        <v>0</v>
      </c>
      <c r="CF234" s="45" t="str">
        <f t="shared" si="419"/>
        <v>NA</v>
      </c>
      <c r="CG234" s="45">
        <v>0</v>
      </c>
      <c r="CH234" s="244"/>
      <c r="CI234" s="244"/>
      <c r="CJ234" s="244"/>
      <c r="CK234" s="244"/>
      <c r="CM234" s="63">
        <v>0.2</v>
      </c>
    </row>
    <row r="235" spans="1:261" ht="18" hidden="1" customHeight="1">
      <c r="A235" s="260" t="s">
        <v>1361</v>
      </c>
      <c r="B235" s="260" t="s">
        <v>1362</v>
      </c>
      <c r="C235" s="260" t="s">
        <v>1286</v>
      </c>
      <c r="D235" s="260" t="s">
        <v>1496</v>
      </c>
      <c r="E235" s="260" t="s">
        <v>1583</v>
      </c>
      <c r="F235" s="260" t="s">
        <v>1584</v>
      </c>
      <c r="G235" s="260" t="s">
        <v>1585</v>
      </c>
      <c r="H235" s="260" t="s">
        <v>1586</v>
      </c>
      <c r="I235" s="260"/>
      <c r="J235" s="260"/>
      <c r="K235" s="260" t="s">
        <v>1587</v>
      </c>
      <c r="L235" s="260" t="s">
        <v>1588</v>
      </c>
      <c r="M235" s="260" t="s">
        <v>1589</v>
      </c>
      <c r="N235" s="260" t="s">
        <v>111</v>
      </c>
      <c r="O235" s="260" t="s">
        <v>112</v>
      </c>
      <c r="P235" s="10">
        <v>885722</v>
      </c>
      <c r="Q235" s="11">
        <v>1000</v>
      </c>
      <c r="R235" s="11">
        <f t="shared" si="406"/>
        <v>474</v>
      </c>
      <c r="S235" s="11" t="str">
        <f>VLOOKUP(K235,'1132 Minas'!$K$13:$AK$20,9,0)</f>
        <v>474 viviendas conectadas al servicio de energía eléctrica en zona rural del departamento.</v>
      </c>
      <c r="T235" s="11">
        <v>50</v>
      </c>
      <c r="U235" s="11">
        <v>0</v>
      </c>
      <c r="V235" s="11">
        <v>300</v>
      </c>
      <c r="W235" s="11">
        <v>0</v>
      </c>
      <c r="X235" s="11">
        <v>300</v>
      </c>
      <c r="Y235" s="11">
        <v>0</v>
      </c>
      <c r="Z235" s="11">
        <v>300</v>
      </c>
      <c r="AA235" s="11" t="s">
        <v>1590</v>
      </c>
      <c r="AB235" s="11" t="s">
        <v>1591</v>
      </c>
      <c r="AC235" s="11" t="s">
        <v>1592</v>
      </c>
      <c r="AD235" s="11">
        <v>300</v>
      </c>
      <c r="AE235" s="11">
        <v>0</v>
      </c>
      <c r="AF235" s="11">
        <f>VLOOKUP(K235,'1132 Minas'!$K$13:$AK$20,22,0)</f>
        <v>174</v>
      </c>
      <c r="AG235" s="11">
        <f>VLOOKUP(K235,'1132 Minas'!$K$13:$AK$20,23,0)</f>
        <v>0</v>
      </c>
      <c r="AH235" s="11">
        <f t="shared" si="407"/>
        <v>174</v>
      </c>
      <c r="AI235" s="11" t="str">
        <f>VLOOKUP(K235,'1132 Minas'!$K$13:$AK$20,25,0)</f>
        <v>Viviendas conectadas al servicio de energía</v>
      </c>
      <c r="AJ235" s="11" t="str">
        <f>VLOOKUP(K235,'1132 Minas'!$K$13:$AK$20,26,0)</f>
        <v>174 viviendas conectadas al servicio de energía eléctrica.</v>
      </c>
      <c r="AK235" s="11" t="str">
        <f>VLOOKUP(K235,'1132 Minas'!$K$13:$AK$20,27,0)</f>
        <v>Tiempo de ejecución demorado.</v>
      </c>
      <c r="AL235" s="11">
        <v>300</v>
      </c>
      <c r="AM235" s="11">
        <v>0</v>
      </c>
      <c r="AN235" s="11">
        <v>100</v>
      </c>
      <c r="AO235" s="11">
        <v>0</v>
      </c>
      <c r="AP235" s="11">
        <v>0</v>
      </c>
      <c r="AQ235" s="11">
        <v>0</v>
      </c>
      <c r="AR235" s="51">
        <v>2958832241</v>
      </c>
      <c r="AS235" s="54">
        <v>0</v>
      </c>
      <c r="AT235" s="54">
        <f t="shared" si="361"/>
        <v>2958832241</v>
      </c>
      <c r="AU235" s="51">
        <v>300833190</v>
      </c>
      <c r="AV235" s="243">
        <v>985642833</v>
      </c>
      <c r="AW235" s="244"/>
      <c r="AX235" s="244"/>
      <c r="AY235" s="243">
        <v>888334114</v>
      </c>
      <c r="AZ235" s="44">
        <f t="shared" si="408"/>
        <v>0.47399999999999998</v>
      </c>
      <c r="BA235" s="44">
        <v>0.3</v>
      </c>
      <c r="BB235" s="44">
        <v>1</v>
      </c>
      <c r="BC235" s="44">
        <f t="shared" si="409"/>
        <v>0.3</v>
      </c>
      <c r="BD235" s="44" cm="1">
        <f t="array" ref="BD235">_xlfn.IFS(AD235=0,"NA",AD235&gt;0,AH235/AD235)</f>
        <v>0.57999999999999996</v>
      </c>
      <c r="BE235" s="44">
        <f t="shared" si="410"/>
        <v>0.3</v>
      </c>
      <c r="BF235" s="44">
        <v>0</v>
      </c>
      <c r="BG235" s="44">
        <f t="shared" si="411"/>
        <v>0.1</v>
      </c>
      <c r="BH235" s="44">
        <v>0</v>
      </c>
      <c r="BI235" s="44">
        <f t="shared" si="412"/>
        <v>0</v>
      </c>
      <c r="BJ235" s="44" t="s">
        <v>115</v>
      </c>
      <c r="BK235" s="44">
        <f t="shared" si="362"/>
        <v>0.47399999999999998</v>
      </c>
      <c r="BL235" s="44">
        <v>1</v>
      </c>
      <c r="BM235" s="44" cm="1">
        <f t="array" ref="BM235">_xlfn.IFS(BD235="NA","NA",BD235&gt;100%,"100%",BD235&lt;100,BD235)</f>
        <v>0.57999999999999996</v>
      </c>
      <c r="BN235" s="44" cm="1">
        <f t="array" ref="BN235">_xlfn.IFS(BF235="NA","NA",BF235&gt;100%,"100%",BF235&lt;100,BF235)</f>
        <v>0</v>
      </c>
      <c r="BO235" s="44" cm="1">
        <f t="array" ref="BO235">_xlfn.IFS(BH235="NA","NA",BH235&gt;100%,"100%",BH235&lt;100,BH235)</f>
        <v>0</v>
      </c>
      <c r="BP235" s="44" t="str" cm="1">
        <f t="array" ref="BP235">_xlfn.IFS(BJ235="NA","NA",BJ235&gt;100%,"100%",BJ235&lt;100,BJ235)</f>
        <v>NA</v>
      </c>
      <c r="BQ235" s="45">
        <v>0.22500000000000001</v>
      </c>
      <c r="BR235" s="45">
        <f t="shared" si="372"/>
        <v>0.10664999999999999</v>
      </c>
      <c r="BS235" s="45">
        <v>6.7500000000000004E-2</v>
      </c>
      <c r="BT235" s="45">
        <v>6.7500000000000004E-2</v>
      </c>
      <c r="BU235" s="45">
        <v>6.7500000000000004E-2</v>
      </c>
      <c r="BV235" s="45">
        <f t="shared" si="413"/>
        <v>6.7500000000000004E-2</v>
      </c>
      <c r="BW235" s="45">
        <f t="shared" si="392"/>
        <v>3.9149999999999997E-2</v>
      </c>
      <c r="BX235" s="45">
        <f t="shared" si="393"/>
        <v>3.914999999999999E-2</v>
      </c>
      <c r="BY235" s="45">
        <f t="shared" si="414"/>
        <v>6.7500000000000004E-2</v>
      </c>
      <c r="BZ235" s="45">
        <f t="shared" si="415"/>
        <v>0</v>
      </c>
      <c r="CA235" s="45">
        <f t="shared" si="373"/>
        <v>0</v>
      </c>
      <c r="CB235" s="45">
        <f t="shared" si="416"/>
        <v>2.2499999999999999E-2</v>
      </c>
      <c r="CC235" s="45">
        <f t="shared" si="417"/>
        <v>0</v>
      </c>
      <c r="CD235" s="45">
        <v>0</v>
      </c>
      <c r="CE235" s="45">
        <f t="shared" si="418"/>
        <v>0</v>
      </c>
      <c r="CF235" s="45" t="str">
        <f t="shared" si="419"/>
        <v>NA</v>
      </c>
      <c r="CG235" s="45">
        <v>0</v>
      </c>
      <c r="CH235" s="244"/>
      <c r="CI235" s="244"/>
      <c r="CJ235" s="244"/>
      <c r="CK235" s="244"/>
      <c r="CM235" s="63">
        <v>381</v>
      </c>
    </row>
    <row r="236" spans="1:261" ht="30.75" hidden="1" customHeight="1">
      <c r="A236" s="260" t="s">
        <v>1387</v>
      </c>
      <c r="B236" s="260" t="s">
        <v>1388</v>
      </c>
      <c r="C236" s="260" t="s">
        <v>1286</v>
      </c>
      <c r="D236" s="260" t="s">
        <v>1496</v>
      </c>
      <c r="E236" s="260" t="s">
        <v>1583</v>
      </c>
      <c r="F236" s="260" t="s">
        <v>1593</v>
      </c>
      <c r="G236" s="260" t="s">
        <v>1594</v>
      </c>
      <c r="H236" s="260" t="s">
        <v>1595</v>
      </c>
      <c r="I236" s="260"/>
      <c r="J236" s="260"/>
      <c r="K236" s="260" t="s">
        <v>1596</v>
      </c>
      <c r="L236" s="12" t="s">
        <v>1597</v>
      </c>
      <c r="M236" s="260" t="s">
        <v>140</v>
      </c>
      <c r="N236" s="260" t="s">
        <v>111</v>
      </c>
      <c r="O236" s="260" t="s">
        <v>112</v>
      </c>
      <c r="P236" s="10">
        <v>0</v>
      </c>
      <c r="Q236" s="11">
        <v>60</v>
      </c>
      <c r="R236" s="11">
        <f t="shared" si="406"/>
        <v>28</v>
      </c>
      <c r="S236" s="11">
        <f>VLOOKUP(K236,'1285 EPC'!$K$13:$AK$35,9,0)</f>
        <v>0</v>
      </c>
      <c r="T236" s="11">
        <v>20</v>
      </c>
      <c r="U236" s="11">
        <v>0</v>
      </c>
      <c r="V236" s="11">
        <v>20</v>
      </c>
      <c r="W236" s="11">
        <v>0</v>
      </c>
      <c r="X236" s="11">
        <v>20</v>
      </c>
      <c r="Y236" s="11">
        <v>0</v>
      </c>
      <c r="Z236" s="11">
        <v>20</v>
      </c>
      <c r="AA236" s="11" t="s">
        <v>1598</v>
      </c>
      <c r="AB236" s="11" t="s">
        <v>1599</v>
      </c>
      <c r="AC236" s="11">
        <v>0</v>
      </c>
      <c r="AD236" s="11">
        <v>20</v>
      </c>
      <c r="AE236" s="11">
        <v>0</v>
      </c>
      <c r="AF236" s="11">
        <f>VLOOKUP(K236,'1285 EPC'!$K$13:$AK$35,22,0)</f>
        <v>8</v>
      </c>
      <c r="AG236" s="11" t="str">
        <f>VLOOKUP(K236,'1285 EPC'!$K$13:$AK$35,23,0)</f>
        <v> </v>
      </c>
      <c r="AH236" s="11">
        <f t="shared" si="407"/>
        <v>8</v>
      </c>
      <c r="AI236" s="11" t="str">
        <f>VLOOKUP(K236,'1285 EPC'!$K$13:$AK$35,25,0)</f>
        <v>Municipios con estrategia para mejorar la eficiencia de los prestadores de servicios públicos</v>
      </c>
      <c r="AJ236" s="11" t="str">
        <f>VLOOKUP(K236,'1285 EPC'!$K$13:$AK$35,26,0)</f>
        <v>Para el proyecto de metrología y el Programa Optimización Operacional Emserfusa ESP se encuentra actualizando el componente institucional del proyecto para radicarlo al mecanismo departamental.
El plan de aseguramiento 2021 , se encuentra en proceso de viabilización con el Ministerio de Vivienda, Ciudad y Territorio, donde se tiene proyectada la programación de cada uno de los proyectos que conforman la meta.
Se ejecutaron las obras del proyecto de metrología y control operacional de pérdidas en el sistema urbano de agua potable para los municipios de  La Calera, Nimaima, Pacho y Ubaté, Anapoima, San Juan de Rio Seco, Zipaquirá y Facatativá, donde se realizó el suministro, la instalación y la puesta en marcha de medidores tipo volumétricos cuerpo de plástico, macromediddores electromagnéticos y caja para macromedidor
Para el mes de septiembre se tienen elaborados 20 diagnósticos técnico-operativos, en buenas prácticas operativas en plantas de tratamiento de agua potable a los prestadores priorizados, tambien se suscribieron los respectivos planes de acción, los cuales se encuentra en ejecución: Carmen de Carupa, Quipile, Tibirita, Apulo, Chipaque, Cachipay, Nariño, Cáqueza, Nimaima, Quebradanegra, Guatavita, San Cayetano, Lenguazaque, Pulí, Machetá, Albán, Gachalá, Sibaté, San Bernardo (Portones), Puerto Salgar</v>
      </c>
      <c r="AK236" s="11" t="str">
        <f>VLOOKUP(K236,'1285 EPC'!$K$13:$AK$35,27,0)</f>
        <v> </v>
      </c>
      <c r="AL236" s="11">
        <v>10</v>
      </c>
      <c r="AM236" s="11">
        <v>0</v>
      </c>
      <c r="AN236" s="11">
        <v>10</v>
      </c>
      <c r="AO236" s="11">
        <v>0</v>
      </c>
      <c r="AP236" s="11">
        <v>0</v>
      </c>
      <c r="AQ236" s="11">
        <v>0</v>
      </c>
      <c r="AR236" s="52"/>
      <c r="AS236" s="54">
        <v>3664399722</v>
      </c>
      <c r="AT236" s="54">
        <f t="shared" si="361"/>
        <v>3664399722</v>
      </c>
      <c r="AU236" s="52"/>
      <c r="AV236" s="243">
        <v>6606720000</v>
      </c>
      <c r="AW236" s="244"/>
      <c r="AX236" s="244"/>
      <c r="AY236" s="243">
        <v>6606720000</v>
      </c>
      <c r="AZ236" s="44">
        <f t="shared" si="408"/>
        <v>0.46666666666666667</v>
      </c>
      <c r="BA236" s="44">
        <v>0.33329999999999999</v>
      </c>
      <c r="BB236" s="44">
        <v>1</v>
      </c>
      <c r="BC236" s="44">
        <f t="shared" si="409"/>
        <v>0.33333333333333331</v>
      </c>
      <c r="BD236" s="44" cm="1">
        <f t="array" ref="BD236">_xlfn.IFS(AD236=0,"NA",AD236&gt;0,AH236/AD236)</f>
        <v>0.4</v>
      </c>
      <c r="BE236" s="44">
        <f t="shared" si="410"/>
        <v>0.16666666666666666</v>
      </c>
      <c r="BF236" s="44">
        <v>0</v>
      </c>
      <c r="BG236" s="44">
        <f t="shared" si="411"/>
        <v>0.16666666666666666</v>
      </c>
      <c r="BH236" s="44">
        <v>0</v>
      </c>
      <c r="BI236" s="44">
        <f t="shared" si="412"/>
        <v>0</v>
      </c>
      <c r="BJ236" s="44" t="s">
        <v>115</v>
      </c>
      <c r="BK236" s="44">
        <f t="shared" si="362"/>
        <v>0.46666666666666667</v>
      </c>
      <c r="BL236" s="44">
        <v>1</v>
      </c>
      <c r="BM236" s="44" cm="1">
        <f t="array" ref="BM236">_xlfn.IFS(BD236="NA","NA",BD236&gt;100%,"100%",BD236&lt;100,BD236)</f>
        <v>0.4</v>
      </c>
      <c r="BN236" s="44" cm="1">
        <f t="array" ref="BN236">_xlfn.IFS(BF236="NA","NA",BF236&gt;100%,"100%",BF236&lt;100,BF236)</f>
        <v>0</v>
      </c>
      <c r="BO236" s="44" cm="1">
        <f t="array" ref="BO236">_xlfn.IFS(BH236="NA","NA",BH236&gt;100%,"100%",BH236&lt;100,BH236)</f>
        <v>0</v>
      </c>
      <c r="BP236" s="44" t="str" cm="1">
        <f t="array" ref="BP236">_xlfn.IFS(BJ236="NA","NA",BJ236&gt;100%,"100%",BJ236&lt;100,BJ236)</f>
        <v>NA</v>
      </c>
      <c r="BQ236" s="45">
        <v>0.22500000000000001</v>
      </c>
      <c r="BR236" s="45">
        <f t="shared" si="372"/>
        <v>0.10500000000000001</v>
      </c>
      <c r="BS236" s="45">
        <v>7.4999999999999997E-2</v>
      </c>
      <c r="BT236" s="45">
        <v>7.4999999999999997E-2</v>
      </c>
      <c r="BU236" s="45">
        <v>7.4999999999999997E-2</v>
      </c>
      <c r="BV236" s="45">
        <f t="shared" si="413"/>
        <v>7.4999999999999997E-2</v>
      </c>
      <c r="BW236" s="45">
        <f t="shared" si="392"/>
        <v>0.03</v>
      </c>
      <c r="BX236" s="45">
        <f t="shared" si="393"/>
        <v>3.0000000000000013E-2</v>
      </c>
      <c r="BY236" s="45">
        <f t="shared" si="414"/>
        <v>3.7499999999999999E-2</v>
      </c>
      <c r="BZ236" s="45">
        <f t="shared" si="415"/>
        <v>0</v>
      </c>
      <c r="CA236" s="45">
        <f t="shared" si="373"/>
        <v>0</v>
      </c>
      <c r="CB236" s="45">
        <f t="shared" si="416"/>
        <v>3.7499999999999999E-2</v>
      </c>
      <c r="CC236" s="45">
        <f t="shared" si="417"/>
        <v>0</v>
      </c>
      <c r="CD236" s="45">
        <v>0</v>
      </c>
      <c r="CE236" s="45">
        <f t="shared" si="418"/>
        <v>0</v>
      </c>
      <c r="CF236" s="45" t="str">
        <f t="shared" si="419"/>
        <v>NA</v>
      </c>
      <c r="CG236" s="45">
        <v>0</v>
      </c>
      <c r="CH236" s="244"/>
      <c r="CI236" s="244"/>
      <c r="CJ236" s="244"/>
      <c r="CK236" s="244"/>
      <c r="CM236" s="63">
        <v>28</v>
      </c>
    </row>
    <row r="237" spans="1:261" ht="30.75" hidden="1" customHeight="1">
      <c r="A237" s="260" t="s">
        <v>1387</v>
      </c>
      <c r="B237" s="260" t="s">
        <v>1388</v>
      </c>
      <c r="C237" s="260" t="s">
        <v>1286</v>
      </c>
      <c r="D237" s="260" t="s">
        <v>1496</v>
      </c>
      <c r="E237" s="260" t="s">
        <v>1583</v>
      </c>
      <c r="F237" s="260" t="s">
        <v>1600</v>
      </c>
      <c r="G237" s="260" t="s">
        <v>1601</v>
      </c>
      <c r="H237" s="260" t="s">
        <v>1602</v>
      </c>
      <c r="I237" s="260"/>
      <c r="J237" s="260"/>
      <c r="K237" s="260" t="s">
        <v>1603</v>
      </c>
      <c r="L237" s="12" t="s">
        <v>1604</v>
      </c>
      <c r="M237" s="260" t="s">
        <v>1605</v>
      </c>
      <c r="N237" s="260" t="s">
        <v>111</v>
      </c>
      <c r="O237" s="260" t="s">
        <v>112</v>
      </c>
      <c r="P237" s="10">
        <v>573046</v>
      </c>
      <c r="Q237" s="11">
        <v>50000</v>
      </c>
      <c r="R237" s="11">
        <f t="shared" si="406"/>
        <v>29505</v>
      </c>
      <c r="S237" s="11">
        <f>VLOOKUP(K237,'1285 EPC'!$K$13:$AK$35,9,0)</f>
        <v>0</v>
      </c>
      <c r="T237" s="11">
        <v>4740</v>
      </c>
      <c r="U237" s="11">
        <v>0</v>
      </c>
      <c r="V237" s="11">
        <v>24186</v>
      </c>
      <c r="W237" s="11">
        <v>0</v>
      </c>
      <c r="X237" s="11">
        <v>24186</v>
      </c>
      <c r="Y237" s="11">
        <v>0</v>
      </c>
      <c r="Z237" s="11">
        <v>24186</v>
      </c>
      <c r="AA237" s="11" t="s">
        <v>1606</v>
      </c>
      <c r="AB237" s="11" t="s">
        <v>1607</v>
      </c>
      <c r="AC237" s="11">
        <v>0</v>
      </c>
      <c r="AD237" s="11">
        <v>9509</v>
      </c>
      <c r="AE237" s="11">
        <v>0</v>
      </c>
      <c r="AF237" s="11">
        <f>VLOOKUP(K237,'1285 EPC'!$K$13:$AK$35,22,0)</f>
        <v>5319</v>
      </c>
      <c r="AG237" s="11" t="str">
        <f>VLOOKUP(K237,'1285 EPC'!$K$13:$AK$35,23,0)</f>
        <v> </v>
      </c>
      <c r="AH237" s="11">
        <f t="shared" si="407"/>
        <v>5319</v>
      </c>
      <c r="AI237" s="11" t="str">
        <f>VLOOKUP(K237,'1285 EPC'!$K$13:$AK$35,25,0)</f>
        <v>Nuevas personas con acceso  al servicio de acueducto rural</v>
      </c>
      <c r="AJ237" s="11" t="str">
        <f>VLOOKUP(K237,'1285 EPC'!$K$13:$AK$35,26,0)</f>
        <v>Proyectos Terminados:
Construcción de obras para la optimización y ampliación del sistema de acueducto del centro poblado de Santandercito, municipio de San Antonio del Tequendama – Fase I: optimización de redes de acueducto 80 usuarios nuevos conectados, beneficiando a 176 personas.
Construcción para la optimización del sistema de acueducto y alcantarillado del centro poblado El Puente, municipio de Villeta, 75 usuarios nuevos conectados, beneficiando a 170 personas
Construcción de las obras de captación, conducción, tratamiento, almacenamiento y distribución del nuevo sistema de acueducto del río teusaca para beneficio del casco urbano y centros poblados del municipio de sopó
Al terminar la primera convocatoria del programa agua a la vereda como resultado de los 80 acueductos beneficiados se conectaron al servicio de acueducto rural 4.973 nuevos usuarios
Diseños en Ejecución:
EPC-CI-012-2018 Junín
EPC-CI-016-2019 Bojacá
EPC-CI-024-2019 Bojacá
Diseños aprobados:
Aprobación de diagnóstico y alternativas del Acueducto de la Vereda San Francisco del municipio de Junín
EPC-CI-013-2018 Diseños de detalle acueducto y alcantarillado rural municipio de Gama
Acueductos rurales EPC-CI-024-2019 Bojacá
Acueducto Regional EPC-PDA-C-092-2020 La Mesa Quipile Anapoima
Acueducto Veredal EPC-PDA-C-248-2019 Cucunubá
Acueducto Regional EPC-PDA-C-432-2019 Tena La Mesa
Acueducto Veredal del Muña, San Francisco EPC-PDA-C-501-2017
Pozos Profundos de Zipacón y Ubaté EPC-PDA-C-393-2017
PMAA Zipacón El Ocaso EPC-PDA-C428-2018
Proyectos contratados: 
Municipio de Beltrán con la construcción del plan maestro de acueducto del sector Paquiló y La Popa
Municipio de Sasaima construcción 4 tanques 
PUEAA del Centro Poblado de Sáname del municipio de Fosca
Construcción de 4 Tanques del Acueducto Rural, Vereda Santa Ana, San Vicente, Loma Larga y Cuatro Esquinas (Acualimonar Y Suroccidente Del Municipio De Sasaima - Cundinamarca. 
Construcción Del Plan Maestro De Acueducto De Los Centros Poblados De Paquiló La Popa, Municipio De Beltrán Fase I. 
Construcción De Planta De Tratamiento De Agua Potable Del Acueducto De La Vereda La Unión Municipio De Fómeque  
Construcción De La Planta De Tratamiento De Agua Potable Vereda Alto Grande, Inspección De La Esperanza Municipio De La Mesa, 7 
Construcción De La Planta De Tratamiento De Agua Potable Vereda Santa Teresa Municipio De Sasaima,  
Construcción Tanque De Almacenamiento Acueducto De La Vereda San Benito Del Municipio De Sibaté, 
Acueducto De Las Veredas La Esmeralda, Monte Largo, San Jerónimo, Milán Y Limonal (Incluye Ptap) Del Municipio De Anolaima
Construcción De La PTAP Vereda La Colonia Del Municipio Del Colegio,  
Construcción De La PTAP Vereda Anatolí Municipio De La Mesa, 
Construcción De La PTAP Vereda Buenavista Municipio De La Mesa, 
Construcción De La PTAP Vereda Payacal Municipio De La Mesa, 
Construcción De La PTAP vereda Catalamonte, Municipio De Tena 
Construcción De La PTAP vereda Santa Rita, Municipio De Silvania 
Construcción De La PTAP Inspección Departamental De Subia Central, Municipio De Silvania 
Construcción De La PTAP Vereda Alto De Las Pavas De Subia Central Municipio De Silvania 
Construcción De La PTAP Vereda Liberia Centro, Municipio De Viotá  
Proyectos viabilizados
Tanque de almacenamiento vereda San Benito - Sibaté
Acueducto veredas La Esmeralda, San Jerónimo, Milán y Limonal - Anolaima
Gestión Predial en ejecución:
Apulo/Viotá/Tocaima - Acueducto regional
Guataquí/Nariño/Jerusalén - Acueducto regional
Fosca - Acueducto La Mesita
Sibaté - Tanque San Benito
Tocaima - Acueducto Vereda Morro Azul
Seguimiento
Villeta - Acueducto Rio Tobia
Nimaima -  Acueducto Centro Poblado Tobia 
Anapoima - Acu Las Margaritas
Vergara - Acu Casco Urbano y Vereda El Palmar
Nariño - Tanque La Pola
Fúquene - Acu Capellanía
Junín - PMAA San Roque
Tanque de almacenamiento vereda San benito - Sibaté
Acueducto veredas La Esmeralda, San Jerónimo, Milán y Limonal - Anolaima</v>
      </c>
      <c r="AK237" s="11" t="str">
        <f>VLOOKUP(K237,'1285 EPC'!$K$13:$AK$35,27,0)</f>
        <v xml:space="preserve">Se presentan dificultades en las entregas de los productos terminados por parte de las consultorías, ya se por componentes de dificil revisón o permisos necesarios.
 La subgerencia técnica se encuentra en tramites precontractuales debido a la liquidación del contrato anterior.
se han presentado dificultades en la obtencion de permisos, asi mismo las lluvias que se han presentado han generado suspensiones lo que nos lleva prorrogar los tiempos de terminar los proyectos.
se han presentado dificultades en atender observaciones en los ajustes de los diseños para la radicacion de la solicitud  de contratacion del proyecto.
 Los predios a adquirir se encuentran en trámites y requisitos previos para su adquisición. </v>
      </c>
      <c r="AL237" s="11">
        <v>8208</v>
      </c>
      <c r="AM237" s="11">
        <v>0</v>
      </c>
      <c r="AN237" s="11">
        <v>8097</v>
      </c>
      <c r="AO237" s="11">
        <v>0</v>
      </c>
      <c r="AP237" s="11">
        <v>0</v>
      </c>
      <c r="AQ237" s="11">
        <v>0</v>
      </c>
      <c r="AR237" s="52"/>
      <c r="AS237" s="54">
        <v>14881301221</v>
      </c>
      <c r="AT237" s="54">
        <f t="shared" si="361"/>
        <v>14881301221</v>
      </c>
      <c r="AU237" s="52"/>
      <c r="AV237" s="243">
        <v>13867872967.3381</v>
      </c>
      <c r="AW237" s="244"/>
      <c r="AX237" s="244"/>
      <c r="AY237" s="243">
        <v>7077476997.3999996</v>
      </c>
      <c r="AZ237" s="44">
        <f t="shared" si="408"/>
        <v>0.59009999999999996</v>
      </c>
      <c r="BA237" s="44">
        <v>0.48370000000000002</v>
      </c>
      <c r="BB237" s="44">
        <v>1</v>
      </c>
      <c r="BC237" s="44">
        <f t="shared" si="409"/>
        <v>0.19017999999999999</v>
      </c>
      <c r="BD237" s="44" cm="1">
        <f t="array" ref="BD237">_xlfn.IFS(AD237=0,"NA",AD237&gt;0,AH237/AD237)</f>
        <v>0.5593648122831002</v>
      </c>
      <c r="BE237" s="44">
        <f t="shared" si="410"/>
        <v>0.16416</v>
      </c>
      <c r="BF237" s="44">
        <v>0</v>
      </c>
      <c r="BG237" s="44">
        <f t="shared" si="411"/>
        <v>0.16194</v>
      </c>
      <c r="BH237" s="44">
        <v>0</v>
      </c>
      <c r="BI237" s="44">
        <f t="shared" si="412"/>
        <v>0</v>
      </c>
      <c r="BJ237" s="44" t="s">
        <v>115</v>
      </c>
      <c r="BK237" s="44">
        <f t="shared" si="362"/>
        <v>0.59009999999999996</v>
      </c>
      <c r="BL237" s="44">
        <v>1</v>
      </c>
      <c r="BM237" s="44" cm="1">
        <f t="array" ref="BM237">_xlfn.IFS(BD237="NA","NA",BD237&gt;100%,"100%",BD237&lt;100,BD237)</f>
        <v>0.5593648122831002</v>
      </c>
      <c r="BN237" s="44" cm="1">
        <f t="array" ref="BN237">_xlfn.IFS(BF237="NA","NA",BF237&gt;100%,"100%",BF237&lt;100,BF237)</f>
        <v>0</v>
      </c>
      <c r="BO237" s="44" cm="1">
        <f t="array" ref="BO237">_xlfn.IFS(BH237="NA","NA",BH237&gt;100%,"100%",BH237&lt;100,BH237)</f>
        <v>0</v>
      </c>
      <c r="BP237" s="44" t="str" cm="1">
        <f t="array" ref="BP237">_xlfn.IFS(BJ237="NA","NA",BJ237&gt;100%,"100%",BJ237&lt;100,BJ237)</f>
        <v>NA</v>
      </c>
      <c r="BQ237" s="45">
        <v>0.22500000000000001</v>
      </c>
      <c r="BR237" s="45">
        <f t="shared" si="372"/>
        <v>0.13277249999999999</v>
      </c>
      <c r="BS237" s="45">
        <v>0.10879999999999999</v>
      </c>
      <c r="BT237" s="45">
        <v>0.10879999999999999</v>
      </c>
      <c r="BU237" s="45">
        <v>0.10879999999999999</v>
      </c>
      <c r="BV237" s="45">
        <f t="shared" si="413"/>
        <v>4.2790500000000002E-2</v>
      </c>
      <c r="BW237" s="45">
        <f t="shared" si="392"/>
        <v>2.3935500000000002E-2</v>
      </c>
      <c r="BX237" s="45">
        <f t="shared" si="393"/>
        <v>2.3972499999999994E-2</v>
      </c>
      <c r="BY237" s="45">
        <f t="shared" si="414"/>
        <v>3.6935999999999997E-2</v>
      </c>
      <c r="BZ237" s="45">
        <f t="shared" si="415"/>
        <v>0</v>
      </c>
      <c r="CA237" s="45">
        <f t="shared" si="373"/>
        <v>0</v>
      </c>
      <c r="CB237" s="45">
        <f t="shared" si="416"/>
        <v>3.6436500000000004E-2</v>
      </c>
      <c r="CC237" s="45">
        <f t="shared" si="417"/>
        <v>0</v>
      </c>
      <c r="CD237" s="45">
        <v>0</v>
      </c>
      <c r="CE237" s="45">
        <f t="shared" si="418"/>
        <v>0</v>
      </c>
      <c r="CF237" s="45" t="str">
        <f t="shared" si="419"/>
        <v>NA</v>
      </c>
      <c r="CG237" s="45">
        <v>0</v>
      </c>
      <c r="CH237" s="244"/>
      <c r="CI237" s="244"/>
      <c r="CJ237" s="244"/>
      <c r="CK237" s="244"/>
      <c r="CM237" s="63">
        <v>24532</v>
      </c>
    </row>
    <row r="238" spans="1:261" ht="30.75" hidden="1" customHeight="1">
      <c r="A238" s="260" t="s">
        <v>1387</v>
      </c>
      <c r="B238" s="260" t="s">
        <v>1388</v>
      </c>
      <c r="C238" s="260" t="s">
        <v>1286</v>
      </c>
      <c r="D238" s="260" t="s">
        <v>1496</v>
      </c>
      <c r="E238" s="260" t="s">
        <v>1583</v>
      </c>
      <c r="F238" s="260" t="s">
        <v>1600</v>
      </c>
      <c r="G238" s="260" t="s">
        <v>1601</v>
      </c>
      <c r="H238" s="260" t="s">
        <v>1608</v>
      </c>
      <c r="I238" s="260"/>
      <c r="J238" s="260"/>
      <c r="K238" s="260" t="s">
        <v>1609</v>
      </c>
      <c r="L238" s="12" t="s">
        <v>1610</v>
      </c>
      <c r="M238" s="260" t="s">
        <v>1611</v>
      </c>
      <c r="N238" s="260" t="s">
        <v>111</v>
      </c>
      <c r="O238" s="260" t="s">
        <v>112</v>
      </c>
      <c r="P238" s="10">
        <v>324</v>
      </c>
      <c r="Q238" s="11">
        <v>400</v>
      </c>
      <c r="R238" s="11">
        <f t="shared" si="406"/>
        <v>80</v>
      </c>
      <c r="S238" s="11">
        <f>VLOOKUP(K238,'1285 EPC'!$K$13:$AK$35,9,0)</f>
        <v>0</v>
      </c>
      <c r="T238" s="11">
        <v>80</v>
      </c>
      <c r="U238" s="11">
        <v>0</v>
      </c>
      <c r="V238" s="11">
        <v>0</v>
      </c>
      <c r="W238" s="11">
        <v>0</v>
      </c>
      <c r="X238" s="11">
        <v>0</v>
      </c>
      <c r="Y238" s="11">
        <v>0</v>
      </c>
      <c r="Z238" s="11">
        <v>0</v>
      </c>
      <c r="AA238" s="11"/>
      <c r="AB238" s="11"/>
      <c r="AC238" s="11"/>
      <c r="AD238" s="11">
        <v>230</v>
      </c>
      <c r="AE238" s="11">
        <v>0</v>
      </c>
      <c r="AF238" s="11">
        <f>VLOOKUP(K238,'1285 EPC'!$K$13:$AK$35,22,0)</f>
        <v>80</v>
      </c>
      <c r="AG238" s="11" t="str">
        <f>VLOOKUP(K238,'1285 EPC'!$K$13:$AK$35,23,0)</f>
        <v> </v>
      </c>
      <c r="AH238" s="11">
        <f t="shared" si="407"/>
        <v>80</v>
      </c>
      <c r="AI238" s="11" t="str">
        <f>VLOOKUP(K238,'1285 EPC'!$K$13:$AK$35,25,0)</f>
        <v> </v>
      </c>
      <c r="AJ238" s="11" t="str">
        <f>VLOOKUP(K238,'1285 EPC'!$K$13:$AK$35,26,0)</f>
        <v>Se fortalecieron 80 sistemas de acueducto rurales en 32 municipios con el componente de fortalecimiento técnico en un 100%
Se están realizando las visitas para los 103 acueducto que cumplieron con la revisión documental. Dicha revisión se realizará con el personal técnico contratado por FONDECUN. Una vez terminado el proceso de diagnóstico se realizará la selección de los 80 acueductos para la firma de los contratos.
Se empezó la estructuración del plan de aseguramiento 2021 en donde se tiene proyectado adelantar la segunda convocatoria para el programa agua a la vereda
En este período se realiza la firma de convenios entre FONDECUN y los 80 operadores seleccionados.
Fondecun inicia en el mes de junio la fase contractual para los 80 prestadores de la vigencia 2020, Se formularon 80 planes de acción, y se ejecutó en un 100% el componente institucional el cual se encuentra en proceso de entrega a los acueductos,  el componente de fortalecimiento técnico tiene un avance físico en promedio del 30.83% entre los 80 beneficiados
La fase 2021 (150 prestadores) no ha iniciado, se está a la espera de la aprobación del plan de aseguramiento</v>
      </c>
      <c r="AK238" s="11" t="str">
        <f>VLOOKUP(K238,'1285 EPC'!$K$13:$AK$35,27,0)</f>
        <v> </v>
      </c>
      <c r="AL238" s="11">
        <v>100</v>
      </c>
      <c r="AM238" s="11">
        <v>0</v>
      </c>
      <c r="AN238" s="11">
        <v>70</v>
      </c>
      <c r="AO238" s="11">
        <v>0</v>
      </c>
      <c r="AP238" s="11">
        <v>0</v>
      </c>
      <c r="AQ238" s="11">
        <v>0</v>
      </c>
      <c r="AR238" s="52"/>
      <c r="AS238" s="54">
        <v>5120000000</v>
      </c>
      <c r="AT238" s="54">
        <f t="shared" si="361"/>
        <v>5120000000</v>
      </c>
      <c r="AU238" s="52"/>
      <c r="AV238" s="243">
        <v>15126923077</v>
      </c>
      <c r="AW238" s="244"/>
      <c r="AX238" s="244"/>
      <c r="AY238" s="243">
        <v>4846703310</v>
      </c>
      <c r="AZ238" s="44">
        <f t="shared" si="408"/>
        <v>0.2</v>
      </c>
      <c r="BA238" s="44">
        <v>0</v>
      </c>
      <c r="BB238" s="44" t="s">
        <v>115</v>
      </c>
      <c r="BC238" s="44">
        <f t="shared" si="409"/>
        <v>0.57499999999999996</v>
      </c>
      <c r="BD238" s="44" cm="1">
        <f t="array" ref="BD238">_xlfn.IFS(AD238=0,"NA",AD238&gt;0,AH238/AD238)</f>
        <v>0.34782608695652173</v>
      </c>
      <c r="BE238" s="44">
        <f t="shared" si="410"/>
        <v>0.25</v>
      </c>
      <c r="BF238" s="44">
        <v>0</v>
      </c>
      <c r="BG238" s="44">
        <f t="shared" si="411"/>
        <v>0.17499999999999999</v>
      </c>
      <c r="BH238" s="44">
        <v>0</v>
      </c>
      <c r="BI238" s="44">
        <f t="shared" si="412"/>
        <v>0</v>
      </c>
      <c r="BJ238" s="44" t="s">
        <v>115</v>
      </c>
      <c r="BK238" s="44">
        <f t="shared" si="362"/>
        <v>0.2</v>
      </c>
      <c r="BL238" s="44" t="s">
        <v>115</v>
      </c>
      <c r="BM238" s="44" cm="1">
        <f t="array" ref="BM238">_xlfn.IFS(BD238="NA","NA",BD238&gt;100%,"100%",BD238&lt;100,BD238)</f>
        <v>0.34782608695652173</v>
      </c>
      <c r="BN238" s="44" cm="1">
        <f t="array" ref="BN238">_xlfn.IFS(BF238="NA","NA",BF238&gt;100%,"100%",BF238&lt;100,BF238)</f>
        <v>0</v>
      </c>
      <c r="BO238" s="44" cm="1">
        <f t="array" ref="BO238">_xlfn.IFS(BH238="NA","NA",BH238&gt;100%,"100%",BH238&lt;100,BH238)</f>
        <v>0</v>
      </c>
      <c r="BP238" s="44" t="str" cm="1">
        <f t="array" ref="BP238">_xlfn.IFS(BJ238="NA","NA",BJ238&gt;100%,"100%",BJ238&lt;100,BJ238)</f>
        <v>NA</v>
      </c>
      <c r="BQ238" s="45">
        <v>0.22500000000000001</v>
      </c>
      <c r="BR238" s="45">
        <f t="shared" si="372"/>
        <v>4.5000000000000005E-2</v>
      </c>
      <c r="BS238" s="45">
        <v>0</v>
      </c>
      <c r="BT238" s="45" t="s">
        <v>115</v>
      </c>
      <c r="BU238" s="45">
        <v>0</v>
      </c>
      <c r="BV238" s="45">
        <f t="shared" si="413"/>
        <v>0.12937499999999999</v>
      </c>
      <c r="BW238" s="45">
        <f t="shared" si="392"/>
        <v>4.4999999999999998E-2</v>
      </c>
      <c r="BX238" s="45">
        <f t="shared" si="393"/>
        <v>4.5000000000000005E-2</v>
      </c>
      <c r="BY238" s="45">
        <f t="shared" si="414"/>
        <v>5.6250000000000001E-2</v>
      </c>
      <c r="BZ238" s="45">
        <f t="shared" si="415"/>
        <v>0</v>
      </c>
      <c r="CA238" s="45">
        <f t="shared" si="373"/>
        <v>0</v>
      </c>
      <c r="CB238" s="45">
        <f t="shared" si="416"/>
        <v>3.9375E-2</v>
      </c>
      <c r="CC238" s="45">
        <f t="shared" si="417"/>
        <v>0</v>
      </c>
      <c r="CD238" s="45">
        <v>0</v>
      </c>
      <c r="CE238" s="45">
        <f t="shared" si="418"/>
        <v>0</v>
      </c>
      <c r="CF238" s="45" t="str">
        <f t="shared" si="419"/>
        <v>NA</v>
      </c>
      <c r="CG238" s="45">
        <v>0</v>
      </c>
      <c r="CH238" s="244"/>
      <c r="CI238" s="244"/>
      <c r="CJ238" s="244"/>
      <c r="CK238" s="244"/>
      <c r="CM238" s="63">
        <v>0</v>
      </c>
    </row>
    <row r="239" spans="1:261" ht="30.75" hidden="1" customHeight="1">
      <c r="A239" s="260" t="s">
        <v>1387</v>
      </c>
      <c r="B239" s="260" t="s">
        <v>1388</v>
      </c>
      <c r="C239" s="260" t="s">
        <v>1286</v>
      </c>
      <c r="D239" s="260" t="s">
        <v>1496</v>
      </c>
      <c r="E239" s="260" t="s">
        <v>1583</v>
      </c>
      <c r="F239" s="260" t="s">
        <v>1612</v>
      </c>
      <c r="G239" s="260" t="s">
        <v>1613</v>
      </c>
      <c r="H239" s="260" t="s">
        <v>1614</v>
      </c>
      <c r="I239" s="260"/>
      <c r="J239" s="260"/>
      <c r="K239" s="260" t="s">
        <v>1615</v>
      </c>
      <c r="L239" s="12" t="s">
        <v>1616</v>
      </c>
      <c r="M239" s="260" t="s">
        <v>1617</v>
      </c>
      <c r="N239" s="260" t="s">
        <v>111</v>
      </c>
      <c r="O239" s="260" t="s">
        <v>112</v>
      </c>
      <c r="P239" s="10">
        <v>2200674</v>
      </c>
      <c r="Q239" s="11">
        <v>488000</v>
      </c>
      <c r="R239" s="11">
        <f t="shared" si="406"/>
        <v>199367</v>
      </c>
      <c r="S239" s="11">
        <f>VLOOKUP(K239,'1285 EPC'!$K$13:$AK$35,9,0)</f>
        <v>0</v>
      </c>
      <c r="T239" s="11">
        <v>2866</v>
      </c>
      <c r="U239" s="11">
        <v>0</v>
      </c>
      <c r="V239" s="11">
        <v>148313</v>
      </c>
      <c r="W239" s="11">
        <v>0</v>
      </c>
      <c r="X239" s="11">
        <v>148313</v>
      </c>
      <c r="Y239" s="11">
        <v>0</v>
      </c>
      <c r="Z239" s="11">
        <v>148313</v>
      </c>
      <c r="AA239" s="11" t="s">
        <v>1618</v>
      </c>
      <c r="AB239" s="11" t="s">
        <v>1619</v>
      </c>
      <c r="AC239" s="11">
        <v>0</v>
      </c>
      <c r="AD239" s="11">
        <v>123706</v>
      </c>
      <c r="AE239" s="11">
        <v>0</v>
      </c>
      <c r="AF239" s="11">
        <f>VLOOKUP(K239,'1285 EPC'!$K$13:$AK$35,22,0)</f>
        <v>51054</v>
      </c>
      <c r="AG239" s="11" t="str">
        <f>VLOOKUP(K239,'1285 EPC'!$K$13:$AK$35,23,0)</f>
        <v> </v>
      </c>
      <c r="AH239" s="11">
        <f t="shared" si="407"/>
        <v>51054</v>
      </c>
      <c r="AI239" s="11" t="str">
        <f>VLOOKUP(K239,'1285 EPC'!$K$13:$AK$35,25,0)</f>
        <v>Nuevas personas con acceso  al servicio de acueducto urbano</v>
      </c>
      <c r="AJ239" s="11" t="str">
        <f>VLOOKUP(K239,'1285 EPC'!$K$13:$AK$35,26,0)</f>
        <v>Nuevas conexiones: Al hacer seguimiento a los nuevos usuarios  del servicio de acueducto urbano conectados a través de los prestadores, se realiza una encuesta a los prestadores del Departamento, la cual arroja el siguiente resultado:  51.054 nuevas personas beneficiadas con  el servicio de acueducto.
Proyectos terminados:  se logró la terminación del proyecto optimización del acueducto de manta por un valor de $2.370 conectando a 12 usuarios nuevos al servicio, conectando a 21 habitantes nuevos.
Se logró la culminación del proyecto de Facatativá cuyo objeto es "Reposición del pozo subterráneo Deudoro Aponte del Sistema de acueducto del casco urbano del municipio de Facatativá 
Construcción de las Obras del Plan Maestro del Acueducto y Alcantarillado Municipio De Arbeláez no conecta usuarios nuevos al servicio. 
Diseños aprobados:
EPC-PDA-C-433-2019 San Cayetano
EPC-CI-141-2017 Plan maestro de acueducto y alcantarillado de Supatá; incluye PTAP
EPC-PDA-C-393-2017 Pozo Profundo de Pulí 
 Diseños en proceso de aprobación
EPC-PDA-C-286-2018 Aguasiso
Viabilización de proyectos 
Acueducto - Guayabal de Síquima
Tanque de almacenamiento casco urbano de Sutatausa
Optimización del sistema de acueducto de La Palma 
Proyectos contratados:
Optimización de la planta de tratamiento de agua potable en el municipio de Guasca
Construcción del sistema de aducción, conducción de la red de apoyo del acueducto urbano y optimización de la planta de tratamiento de agua potable del municipio de Guayabal de Síquima
Construcción Del Tanque Compensación De 10.000 M3 Como Estructura Complementaria Al Sistema De Servicio De Acueducto En El Municipio De Cajicá 
Construcción Tanque De Almacenamiento De Agua Potable Para El Casco Urbano Del Municipio De Sutatausa Construcción De Las Obras De Captación, Conducción, Tratamiento, Almacenamiento Y Distribución Del Nuevo Sistema De Acueducto Del Rio Teusaca Para Beneficio Del Casco Urbano Y Centros Poblados Del Municipio De Sopo 
Gestión predial en Ejecución:
Ubalá - Plan Maestro de Acueducto y Alcantarillado
La Calera - Acueducto
Seguimiento
Medina - Plan Maestro Acueducto
Fómeque - Plan Maestro Acueducto y Alcantarillado
Sibaté - PMAA fase II: Acueducto
Topaipí - Plan Maestro de Acueducto y Alcantarillado
Facatativá - Plan Maestro de Acueducto y Alcantarillado Chipaque - Plan Maestro de Acueducto
Zipacón - Plan Maestro de Acueducto
Tanque de almacenamiento casco urbano de Sutatausa
Optimización del sistema de acueducto de La Palma</v>
      </c>
      <c r="AK239" s="11" t="str">
        <f>VLOOKUP(K239,'1285 EPC'!$K$13:$AK$35,27,0)</f>
        <v>Se presentan dificultades en las entregas de los productos terminados por parte de las consultorías, ya se por componentes de dificil revisón o permisos necesarios.
 La subgerencia técnica se encuentra en tramites precontractuales debido a la liquidación del contrato anterior.
se han presentado dificultades en la obtencion de permisos, asi mismo las lluvias que se han presentado han generado suspensiones lo que nos lleva prorrogar los tiempos de terminar los proyectos.
se han presentado dificultades en atender observaciones en los ajustes de los diseños para la radicacion de la solicitud  de contratacion del proyecto.</v>
      </c>
      <c r="AL239" s="11">
        <v>111069</v>
      </c>
      <c r="AM239" s="11">
        <v>0</v>
      </c>
      <c r="AN239" s="11">
        <v>104912</v>
      </c>
      <c r="AO239" s="11">
        <v>0</v>
      </c>
      <c r="AP239" s="11">
        <v>0</v>
      </c>
      <c r="AQ239" s="11">
        <v>0</v>
      </c>
      <c r="AR239" s="52"/>
      <c r="AS239" s="54">
        <v>25123655738</v>
      </c>
      <c r="AT239" s="54">
        <f t="shared" si="361"/>
        <v>25123655738</v>
      </c>
      <c r="AU239" s="52"/>
      <c r="AV239" s="243">
        <v>6808899892.9367371</v>
      </c>
      <c r="AW239" s="244"/>
      <c r="AX239" s="244"/>
      <c r="AY239" s="243">
        <v>6081811429.2119999</v>
      </c>
      <c r="AZ239" s="44">
        <f t="shared" si="408"/>
        <v>0.40853893442622952</v>
      </c>
      <c r="BA239" s="44">
        <v>0.3039</v>
      </c>
      <c r="BB239" s="44">
        <v>1</v>
      </c>
      <c r="BC239" s="44">
        <f t="shared" si="409"/>
        <v>0.25349590163934427</v>
      </c>
      <c r="BD239" s="44" cm="1">
        <f t="array" ref="BD239">_xlfn.IFS(AD239=0,"NA",AD239&gt;0,AH239/AD239)</f>
        <v>0.41270431506960048</v>
      </c>
      <c r="BE239" s="44">
        <f t="shared" si="410"/>
        <v>0.22760040983606558</v>
      </c>
      <c r="BF239" s="44">
        <v>0</v>
      </c>
      <c r="BG239" s="44">
        <f t="shared" si="411"/>
        <v>0.21498360655737705</v>
      </c>
      <c r="BH239" s="44">
        <v>0</v>
      </c>
      <c r="BI239" s="44">
        <f t="shared" si="412"/>
        <v>0</v>
      </c>
      <c r="BJ239" s="44" t="s">
        <v>115</v>
      </c>
      <c r="BK239" s="44">
        <f t="shared" si="362"/>
        <v>0.40853893442622952</v>
      </c>
      <c r="BL239" s="44">
        <v>1</v>
      </c>
      <c r="BM239" s="44" cm="1">
        <f t="array" ref="BM239">_xlfn.IFS(BD239="NA","NA",BD239&gt;100%,"100%",BD239&lt;100,BD239)</f>
        <v>0.41270431506960048</v>
      </c>
      <c r="BN239" s="44" cm="1">
        <f t="array" ref="BN239">_xlfn.IFS(BF239="NA","NA",BF239&gt;100%,"100%",BF239&lt;100,BF239)</f>
        <v>0</v>
      </c>
      <c r="BO239" s="44" cm="1">
        <f t="array" ref="BO239">_xlfn.IFS(BH239="NA","NA",BH239&gt;100%,"100%",BH239&lt;100,BH239)</f>
        <v>0</v>
      </c>
      <c r="BP239" s="44" t="str" cm="1">
        <f t="array" ref="BP239">_xlfn.IFS(BJ239="NA","NA",BJ239&gt;100%,"100%",BJ239&lt;100,BJ239)</f>
        <v>NA</v>
      </c>
      <c r="BQ239" s="45">
        <v>0.22500000000000001</v>
      </c>
      <c r="BR239" s="45">
        <f t="shared" si="372"/>
        <v>9.1921260245901637E-2</v>
      </c>
      <c r="BS239" s="45">
        <v>6.8400000000000002E-2</v>
      </c>
      <c r="BT239" s="45">
        <v>6.8400000000000002E-2</v>
      </c>
      <c r="BU239" s="45">
        <v>6.8400000000000002E-2</v>
      </c>
      <c r="BV239" s="45">
        <f t="shared" si="413"/>
        <v>5.703657786885246E-2</v>
      </c>
      <c r="BW239" s="45">
        <f t="shared" si="392"/>
        <v>2.3539241803278689E-2</v>
      </c>
      <c r="BX239" s="45">
        <f t="shared" si="393"/>
        <v>2.3521260245901635E-2</v>
      </c>
      <c r="BY239" s="45">
        <f t="shared" si="414"/>
        <v>5.1210092213114754E-2</v>
      </c>
      <c r="BZ239" s="45">
        <f t="shared" si="415"/>
        <v>0</v>
      </c>
      <c r="CA239" s="45">
        <f t="shared" si="373"/>
        <v>0</v>
      </c>
      <c r="CB239" s="45">
        <f t="shared" si="416"/>
        <v>4.8371311475409837E-2</v>
      </c>
      <c r="CC239" s="45">
        <f t="shared" si="417"/>
        <v>0</v>
      </c>
      <c r="CD239" s="45">
        <v>0</v>
      </c>
      <c r="CE239" s="45">
        <f t="shared" si="418"/>
        <v>0</v>
      </c>
      <c r="CF239" s="45" t="str">
        <f t="shared" si="419"/>
        <v>NA</v>
      </c>
      <c r="CG239" s="45">
        <v>0</v>
      </c>
      <c r="CH239" s="244"/>
      <c r="CI239" s="244"/>
      <c r="CJ239" s="244"/>
      <c r="CK239" s="244"/>
      <c r="CM239" s="63">
        <v>171220</v>
      </c>
    </row>
    <row r="240" spans="1:261" ht="30.75" hidden="1" customHeight="1">
      <c r="A240" s="260" t="s">
        <v>1387</v>
      </c>
      <c r="B240" s="260" t="s">
        <v>1388</v>
      </c>
      <c r="C240" s="260" t="s">
        <v>1286</v>
      </c>
      <c r="D240" s="260" t="s">
        <v>1496</v>
      </c>
      <c r="E240" s="260" t="s">
        <v>1583</v>
      </c>
      <c r="F240" s="260" t="s">
        <v>1620</v>
      </c>
      <c r="G240" s="260" t="s">
        <v>1621</v>
      </c>
      <c r="H240" s="260" t="s">
        <v>1622</v>
      </c>
      <c r="I240" s="260"/>
      <c r="J240" s="260"/>
      <c r="K240" s="260" t="s">
        <v>1623</v>
      </c>
      <c r="L240" s="12" t="s">
        <v>1624</v>
      </c>
      <c r="M240" s="260" t="s">
        <v>1625</v>
      </c>
      <c r="N240" s="260" t="s">
        <v>111</v>
      </c>
      <c r="O240" s="260" t="s">
        <v>112</v>
      </c>
      <c r="P240" s="10">
        <v>211843</v>
      </c>
      <c r="Q240" s="11">
        <v>60000</v>
      </c>
      <c r="R240" s="11">
        <f t="shared" si="406"/>
        <v>24721</v>
      </c>
      <c r="S240" s="11">
        <f>VLOOKUP(K240,'1285 EPC'!$K$13:$AK$35,9,0)</f>
        <v>0</v>
      </c>
      <c r="T240" s="11">
        <v>1159</v>
      </c>
      <c r="U240" s="11">
        <v>0</v>
      </c>
      <c r="V240" s="11">
        <v>22507</v>
      </c>
      <c r="W240" s="11">
        <v>0</v>
      </c>
      <c r="X240" s="11">
        <v>22507</v>
      </c>
      <c r="Y240" s="11">
        <v>0</v>
      </c>
      <c r="Z240" s="11">
        <v>22507</v>
      </c>
      <c r="AA240" s="11" t="s">
        <v>1626</v>
      </c>
      <c r="AB240" s="11" t="s">
        <v>1627</v>
      </c>
      <c r="AC240" s="11">
        <v>0</v>
      </c>
      <c r="AD240" s="11">
        <v>12580</v>
      </c>
      <c r="AE240" s="11">
        <v>0</v>
      </c>
      <c r="AF240" s="11">
        <f>VLOOKUP(K240,'1285 EPC'!$K$13:$AK$35,22,0)</f>
        <v>2214</v>
      </c>
      <c r="AG240" s="11" t="str">
        <f>VLOOKUP(K240,'1285 EPC'!$K$13:$AK$35,23,0)</f>
        <v> </v>
      </c>
      <c r="AH240" s="11">
        <f t="shared" si="407"/>
        <v>2214</v>
      </c>
      <c r="AI240" s="11" t="str">
        <f>VLOOKUP(K240,'1285 EPC'!$K$13:$AK$35,25,0)</f>
        <v>Nuevas personas con acceso  al servicio de alcantarillado rural</v>
      </c>
      <c r="AJ240" s="11" t="str">
        <f>VLOOKUP(K240,'1285 EPC'!$K$13:$AK$35,26,0)</f>
        <v>Proyectos Terminados:
Emisario final en alcantarillado pluvial en el Municipio de Cachipay, el cual beneficio a  585 personas al servicio. (el proyecto no realiza conexiones)
Construcción de colectores y emisarios final fase 2 (alcantarillado residual) para el centro poblado Peña Negra municipio de Cachipay, con el cual se realizaron 50 conexiones nuevas para un total de 90 nuevas personas con acceso al servicio de alcantarillado
Construcción para la optimización del sistema de acueducto y alcantarillado del centro poblado El Puente, municipio de Villeta, 75 usuarios nuevos conectados, beneficiando a 170 personas
Unidades terminadas:
Fúquene 32 Unidades Sanitarias beneficiando a 52 personas
Fosca 30 Unidades Sanitarias beneficiando a 74 personas
La Palma 50 Unidades Sanitarias beneficiando a 115 personas
Tibirita 31 Unidades Sanitarias beneficiando a 47 personas
Villapinzon 25 Unidades Sanitarias beneficiando a 74 personas
Vergara 75 Unidades Sanitarias beneficiando a 198 personas 
Se logro la conexión con proyectos de unidades sanitarias en los municipios de: 
La Palma 47 Unidades Sanitarias beneficiando a	
Guaduas 100 Unidades Sanitarias beneficiando a	 258 personas
Quetame 50 Unidades Sanitarias beneficiando a 104 personas
Junín 38 Unidades Sanitarias beneficiando a 59 personas
Granada 65 Unidades Sanitarias beneficiando a 165 personas
Zipacón 90 Unidades Sanitarias beneficiando a 189 personas
Paime 47 Unidades Sanitarias beneficiando a 110 personas
Viotá 223 Unidades Sanitarias beneficiando a 427 personas
Machetá 47 Unidades Sanitarias beneficiando a
Diseños Terminados: 
Aprobación de diagnóstico y alternativas de la PTAR de Mata de Guadua, Anolaima.
Aprobación de diagnóstico y alternativas de plan maestro de alcantarillado de centro poblado de alto de trigo, Guaduas.
Estudios y diseños de la actualización de alcantarillado de san roque del municipio de Junín
Diseños de detalle Acueducto y Alcantarillado municipio de Gama
PMAA Zipacón El Ocaso EPC-PDA-C428-2018
Alcantarillado Anapoima Rural San Judas Bajo y La Estrella EPC-CI-078-2017 
Proyectos contratados:
Construcción alcantarillado sanitario y pluvial del centro poblado Pasoancho de Zipaquirá.
Construcción de las obras plan maestro de alcantarillado del centro poblado Cumaca, de Tibacuy.
Construcción, mejoramiento y adecuación del canal natural de aguas lluvias que atraviesa los barrios Santa Barbara, Luis Carlos Galán, Las Quintas y barrio El Centro de Guataquí.
Proyectos Unidades Sanitarias Viabilizadas:
9 proyectos de unidades sanitarias con un numero de 511 unidades sanitarias en los municipios de Gachalá etapa I Y II, Nemocón, Yacopí, Nocaima, Quipile etapa I Y II, San Antonio del Tequendama,  y Jerusalén, Gama
Gama: 50 unidades, Gachalá Etapa 1: 46 unidades, Gachalá etapa II: 50 Unidades, Nemocón: 70 Unidades, Yacopí: 80 Unidades, Nocaima: 44 Unidades, Quipile etapa I: 25 Unidades, Quipile etapa II: 50 Unidades, San Antonio Tequendama :117 Unidades, Jerusalén: 29 Unidades, San Bernardo: 51 Unidades, San Bernardo: 46 unidades
Gestión Predial
Seguimiento
Junín - Alcantarillado San Roque</v>
      </c>
      <c r="AK240" s="11" t="str">
        <f>VLOOKUP(K240,'1285 EPC'!$K$13:$AK$35,27,0)</f>
        <v xml:space="preserve"> Se presentan dificultades en las entregas de los productos terminados por parte de las consultorías, ya se por componentes de dificil revisón o permisos necesarios.
Retrasos en las consultorías de diseños, para poder trámitar los respectivos permisos
Tiempos de evaluación técnica por parte de la Corporación
Se han presentado dificultades en atender observaciones en los ajustes de los diseños para la radicacion de la solicitud  de contratacion del proyecto.
Obtencion de certificacion por parte de los municipios. 
 Los predios a adquirir se encuentran en trámites y requisitos previos para su adquisición. </v>
      </c>
      <c r="AL240" s="11">
        <v>12456</v>
      </c>
      <c r="AM240" s="11">
        <v>0</v>
      </c>
      <c r="AN240" s="11">
        <v>12457</v>
      </c>
      <c r="AO240" s="11">
        <v>0</v>
      </c>
      <c r="AP240" s="11">
        <v>0</v>
      </c>
      <c r="AQ240" s="11">
        <v>0</v>
      </c>
      <c r="AR240" s="52"/>
      <c r="AS240" s="54">
        <v>21497101404</v>
      </c>
      <c r="AT240" s="54">
        <f t="shared" si="361"/>
        <v>21497101404</v>
      </c>
      <c r="AU240" s="52"/>
      <c r="AV240" s="243">
        <v>7456826501.720479</v>
      </c>
      <c r="AW240" s="244"/>
      <c r="AX240" s="244"/>
      <c r="AY240" s="243">
        <v>5604632859.1000004</v>
      </c>
      <c r="AZ240" s="44">
        <f t="shared" si="408"/>
        <v>0.41201666666666664</v>
      </c>
      <c r="BA240" s="44">
        <v>0.37509999999999999</v>
      </c>
      <c r="BB240" s="44">
        <v>1</v>
      </c>
      <c r="BC240" s="44">
        <f t="shared" si="409"/>
        <v>0.20966666666666667</v>
      </c>
      <c r="BD240" s="44" cm="1">
        <f t="array" ref="BD240">_xlfn.IFS(AD240=0,"NA",AD240&gt;0,AH240/AD240)</f>
        <v>0.17599364069952306</v>
      </c>
      <c r="BE240" s="44">
        <f t="shared" si="410"/>
        <v>0.20760000000000001</v>
      </c>
      <c r="BF240" s="44">
        <v>0</v>
      </c>
      <c r="BG240" s="44">
        <f t="shared" si="411"/>
        <v>0.20761666666666667</v>
      </c>
      <c r="BH240" s="44">
        <v>0</v>
      </c>
      <c r="BI240" s="44">
        <f t="shared" si="412"/>
        <v>0</v>
      </c>
      <c r="BJ240" s="44" t="s">
        <v>115</v>
      </c>
      <c r="BK240" s="44">
        <f t="shared" si="362"/>
        <v>0.41201666666666664</v>
      </c>
      <c r="BL240" s="44">
        <v>1</v>
      </c>
      <c r="BM240" s="44" cm="1">
        <f t="array" ref="BM240">_xlfn.IFS(BD240="NA","NA",BD240&gt;100%,"100%",BD240&lt;100,BD240)</f>
        <v>0.17599364069952306</v>
      </c>
      <c r="BN240" s="44" cm="1">
        <f t="array" ref="BN240">_xlfn.IFS(BF240="NA","NA",BF240&gt;100%,"100%",BF240&lt;100,BF240)</f>
        <v>0</v>
      </c>
      <c r="BO240" s="44" cm="1">
        <f t="array" ref="BO240">_xlfn.IFS(BH240="NA","NA",BH240&gt;100%,"100%",BH240&lt;100,BH240)</f>
        <v>0</v>
      </c>
      <c r="BP240" s="44" t="str" cm="1">
        <f t="array" ref="BP240">_xlfn.IFS(BJ240="NA","NA",BJ240&gt;100%,"100%",BJ240&lt;100,BJ240)</f>
        <v>NA</v>
      </c>
      <c r="BQ240" s="45">
        <v>0.22500000000000001</v>
      </c>
      <c r="BR240" s="45">
        <f t="shared" si="372"/>
        <v>9.2703750000000001E-2</v>
      </c>
      <c r="BS240" s="45">
        <v>8.4400000000000003E-2</v>
      </c>
      <c r="BT240" s="45">
        <v>8.4400000000000003E-2</v>
      </c>
      <c r="BU240" s="45">
        <v>8.4400000000000003E-2</v>
      </c>
      <c r="BV240" s="45">
        <f t="shared" si="413"/>
        <v>4.7175000000000002E-2</v>
      </c>
      <c r="BW240" s="45">
        <f t="shared" si="392"/>
        <v>8.3025000000000009E-3</v>
      </c>
      <c r="BX240" s="45">
        <f t="shared" si="393"/>
        <v>8.3037499999999986E-3</v>
      </c>
      <c r="BY240" s="45">
        <f t="shared" si="414"/>
        <v>4.6710000000000002E-2</v>
      </c>
      <c r="BZ240" s="45">
        <f t="shared" si="415"/>
        <v>0</v>
      </c>
      <c r="CA240" s="45">
        <f t="shared" si="373"/>
        <v>0</v>
      </c>
      <c r="CB240" s="45">
        <f t="shared" si="416"/>
        <v>4.6713750000000005E-2</v>
      </c>
      <c r="CC240" s="45">
        <f t="shared" si="417"/>
        <v>0</v>
      </c>
      <c r="CD240" s="45">
        <v>0</v>
      </c>
      <c r="CE240" s="45">
        <f t="shared" si="418"/>
        <v>0</v>
      </c>
      <c r="CF240" s="45" t="str">
        <f t="shared" si="419"/>
        <v>NA</v>
      </c>
      <c r="CG240" s="45">
        <v>0</v>
      </c>
      <c r="CH240" s="244"/>
      <c r="CI240" s="244"/>
      <c r="CJ240" s="244"/>
      <c r="CK240" s="244"/>
      <c r="CM240" s="63">
        <v>23327</v>
      </c>
    </row>
    <row r="241" spans="1:91" ht="30.75" hidden="1" customHeight="1">
      <c r="A241" s="260" t="s">
        <v>1387</v>
      </c>
      <c r="B241" s="260" t="s">
        <v>1388</v>
      </c>
      <c r="C241" s="260" t="s">
        <v>1286</v>
      </c>
      <c r="D241" s="260" t="s">
        <v>1496</v>
      </c>
      <c r="E241" s="260" t="s">
        <v>1583</v>
      </c>
      <c r="F241" s="260" t="s">
        <v>1628</v>
      </c>
      <c r="G241" s="260" t="s">
        <v>1629</v>
      </c>
      <c r="H241" s="260" t="s">
        <v>1630</v>
      </c>
      <c r="I241" s="260"/>
      <c r="J241" s="260"/>
      <c r="K241" s="260" t="s">
        <v>1631</v>
      </c>
      <c r="L241" s="12" t="s">
        <v>1632</v>
      </c>
      <c r="M241" s="260" t="s">
        <v>1633</v>
      </c>
      <c r="N241" s="260" t="s">
        <v>111</v>
      </c>
      <c r="O241" s="260" t="s">
        <v>112</v>
      </c>
      <c r="P241" s="10">
        <v>2172997</v>
      </c>
      <c r="Q241" s="11">
        <v>496000</v>
      </c>
      <c r="R241" s="11">
        <f t="shared" si="406"/>
        <v>98143</v>
      </c>
      <c r="S241" s="11">
        <f>VLOOKUP(K241,'1285 EPC'!$K$13:$AK$35,9,0)</f>
        <v>0</v>
      </c>
      <c r="T241" s="11">
        <v>5757</v>
      </c>
      <c r="U241" s="11">
        <v>0</v>
      </c>
      <c r="V241" s="11">
        <v>39734</v>
      </c>
      <c r="W241" s="11">
        <v>0</v>
      </c>
      <c r="X241" s="11">
        <v>39734</v>
      </c>
      <c r="Y241" s="11">
        <v>0</v>
      </c>
      <c r="Z241" s="11">
        <v>39734</v>
      </c>
      <c r="AA241" s="11" t="s">
        <v>1634</v>
      </c>
      <c r="AB241" s="11" t="s">
        <v>1635</v>
      </c>
      <c r="AC241" s="11">
        <v>0</v>
      </c>
      <c r="AD241" s="11">
        <v>157803</v>
      </c>
      <c r="AE241" s="11">
        <v>0</v>
      </c>
      <c r="AF241" s="11">
        <f>VLOOKUP(K241,'1285 EPC'!$K$13:$AK$35,22,0)</f>
        <v>58409</v>
      </c>
      <c r="AG241" s="11" t="str">
        <f>VLOOKUP(K241,'1285 EPC'!$K$13:$AK$35,23,0)</f>
        <v> </v>
      </c>
      <c r="AH241" s="11">
        <f t="shared" si="407"/>
        <v>58409</v>
      </c>
      <c r="AI241" s="11" t="str">
        <f>VLOOKUP(K241,'1285 EPC'!$K$13:$AK$35,25,0)</f>
        <v>Nuevas personas con acceso  al servicio de alcantarillado urbano</v>
      </c>
      <c r="AJ241" s="11" t="str">
        <f>VLOOKUP(K241,'1285 EPC'!$K$13:$AK$35,26,0)</f>
        <v>Proyectos terminados: 
PTAR de Junín y conexiones al alcantarillado conectando a 322 usuarios nuevos al servicio, 606 nuevos habitantes conectados
Construcción de alcantarillado de aguas lluvias emergencia municipio de Pacho (Sin nuevas conexiones)
Construcción de las obras del plan maestro de alcantarillado del municipio de Pandi, conectando a 810 usuarios, beneficiando a 1450 nuevas personas
Construcción de las Obras Del Plan Maestro Del Acueducto Y Alcantarillado Municipio De Arbeláez, el proyecto no conecta usuarios nuevos al servicio.
Alcantarillado Vergara conectando a 91 persona nuevas al servicio.
Diseños Terminados: Aprobación de Diseños de Detalle de plan maestro acueducto de Cajicá
Aprobación de Diagnóstico y Alternativas del plan maestro de alcantarillado de Chipaque
EPC-CI-141-2017 Plan maestro de acueducto y alcantarillado de Supatá; incluye PTAP
Proyectos contratados: Contratar la construcción del colector sanitario Funza-Siberia en el municipio de Funza-fase I.
EPC-PDA-C-433-2019 san Cayetano
EPC-CI-027-2021 Construcción Del Sistema De Alcantarillado Sanitario Para El Sector De Villas De Granada, Municipio De Zipaquirá 
EPC-CI-028-2021 Optimización Redes De Alcantarillado Aguas Residuales Y Combinadas Urbanos - Etapa 2 Arc-Distrito Sanitario Suroccidental, Municipio De Madrid  
EPC-CI-029-2021 Optimización Redes De Alcantarillado Aguas Residuales Y Combinadas Urbanos - Etapa 2 Arc-Distrito Sanitario Suroriental, Municipio De Madrid 
EPC-CI-030-2021 Optimización Redes De Alcantarillado Aguas Residuales Y Combinadas Urbanos - Etapa 2 Arc-Distrito Sanitario Sur, Municipio De Madrid 
EPC-CI-031-2021 Optimización Redes De Alcantarillado Aguas Residuales Y Combinadas Urbanos - Etapa 1 Arc-Macrodistrito Sanitario 2, Municipio De Madrid 
EPC-CI-043-2021 Construcción y/o Optimización De Sistema De Alcantarillado Y Emisario Final Del Sector El Hato, Municipio De La Mesa
EPC-PDA-O-406-2021 Plan Maestro De Alcantarillado Sanitario Y Pluvial Fase Iii Etapa I Del Municipio De Ricaurte 
EPC-PDA-O-407-2021 Ampliación De La Red De Alcantarillado De La Gran Vía Municipio De Tena
Diseños en proceso de aprobación
EPC-CI-013-2018 Gama
EPC-CI-141-2017 Plan maestro de acueducto y alcantarillado de Supatá; incluye PTAP
Diseños Aprobados:
EPC-PDA-C-264-2018 Agua de Dios, Alcantarillado pluvial urbano.
Proyectos Viabilizado: El Colegio - Colector Zona de Expansión No. 2
PTAR Urbana de Vianí EPC-PDA-C-339-2019
Aprobación PSMV:
Cuentan con resolución de aprobación los municipios de Anolaima, Chocontá, Cachipay, Facatativá, La Mesa, Pacho, Subachoque, Anapoima, Pandi
Gestión predial en ejecución:
Sibaté - Alcantarillado casco urbano
Ubalá - Plan Maestro de Acueducto y Alcantarillado
Lenguazaque - PTAR
El Colegio - Colector Zona de Expansión No. 2
Seguimiento
Agua de Dios - PMAlc pluvial
Gutierrez - Optimización Alc fase I
Fómeque - PMAlc y centro poblado la Unión
Topaipi - Plan Maestro de Acueducto y Alcantarillado
Facatativa - Plan maestro de acueducto y alcantarillado
La Mesa - Alc Casco Urbano
Gachancipá - PMAlc
Vianí - PTAR
Chocontá - PMAlc
La Mesa - Alc Urbano
Alcantarillado Casco Urbano - Gutiérrez
Alcantarillado sector Villas de Granada - Zipaquirá
Alcantarillado y emisario final El Hato - La mesa
Canal de aguas lluvia Sicamocha - Ubaté
PMAlc - Tabio</v>
      </c>
      <c r="AK241" s="11" t="str">
        <f>VLOOKUP(K241,'1285 EPC'!$K$13:$AK$35,27,0)</f>
        <v xml:space="preserve">Demora en la entrega de resultados por parte de los laboratorios.
Retrasos en las consultorías de diseños, para poder trámitar los respectivos permisos
Tiempos de evaluación técnica por parte de la Corporación
Se han presentado dificultades en atender observaciones en los ajustes de los diseños para la radicacion de la solicitud  de contratacion del proyecto.
Obtencion de certificacion por parte de los municipios.
 Los predios a adquirir se encuentran en trámites y requisitos previos para su adquisición.  </v>
      </c>
      <c r="AL241" s="11">
        <v>152023</v>
      </c>
      <c r="AM241" s="11">
        <v>0</v>
      </c>
      <c r="AN241" s="11">
        <v>146440</v>
      </c>
      <c r="AO241" s="11">
        <v>0</v>
      </c>
      <c r="AP241" s="11">
        <v>0</v>
      </c>
      <c r="AQ241" s="11">
        <v>0</v>
      </c>
      <c r="AR241" s="52"/>
      <c r="AS241" s="54">
        <v>64610499886</v>
      </c>
      <c r="AT241" s="54">
        <f t="shared" si="361"/>
        <v>64610499886</v>
      </c>
      <c r="AU241" s="52"/>
      <c r="AV241" s="243">
        <v>9261651255.820385</v>
      </c>
      <c r="AW241" s="244"/>
      <c r="AX241" s="244"/>
      <c r="AY241" s="243">
        <v>7309354132.8999996</v>
      </c>
      <c r="AZ241" s="44">
        <f t="shared" si="408"/>
        <v>0.19786895161290322</v>
      </c>
      <c r="BA241" s="44">
        <v>8.0100000000000005E-2</v>
      </c>
      <c r="BB241" s="44">
        <v>1</v>
      </c>
      <c r="BC241" s="44">
        <f t="shared" si="409"/>
        <v>0.31815120967741933</v>
      </c>
      <c r="BD241" s="44" cm="1">
        <f t="array" ref="BD241">_xlfn.IFS(AD241=0,"NA",AD241&gt;0,AH241/AD241)</f>
        <v>0.37013871726139552</v>
      </c>
      <c r="BE241" s="44">
        <f t="shared" si="410"/>
        <v>0.30649798387096772</v>
      </c>
      <c r="BF241" s="44">
        <v>0</v>
      </c>
      <c r="BG241" s="44">
        <f t="shared" si="411"/>
        <v>0.29524193548387095</v>
      </c>
      <c r="BH241" s="44">
        <v>0</v>
      </c>
      <c r="BI241" s="44">
        <f t="shared" si="412"/>
        <v>0</v>
      </c>
      <c r="BJ241" s="44" t="s">
        <v>115</v>
      </c>
      <c r="BK241" s="44">
        <f t="shared" si="362"/>
        <v>0.19786895161290322</v>
      </c>
      <c r="BL241" s="44">
        <v>1</v>
      </c>
      <c r="BM241" s="44" cm="1">
        <f t="array" ref="BM241">_xlfn.IFS(BD241="NA","NA",BD241&gt;100%,"100%",BD241&lt;100,BD241)</f>
        <v>0.37013871726139552</v>
      </c>
      <c r="BN241" s="44" cm="1">
        <f t="array" ref="BN241">_xlfn.IFS(BF241="NA","NA",BF241&gt;100%,"100%",BF241&lt;100,BF241)</f>
        <v>0</v>
      </c>
      <c r="BO241" s="44" cm="1">
        <f t="array" ref="BO241">_xlfn.IFS(BH241="NA","NA",BH241&gt;100%,"100%",BH241&lt;100,BH241)</f>
        <v>0</v>
      </c>
      <c r="BP241" s="44" t="str" cm="1">
        <f t="array" ref="BP241">_xlfn.IFS(BJ241="NA","NA",BJ241&gt;100%,"100%",BJ241&lt;100,BJ241)</f>
        <v>NA</v>
      </c>
      <c r="BQ241" s="45">
        <v>0.22500000000000001</v>
      </c>
      <c r="BR241" s="45">
        <f t="shared" si="372"/>
        <v>4.4520514112903226E-2</v>
      </c>
      <c r="BS241" s="45">
        <v>1.7999999999999999E-2</v>
      </c>
      <c r="BT241" s="45">
        <v>1.7999999999999999E-2</v>
      </c>
      <c r="BU241" s="45">
        <v>1.7999999999999999E-2</v>
      </c>
      <c r="BV241" s="45">
        <f t="shared" si="413"/>
        <v>7.1584022177419354E-2</v>
      </c>
      <c r="BW241" s="45">
        <f t="shared" si="392"/>
        <v>2.6496018145161289E-2</v>
      </c>
      <c r="BX241" s="45">
        <f t="shared" si="393"/>
        <v>2.6520514112903227E-2</v>
      </c>
      <c r="BY241" s="45">
        <f t="shared" si="414"/>
        <v>6.8962046370967742E-2</v>
      </c>
      <c r="BZ241" s="45">
        <f t="shared" si="415"/>
        <v>0</v>
      </c>
      <c r="CA241" s="45">
        <f t="shared" si="373"/>
        <v>0</v>
      </c>
      <c r="CB241" s="45">
        <f t="shared" si="416"/>
        <v>6.6429435483870966E-2</v>
      </c>
      <c r="CC241" s="45">
        <f t="shared" si="417"/>
        <v>0</v>
      </c>
      <c r="CD241" s="45">
        <v>0</v>
      </c>
      <c r="CE241" s="45">
        <f t="shared" si="418"/>
        <v>0</v>
      </c>
      <c r="CF241" s="45" t="str">
        <f t="shared" si="419"/>
        <v>NA</v>
      </c>
      <c r="CG241" s="45">
        <v>0</v>
      </c>
      <c r="CH241" s="244"/>
      <c r="CI241" s="244"/>
      <c r="CJ241" s="244"/>
      <c r="CK241" s="244"/>
      <c r="CM241" s="63">
        <v>69137</v>
      </c>
    </row>
    <row r="242" spans="1:91" ht="30.75" hidden="1" customHeight="1">
      <c r="A242" s="260" t="s">
        <v>1387</v>
      </c>
      <c r="B242" s="260" t="s">
        <v>1388</v>
      </c>
      <c r="C242" s="260" t="s">
        <v>1286</v>
      </c>
      <c r="D242" s="260" t="s">
        <v>1496</v>
      </c>
      <c r="E242" s="260" t="s">
        <v>1583</v>
      </c>
      <c r="F242" s="260" t="s">
        <v>1636</v>
      </c>
      <c r="G242" s="260" t="s">
        <v>1637</v>
      </c>
      <c r="H242" s="260" t="s">
        <v>1638</v>
      </c>
      <c r="I242" s="260"/>
      <c r="J242" s="260"/>
      <c r="K242" s="260" t="s">
        <v>1639</v>
      </c>
      <c r="L242" s="12" t="s">
        <v>1640</v>
      </c>
      <c r="M242" s="260" t="s">
        <v>1641</v>
      </c>
      <c r="N242" s="260" t="s">
        <v>111</v>
      </c>
      <c r="O242" s="260" t="s">
        <v>112</v>
      </c>
      <c r="P242" s="10">
        <v>2548491</v>
      </c>
      <c r="Q242" s="11">
        <v>538000</v>
      </c>
      <c r="R242" s="11">
        <f t="shared" si="406"/>
        <v>104433</v>
      </c>
      <c r="S242" s="11">
        <f>VLOOKUP(K242,'1285 EPC'!$K$13:$AK$35,9,0)</f>
        <v>0</v>
      </c>
      <c r="T242" s="11">
        <v>0</v>
      </c>
      <c r="U242" s="11">
        <v>0</v>
      </c>
      <c r="V242" s="11">
        <v>0</v>
      </c>
      <c r="W242" s="11">
        <v>0</v>
      </c>
      <c r="X242" s="11">
        <v>0</v>
      </c>
      <c r="Y242" s="11">
        <v>0</v>
      </c>
      <c r="Z242" s="11">
        <v>0</v>
      </c>
      <c r="AA242" s="11"/>
      <c r="AB242" s="11"/>
      <c r="AC242" s="11"/>
      <c r="AD242" s="11">
        <v>196821</v>
      </c>
      <c r="AE242" s="11">
        <v>0</v>
      </c>
      <c r="AF242" s="11">
        <f>VLOOKUP(K242,'1285 EPC'!$K$13:$AK$35,22,0)</f>
        <v>104433</v>
      </c>
      <c r="AG242" s="11" t="str">
        <f>VLOOKUP(K242,'1285 EPC'!$K$13:$AK$35,23,0)</f>
        <v> </v>
      </c>
      <c r="AH242" s="11">
        <f t="shared" si="407"/>
        <v>104433</v>
      </c>
      <c r="AI242" s="11" t="str">
        <f>VLOOKUP(K242,'1285 EPC'!$K$13:$AK$35,25,0)</f>
        <v>Nuevas personas con acceso al servicio de aseo</v>
      </c>
      <c r="AJ242" s="11" t="str">
        <f>VLOOKUP(K242,'1285 EPC'!$K$13:$AK$35,26,0)</f>
        <v>Nuevas conexiones: Al hacer seguimiento a los nuevos usuarios que se les presta el servicio de aseo a través de los prestadores; se realiza una encuesta a los prestadores del Departamento, la cual arroja el siguiente resultado: 87.667 nuevas personas con acceso al servicio de aseo.
Se apoyo en la formulación y estructuración de 11 proyectos para adquisición de vehículos compactadores. Se está apoyando en la formulación de proyectos a los municipios de El Colegio, Ubaté, Anapoima, Subachoque, Zipaquirá, Silvania y Villapinzón, se radicaron a ventanilla la respectiva documentación.
Se radicaron los siguientes proyectos en la ventanilla:
Guaduas, La Palma, Tibirita, Topaipí, Paratebueno y Guachetá - 01/03/2021
Sibaté - 16/03/2021.  Fue posible dar inicio a la ejecución del proyecto de Vergara el 23/03/2021
Se recibió por parte de la Ventanilla Departamental los conceptos favorables de los 11 proyectos para la adquisición de los vehículos compactadores y Se estructura el proceso de solicitud de contratación de acuerdo a la Ley 80 de 1993, el cual se encuentra en aprobación.
Se adjudico a UT COMPACTOR el proceso de licitación pública N° LP-PDA-008-2021 mediante Resolución 306 del 26 de noviembre de 2021 por un valor de $5.706.764.000.
PGIRS en ejecución
Tocaima, Cabrera
PGIRS terminado
Guaduas: El convenio termino el 17 de junio de 2021, cumpliendo lo establecido en el cronograma, se encuentra en proceso de liquidación
Vergara: El 22 de julio de 2021 se terminó la ejecución del contrato derivado y del convenio; se encuentra en proceso de liquidación
Se inicio la ejecución del contrato de obra PARSO San Juan de Rioseco el 06 de abril 2021, Se reportó un 20% del contrato de obra de la PARSO San Juan Rio Seco para el mes de septiembre de 2021.
Se realizó visita a los posibles predios en el municipio de San Antonio del Tequendama para ubicar una PARSO los cuales presentan dificultades técnicas.
El 10 de septiembre de 2021 se realizó visita técnica al parque de aprovechamiento de residuos sólidos del municipio de Fusagasugá evidenciando que requieren maquinaria para implementación de acciones de aprovechamiento de residuos orgánicos</v>
      </c>
      <c r="AK242" s="11" t="str">
        <f>VLOOKUP(K242,'1285 EPC'!$K$13:$AK$35,27,0)</f>
        <v>Falta de experticia en la formulación técnica de los proyectos.
Los municipios no atienden las encuestas solicitadas por la dirección de aseguramiento.
La ventanilla Departamental tuvo retraso en el inicio de sus actividas y para la evaluación de proyectos
Atención a las observaciones realizadas por la interventoria y supervision para iniciar la ejecución de los proyectos</v>
      </c>
      <c r="AL242" s="11">
        <v>174493</v>
      </c>
      <c r="AM242" s="11">
        <v>0</v>
      </c>
      <c r="AN242" s="11">
        <v>166686</v>
      </c>
      <c r="AO242" s="11">
        <v>0</v>
      </c>
      <c r="AP242" s="11">
        <v>0</v>
      </c>
      <c r="AQ242" s="11">
        <v>0</v>
      </c>
      <c r="AR242" s="52"/>
      <c r="AS242" s="54">
        <v>0</v>
      </c>
      <c r="AT242" s="54">
        <f t="shared" si="361"/>
        <v>0</v>
      </c>
      <c r="AU242" s="52"/>
      <c r="AV242" s="243">
        <v>693944658</v>
      </c>
      <c r="AW242" s="244"/>
      <c r="AX242" s="244"/>
      <c r="AY242" s="243">
        <v>0</v>
      </c>
      <c r="AZ242" s="44">
        <f t="shared" si="408"/>
        <v>0.19411338289962826</v>
      </c>
      <c r="BA242" s="44">
        <v>0</v>
      </c>
      <c r="BB242" s="44" t="s">
        <v>115</v>
      </c>
      <c r="BC242" s="44">
        <f t="shared" si="409"/>
        <v>0.3658382899628253</v>
      </c>
      <c r="BD242" s="44" cm="1">
        <f t="array" ref="BD242">_xlfn.IFS(AD242=0,"NA",AD242&gt;0,AH242/AD242)</f>
        <v>0.53059886902312259</v>
      </c>
      <c r="BE242" s="44">
        <f t="shared" si="410"/>
        <v>0.32433643122676581</v>
      </c>
      <c r="BF242" s="44">
        <v>0</v>
      </c>
      <c r="BG242" s="44">
        <f t="shared" si="411"/>
        <v>0.30982527881040894</v>
      </c>
      <c r="BH242" s="44">
        <v>0</v>
      </c>
      <c r="BI242" s="44">
        <f t="shared" si="412"/>
        <v>0</v>
      </c>
      <c r="BJ242" s="44" t="s">
        <v>115</v>
      </c>
      <c r="BK242" s="44">
        <f t="shared" si="362"/>
        <v>0.19411338289962826</v>
      </c>
      <c r="BL242" s="44" t="s">
        <v>115</v>
      </c>
      <c r="BM242" s="44" cm="1">
        <f t="array" ref="BM242">_xlfn.IFS(BD242="NA","NA",BD242&gt;100%,"100%",BD242&lt;100,BD242)</f>
        <v>0.53059886902312259</v>
      </c>
      <c r="BN242" s="44" cm="1">
        <f t="array" ref="BN242">_xlfn.IFS(BF242="NA","NA",BF242&gt;100%,"100%",BF242&lt;100,BF242)</f>
        <v>0</v>
      </c>
      <c r="BO242" s="44" cm="1">
        <f t="array" ref="BO242">_xlfn.IFS(BH242="NA","NA",BH242&gt;100%,"100%",BH242&lt;100,BH242)</f>
        <v>0</v>
      </c>
      <c r="BP242" s="44" t="str" cm="1">
        <f t="array" ref="BP242">_xlfn.IFS(BJ242="NA","NA",BJ242&gt;100%,"100%",BJ242&lt;100,BJ242)</f>
        <v>NA</v>
      </c>
      <c r="BQ242" s="45">
        <v>0.22500000000000001</v>
      </c>
      <c r="BR242" s="45">
        <f t="shared" si="372"/>
        <v>4.3675511152416358E-2</v>
      </c>
      <c r="BS242" s="45">
        <v>0</v>
      </c>
      <c r="BT242" s="45" t="s">
        <v>115</v>
      </c>
      <c r="BU242" s="45">
        <v>0</v>
      </c>
      <c r="BV242" s="45">
        <f t="shared" si="413"/>
        <v>8.231361524163569E-2</v>
      </c>
      <c r="BW242" s="45">
        <f t="shared" si="392"/>
        <v>4.3675511152416364E-2</v>
      </c>
      <c r="BX242" s="45">
        <f t="shared" si="393"/>
        <v>4.3675511152416358E-2</v>
      </c>
      <c r="BY242" s="45">
        <f t="shared" si="414"/>
        <v>7.2975697026022315E-2</v>
      </c>
      <c r="BZ242" s="45">
        <f t="shared" si="415"/>
        <v>0</v>
      </c>
      <c r="CA242" s="45">
        <f t="shared" si="373"/>
        <v>0</v>
      </c>
      <c r="CB242" s="45">
        <f t="shared" si="416"/>
        <v>6.9710687732342E-2</v>
      </c>
      <c r="CC242" s="45">
        <f t="shared" si="417"/>
        <v>0</v>
      </c>
      <c r="CD242" s="45">
        <v>0</v>
      </c>
      <c r="CE242" s="45">
        <f t="shared" si="418"/>
        <v>0</v>
      </c>
      <c r="CF242" s="45" t="str">
        <f t="shared" si="419"/>
        <v>NA</v>
      </c>
      <c r="CG242" s="45">
        <v>0</v>
      </c>
      <c r="CH242" s="244"/>
      <c r="CI242" s="244"/>
      <c r="CJ242" s="244"/>
      <c r="CK242" s="244"/>
      <c r="CM242" s="63">
        <v>41271</v>
      </c>
    </row>
    <row r="243" spans="1:91" ht="18" hidden="1" customHeight="1">
      <c r="A243" s="260" t="s">
        <v>1361</v>
      </c>
      <c r="B243" s="260" t="s">
        <v>1362</v>
      </c>
      <c r="C243" s="260" t="s">
        <v>1286</v>
      </c>
      <c r="D243" s="260" t="s">
        <v>1496</v>
      </c>
      <c r="E243" s="260" t="s">
        <v>1583</v>
      </c>
      <c r="F243" s="260" t="s">
        <v>1642</v>
      </c>
      <c r="G243" s="260" t="s">
        <v>1643</v>
      </c>
      <c r="H243" s="260" t="s">
        <v>1644</v>
      </c>
      <c r="I243" s="260"/>
      <c r="J243" s="260"/>
      <c r="K243" s="260" t="s">
        <v>1645</v>
      </c>
      <c r="L243" s="260" t="s">
        <v>1646</v>
      </c>
      <c r="M243" s="260" t="s">
        <v>1647</v>
      </c>
      <c r="N243" s="260" t="s">
        <v>111</v>
      </c>
      <c r="O243" s="260" t="s">
        <v>112</v>
      </c>
      <c r="P243" s="10">
        <v>685158</v>
      </c>
      <c r="Q243" s="11">
        <v>20000</v>
      </c>
      <c r="R243" s="11">
        <f t="shared" si="406"/>
        <v>8698</v>
      </c>
      <c r="S243" s="11" t="str">
        <f>VLOOKUP(K243,'1132 Minas'!$K$13:$AK$20,9,0)</f>
        <v>Se conectaron 8.698 usuarios al servicio de gas mejorando la calidad de vida y beneficiando la comunidad.</v>
      </c>
      <c r="T243" s="11">
        <v>7300</v>
      </c>
      <c r="U243" s="11">
        <v>0</v>
      </c>
      <c r="V243" s="11">
        <v>4841</v>
      </c>
      <c r="W243" s="11">
        <v>0</v>
      </c>
      <c r="X243" s="11">
        <v>2492</v>
      </c>
      <c r="Y243" s="11">
        <v>0</v>
      </c>
      <c r="Z243" s="11">
        <v>2492</v>
      </c>
      <c r="AA243" s="11" t="s">
        <v>1648</v>
      </c>
      <c r="AB243" s="11" t="s">
        <v>1649</v>
      </c>
      <c r="AC243" s="11" t="s">
        <v>1650</v>
      </c>
      <c r="AD243" s="11">
        <v>7583</v>
      </c>
      <c r="AE243" s="11">
        <v>0</v>
      </c>
      <c r="AF243" s="11">
        <f>VLOOKUP(K243,'1132 Minas'!$K$13:$AK$20,22,0)</f>
        <v>6206</v>
      </c>
      <c r="AG243" s="11">
        <f>VLOOKUP(K243,'1132 Minas'!$K$13:$AK$20,23,0)</f>
        <v>0</v>
      </c>
      <c r="AH243" s="11">
        <f t="shared" si="407"/>
        <v>6206</v>
      </c>
      <c r="AI243" s="11" t="str">
        <f>VLOOKUP(K243,'1132 Minas'!$K$13:$AK$20,25,0)</f>
        <v>Conexión a 6.206 usuarios que hoy cuenta con el servicio de gas natural por redes</v>
      </c>
      <c r="AJ243" s="11" t="str">
        <f>VLOOKUP(K243,'1132 Minas'!$K$13:$AK$20,26,0)</f>
        <v>Se conectaron 6.206 usuarios al servicio de gas mejorando la calidad de vida y beneficiando la comunidad</v>
      </c>
      <c r="AK243" s="11" t="str">
        <f>VLOOKUP(K243,'1132 Minas'!$K$13:$AK$20,27,0)</f>
        <v>Retrasos en las obras a causa del Covid -19 / Demoras en el traslado de los insumos a causa del Paro nacional</v>
      </c>
      <c r="AL243" s="11">
        <v>6680</v>
      </c>
      <c r="AM243" s="11">
        <v>0</v>
      </c>
      <c r="AN243" s="11">
        <v>3245</v>
      </c>
      <c r="AO243" s="11">
        <v>0</v>
      </c>
      <c r="AP243" s="11">
        <v>0</v>
      </c>
      <c r="AQ243" s="11">
        <v>0</v>
      </c>
      <c r="AR243" s="51">
        <v>781399997</v>
      </c>
      <c r="AS243" s="54">
        <v>0</v>
      </c>
      <c r="AT243" s="54">
        <f t="shared" si="361"/>
        <v>781399997</v>
      </c>
      <c r="AU243" s="51">
        <v>780899997</v>
      </c>
      <c r="AV243" s="243">
        <v>4918505649</v>
      </c>
      <c r="AW243" s="244"/>
      <c r="AX243" s="244"/>
      <c r="AY243" s="243">
        <v>4899557234</v>
      </c>
      <c r="AZ243" s="44">
        <f t="shared" si="408"/>
        <v>0.43490000000000001</v>
      </c>
      <c r="BA243" s="44">
        <v>0.24210000000000001</v>
      </c>
      <c r="BB243" s="44">
        <v>0.51480000000000004</v>
      </c>
      <c r="BC243" s="44">
        <f t="shared" si="409"/>
        <v>0.37914999999999999</v>
      </c>
      <c r="BD243" s="44" cm="1">
        <f t="array" ref="BD243">_xlfn.IFS(AD243=0,"NA",AD243&gt;0,AH243/AD243)</f>
        <v>0.81840960042199662</v>
      </c>
      <c r="BE243" s="44">
        <f t="shared" si="410"/>
        <v>0.33400000000000002</v>
      </c>
      <c r="BF243" s="44">
        <v>0</v>
      </c>
      <c r="BG243" s="44">
        <f t="shared" si="411"/>
        <v>0.16225000000000001</v>
      </c>
      <c r="BH243" s="44">
        <v>0</v>
      </c>
      <c r="BI243" s="44">
        <f t="shared" si="412"/>
        <v>0</v>
      </c>
      <c r="BJ243" s="44" t="s">
        <v>115</v>
      </c>
      <c r="BK243" s="44">
        <f t="shared" si="362"/>
        <v>0.43490000000000001</v>
      </c>
      <c r="BL243" s="44">
        <v>0.51480000000000004</v>
      </c>
      <c r="BM243" s="44" cm="1">
        <f t="array" ref="BM243">_xlfn.IFS(BD243="NA","NA",BD243&gt;100%,"100%",BD243&lt;100,BD243)</f>
        <v>0.81840960042199662</v>
      </c>
      <c r="BN243" s="44" cm="1">
        <f t="array" ref="BN243">_xlfn.IFS(BF243="NA","NA",BF243&gt;100%,"100%",BF243&lt;100,BF243)</f>
        <v>0</v>
      </c>
      <c r="BO243" s="44" cm="1">
        <f t="array" ref="BO243">_xlfn.IFS(BH243="NA","NA",BH243&gt;100%,"100%",BH243&lt;100,BH243)</f>
        <v>0</v>
      </c>
      <c r="BP243" s="44" t="str" cm="1">
        <f t="array" ref="BP243">_xlfn.IFS(BJ243="NA","NA",BJ243&gt;100%,"100%",BJ243&lt;100,BJ243)</f>
        <v>NA</v>
      </c>
      <c r="BQ243" s="45">
        <v>0.22500000000000001</v>
      </c>
      <c r="BR243" s="45">
        <f t="shared" si="372"/>
        <v>9.7852500000000009E-2</v>
      </c>
      <c r="BS243" s="45">
        <v>5.45E-2</v>
      </c>
      <c r="BT243" s="45">
        <v>2.81E-2</v>
      </c>
      <c r="BU243" s="45">
        <v>2.8000000000000001E-2</v>
      </c>
      <c r="BV243" s="45">
        <f t="shared" si="413"/>
        <v>8.5308750000000003E-2</v>
      </c>
      <c r="BW243" s="45">
        <f t="shared" si="392"/>
        <v>6.9817500000000005E-2</v>
      </c>
      <c r="BX243" s="45">
        <f t="shared" si="393"/>
        <v>6.9852500000000012E-2</v>
      </c>
      <c r="BY243" s="45">
        <f t="shared" si="414"/>
        <v>7.5149999999999995E-2</v>
      </c>
      <c r="BZ243" s="45">
        <f t="shared" si="415"/>
        <v>0</v>
      </c>
      <c r="CA243" s="45">
        <f t="shared" si="373"/>
        <v>0</v>
      </c>
      <c r="CB243" s="45">
        <f t="shared" si="416"/>
        <v>3.6506249999999997E-2</v>
      </c>
      <c r="CC243" s="45">
        <f t="shared" si="417"/>
        <v>0</v>
      </c>
      <c r="CD243" s="45">
        <v>0</v>
      </c>
      <c r="CE243" s="45">
        <f t="shared" si="418"/>
        <v>0</v>
      </c>
      <c r="CF243" s="45" t="str">
        <f t="shared" si="419"/>
        <v>NA</v>
      </c>
      <c r="CG243" s="45">
        <v>0</v>
      </c>
      <c r="CH243" s="244"/>
      <c r="CI243" s="244"/>
      <c r="CJ243" s="244"/>
      <c r="CK243" s="244"/>
      <c r="CM243" s="63">
        <v>6953</v>
      </c>
    </row>
    <row r="244" spans="1:91" ht="30.75" hidden="1" customHeight="1">
      <c r="A244" s="260" t="s">
        <v>1387</v>
      </c>
      <c r="B244" s="260" t="s">
        <v>1388</v>
      </c>
      <c r="C244" s="260" t="s">
        <v>1286</v>
      </c>
      <c r="D244" s="260" t="s">
        <v>1496</v>
      </c>
      <c r="E244" s="260" t="s">
        <v>1583</v>
      </c>
      <c r="F244" s="260" t="s">
        <v>1651</v>
      </c>
      <c r="G244" s="260" t="s">
        <v>1652</v>
      </c>
      <c r="H244" s="260" t="s">
        <v>1653</v>
      </c>
      <c r="I244" s="260"/>
      <c r="J244" s="260"/>
      <c r="K244" s="260" t="s">
        <v>1654</v>
      </c>
      <c r="L244" s="12" t="s">
        <v>1655</v>
      </c>
      <c r="M244" s="260" t="s">
        <v>140</v>
      </c>
      <c r="N244" s="260" t="s">
        <v>111</v>
      </c>
      <c r="O244" s="260" t="s">
        <v>112</v>
      </c>
      <c r="P244" s="10">
        <v>0</v>
      </c>
      <c r="Q244" s="11">
        <v>46</v>
      </c>
      <c r="R244" s="11">
        <f t="shared" si="406"/>
        <v>20</v>
      </c>
      <c r="S244" s="11">
        <f>VLOOKUP(K244,'1285 EPC'!$K$13:$AK$35,9,0)</f>
        <v>0</v>
      </c>
      <c r="T244" s="11">
        <v>20</v>
      </c>
      <c r="U244" s="11">
        <v>0</v>
      </c>
      <c r="V244" s="11">
        <v>20</v>
      </c>
      <c r="W244" s="11">
        <v>0</v>
      </c>
      <c r="X244" s="11">
        <v>20</v>
      </c>
      <c r="Y244" s="11">
        <v>0</v>
      </c>
      <c r="Z244" s="11">
        <v>20</v>
      </c>
      <c r="AA244" s="11">
        <v>0</v>
      </c>
      <c r="AB244" s="11" t="s">
        <v>1656</v>
      </c>
      <c r="AC244" s="11">
        <v>0</v>
      </c>
      <c r="AD244" s="11">
        <v>10</v>
      </c>
      <c r="AE244" s="11">
        <v>0</v>
      </c>
      <c r="AF244" s="11">
        <f>VLOOKUP(K244,'1285 EPC'!$K$13:$AK$35,22,0)</f>
        <v>0</v>
      </c>
      <c r="AG244" s="11" t="str">
        <f>VLOOKUP(K244,'1285 EPC'!$K$13:$AK$35,23,0)</f>
        <v> </v>
      </c>
      <c r="AH244" s="11">
        <f t="shared" si="407"/>
        <v>0</v>
      </c>
      <c r="AI244" s="11" t="str">
        <f>VLOOKUP(K244,'1285 EPC'!$K$13:$AK$35,25,0)</f>
        <v> </v>
      </c>
      <c r="AJ244" s="11" t="str">
        <f>VLOOKUP(K244,'1285 EPC'!$K$13:$AK$35,26,0)</f>
        <v>El plan de aseguramiento 2021, se encuentra en proceso de viabilización con el Ministerio de Vivienda, Ciudad y Territorio,
 13 PTAP Agua, Vida y Saber se encuentran en ajustes del componente técnico e institucional
PTAP rurales: Se realizó traspaso del predio por parte de la Asociación del Acueducto Guanguita y Reatova al municipio de Villapinzón. De igual manera se encuentra en evaluación de propuesta de los oferentes por parte del municipio para la adjudicación de los contratos derivados 
Fueron aprobados por la interventoría 14 plantas de tratamiento de agua potable, vinculas al programa "+agua potable" 
Fueron viabilizadas por el Mecanismo Departamental de Viabilización de Proyectos durante el 2021, 15 plantas de tratamiento de agua potable 
Durante el 2021 se firmaron 13 convenios con los municipios y 2 proyectos se encuentran radicados para iniciar el proceso de contratación. 
En el período, se realizaron 20 capacitaciones a los operadores PTAP en el monitoreo y control de la calidad del agua, así como el mejoramiento en cada una de las Buenas Prácticas Sanitarias.
En el mes de agosto, se realizó diagnósticos técnico operativo a 12 PTAP del departamento de Cundinamarca, que se encuentran priorizadas en el Plan de Aseguramiento 2021.</v>
      </c>
      <c r="AK244" s="11" t="str">
        <f>VLOOKUP(K244,'1285 EPC'!$K$13:$AK$35,27,0)</f>
        <v> </v>
      </c>
      <c r="AL244" s="11">
        <v>8</v>
      </c>
      <c r="AM244" s="11">
        <v>0</v>
      </c>
      <c r="AN244" s="11">
        <v>8</v>
      </c>
      <c r="AO244" s="11">
        <v>0</v>
      </c>
      <c r="AP244" s="11">
        <v>0</v>
      </c>
      <c r="AQ244" s="11">
        <v>0</v>
      </c>
      <c r="AR244" s="52"/>
      <c r="AS244" s="54">
        <v>9921968490</v>
      </c>
      <c r="AT244" s="54">
        <f t="shared" si="361"/>
        <v>9921968490</v>
      </c>
      <c r="AU244" s="52"/>
      <c r="AV244" s="243">
        <v>3514693683.7337027</v>
      </c>
      <c r="AW244" s="244"/>
      <c r="AX244" s="244"/>
      <c r="AY244" s="243">
        <v>2589333282.7600012</v>
      </c>
      <c r="AZ244" s="44">
        <f t="shared" si="408"/>
        <v>0.43478260869565216</v>
      </c>
      <c r="BA244" s="44">
        <v>0.43480000000000002</v>
      </c>
      <c r="BB244" s="44">
        <v>1</v>
      </c>
      <c r="BC244" s="44">
        <f t="shared" si="409"/>
        <v>0.21739130434782608</v>
      </c>
      <c r="BD244" s="44" cm="1">
        <f t="array" ref="BD244">_xlfn.IFS(AD244=0,"NA",AD244&gt;0,AH244/AD244)</f>
        <v>0</v>
      </c>
      <c r="BE244" s="44">
        <f t="shared" si="410"/>
        <v>0.17391304347826086</v>
      </c>
      <c r="BF244" s="44">
        <v>0</v>
      </c>
      <c r="BG244" s="44">
        <f t="shared" si="411"/>
        <v>0.17391304347826086</v>
      </c>
      <c r="BH244" s="44">
        <v>0</v>
      </c>
      <c r="BI244" s="44">
        <f t="shared" si="412"/>
        <v>0</v>
      </c>
      <c r="BJ244" s="44" t="s">
        <v>115</v>
      </c>
      <c r="BK244" s="44">
        <f t="shared" si="362"/>
        <v>0.43478260869565216</v>
      </c>
      <c r="BL244" s="44">
        <v>1</v>
      </c>
      <c r="BM244" s="44" cm="1">
        <f t="array" ref="BM244">_xlfn.IFS(BD244="NA","NA",BD244&gt;100%,"100%",BD244&lt;100,BD244)</f>
        <v>0</v>
      </c>
      <c r="BN244" s="44" cm="1">
        <f t="array" ref="BN244">_xlfn.IFS(BF244="NA","NA",BF244&gt;100%,"100%",BF244&lt;100,BF244)</f>
        <v>0</v>
      </c>
      <c r="BO244" s="44" cm="1">
        <f t="array" ref="BO244">_xlfn.IFS(BH244="NA","NA",BH244&gt;100%,"100%",BH244&lt;100,BH244)</f>
        <v>0</v>
      </c>
      <c r="BP244" s="44" t="str" cm="1">
        <f t="array" ref="BP244">_xlfn.IFS(BJ244="NA","NA",BJ244&gt;100%,"100%",BJ244&lt;100,BJ244)</f>
        <v>NA</v>
      </c>
      <c r="BQ244" s="45">
        <v>0.22500000000000001</v>
      </c>
      <c r="BR244" s="45">
        <f t="shared" si="372"/>
        <v>9.7826086956521743E-2</v>
      </c>
      <c r="BS244" s="45">
        <v>9.7799999999999998E-2</v>
      </c>
      <c r="BT244" s="45">
        <v>9.7799999999999998E-2</v>
      </c>
      <c r="BU244" s="45">
        <v>9.7799999999999998E-2</v>
      </c>
      <c r="BV244" s="45">
        <f t="shared" si="413"/>
        <v>4.8913043478260872E-2</v>
      </c>
      <c r="BW244" s="45">
        <f t="shared" si="392"/>
        <v>0</v>
      </c>
      <c r="BX244" s="45">
        <f t="shared" si="393"/>
        <v>2.6086956521745308E-5</v>
      </c>
      <c r="BY244" s="45">
        <f t="shared" si="414"/>
        <v>3.9130434782608699E-2</v>
      </c>
      <c r="BZ244" s="45">
        <f t="shared" si="415"/>
        <v>0</v>
      </c>
      <c r="CA244" s="45">
        <f t="shared" si="373"/>
        <v>0</v>
      </c>
      <c r="CB244" s="45">
        <f t="shared" si="416"/>
        <v>3.9130434782608699E-2</v>
      </c>
      <c r="CC244" s="45">
        <f t="shared" si="417"/>
        <v>0</v>
      </c>
      <c r="CD244" s="45">
        <v>0</v>
      </c>
      <c r="CE244" s="45">
        <f t="shared" si="418"/>
        <v>0</v>
      </c>
      <c r="CF244" s="45" t="str">
        <f t="shared" si="419"/>
        <v>NA</v>
      </c>
      <c r="CG244" s="45">
        <v>0</v>
      </c>
      <c r="CH244" s="244"/>
      <c r="CI244" s="244"/>
      <c r="CJ244" s="244"/>
      <c r="CK244" s="244"/>
      <c r="CM244" s="63">
        <v>20</v>
      </c>
    </row>
    <row r="245" spans="1:91" ht="18" hidden="1" customHeight="1">
      <c r="A245" s="260" t="s">
        <v>221</v>
      </c>
      <c r="B245" s="260" t="s">
        <v>222</v>
      </c>
      <c r="C245" s="260" t="s">
        <v>1286</v>
      </c>
      <c r="D245" s="260" t="s">
        <v>1657</v>
      </c>
      <c r="E245" s="260" t="s">
        <v>1658</v>
      </c>
      <c r="F245" s="260" t="s">
        <v>1659</v>
      </c>
      <c r="G245" s="260" t="s">
        <v>1660</v>
      </c>
      <c r="H245" s="260" t="s">
        <v>1661</v>
      </c>
      <c r="I245" s="260"/>
      <c r="J245" s="260"/>
      <c r="K245" s="260" t="s">
        <v>1662</v>
      </c>
      <c r="L245" s="260" t="s">
        <v>1663</v>
      </c>
      <c r="M245" s="260" t="s">
        <v>1664</v>
      </c>
      <c r="N245" s="260" t="s">
        <v>111</v>
      </c>
      <c r="O245" s="260" t="s">
        <v>112</v>
      </c>
      <c r="P245" s="10">
        <v>23</v>
      </c>
      <c r="Q245" s="11">
        <v>450</v>
      </c>
      <c r="R245" s="11">
        <f t="shared" ca="1" si="406"/>
        <v>346</v>
      </c>
      <c r="S245" s="11" t="str">
        <f ca="1">VLOOKUP(K245,'1220 IDECUT'!$K$13:$AK$48,9,0)</f>
        <v>Durante 2020 se ejecutó el plan de incentivos, beneficiando a 346 emprendedores turísticos de 74 municipios, a través de la estrategia "Touremprender", contribuyendo a la reactivación económica de micro negocios empresariales y/o asociativos y/o solidarios del turismo. A través de convocatoria pública se entregaron incentivos por valor de $4.500.000 a emprendedores turísticos del departamento para la reactivación económica del turismo 2020, como compromiso de la gobernación con el sector afectados por el aislamiento físico a causa de la emergencia. En 2021, se brindó acompañamiento a los empresarios turisticos incentivandolos a certificarse con el fin de fidelizar mayor número de turistas para reactivar su economía.</v>
      </c>
      <c r="T245" s="11">
        <v>0</v>
      </c>
      <c r="U245" s="11">
        <v>0</v>
      </c>
      <c r="V245" s="11">
        <v>30</v>
      </c>
      <c r="W245" s="11">
        <v>0</v>
      </c>
      <c r="X245" s="11">
        <v>346</v>
      </c>
      <c r="Y245" s="11">
        <v>0</v>
      </c>
      <c r="Z245" s="11">
        <v>346</v>
      </c>
      <c r="AA245" s="11" t="s">
        <v>1665</v>
      </c>
      <c r="AB245" s="11" t="s">
        <v>1666</v>
      </c>
      <c r="AC245" s="11" t="s">
        <v>1667</v>
      </c>
      <c r="AD245" s="11">
        <v>30</v>
      </c>
      <c r="AE245" s="11">
        <v>0</v>
      </c>
      <c r="AF245" s="11">
        <f ca="1">VLOOKUP(K245,'1220 IDECUT'!$K$13:$AK$48,22,0)</f>
        <v>0</v>
      </c>
      <c r="AG245" s="11">
        <f ca="1">VLOOKUP(K245,'1220 IDECUT'!$K$13:$AK$48,23,0)</f>
        <v>0</v>
      </c>
      <c r="AH245" s="11">
        <f t="shared" ca="1" si="407"/>
        <v>0</v>
      </c>
      <c r="AI245" s="11">
        <f ca="1">VLOOKUP(K245,'1220 IDECUT'!$K$13:$AK$48,25,0)</f>
        <v>0</v>
      </c>
      <c r="AJ245" s="11">
        <f ca="1">VLOOKUP(K245,'1220 IDECUT'!$K$13:$AK$48,26,0)</f>
        <v>0</v>
      </c>
      <c r="AK245" s="11">
        <f ca="1">VLOOKUP(K245,'1220 IDECUT'!$K$13:$AK$48,27,0)</f>
        <v>0</v>
      </c>
      <c r="AL245" s="11">
        <v>10</v>
      </c>
      <c r="AM245" s="11">
        <v>0</v>
      </c>
      <c r="AN245" s="11">
        <v>10</v>
      </c>
      <c r="AO245" s="11">
        <v>0</v>
      </c>
      <c r="AP245" s="11">
        <v>0</v>
      </c>
      <c r="AQ245" s="11">
        <v>0</v>
      </c>
      <c r="AR245" s="51">
        <v>2000000000</v>
      </c>
      <c r="AS245" s="54">
        <v>0</v>
      </c>
      <c r="AT245" s="54">
        <f t="shared" si="361"/>
        <v>2000000000</v>
      </c>
      <c r="AU245" s="51">
        <v>2000000000</v>
      </c>
      <c r="AV245" s="89">
        <v>80000000</v>
      </c>
      <c r="AW245" s="89"/>
      <c r="AX245" s="89"/>
      <c r="AY245" s="89">
        <v>11000000</v>
      </c>
      <c r="AZ245" s="44">
        <f t="shared" ca="1" si="408"/>
        <v>0.76888888888888884</v>
      </c>
      <c r="BA245" s="44">
        <v>0.375</v>
      </c>
      <c r="BB245" s="44">
        <v>11.533300000000001</v>
      </c>
      <c r="BC245" s="44">
        <f t="shared" si="409"/>
        <v>6.6666666666666666E-2</v>
      </c>
      <c r="BD245" s="44" cm="1">
        <f t="array" aca="1" ref="BD245" ca="1">_xlfn.IFS(AD245=0,"NA",AD245&gt;0,AH245/AD245)</f>
        <v>0</v>
      </c>
      <c r="BE245" s="44">
        <f t="shared" si="410"/>
        <v>2.2222222222222223E-2</v>
      </c>
      <c r="BF245" s="44">
        <v>0</v>
      </c>
      <c r="BG245" s="44">
        <f t="shared" si="411"/>
        <v>2.2222222222222223E-2</v>
      </c>
      <c r="BH245" s="44">
        <v>0</v>
      </c>
      <c r="BI245" s="44">
        <f t="shared" si="412"/>
        <v>0</v>
      </c>
      <c r="BJ245" s="44" t="s">
        <v>115</v>
      </c>
      <c r="BK245" s="44">
        <f t="shared" ca="1" si="362"/>
        <v>0.76888888888888884</v>
      </c>
      <c r="BL245" s="44">
        <v>1</v>
      </c>
      <c r="BM245" s="44" cm="1">
        <f t="array" aca="1" ref="BM245" ca="1">_xlfn.IFS(BD245="NA","NA",BD245&gt;100%,"100%",BD245&lt;100,BD245)</f>
        <v>0</v>
      </c>
      <c r="BN245" s="44" cm="1">
        <f t="array" ref="BN245">_xlfn.IFS(BF245="NA","NA",BF245&gt;100%,"100%",BF245&lt;100,BF245)</f>
        <v>0</v>
      </c>
      <c r="BO245" s="44" cm="1">
        <f t="array" ref="BO245">_xlfn.IFS(BH245="NA","NA",BH245&gt;100%,"100%",BH245&lt;100,BH245)</f>
        <v>0</v>
      </c>
      <c r="BP245" s="44" t="str" cm="1">
        <f t="array" ref="BP245">_xlfn.IFS(BJ245="NA","NA",BJ245&gt;100%,"100%",BJ245&lt;100,BJ245)</f>
        <v>NA</v>
      </c>
      <c r="BQ245" s="45">
        <v>0.22500000000000001</v>
      </c>
      <c r="BR245" s="45">
        <f t="shared" ca="1" si="372"/>
        <v>0.17299999999999999</v>
      </c>
      <c r="BS245" s="45">
        <v>8.4400000000000003E-2</v>
      </c>
      <c r="BT245" s="45">
        <v>8.4400000000000003E-2</v>
      </c>
      <c r="BU245" s="262">
        <v>0.17299999999999999</v>
      </c>
      <c r="BV245" s="45">
        <f t="shared" si="413"/>
        <v>1.4999999999999999E-2</v>
      </c>
      <c r="BW245" s="45">
        <f t="shared" ca="1" si="392"/>
        <v>0</v>
      </c>
      <c r="BX245" s="45">
        <f t="shared" ca="1" si="393"/>
        <v>0</v>
      </c>
      <c r="BY245" s="45">
        <f t="shared" si="414"/>
        <v>5.0000000000000001E-3</v>
      </c>
      <c r="BZ245" s="45">
        <f t="shared" si="415"/>
        <v>0</v>
      </c>
      <c r="CA245" s="45">
        <f t="shared" ca="1" si="373"/>
        <v>0</v>
      </c>
      <c r="CB245" s="45">
        <f t="shared" si="416"/>
        <v>5.0000000000000001E-3</v>
      </c>
      <c r="CC245" s="45">
        <f t="shared" si="417"/>
        <v>0</v>
      </c>
      <c r="CD245" s="45">
        <v>0</v>
      </c>
      <c r="CE245" s="45">
        <f t="shared" si="418"/>
        <v>0</v>
      </c>
      <c r="CF245" s="45" t="str">
        <f t="shared" si="419"/>
        <v>NA</v>
      </c>
      <c r="CG245" s="45">
        <v>0</v>
      </c>
      <c r="CH245" s="244"/>
      <c r="CI245" s="244"/>
      <c r="CJ245" s="244"/>
      <c r="CK245" s="244"/>
      <c r="CM245" s="63">
        <v>346</v>
      </c>
    </row>
    <row r="246" spans="1:91" ht="18" hidden="1" customHeight="1">
      <c r="A246" s="260" t="s">
        <v>1310</v>
      </c>
      <c r="B246" s="260" t="s">
        <v>1311</v>
      </c>
      <c r="C246" s="260" t="s">
        <v>1286</v>
      </c>
      <c r="D246" s="260" t="s">
        <v>1657</v>
      </c>
      <c r="E246" s="260" t="s">
        <v>1658</v>
      </c>
      <c r="F246" s="260" t="s">
        <v>1659</v>
      </c>
      <c r="G246" s="260" t="s">
        <v>1660</v>
      </c>
      <c r="H246" s="260" t="s">
        <v>1668</v>
      </c>
      <c r="I246" s="260"/>
      <c r="J246" s="260"/>
      <c r="K246" s="260" t="s">
        <v>1669</v>
      </c>
      <c r="L246" s="260" t="s">
        <v>1670</v>
      </c>
      <c r="M246" s="260" t="s">
        <v>1671</v>
      </c>
      <c r="N246" s="260" t="s">
        <v>111</v>
      </c>
      <c r="O246" s="260" t="s">
        <v>112</v>
      </c>
      <c r="P246" s="10">
        <v>5</v>
      </c>
      <c r="Q246" s="11">
        <v>4</v>
      </c>
      <c r="R246" s="11">
        <f t="shared" ca="1" si="406"/>
        <v>1</v>
      </c>
      <c r="S246" s="11">
        <f ca="1">VLOOKUP(K246,'1120 Competitividad'!$K$13:$AK$51,9,0)</f>
        <v>0</v>
      </c>
      <c r="T246" s="11">
        <v>0</v>
      </c>
      <c r="U246" s="11">
        <v>0</v>
      </c>
      <c r="V246" s="11">
        <v>0</v>
      </c>
      <c r="W246" s="11">
        <v>0</v>
      </c>
      <c r="X246" s="11">
        <v>0</v>
      </c>
      <c r="Y246" s="11">
        <v>0</v>
      </c>
      <c r="Z246" s="11">
        <v>0</v>
      </c>
      <c r="AA246" s="11"/>
      <c r="AB246" s="11"/>
      <c r="AC246" s="11"/>
      <c r="AD246" s="11">
        <v>2</v>
      </c>
      <c r="AE246" s="11">
        <v>0</v>
      </c>
      <c r="AF246" s="11">
        <f ca="1">VLOOKUP(K246,'1120 Competitividad'!$K$13:$AK$51,22,0)</f>
        <v>1</v>
      </c>
      <c r="AG246" s="11">
        <f ca="1">VLOOKUP(K246,'1120 Competitividad'!$K$13:$AK$51,23,0)</f>
        <v>0</v>
      </c>
      <c r="AH246" s="11">
        <f t="shared" ca="1" si="407"/>
        <v>1</v>
      </c>
      <c r="AI246" s="11" t="str">
        <f ca="1">VLOOKUP(K246,'1120 Competitividad'!$K$13:$AK$51,25,0)</f>
        <v>Materias primas, insumos y muebles y enseres</v>
      </c>
      <c r="AJ246" s="11" t="str">
        <f ca="1">VLOOKUP(K246,'1120 Competitividad'!$K$13:$AK$51,26,0)</f>
        <v>La secretaria  adelanto dos convocatorias una con el municipio de Cota y la Otra a nivel departamental " Cundinamarca emprende y se reactiva” donde se beneficiaron 138  empresas el objetivo de estas es  la creación  de empresa y  fortalecimiento de las empresas legalmente constituidas por medio de un apalancamiento financiero (Capital semilla) que les permita desarrollar y consolidar sus ideas de negocio de una manera sostenible  .</v>
      </c>
      <c r="AK246" s="11">
        <f ca="1">VLOOKUP(K246,'1120 Competitividad'!$K$13:$AK$51,27,0)</f>
        <v>0</v>
      </c>
      <c r="AL246" s="11">
        <v>1</v>
      </c>
      <c r="AM246" s="11">
        <v>0</v>
      </c>
      <c r="AN246" s="11">
        <v>1</v>
      </c>
      <c r="AO246" s="11">
        <v>0</v>
      </c>
      <c r="AP246" s="11">
        <v>0</v>
      </c>
      <c r="AQ246" s="11">
        <v>0</v>
      </c>
      <c r="AR246" s="52"/>
      <c r="AS246" s="54">
        <v>0</v>
      </c>
      <c r="AT246" s="54">
        <f t="shared" si="361"/>
        <v>0</v>
      </c>
      <c r="AU246" s="52"/>
      <c r="AV246" s="89">
        <v>3000000000</v>
      </c>
      <c r="AW246" s="89"/>
      <c r="AX246" s="89"/>
      <c r="AY246" s="89">
        <v>2984363326</v>
      </c>
      <c r="AZ246" s="44">
        <f t="shared" ca="1" si="408"/>
        <v>0.25</v>
      </c>
      <c r="BA246" s="44">
        <v>0</v>
      </c>
      <c r="BB246" s="44" t="s">
        <v>115</v>
      </c>
      <c r="BC246" s="44">
        <f t="shared" si="409"/>
        <v>0.5</v>
      </c>
      <c r="BD246" s="44" cm="1">
        <f t="array" aca="1" ref="BD246" ca="1">_xlfn.IFS(AD246=0,"NA",AD246&gt;0,AH246/AD246)</f>
        <v>0.5</v>
      </c>
      <c r="BE246" s="44">
        <f t="shared" si="410"/>
        <v>0.25</v>
      </c>
      <c r="BF246" s="44">
        <v>0</v>
      </c>
      <c r="BG246" s="44">
        <f t="shared" si="411"/>
        <v>0.25</v>
      </c>
      <c r="BH246" s="44">
        <v>0</v>
      </c>
      <c r="BI246" s="44">
        <f t="shared" si="412"/>
        <v>0</v>
      </c>
      <c r="BJ246" s="44" t="s">
        <v>115</v>
      </c>
      <c r="BK246" s="44">
        <f t="shared" ca="1" si="362"/>
        <v>0.25</v>
      </c>
      <c r="BL246" s="44" t="s">
        <v>115</v>
      </c>
      <c r="BM246" s="44" cm="1">
        <f t="array" aca="1" ref="BM246" ca="1">_xlfn.IFS(BD246="NA","NA",BD246&gt;100%,"100%",BD246&lt;100,BD246)</f>
        <v>0.5</v>
      </c>
      <c r="BN246" s="44" cm="1">
        <f t="array" ref="BN246">_xlfn.IFS(BF246="NA","NA",BF246&gt;100%,"100%",BF246&lt;100,BF246)</f>
        <v>0</v>
      </c>
      <c r="BO246" s="44" cm="1">
        <f t="array" ref="BO246">_xlfn.IFS(BH246="NA","NA",BH246&gt;100%,"100%",BH246&lt;100,BH246)</f>
        <v>0</v>
      </c>
      <c r="BP246" s="44" t="str" cm="1">
        <f t="array" ref="BP246">_xlfn.IFS(BJ246="NA","NA",BJ246&gt;100%,"100%",BJ246&lt;100,BJ246)</f>
        <v>NA</v>
      </c>
      <c r="BQ246" s="45">
        <v>0.22500000000000001</v>
      </c>
      <c r="BR246" s="45">
        <f t="shared" ca="1" si="372"/>
        <v>5.6250000000000001E-2</v>
      </c>
      <c r="BS246" s="45">
        <v>0</v>
      </c>
      <c r="BT246" s="45" t="s">
        <v>115</v>
      </c>
      <c r="BU246" s="45">
        <v>0</v>
      </c>
      <c r="BV246" s="45">
        <f t="shared" si="413"/>
        <v>0.1125</v>
      </c>
      <c r="BW246" s="45">
        <f t="shared" ca="1" si="392"/>
        <v>5.6250000000000001E-2</v>
      </c>
      <c r="BX246" s="45">
        <f t="shared" ca="1" si="393"/>
        <v>5.6250000000000001E-2</v>
      </c>
      <c r="BY246" s="45">
        <f t="shared" si="414"/>
        <v>5.6250000000000001E-2</v>
      </c>
      <c r="BZ246" s="45">
        <f t="shared" si="415"/>
        <v>0</v>
      </c>
      <c r="CA246" s="45">
        <f t="shared" ca="1" si="373"/>
        <v>0</v>
      </c>
      <c r="CB246" s="45">
        <f t="shared" si="416"/>
        <v>5.6250000000000001E-2</v>
      </c>
      <c r="CC246" s="45">
        <f t="shared" si="417"/>
        <v>0</v>
      </c>
      <c r="CD246" s="45">
        <v>0</v>
      </c>
      <c r="CE246" s="45">
        <f t="shared" si="418"/>
        <v>0</v>
      </c>
      <c r="CF246" s="45" t="str">
        <f t="shared" si="419"/>
        <v>NA</v>
      </c>
      <c r="CG246" s="45">
        <v>0</v>
      </c>
      <c r="CH246" s="244"/>
      <c r="CI246" s="244"/>
      <c r="CJ246" s="244"/>
      <c r="CK246" s="244"/>
      <c r="CM246" s="63">
        <v>1</v>
      </c>
    </row>
    <row r="247" spans="1:91" ht="18" hidden="1" customHeight="1">
      <c r="A247" s="260" t="s">
        <v>1310</v>
      </c>
      <c r="B247" s="260" t="s">
        <v>1311</v>
      </c>
      <c r="C247" s="260" t="s">
        <v>1286</v>
      </c>
      <c r="D247" s="260" t="s">
        <v>1657</v>
      </c>
      <c r="E247" s="260" t="s">
        <v>1658</v>
      </c>
      <c r="F247" s="260" t="s">
        <v>1659</v>
      </c>
      <c r="G247" s="260" t="s">
        <v>1660</v>
      </c>
      <c r="H247" s="260" t="s">
        <v>1672</v>
      </c>
      <c r="I247" s="260"/>
      <c r="J247" s="260"/>
      <c r="K247" s="260" t="s">
        <v>1673</v>
      </c>
      <c r="L247" s="260" t="s">
        <v>1674</v>
      </c>
      <c r="M247" s="260" t="s">
        <v>1675</v>
      </c>
      <c r="N247" s="260" t="s">
        <v>111</v>
      </c>
      <c r="O247" s="260" t="s">
        <v>112</v>
      </c>
      <c r="P247" s="10">
        <v>0</v>
      </c>
      <c r="Q247" s="11">
        <v>5000</v>
      </c>
      <c r="R247" s="11">
        <f t="shared" ca="1" si="406"/>
        <v>1000</v>
      </c>
      <c r="S247" s="11">
        <f ca="1">VLOOKUP(K247,'1120 Competitividad'!$K$13:$AK$51,9,0)</f>
        <v>0</v>
      </c>
      <c r="T247" s="11">
        <v>2000</v>
      </c>
      <c r="U247" s="11">
        <v>0</v>
      </c>
      <c r="V247" s="11">
        <v>0</v>
      </c>
      <c r="W247" s="11">
        <v>0</v>
      </c>
      <c r="X247" s="11">
        <v>0</v>
      </c>
      <c r="Y247" s="11">
        <v>0</v>
      </c>
      <c r="Z247" s="11">
        <v>0</v>
      </c>
      <c r="AA247" s="11"/>
      <c r="AB247" s="11"/>
      <c r="AC247" s="11"/>
      <c r="AD247" s="11">
        <v>2500</v>
      </c>
      <c r="AE247" s="11">
        <v>0</v>
      </c>
      <c r="AF247" s="11">
        <f ca="1">VLOOKUP(K247,'1120 Competitividad'!$K$13:$AK$51,22,0)</f>
        <v>1000</v>
      </c>
      <c r="AG247" s="11">
        <f ca="1">VLOOKUP(K247,'1120 Competitividad'!$K$13:$AK$51,23,0)</f>
        <v>0</v>
      </c>
      <c r="AH247" s="11">
        <f t="shared" ca="1" si="407"/>
        <v>1000</v>
      </c>
      <c r="AI247" s="11" t="str">
        <f ca="1">VLOOKUP(K247,'1120 Competitividad'!$K$13:$AK$51,25,0)</f>
        <v>Entrega de 1000 kits por valor de $2.000.000 mediante convocatoria publica ( 7 opciones a las que pueden acceder )</v>
      </c>
      <c r="AJ247" s="11" t="str">
        <f ca="1">VLOOKUP(K247,'1120 Competitividad'!$K$13:$AK$51,26,0)</f>
        <v xml:space="preserve">Reactivación economica  a traves de la entrega de kits ( maquinaria  y equipos ) para  emprendimientos  logrando fortalecer sus procesos productivos </v>
      </c>
      <c r="AK247" s="11">
        <f ca="1">VLOOKUP(K247,'1120 Competitividad'!$K$13:$AK$51,27,0)</f>
        <v>0</v>
      </c>
      <c r="AL247" s="11">
        <v>1500</v>
      </c>
      <c r="AM247" s="11">
        <v>0</v>
      </c>
      <c r="AN247" s="11">
        <v>1000</v>
      </c>
      <c r="AO247" s="11">
        <v>0</v>
      </c>
      <c r="AP247" s="11">
        <v>0</v>
      </c>
      <c r="AQ247" s="11">
        <v>0</v>
      </c>
      <c r="AR247" s="52"/>
      <c r="AS247" s="54">
        <v>0</v>
      </c>
      <c r="AT247" s="54">
        <f t="shared" si="361"/>
        <v>0</v>
      </c>
      <c r="AU247" s="52"/>
      <c r="AV247" s="243">
        <v>2651155342</v>
      </c>
      <c r="AW247" s="244"/>
      <c r="AX247" s="244"/>
      <c r="AY247" s="243">
        <v>2651155342</v>
      </c>
      <c r="AZ247" s="44">
        <f t="shared" ca="1" si="408"/>
        <v>0.2</v>
      </c>
      <c r="BA247" s="44">
        <v>0</v>
      </c>
      <c r="BB247" s="44" t="s">
        <v>115</v>
      </c>
      <c r="BC247" s="44">
        <f t="shared" si="409"/>
        <v>0.5</v>
      </c>
      <c r="BD247" s="44" cm="1">
        <f t="array" aca="1" ref="BD247" ca="1">_xlfn.IFS(AD247=0,"NA",AD247&gt;0,AH247/AD247)</f>
        <v>0.4</v>
      </c>
      <c r="BE247" s="44">
        <f t="shared" si="410"/>
        <v>0.3</v>
      </c>
      <c r="BF247" s="44">
        <v>0</v>
      </c>
      <c r="BG247" s="44">
        <f t="shared" si="411"/>
        <v>0.2</v>
      </c>
      <c r="BH247" s="44">
        <v>0</v>
      </c>
      <c r="BI247" s="44">
        <f t="shared" si="412"/>
        <v>0</v>
      </c>
      <c r="BJ247" s="44" t="s">
        <v>115</v>
      </c>
      <c r="BK247" s="44">
        <f t="shared" ca="1" si="362"/>
        <v>0.2</v>
      </c>
      <c r="BL247" s="44" t="s">
        <v>115</v>
      </c>
      <c r="BM247" s="44" cm="1">
        <f t="array" aca="1" ref="BM247" ca="1">_xlfn.IFS(BD247="NA","NA",BD247&gt;100%,"100%",BD247&lt;100,BD247)</f>
        <v>0.4</v>
      </c>
      <c r="BN247" s="44" cm="1">
        <f t="array" ref="BN247">_xlfn.IFS(BF247="NA","NA",BF247&gt;100%,"100%",BF247&lt;100,BF247)</f>
        <v>0</v>
      </c>
      <c r="BO247" s="44" cm="1">
        <f t="array" ref="BO247">_xlfn.IFS(BH247="NA","NA",BH247&gt;100%,"100%",BH247&lt;100,BH247)</f>
        <v>0</v>
      </c>
      <c r="BP247" s="44" t="str" cm="1">
        <f t="array" ref="BP247">_xlfn.IFS(BJ247="NA","NA",BJ247&gt;100%,"100%",BJ247&lt;100,BJ247)</f>
        <v>NA</v>
      </c>
      <c r="BQ247" s="45">
        <v>0.22500000000000001</v>
      </c>
      <c r="BR247" s="45">
        <f t="shared" ca="1" si="372"/>
        <v>4.5000000000000005E-2</v>
      </c>
      <c r="BS247" s="45">
        <v>0</v>
      </c>
      <c r="BT247" s="45" t="s">
        <v>115</v>
      </c>
      <c r="BU247" s="45">
        <v>0</v>
      </c>
      <c r="BV247" s="45">
        <f t="shared" si="413"/>
        <v>0.1125</v>
      </c>
      <c r="BW247" s="45">
        <f t="shared" ca="1" si="392"/>
        <v>4.5000000000000005E-2</v>
      </c>
      <c r="BX247" s="45">
        <f t="shared" ca="1" si="393"/>
        <v>4.5000000000000005E-2</v>
      </c>
      <c r="BY247" s="45">
        <f t="shared" si="414"/>
        <v>6.7500000000000004E-2</v>
      </c>
      <c r="BZ247" s="45">
        <f t="shared" si="415"/>
        <v>0</v>
      </c>
      <c r="CA247" s="45">
        <f t="shared" ca="1" si="373"/>
        <v>0</v>
      </c>
      <c r="CB247" s="45">
        <f t="shared" si="416"/>
        <v>4.4999999999999998E-2</v>
      </c>
      <c r="CC247" s="45">
        <f t="shared" si="417"/>
        <v>0</v>
      </c>
      <c r="CD247" s="45">
        <v>0</v>
      </c>
      <c r="CE247" s="45">
        <f t="shared" si="418"/>
        <v>0</v>
      </c>
      <c r="CF247" s="45" t="str">
        <f t="shared" si="419"/>
        <v>NA</v>
      </c>
      <c r="CG247" s="45">
        <v>0</v>
      </c>
      <c r="CH247" s="244"/>
      <c r="CI247" s="244"/>
      <c r="CJ247" s="244"/>
      <c r="CK247" s="244"/>
      <c r="CM247" s="63">
        <v>0</v>
      </c>
    </row>
    <row r="248" spans="1:91" ht="18" hidden="1" customHeight="1">
      <c r="A248" s="260" t="s">
        <v>1310</v>
      </c>
      <c r="B248" s="260" t="s">
        <v>1311</v>
      </c>
      <c r="C248" s="260" t="s">
        <v>1286</v>
      </c>
      <c r="D248" s="260" t="s">
        <v>1657</v>
      </c>
      <c r="E248" s="260" t="s">
        <v>1658</v>
      </c>
      <c r="F248" s="260" t="s">
        <v>1659</v>
      </c>
      <c r="G248" s="260" t="s">
        <v>1660</v>
      </c>
      <c r="H248" s="260" t="s">
        <v>1676</v>
      </c>
      <c r="I248" s="260"/>
      <c r="J248" s="260"/>
      <c r="K248" s="260" t="s">
        <v>1677</v>
      </c>
      <c r="L248" s="260" t="s">
        <v>1678</v>
      </c>
      <c r="M248" s="260" t="s">
        <v>1679</v>
      </c>
      <c r="N248" s="260" t="s">
        <v>111</v>
      </c>
      <c r="O248" s="260" t="s">
        <v>112</v>
      </c>
      <c r="P248" s="10">
        <v>2930</v>
      </c>
      <c r="Q248" s="11">
        <v>8000</v>
      </c>
      <c r="R248" s="11">
        <f t="shared" ca="1" si="406"/>
        <v>8571</v>
      </c>
      <c r="S248" s="11" t="str">
        <f ca="1">VLOOKUP(K248,'1120 Competitividad'!$K$13:$AK$51,9,0)</f>
        <v>1500  Mipymes de  102 municipios apoyadas en:  Rutas de fortalecimiento (200); Compra de productos para reactivación económica del departamento (67) ;  crédito con tasa de intereses compensada   (733)  cuyo objetivo es fortalecer el crecimiento y consolidación de las empresas, potencializar su incursión en los mercados  lo anterior obedeció a  contratación del  GR4
Firma de 47 convenios con municipios para la implementacion de estrategias  de recuperación  económica y el fortalecimiento  del sector comercial 
 afectado por las consecuencias de la Pandemía del  COVID-19 .</v>
      </c>
      <c r="T248" s="11">
        <v>2481</v>
      </c>
      <c r="U248" s="11">
        <v>0</v>
      </c>
      <c r="V248" s="11">
        <v>1500</v>
      </c>
      <c r="W248" s="11">
        <v>0</v>
      </c>
      <c r="X248" s="11">
        <v>1500</v>
      </c>
      <c r="Y248" s="11">
        <v>0</v>
      </c>
      <c r="Z248" s="11">
        <v>1500</v>
      </c>
      <c r="AA248" s="11" t="s">
        <v>1680</v>
      </c>
      <c r="AB248" s="11" t="s">
        <v>1681</v>
      </c>
      <c r="AC248" s="11">
        <v>0</v>
      </c>
      <c r="AD248" s="11">
        <v>4500</v>
      </c>
      <c r="AE248" s="11">
        <v>0</v>
      </c>
      <c r="AF248" s="11">
        <f ca="1">VLOOKUP(K248,'1120 Competitividad'!$K$13:$AK$51,22,0)</f>
        <v>7071</v>
      </c>
      <c r="AG248" s="11">
        <f ca="1">VLOOKUP(K248,'1120 Competitividad'!$K$13:$AK$51,23,0)</f>
        <v>0</v>
      </c>
      <c r="AH248" s="11">
        <f t="shared" ca="1" si="407"/>
        <v>7071</v>
      </c>
      <c r="AI248" s="11" t="str">
        <f ca="1">VLOOKUP(K248,'1120 Competitividad'!$K$13:$AK$51,25,0)</f>
        <v>569 CREDITOS DESEMBOLSADO(RECURSOS ECONOMICOS) 260 MYPIMES CON RUTAS DE FORTALECIMIENTO EMPRESARIAL, 6242Mypimes apoyadas  con programa de reactivacion economica ( Dotación de maquinaria y equipos )</v>
      </c>
      <c r="AJ248" s="11" t="str">
        <f ca="1">VLOOKUP(K248,'1120 Competitividad'!$K$13:$AK$51,26,0)</f>
        <v xml:space="preserve"> Financiamiento para las micro, pequeñas y medianas empresas a través de la firma de  convenio Banco Agrario . Ejecucion de convenios para Reactivacion Ecónomica .  se han tramitado 86  contratos de profesionales para apoyar  a las Mipymes del Departamento </v>
      </c>
      <c r="AK248" s="11">
        <f ca="1">VLOOKUP(K248,'1120 Competitividad'!$K$13:$AK$51,27,0)</f>
        <v>0</v>
      </c>
      <c r="AL248" s="11">
        <v>1000</v>
      </c>
      <c r="AM248" s="11">
        <v>0</v>
      </c>
      <c r="AN248" s="11">
        <v>1000</v>
      </c>
      <c r="AO248" s="11">
        <v>0</v>
      </c>
      <c r="AP248" s="11">
        <v>0</v>
      </c>
      <c r="AQ248" s="11">
        <v>0</v>
      </c>
      <c r="AR248" s="51">
        <v>24094461183</v>
      </c>
      <c r="AS248" s="54">
        <v>0</v>
      </c>
      <c r="AT248" s="54">
        <f t="shared" si="361"/>
        <v>24094461183</v>
      </c>
      <c r="AU248" s="51">
        <v>24064425523</v>
      </c>
      <c r="AV248" s="243">
        <v>10043820172</v>
      </c>
      <c r="AW248" s="244"/>
      <c r="AX248" s="244"/>
      <c r="AY248" s="243">
        <v>9499718168</v>
      </c>
      <c r="AZ248" s="44">
        <f t="shared" ca="1" si="408"/>
        <v>1.071375</v>
      </c>
      <c r="BA248" s="44">
        <v>0.25</v>
      </c>
      <c r="BB248" s="44">
        <v>1</v>
      </c>
      <c r="BC248" s="44">
        <f t="shared" si="409"/>
        <v>0.5625</v>
      </c>
      <c r="BD248" s="44" cm="1">
        <f t="array" aca="1" ref="BD248" ca="1">_xlfn.IFS(AD248=0,"NA",AD248&gt;0,AH248/AD248)</f>
        <v>1.5713333333333332</v>
      </c>
      <c r="BE248" s="44">
        <f t="shared" si="410"/>
        <v>0.125</v>
      </c>
      <c r="BF248" s="44">
        <v>0</v>
      </c>
      <c r="BG248" s="44">
        <f t="shared" si="411"/>
        <v>0.125</v>
      </c>
      <c r="BH248" s="44">
        <v>0</v>
      </c>
      <c r="BI248" s="44">
        <f t="shared" si="412"/>
        <v>0</v>
      </c>
      <c r="BJ248" s="44" t="s">
        <v>115</v>
      </c>
      <c r="BK248" s="44" t="str">
        <f t="shared" ca="1" si="362"/>
        <v>100%</v>
      </c>
      <c r="BL248" s="44">
        <v>1</v>
      </c>
      <c r="BM248" s="44" t="str" cm="1">
        <f t="array" aca="1" ref="BM248" ca="1">_xlfn.IFS(BD248="NA","NA",BD248&gt;100%,"100%",BD248&lt;100,BD248)</f>
        <v>100%</v>
      </c>
      <c r="BN248" s="44" cm="1">
        <f t="array" ref="BN248">_xlfn.IFS(BF248="NA","NA",BF248&gt;100%,"100%",BF248&lt;100,BF248)</f>
        <v>0</v>
      </c>
      <c r="BO248" s="44" cm="1">
        <f t="array" ref="BO248">_xlfn.IFS(BH248="NA","NA",BH248&gt;100%,"100%",BH248&lt;100,BH248)</f>
        <v>0</v>
      </c>
      <c r="BP248" s="44" t="str" cm="1">
        <f t="array" ref="BP248">_xlfn.IFS(BJ248="NA","NA",BJ248&gt;100%,"100%",BJ248&lt;100,BJ248)</f>
        <v>NA</v>
      </c>
      <c r="BQ248" s="45">
        <v>0.22500000000000001</v>
      </c>
      <c r="BR248" s="45">
        <f t="shared" ca="1" si="372"/>
        <v>0.22500000000000001</v>
      </c>
      <c r="BS248" s="45">
        <v>5.6300000000000003E-2</v>
      </c>
      <c r="BT248" s="45">
        <v>5.6300000000000003E-2</v>
      </c>
      <c r="BU248" s="45">
        <v>5.6300000000000003E-2</v>
      </c>
      <c r="BV248" s="45">
        <f t="shared" si="413"/>
        <v>0.12656249999999999</v>
      </c>
      <c r="BW248" s="45">
        <f t="shared" ca="1" si="392"/>
        <v>0.12656249999999999</v>
      </c>
      <c r="BX248" s="45">
        <f ca="1">BR248-BU248</f>
        <v>0.16870000000000002</v>
      </c>
      <c r="BY248" s="45">
        <f t="shared" si="414"/>
        <v>2.8125000000000001E-2</v>
      </c>
      <c r="BZ248" s="45">
        <f t="shared" si="415"/>
        <v>0</v>
      </c>
      <c r="CA248" s="45">
        <f t="shared" ca="1" si="373"/>
        <v>0</v>
      </c>
      <c r="CB248" s="45">
        <f t="shared" si="416"/>
        <v>2.8125000000000001E-2</v>
      </c>
      <c r="CC248" s="45">
        <f t="shared" si="417"/>
        <v>0</v>
      </c>
      <c r="CD248" s="45">
        <v>0</v>
      </c>
      <c r="CE248" s="45">
        <f t="shared" si="418"/>
        <v>0</v>
      </c>
      <c r="CF248" s="45" t="str">
        <f t="shared" si="419"/>
        <v>NA</v>
      </c>
      <c r="CG248" s="45">
        <v>0</v>
      </c>
      <c r="CH248" s="244"/>
      <c r="CI248" s="244"/>
      <c r="CJ248" s="244"/>
      <c r="CK248" s="244"/>
      <c r="CM248" s="63">
        <v>8571</v>
      </c>
    </row>
    <row r="249" spans="1:91" ht="18" hidden="1" customHeight="1">
      <c r="A249" s="260" t="s">
        <v>1310</v>
      </c>
      <c r="B249" s="260" t="s">
        <v>1311</v>
      </c>
      <c r="C249" s="260" t="s">
        <v>1286</v>
      </c>
      <c r="D249" s="260" t="s">
        <v>1657</v>
      </c>
      <c r="E249" s="260" t="s">
        <v>1658</v>
      </c>
      <c r="F249" s="260" t="s">
        <v>1659</v>
      </c>
      <c r="G249" s="260" t="s">
        <v>1660</v>
      </c>
      <c r="H249" s="260" t="s">
        <v>1682</v>
      </c>
      <c r="I249" s="260"/>
      <c r="J249" s="260"/>
      <c r="K249" s="260" t="s">
        <v>1683</v>
      </c>
      <c r="L249" s="260" t="s">
        <v>1684</v>
      </c>
      <c r="M249" s="260" t="s">
        <v>1685</v>
      </c>
      <c r="N249" s="260" t="s">
        <v>111</v>
      </c>
      <c r="O249" s="260" t="s">
        <v>112</v>
      </c>
      <c r="P249" s="10">
        <v>10</v>
      </c>
      <c r="Q249" s="11">
        <v>15</v>
      </c>
      <c r="R249" s="11">
        <f t="shared" ca="1" si="406"/>
        <v>12</v>
      </c>
      <c r="S249" s="11" t="str">
        <f ca="1">VLOOKUP(K249,'1120 Competitividad'!$K$13:$AK$51,9,0)</f>
        <v>La secretaría de Competitividad y Desarrollo Económico - S.C.D.E. ha fortalecido los 10 Centros de Integración y Productividad Unidos Por el Desarrollo - CIPUEDO, a través de contratación de  gestores   . Profesionales que apoyan en las provincias los  diagnósticos , asistencias técnica;  socialización de la información para acceder a las convocatorias tanto departamentales como nacionales,  créditos ofertados a Mipymes .  Acompañamiento en asuntos jurídicos, capacitación a empresarios en temas relacionados con las formas jurídicas para la creación de empresa, emprendimiento y modelo CANVAS, mercadeo y posicionamiento y  asesoría en estructuración de proyectos.</v>
      </c>
      <c r="T249" s="11">
        <v>10</v>
      </c>
      <c r="U249" s="11">
        <v>0</v>
      </c>
      <c r="V249" s="11">
        <v>10</v>
      </c>
      <c r="W249" s="11">
        <v>0</v>
      </c>
      <c r="X249" s="11">
        <v>10</v>
      </c>
      <c r="Y249" s="11">
        <v>0</v>
      </c>
      <c r="Z249" s="11">
        <v>10</v>
      </c>
      <c r="AA249" s="11" t="s">
        <v>1686</v>
      </c>
      <c r="AB249" s="11" t="s">
        <v>1687</v>
      </c>
      <c r="AC249" s="11">
        <v>0</v>
      </c>
      <c r="AD249" s="11">
        <v>2</v>
      </c>
      <c r="AE249" s="11">
        <v>10</v>
      </c>
      <c r="AF249" s="11">
        <f ca="1">VLOOKUP(K249,'1120 Competitividad'!$K$13:$AK$51,22,0)</f>
        <v>2</v>
      </c>
      <c r="AG249" s="11">
        <f ca="1">VLOOKUP(K249,'1120 Competitividad'!$K$13:$AK$51,23,0)</f>
        <v>10</v>
      </c>
      <c r="AH249" s="11">
        <f t="shared" ca="1" si="407"/>
        <v>2</v>
      </c>
      <c r="AI249" s="11" t="str">
        <f ca="1">VLOOKUP(K249,'1120 Competitividad'!$K$13:$AK$51,25,0)</f>
        <v xml:space="preserve">Fortalecimiento de mypimes ( diagnostico, caracterizaciones, protocolos etc) </v>
      </c>
      <c r="AJ249" s="11" t="str">
        <f ca="1">VLOOKUP(K249,'1120 Competitividad'!$K$13:$AK$51,26,0)</f>
        <v>La secretaría de Competitividad y Desarrollo Económico - S.C.D.E. ha fortalecido los 12 Centros de Integración y Productividad Unidos Por el Desarrollo - CIPUEDO, a través de contratación de  gestores   . Profesionales que apoyan en las provincias los  diagnósticos , asistencias técnica;  socialización de la información para acceder a las convocatorias tanto departamentales como nacionales, acompañamiento en asuntos jurídicos, capacitación a empresarios en temas relacionados con las formas jurídicas para la creación de empresa, mercadeo ,posicionamiento y  asesoría en estructuración de proyectos.</v>
      </c>
      <c r="AK249" s="11">
        <f ca="1">VLOOKUP(K249,'1120 Competitividad'!$K$13:$AK$51,27,0)</f>
        <v>0</v>
      </c>
      <c r="AL249" s="11">
        <v>3</v>
      </c>
      <c r="AM249" s="11">
        <v>15</v>
      </c>
      <c r="AN249" s="11">
        <v>0</v>
      </c>
      <c r="AO249" s="11">
        <v>15</v>
      </c>
      <c r="AP249" s="11">
        <v>0</v>
      </c>
      <c r="AQ249" s="11">
        <v>0</v>
      </c>
      <c r="AR249" s="51">
        <v>162713879</v>
      </c>
      <c r="AS249" s="54">
        <v>0</v>
      </c>
      <c r="AT249" s="54">
        <f t="shared" si="361"/>
        <v>162713879</v>
      </c>
      <c r="AU249" s="51">
        <v>120015122</v>
      </c>
      <c r="AV249" s="243">
        <v>1692174034</v>
      </c>
      <c r="AW249" s="244"/>
      <c r="AX249" s="244"/>
      <c r="AY249" s="243">
        <v>1623537237</v>
      </c>
      <c r="AZ249" s="44">
        <f t="shared" ca="1" si="408"/>
        <v>0.8</v>
      </c>
      <c r="BA249" s="44">
        <v>2</v>
      </c>
      <c r="BB249" s="44">
        <v>1</v>
      </c>
      <c r="BC249" s="44">
        <f t="shared" si="409"/>
        <v>0.13333333333333333</v>
      </c>
      <c r="BD249" s="44" cm="2">
        <f t="array" aca="1" ref="BD249" ca="1">_xlfn.IFS(AD249=0,"NA",AD249&gt;0,AH249/AD249)</f>
        <v>1</v>
      </c>
      <c r="BE249" s="44">
        <f t="shared" si="410"/>
        <v>0.2</v>
      </c>
      <c r="BF249" s="44">
        <v>0</v>
      </c>
      <c r="BG249" s="44">
        <f t="shared" si="411"/>
        <v>0</v>
      </c>
      <c r="BH249" s="44">
        <v>0</v>
      </c>
      <c r="BI249" s="44">
        <f t="shared" si="412"/>
        <v>0</v>
      </c>
      <c r="BJ249" s="44" t="s">
        <v>115</v>
      </c>
      <c r="BK249" s="44">
        <f t="shared" ca="1" si="362"/>
        <v>0.8</v>
      </c>
      <c r="BL249" s="44">
        <v>1</v>
      </c>
      <c r="BM249" s="44" cm="2">
        <f t="array" aca="1" ref="BM249" ca="1">_xlfn.IFS(BD249="NA","NA",BD249&gt;100%,"100%",BD249&lt;100,BD249)</f>
        <v>1</v>
      </c>
      <c r="BN249" s="44" cm="1">
        <f t="array" ref="BN249">_xlfn.IFS(BF249="NA","NA",BF249&gt;100%,"100%",BF249&lt;100,BF249)</f>
        <v>0</v>
      </c>
      <c r="BO249" s="44" cm="1">
        <f t="array" ref="BO249">_xlfn.IFS(BH249="NA","NA",BH249&gt;100%,"100%",BH249&lt;100,BH249)</f>
        <v>0</v>
      </c>
      <c r="BP249" s="44" t="str" cm="1">
        <f t="array" ref="BP249">_xlfn.IFS(BJ249="NA","NA",BJ249&gt;100%,"100%",BJ249&lt;100,BJ249)</f>
        <v>NA</v>
      </c>
      <c r="BQ249" s="45">
        <v>0.22500000000000001</v>
      </c>
      <c r="BR249" s="45">
        <f t="shared" ca="1" si="372"/>
        <v>0.18000000000000002</v>
      </c>
      <c r="BS249" s="45">
        <v>0.15</v>
      </c>
      <c r="BT249" s="45">
        <v>0.15</v>
      </c>
      <c r="BU249" s="262">
        <v>0.15</v>
      </c>
      <c r="BV249" s="45">
        <f t="shared" si="413"/>
        <v>3.0000000000000002E-2</v>
      </c>
      <c r="BW249" s="45">
        <f t="shared" ca="1" si="392"/>
        <v>3.0000000000000002E-2</v>
      </c>
      <c r="BX249" s="45">
        <f t="shared" ca="1" si="393"/>
        <v>3.0000000000000027E-2</v>
      </c>
      <c r="BY249" s="45">
        <f t="shared" si="414"/>
        <v>4.5000000000000005E-2</v>
      </c>
      <c r="BZ249" s="45">
        <f t="shared" si="415"/>
        <v>0</v>
      </c>
      <c r="CA249" s="45">
        <f t="shared" ca="1" si="373"/>
        <v>0</v>
      </c>
      <c r="CB249" s="45">
        <f t="shared" si="416"/>
        <v>0</v>
      </c>
      <c r="CC249" s="45">
        <f t="shared" si="417"/>
        <v>0</v>
      </c>
      <c r="CD249" s="45">
        <v>0</v>
      </c>
      <c r="CE249" s="45">
        <f t="shared" si="418"/>
        <v>0</v>
      </c>
      <c r="CF249" s="45" t="str">
        <f t="shared" si="419"/>
        <v>NA</v>
      </c>
      <c r="CG249" s="45">
        <v>0</v>
      </c>
      <c r="CH249" s="244"/>
      <c r="CI249" s="244"/>
      <c r="CJ249" s="244"/>
      <c r="CK249" s="244"/>
      <c r="CM249" s="63">
        <v>10</v>
      </c>
    </row>
    <row r="250" spans="1:91" ht="18" hidden="1" customHeight="1">
      <c r="A250" s="260" t="s">
        <v>1302</v>
      </c>
      <c r="B250" s="260" t="s">
        <v>1303</v>
      </c>
      <c r="C250" s="260" t="s">
        <v>1286</v>
      </c>
      <c r="D250" s="260" t="s">
        <v>1657</v>
      </c>
      <c r="E250" s="260" t="s">
        <v>1658</v>
      </c>
      <c r="F250" s="260" t="s">
        <v>1688</v>
      </c>
      <c r="G250" s="260" t="s">
        <v>1689</v>
      </c>
      <c r="H250" s="260" t="s">
        <v>1690</v>
      </c>
      <c r="I250" s="260"/>
      <c r="J250" s="260"/>
      <c r="K250" s="260" t="s">
        <v>1691</v>
      </c>
      <c r="L250" s="260" t="s">
        <v>1692</v>
      </c>
      <c r="M250" s="260" t="s">
        <v>1693</v>
      </c>
      <c r="N250" s="260" t="s">
        <v>111</v>
      </c>
      <c r="O250" s="260" t="s">
        <v>112</v>
      </c>
      <c r="P250" s="10">
        <v>7002</v>
      </c>
      <c r="Q250" s="11">
        <v>5000</v>
      </c>
      <c r="R250" s="11">
        <f t="shared" si="406"/>
        <v>2935</v>
      </c>
      <c r="S250" s="11" t="str">
        <f>VLOOKUP(K250,'1124 Agricultura'!$K$13:$AK$25,9,0)</f>
        <v xml:space="preserve">Por el componente de Crédito se han beneficiado a la fecha 2.935 productores agropecuarios con incentivos y subsidios por valor de $4.607.117.436 que representan una inversión en el sector de $33.691.912.534, de los cuales 52 se reportaron en la vigencia 2020 y 2.883 en el 2021. El 93% de los beneficiados han sido pequeños productores (2.875) con una inversión de $4.326.650.511 y el 7% medianos productores (60) con una inversión de $280.466.925. A través del Incentivo Territorial ICRCUND se ha beneficiado 351 productores con una inversión de $895.607.824 que apalancan operaciones de crédito por la suma de $4.391.428.534. Con toda la inversión de los 403 productores por valor de $1.020.348.854 que apalancan operaciones de crédito por la suma de $5.017.420.534. Entre los destinos con mayor demanda se encuentra: Retención de vientres, caña panelera, café, compra de animales de labor entre otros, siendo los municipios con mayor apropiación de este instrumento Caparrapí, Vergara, Cabrera, Villeta y Guaduas entre los 57 primeros beneficiados con este incentivo. 
Con relación al componente de LECCUND – Subsidio a la tasa, se tiene una ejecución de recursos por la suma de $3.586.768.582 que apalancan 2.532 operaciones de crédito por valor de $28.674.492.000, cuyos destinos con mayor participación son: Capital de trabajo UPC, papa, sostenimiento ceba bovina, fríjol, cebolla cabezona, frutales, siendo los municipios con mayor colocación Yacopí, Villapinzón, Gutiérrez, La Peña, La Mesa, Fosca, Guaduas, Vergara, Caparrapí entre otros. 
Con relación al componente de Educación Financiera, se realizó la entrega a las 116 Umata municipales de los Kits requeridos para el inicio de los ciclos de capacitaciones, los cuales están programados para su realización entre el 09 de septiembre y el 14 de octubre. La modalidad será virtual mediante la plataforma TEAMS a través de los links creados por FINAGRO. La intensidad horaria comprende 24 horas, 8 horas por cada taller, de las cuales 12 horas se realizarán a través del aprendizaje sincrónico y 12 horas en aprendizaje asincrónico.
</v>
      </c>
      <c r="T250" s="11">
        <v>400</v>
      </c>
      <c r="U250" s="11">
        <v>0</v>
      </c>
      <c r="V250" s="11">
        <v>50</v>
      </c>
      <c r="W250" s="11">
        <v>0</v>
      </c>
      <c r="X250" s="11">
        <v>52</v>
      </c>
      <c r="Y250" s="11">
        <v>0</v>
      </c>
      <c r="Z250" s="11">
        <v>52</v>
      </c>
      <c r="AA250" s="11" t="s">
        <v>1694</v>
      </c>
      <c r="AB250" s="11" t="s">
        <v>1695</v>
      </c>
      <c r="AC250" s="11">
        <v>0</v>
      </c>
      <c r="AD250" s="11">
        <v>3300</v>
      </c>
      <c r="AE250" s="11">
        <v>0</v>
      </c>
      <c r="AF250" s="11">
        <f>VLOOKUP(K250,'1124 Agricultura'!$K$13:$AK$25,22,0)</f>
        <v>2883</v>
      </c>
      <c r="AG250" s="11">
        <f>VLOOKUP(K250,'1124 Agricultura'!$K$13:$AK$25,23,0)</f>
        <v>0</v>
      </c>
      <c r="AH250" s="11">
        <f t="shared" si="407"/>
        <v>2883</v>
      </c>
      <c r="AI250" s="11" t="str">
        <f>VLOOKUP(K250,'1124 Agricultura'!$K$13:$AK$25,25,0)</f>
        <v xml:space="preserve">Productores atendidos con Instrumentos Financieros </v>
      </c>
      <c r="AJ250" s="11" t="str">
        <f>VLOOKUP(K250,'1124 Agricultura'!$K$13:$AK$25,26,0)</f>
        <v xml:space="preserve">Por el componente de Crédito se han beneficiado a la fecha 2.935 productores agropecuarios con incentivos y subsidios por valor de $4.607.117.436 que representan una inversión en el sector de $33.691.912.534, de los cuales 52 se reportaron en la vigencia 2020 y 2.883 en el 2021. El 93% de los beneficiados han sido pequeños productores (2.875) con una inversión de $4.326.650.511 y el 7% medianos productores (60) con una inversión de $280.466.925. A través del Incentivo Territorial ICRCUND se ha beneficiado 351 productores con una inversión de $895.607.824 que apalancan operaciones de crédito por la suma de $4.391.428.534. Con toda la inversión de los 403 productores por valor de $1.020.348.854 que apalancan operaciones de crédito por la suma de $5.017.420.534. Entre los destinos con mayor demanda se encuentra: Retención de vientres, caña panelera, café, compra de animales de labor entre otros, siendo los municipios con mayor apropiación de este instrumento Caparrapí, Vergara, Cabrera, Villeta y Guaduas entre los 57 primeros beneficiados con este incentivo. 
Con relación al componente de LECCUND – Subsidio a la tasa, se tiene una ejecución de recursos por la suma de $3.586.768.582 que apalancan 2.532 operaciones de crédito por valor de $28.674.492.000, cuyos destinos con mayor participación son: Capital de trabajo UPC, papa, sostenimiento ceba bovina, fríjol, cebolla cabezona, frutales, siendo los municipios con mayor colocación Yacopí, Villapinzón, Gutiérrez, La Peña, La Mesa, Fosca, Guaduas, Vergara, Caparrapí entre otros. 
Con relación al componente de Educación Financiera, se realizó la entrega a las 116 Umata municipales de los Kits requeridos para el inicio de los ciclos de capacitaciones, los cuales están programados para su realización entre el 09 de septiembre y el 14 de octubre. La modalidad será virtual mediante la plataforma TEAMS a través de los links creados por FINAGRO. La intensidad horaria comprende 24 horas, 8 horas por cada taller, de las cuales 12 horas se realizarán a través del aprendizaje sincrónico y 12 horas en aprendizaje asincrónico.
</v>
      </c>
      <c r="AK250" s="11">
        <f>VLOOKUP(K250,'1124 Agricultura'!$K$13:$AK$25,27,0)</f>
        <v>0</v>
      </c>
      <c r="AL250" s="11">
        <v>1400</v>
      </c>
      <c r="AM250" s="11">
        <v>0</v>
      </c>
      <c r="AN250" s="206">
        <v>248</v>
      </c>
      <c r="AO250" s="11">
        <v>0</v>
      </c>
      <c r="AP250" s="11">
        <v>0</v>
      </c>
      <c r="AQ250" s="11">
        <v>0</v>
      </c>
      <c r="AR250" s="51">
        <v>4700000000</v>
      </c>
      <c r="AS250" s="54">
        <v>0</v>
      </c>
      <c r="AT250" s="54">
        <f t="shared" si="361"/>
        <v>4700000000</v>
      </c>
      <c r="AU250" s="51">
        <v>4700000000</v>
      </c>
      <c r="AV250" s="243">
        <v>2993254998</v>
      </c>
      <c r="AW250" s="244"/>
      <c r="AX250" s="244"/>
      <c r="AY250" s="243">
        <v>2993254998</v>
      </c>
      <c r="AZ250" s="44">
        <f t="shared" si="408"/>
        <v>0.58699999999999997</v>
      </c>
      <c r="BA250" s="44">
        <v>0.01</v>
      </c>
      <c r="BB250" s="44">
        <v>1.04</v>
      </c>
      <c r="BC250" s="44">
        <f t="shared" si="409"/>
        <v>0.66</v>
      </c>
      <c r="BD250" s="44" cm="1">
        <f t="array" ref="BD250">_xlfn.IFS(AD250=0,"NA",AD250&gt;0,AH250/AD250)</f>
        <v>0.87363636363636366</v>
      </c>
      <c r="BE250" s="44">
        <f t="shared" si="410"/>
        <v>0.28000000000000003</v>
      </c>
      <c r="BF250" s="44">
        <v>0</v>
      </c>
      <c r="BG250" s="44">
        <f t="shared" si="411"/>
        <v>4.9599999999999998E-2</v>
      </c>
      <c r="BH250" s="44">
        <v>0</v>
      </c>
      <c r="BI250" s="44">
        <f t="shared" si="412"/>
        <v>0</v>
      </c>
      <c r="BJ250" s="44" t="s">
        <v>115</v>
      </c>
      <c r="BK250" s="44">
        <f t="shared" si="362"/>
        <v>0.58699999999999997</v>
      </c>
      <c r="BL250" s="44">
        <v>1</v>
      </c>
      <c r="BM250" s="44" cm="1">
        <f t="array" ref="BM250">_xlfn.IFS(BD250="NA","NA",BD250&gt;100%,"100%",BD250&lt;100,BD250)</f>
        <v>0.87363636363636366</v>
      </c>
      <c r="BN250" s="44" cm="1">
        <f t="array" ref="BN250">_xlfn.IFS(BF250="NA","NA",BF250&gt;100%,"100%",BF250&lt;100,BF250)</f>
        <v>0</v>
      </c>
      <c r="BO250" s="44" cm="1">
        <f t="array" ref="BO250">_xlfn.IFS(BH250="NA","NA",BH250&gt;100%,"100%",BH250&lt;100,BH250)</f>
        <v>0</v>
      </c>
      <c r="BP250" s="44" t="str" cm="1">
        <f t="array" ref="BP250">_xlfn.IFS(BJ250="NA","NA",BJ250&gt;100%,"100%",BJ250&lt;100,BJ250)</f>
        <v>NA</v>
      </c>
      <c r="BQ250" s="45">
        <v>0.22500000000000001</v>
      </c>
      <c r="BR250" s="45">
        <f t="shared" si="372"/>
        <v>0.132075</v>
      </c>
      <c r="BS250" s="45">
        <v>2.3E-3</v>
      </c>
      <c r="BT250" s="45">
        <v>2.3E-3</v>
      </c>
      <c r="BU250" s="45">
        <v>2.3E-3</v>
      </c>
      <c r="BV250" s="45">
        <f t="shared" si="413"/>
        <v>0.14849999999999999</v>
      </c>
      <c r="BW250" s="45">
        <f t="shared" si="392"/>
        <v>0.12973499999999999</v>
      </c>
      <c r="BX250" s="45">
        <f t="shared" si="393"/>
        <v>0.129775</v>
      </c>
      <c r="BY250" s="45">
        <f t="shared" si="414"/>
        <v>6.3E-2</v>
      </c>
      <c r="BZ250" s="45">
        <f t="shared" si="415"/>
        <v>0</v>
      </c>
      <c r="CA250" s="45">
        <f t="shared" si="373"/>
        <v>0</v>
      </c>
      <c r="CB250" s="45">
        <f t="shared" si="416"/>
        <v>1.1160000000000002E-2</v>
      </c>
      <c r="CC250" s="45">
        <f t="shared" si="417"/>
        <v>0</v>
      </c>
      <c r="CD250" s="45">
        <v>0</v>
      </c>
      <c r="CE250" s="45">
        <f t="shared" si="418"/>
        <v>0</v>
      </c>
      <c r="CF250" s="45" t="str">
        <f t="shared" si="419"/>
        <v>NA</v>
      </c>
      <c r="CG250" s="45">
        <v>0</v>
      </c>
      <c r="CH250" s="244"/>
      <c r="CI250" s="244"/>
      <c r="CJ250" s="244"/>
      <c r="CK250" s="244"/>
      <c r="CM250" s="63">
        <v>2826</v>
      </c>
    </row>
    <row r="251" spans="1:91" ht="18" hidden="1" customHeight="1">
      <c r="A251" s="260" t="s">
        <v>221</v>
      </c>
      <c r="B251" s="260" t="s">
        <v>222</v>
      </c>
      <c r="C251" s="260" t="s">
        <v>1286</v>
      </c>
      <c r="D251" s="260" t="s">
        <v>1657</v>
      </c>
      <c r="E251" s="260" t="s">
        <v>1696</v>
      </c>
      <c r="F251" s="260" t="s">
        <v>1697</v>
      </c>
      <c r="G251" s="260" t="s">
        <v>1698</v>
      </c>
      <c r="H251" s="260" t="s">
        <v>1699</v>
      </c>
      <c r="I251" s="260"/>
      <c r="J251" s="260"/>
      <c r="K251" s="260" t="s">
        <v>1700</v>
      </c>
      <c r="L251" s="260" t="s">
        <v>1701</v>
      </c>
      <c r="M251" s="260" t="s">
        <v>1702</v>
      </c>
      <c r="N251" s="260" t="s">
        <v>111</v>
      </c>
      <c r="O251" s="260" t="s">
        <v>124</v>
      </c>
      <c r="P251" s="10">
        <v>0</v>
      </c>
      <c r="Q251" s="11">
        <v>1</v>
      </c>
      <c r="R251" s="11">
        <f ca="1">(Z251+AH251)/CL251</f>
        <v>0.5</v>
      </c>
      <c r="S251" s="11" t="str">
        <f ca="1">VLOOKUP(K251,'1220 IDECUT'!$K$13:$AK$48,9,0)</f>
        <v xml:space="preserve">Durante la vigencia 2020 se estructuró una estrategia para promover la cultura y el turismo cultural de la sabana centro a través de una pauta publicitaria, articulación para el apoyo a las estrategias de marketing promoción y comercialización de los artesanos en el marco de la reactivación económica y transmisión del programa radial "de tour por Cundinamarca" y divulgación de las actividades y convocatorias realizadas por el IDECUT a través de emisoras municipales y "El Dorado Radio". Durante la vigencia 2021. Se logró mantener y continuar con el desarrollo del plan de medios, dando una mayor cabida a la publicidad con artesanos, implementando una campaña de sesión de fotos, realización de catálogo, creación de contenidos para la comercialización de sus productos y capacitación para los artesanos en medios digitales.  Acompañamiento con el desarrollod el plan de medios  para apoyar el evento de EXPOCUNDINAMARCA .Acompañamiento con el desarrollod el plan de medios  para apoyar el evento de EXPOCUNDINAMARCA </v>
      </c>
      <c r="T251" s="11">
        <v>0</v>
      </c>
      <c r="U251" s="11">
        <v>1</v>
      </c>
      <c r="V251" s="11">
        <v>0</v>
      </c>
      <c r="W251" s="11">
        <v>1</v>
      </c>
      <c r="X251" s="11" t="s">
        <v>115</v>
      </c>
      <c r="Y251" s="11">
        <v>1</v>
      </c>
      <c r="Z251" s="11">
        <v>1</v>
      </c>
      <c r="AA251" s="11" t="s">
        <v>1703</v>
      </c>
      <c r="AB251" s="11" t="s">
        <v>1704</v>
      </c>
      <c r="AC251" s="11" t="e">
        <f ca="1">- Articulación institucional</f>
        <v>#NAME?</v>
      </c>
      <c r="AD251" s="11">
        <v>0</v>
      </c>
      <c r="AE251" s="11">
        <v>1</v>
      </c>
      <c r="AF251" s="11">
        <f ca="1">VLOOKUP(K251,'1220 IDECUT'!$K$13:$AK$48,22,0)</f>
        <v>0</v>
      </c>
      <c r="AG251" s="11">
        <f ca="1">VLOOKUP(K251,'1220 IDECUT'!$K$13:$AK$48,23,0)</f>
        <v>1</v>
      </c>
      <c r="AH251" s="11">
        <f ca="1">AG251</f>
        <v>1</v>
      </c>
      <c r="AI251" s="11" t="str">
        <f ca="1">VLOOKUP(K251,'1220 IDECUT'!$K$13:$AK$48,25,0)</f>
        <v>Plan de medios</v>
      </c>
      <c r="AJ251" s="11" t="str">
        <f ca="1">VLOOKUP(K251,'1220 IDECUT'!$K$13:$AK$48,26,0)</f>
        <v>Se logró mantener y continuar con el desarrollo del plan de medios, dando una mayor cabida a la publicidad con artesanos, implementando una campaña de sesión de fotos, realización de catálogo, creación de contenidos para la comercialización de sus productos y capacitación para los artesanos en medios digitales.  Acompañamiento con el desarrollod el plan de medios  para apoyar el evento de EXPOCUNDINAMARCA .Acompañamiento con el desarrollod el plan de medios  para apoyar el evento de EXPOCUNDINAMARCA .</v>
      </c>
      <c r="AK251" s="11">
        <f ca="1">VLOOKUP(K251,'1220 IDECUT'!$K$13:$AK$48,27,0)</f>
        <v>0</v>
      </c>
      <c r="AL251" s="11">
        <v>0</v>
      </c>
      <c r="AM251" s="11">
        <v>1</v>
      </c>
      <c r="AN251" s="11">
        <v>0</v>
      </c>
      <c r="AO251" s="11">
        <v>1</v>
      </c>
      <c r="AP251" s="11">
        <v>0</v>
      </c>
      <c r="AQ251" s="11">
        <v>0</v>
      </c>
      <c r="AR251" s="51">
        <v>110000000</v>
      </c>
      <c r="AS251" s="54">
        <v>0</v>
      </c>
      <c r="AT251" s="54">
        <f t="shared" si="361"/>
        <v>110000000</v>
      </c>
      <c r="AU251" s="51">
        <v>110000000</v>
      </c>
      <c r="AV251" s="89">
        <v>130000000</v>
      </c>
      <c r="AW251" s="89"/>
      <c r="AX251" s="89"/>
      <c r="AY251" s="89">
        <v>136734732</v>
      </c>
      <c r="AZ251" s="44" cm="1">
        <f t="array" aca="1" ref="AZ251" ca="1">_xlfn.IFS((BA251=0),(BD251/CL251),(BA251&gt;0),((BB251+BD251)/CL251),(BE251&gt;0),((BB251+BD251+BE251)/CL251),(BG251&gt;0),((BB251+BD251+BE251+G251)/CL251))</f>
        <v>0.5</v>
      </c>
      <c r="BA251" s="44">
        <v>0.25</v>
      </c>
      <c r="BB251" s="44">
        <v>1</v>
      </c>
      <c r="BC251" s="44">
        <f>IF(AE251&gt;0,(1/CL251),0)</f>
        <v>0.25</v>
      </c>
      <c r="BD251" s="44" cm="1">
        <f t="array" aca="1" ref="BD251" ca="1">_xlfn.IFS(AE251=0,"NA",AE251&gt;0,AH251/AE251)</f>
        <v>1</v>
      </c>
      <c r="BE251" s="44">
        <f>IF(AM251&gt;0,(1/CL251),0)</f>
        <v>0.25</v>
      </c>
      <c r="BF251" s="44">
        <v>0</v>
      </c>
      <c r="BG251" s="44">
        <f>IF(AO251&gt;0,(1/CL251),0)</f>
        <v>0.25</v>
      </c>
      <c r="BH251" s="44">
        <v>0</v>
      </c>
      <c r="BI251" s="44">
        <v>0</v>
      </c>
      <c r="BJ251" s="44" t="s">
        <v>115</v>
      </c>
      <c r="BK251" s="44">
        <f t="shared" ca="1" si="362"/>
        <v>0.5</v>
      </c>
      <c r="BL251" s="44">
        <v>1</v>
      </c>
      <c r="BM251" s="44" cm="1">
        <f t="array" aca="1" ref="BM251" ca="1">_xlfn.IFS(BD251="NA","NA",BD251&gt;100%,"100%",BD251&lt;100,BD251)</f>
        <v>1</v>
      </c>
      <c r="BN251" s="44">
        <v>0</v>
      </c>
      <c r="BO251" s="44">
        <v>0</v>
      </c>
      <c r="BP251" s="44" t="s">
        <v>115</v>
      </c>
      <c r="BQ251" s="45">
        <v>0.22500000000000001</v>
      </c>
      <c r="BR251" s="45">
        <f t="shared" ca="1" si="372"/>
        <v>0.1125</v>
      </c>
      <c r="BS251" s="45">
        <v>5.6300000000000003E-2</v>
      </c>
      <c r="BT251" s="45">
        <v>5.6300000000000003E-2</v>
      </c>
      <c r="BU251" s="45">
        <v>5.6300000000000003E-2</v>
      </c>
      <c r="BV251" s="45">
        <v>5.6300000000000003E-2</v>
      </c>
      <c r="BW251" s="45">
        <f t="shared" ca="1" si="392"/>
        <v>5.6300000000000003E-2</v>
      </c>
      <c r="BX251" s="45">
        <f t="shared" ca="1" si="393"/>
        <v>5.62E-2</v>
      </c>
      <c r="BY251" s="45">
        <v>5.6300000000000003E-2</v>
      </c>
      <c r="BZ251" s="45">
        <v>0</v>
      </c>
      <c r="CA251" s="45">
        <f t="shared" ca="1" si="373"/>
        <v>0</v>
      </c>
      <c r="CB251" s="45">
        <v>5.6300000000000003E-2</v>
      </c>
      <c r="CC251" s="45">
        <v>0</v>
      </c>
      <c r="CD251" s="45">
        <v>0</v>
      </c>
      <c r="CE251" s="45">
        <v>0</v>
      </c>
      <c r="CF251" s="45" t="s">
        <v>115</v>
      </c>
      <c r="CG251" s="45">
        <v>0</v>
      </c>
      <c r="CH251" s="244">
        <f>IF(W251&gt;0,1,0)</f>
        <v>1</v>
      </c>
      <c r="CI251" s="244">
        <f>IF(AE251&gt;0,1,0)</f>
        <v>1</v>
      </c>
      <c r="CJ251" s="244">
        <f>IF(AM251&gt;0,1,0)</f>
        <v>1</v>
      </c>
      <c r="CK251" s="244">
        <f>IF(AO251&gt;0,1,0)</f>
        <v>1</v>
      </c>
      <c r="CL251">
        <f>CH251+CI251+CJ251+CK251</f>
        <v>4</v>
      </c>
      <c r="CM251" s="63">
        <f ca="1">AVERAGE(Z251,AH251)</f>
        <v>1</v>
      </c>
    </row>
    <row r="252" spans="1:91" ht="18" hidden="1" customHeight="1">
      <c r="A252" s="260" t="s">
        <v>221</v>
      </c>
      <c r="B252" s="260" t="s">
        <v>222</v>
      </c>
      <c r="C252" s="260" t="s">
        <v>1286</v>
      </c>
      <c r="D252" s="260" t="s">
        <v>1657</v>
      </c>
      <c r="E252" s="260" t="s">
        <v>1696</v>
      </c>
      <c r="F252" s="260" t="s">
        <v>1697</v>
      </c>
      <c r="G252" s="260" t="s">
        <v>1698</v>
      </c>
      <c r="H252" s="260" t="s">
        <v>1705</v>
      </c>
      <c r="I252" s="260"/>
      <c r="J252" s="260"/>
      <c r="K252" s="260" t="s">
        <v>1706</v>
      </c>
      <c r="L252" s="260" t="s">
        <v>1707</v>
      </c>
      <c r="M252" s="260" t="s">
        <v>1708</v>
      </c>
      <c r="N252" s="260" t="s">
        <v>111</v>
      </c>
      <c r="O252" s="260" t="s">
        <v>112</v>
      </c>
      <c r="P252" s="10">
        <v>0</v>
      </c>
      <c r="Q252" s="11">
        <v>6</v>
      </c>
      <c r="R252" s="11">
        <f t="shared" ref="R252:R267" ca="1" si="420">Z252+AH252</f>
        <v>1</v>
      </c>
      <c r="S252" s="11" t="str">
        <f ca="1">VLOOKUP(K252,'1220 IDECUT'!$K$13:$AK$48,9,0)</f>
        <v>En el 2021. La implementación del modelo de pueblo Dorado se encuentra en proceso de firma del convenio con los municipios de Tena y Sesquilé, para que estos sean incluidos dentro de los pueblos dorados del Departamento. De igual manera, se ha llevado a cabo la revisión de los avances el proyecto de Pueblos Dorados y se han desarrollado reuniones con la concesión Devisab para concretar su vinculación al proyecto. Por último, se han llevado a cabo capacitaciones por parte de Procolombia dirigidas a  la provincia de Almeidas en temas turísticos.</v>
      </c>
      <c r="T252" s="11">
        <v>0</v>
      </c>
      <c r="U252" s="11">
        <v>0</v>
      </c>
      <c r="V252" s="11">
        <v>0</v>
      </c>
      <c r="W252" s="11">
        <v>0</v>
      </c>
      <c r="X252" s="11">
        <v>0</v>
      </c>
      <c r="Y252" s="11">
        <v>0</v>
      </c>
      <c r="Z252" s="11">
        <v>0</v>
      </c>
      <c r="AA252" s="11"/>
      <c r="AB252" s="11"/>
      <c r="AC252" s="11"/>
      <c r="AD252" s="11">
        <v>2</v>
      </c>
      <c r="AE252" s="11">
        <v>0</v>
      </c>
      <c r="AF252" s="11">
        <f ca="1">VLOOKUP(K252,'1220 IDECUT'!$K$13:$AK$48,22,0)</f>
        <v>1</v>
      </c>
      <c r="AG252" s="11">
        <f ca="1">VLOOKUP(K252,'1220 IDECUT'!$K$13:$AK$48,23,0)</f>
        <v>0</v>
      </c>
      <c r="AH252" s="11">
        <f t="shared" ref="AH252:AH267" ca="1" si="421">AF252</f>
        <v>1</v>
      </c>
      <c r="AI252" s="11" t="str">
        <f ca="1">VLOOKUP(K252,'1220 IDECUT'!$K$13:$AK$48,25,0)</f>
        <v>Talleres</v>
      </c>
      <c r="AJ252" s="11" t="str">
        <f ca="1">VLOOKUP(K252,'1220 IDECUT'!$K$13:$AK$48,26,0)</f>
        <v>La implementación del modelo de pueblo Dorado se encuentra en proceso de firma del convenio con los municipios de Tena y Sesquilé, para que estos sean incluidos dentro de los pueblos dorados del Departamento. De igual manera, se ha llevado a cabo la revisión de los avances el proyecto de Pueblos Dorados y se han desarrollado reuniones con la concesión Devisab para concretar su vinculación al proyecto. Por último, se han llevado a cabo capacitaciones por parte de Procolombia dirigidas a  la provincia de Almeidas en temas turísticos.</v>
      </c>
      <c r="AK252" s="11">
        <f ca="1">VLOOKUP(K252,'1220 IDECUT'!$K$13:$AK$48,27,0)</f>
        <v>0</v>
      </c>
      <c r="AL252" s="11">
        <v>2</v>
      </c>
      <c r="AM252" s="11">
        <v>0</v>
      </c>
      <c r="AN252" s="11">
        <v>2</v>
      </c>
      <c r="AO252" s="11">
        <v>0</v>
      </c>
      <c r="AP252" s="11">
        <v>0</v>
      </c>
      <c r="AQ252" s="11">
        <v>0</v>
      </c>
      <c r="AR252" s="52"/>
      <c r="AS252" s="54">
        <v>0</v>
      </c>
      <c r="AT252" s="54">
        <f t="shared" si="361"/>
        <v>0</v>
      </c>
      <c r="AU252" s="52"/>
      <c r="AV252" s="89">
        <v>576000000</v>
      </c>
      <c r="AW252" s="89"/>
      <c r="AX252" s="89"/>
      <c r="AY252" s="89">
        <v>575868375</v>
      </c>
      <c r="AZ252" s="44">
        <f t="shared" ref="AZ252:AZ267" ca="1" si="422">R252/Q252</f>
        <v>0.16666666666666666</v>
      </c>
      <c r="BA252" s="44">
        <v>0</v>
      </c>
      <c r="BB252" s="44" t="s">
        <v>115</v>
      </c>
      <c r="BC252" s="44">
        <f t="shared" ref="BC252:BC267" si="423">AD252/Q252</f>
        <v>0.33333333333333331</v>
      </c>
      <c r="BD252" s="44" cm="1">
        <f t="array" aca="1" ref="BD252" ca="1">_xlfn.IFS(AD252=0,"NA",AD252&gt;0,AH252/AD252)</f>
        <v>0.5</v>
      </c>
      <c r="BE252" s="44">
        <f t="shared" ref="BE252:BE267" si="424">AL252/Q252</f>
        <v>0.33333333333333331</v>
      </c>
      <c r="BF252" s="44">
        <v>0</v>
      </c>
      <c r="BG252" s="44">
        <f t="shared" ref="BG252:BG267" si="425">AN252/Q252</f>
        <v>0.33333333333333331</v>
      </c>
      <c r="BH252" s="44">
        <v>0</v>
      </c>
      <c r="BI252" s="44">
        <f t="shared" ref="BI252:BI267" si="426">AP252/Q252</f>
        <v>0</v>
      </c>
      <c r="BJ252" s="44" t="s">
        <v>115</v>
      </c>
      <c r="BK252" s="44">
        <f t="shared" ca="1" si="362"/>
        <v>0.16666666666666666</v>
      </c>
      <c r="BL252" s="44" t="s">
        <v>115</v>
      </c>
      <c r="BM252" s="44" cm="1">
        <f t="array" aca="1" ref="BM252" ca="1">_xlfn.IFS(BD252="NA","NA",BD252&gt;100%,"100%",BD252&lt;100,BD252)</f>
        <v>0.5</v>
      </c>
      <c r="BN252" s="44" cm="1">
        <f t="array" ref="BN252">_xlfn.IFS(BF252="NA","NA",BF252&gt;100%,"100%",BF252&lt;100,BF252)</f>
        <v>0</v>
      </c>
      <c r="BO252" s="44" cm="1">
        <f t="array" ref="BO252">_xlfn.IFS(BH252="NA","NA",BH252&gt;100%,"100%",BH252&lt;100,BH252)</f>
        <v>0</v>
      </c>
      <c r="BP252" s="44" t="str" cm="1">
        <f t="array" ref="BP252">_xlfn.IFS(BJ252="NA","NA",BJ252&gt;100%,"100%",BJ252&lt;100,BJ252)</f>
        <v>NA</v>
      </c>
      <c r="BQ252" s="45">
        <v>0.22500000000000001</v>
      </c>
      <c r="BR252" s="45">
        <f t="shared" ca="1" si="372"/>
        <v>3.7499999999999999E-2</v>
      </c>
      <c r="BS252" s="45">
        <v>0</v>
      </c>
      <c r="BT252" s="45" t="s">
        <v>115</v>
      </c>
      <c r="BU252" s="45">
        <v>0</v>
      </c>
      <c r="BV252" s="45">
        <f t="shared" ref="BV252:BV267" si="427">(AD252*BQ252)/Q252</f>
        <v>7.4999999999999997E-2</v>
      </c>
      <c r="BW252" s="45">
        <f t="shared" ca="1" si="392"/>
        <v>3.7499999999999999E-2</v>
      </c>
      <c r="BX252" s="45">
        <f t="shared" ca="1" si="393"/>
        <v>3.7499999999999999E-2</v>
      </c>
      <c r="BY252" s="45">
        <f t="shared" ref="BY252:BY267" si="428">(AL252*BQ252)/Q252</f>
        <v>7.4999999999999997E-2</v>
      </c>
      <c r="BZ252" s="45">
        <f t="shared" ref="BZ252:BZ267" si="429">IF(BN252="NA","NA",BN252*BY252)</f>
        <v>0</v>
      </c>
      <c r="CA252" s="45">
        <f t="shared" ca="1" si="373"/>
        <v>0</v>
      </c>
      <c r="CB252" s="45">
        <f t="shared" ref="CB252:CB267" si="430">(AN252*BQ252)/Q252</f>
        <v>7.4999999999999997E-2</v>
      </c>
      <c r="CC252" s="45">
        <f t="shared" ref="CC252:CC267" si="431">IF(BO252="NA","NA",BO252*CB252)</f>
        <v>0</v>
      </c>
      <c r="CD252" s="45">
        <v>0</v>
      </c>
      <c r="CE252" s="45">
        <f t="shared" ref="CE252:CE267" si="432">(AP252*BQ252)/Q252</f>
        <v>0</v>
      </c>
      <c r="CF252" s="45" t="str">
        <f t="shared" ref="CF252:CF267" si="433">IF(BP252="NA","NA",BP252*CE252)</f>
        <v>NA</v>
      </c>
      <c r="CG252" s="45">
        <v>0</v>
      </c>
      <c r="CH252" s="244"/>
      <c r="CI252" s="244"/>
      <c r="CJ252" s="244"/>
      <c r="CK252" s="244"/>
      <c r="CM252" s="63">
        <v>1</v>
      </c>
    </row>
    <row r="253" spans="1:91" ht="18" hidden="1" customHeight="1">
      <c r="A253" s="260" t="s">
        <v>221</v>
      </c>
      <c r="B253" s="260" t="s">
        <v>222</v>
      </c>
      <c r="C253" s="260" t="s">
        <v>1286</v>
      </c>
      <c r="D253" s="260" t="s">
        <v>1657</v>
      </c>
      <c r="E253" s="260" t="s">
        <v>1696</v>
      </c>
      <c r="F253" s="260" t="s">
        <v>1697</v>
      </c>
      <c r="G253" s="260" t="s">
        <v>1698</v>
      </c>
      <c r="H253" s="260" t="s">
        <v>1709</v>
      </c>
      <c r="I253" s="260"/>
      <c r="J253" s="260"/>
      <c r="K253" s="260" t="s">
        <v>1710</v>
      </c>
      <c r="L253" s="260" t="s">
        <v>1711</v>
      </c>
      <c r="M253" s="260" t="s">
        <v>1712</v>
      </c>
      <c r="N253" s="260" t="s">
        <v>111</v>
      </c>
      <c r="O253" s="260" t="s">
        <v>112</v>
      </c>
      <c r="P253" s="10">
        <v>0</v>
      </c>
      <c r="Q253" s="11">
        <v>50</v>
      </c>
      <c r="R253" s="11">
        <f t="shared" ca="1" si="420"/>
        <v>0</v>
      </c>
      <c r="S253" s="11" t="str">
        <f ca="1">VLOOKUP(K253,'1220 IDECUT'!$K$13:$AK$48,9,0)</f>
        <v>En el 2021. Se ha impulsado el reconocimiento gastronómico mediante la realizacion de diferentes visitas de producción, de entrevistas y de recopilación  de la historia, preparación y fotografias de cada una de las  recetas tradicionales que se publicaran en el libro "Sabores de Cundinamarca". Las visitas se llevaron a cabo por personal tecnico y profesional. Esta iniciativa beneficia a la población y el reconocimiento gastronómico y cultural de los municipios de Guasca, Zipaquirá, Gachancipá, Chía, Sibaté, La Calera, Albán, Cota, Tena, Manta. Soacha, Sibaté, Silvania, Tausa, Ubaté, Guachetá, Pacho, La Palma, Yacopí, La Calera, Guasca y Manta, Chía, Pasca, Arbeláez, Pandi, Junín, Ubalá, Anapoima, Tocaima, Girardot, Zipaquirá, Cogua, Gachancipá, Anapoima, Tocaima,Tena,Girardot,El Colegio,facatativa,Mosquera, Sesquilé y Villa Pinzón, Tabio. 
Posteriormente, se realizaron las visitas correspondientes en coordinación del Idecut, en acompañamiento de la chef Jennifer Rodríguez y de la escritora y el fotógrafo de la Editorial Planeta. A la fecha, falta visitar 6 establecimientos y se encuentran en redacción de las primeras páginas y diseño de las propuestas del diseño del libro. Se da  inicio de proceso de edición e impresión, de la entrega de los ejemplares al Gobierno Departamental para el mes de diciembre del presente año,</v>
      </c>
      <c r="T253" s="11">
        <v>0</v>
      </c>
      <c r="U253" s="11">
        <v>0</v>
      </c>
      <c r="V253" s="11">
        <v>0</v>
      </c>
      <c r="W253" s="11">
        <v>0</v>
      </c>
      <c r="X253" s="11">
        <v>0</v>
      </c>
      <c r="Y253" s="11">
        <v>0</v>
      </c>
      <c r="Z253" s="11">
        <v>0</v>
      </c>
      <c r="AA253" s="11"/>
      <c r="AB253" s="11"/>
      <c r="AC253" s="11"/>
      <c r="AD253" s="11">
        <v>20</v>
      </c>
      <c r="AE253" s="11">
        <v>0</v>
      </c>
      <c r="AF253" s="11">
        <f ca="1">VLOOKUP(K253,'1220 IDECUT'!$K$13:$AK$48,22,0)</f>
        <v>0</v>
      </c>
      <c r="AG253" s="11">
        <f ca="1">VLOOKUP(K253,'1220 IDECUT'!$K$13:$AK$48,23,0)</f>
        <v>0</v>
      </c>
      <c r="AH253" s="11">
        <f t="shared" ca="1" si="421"/>
        <v>0</v>
      </c>
      <c r="AI253" s="11" t="str">
        <f ca="1">VLOOKUP(K253,'1220 IDECUT'!$K$13:$AK$48,25,0)</f>
        <v>Convocatoria para la seleccion de mejores restaurantes</v>
      </c>
      <c r="AJ253" s="11" t="str">
        <f ca="1">VLOOKUP(K253,'1220 IDECUT'!$K$13:$AK$48,26,0)</f>
        <v>Se ha impulsado el reconocimiento gastronómico mediante la realizacion de diferentes visitas de producción, de entrevistas y de recopilación  de la historia, preparación y fotografias de cada una de las  recetas tradicionales que se publicaran en el libro "Sabores de Cundinamarca". Las visitas se llevaron a cabo por personal tecnico y profesional. Esta iniciativa beneficia a la población y el reconocimiento gastronómico y cultural de los municipios de Guasca, Zipaquirá, Gachancipá, Chía, Sibaté, La Calera, Albán, Cota, Tena, Manta. Soacha, Sibaté, Silvania, Tausa, Ubaté, Guachetá, Pacho, La Palma, Yacopí, La Calera, Guasca y Manta, Chía, Pasca, Arbeláez, Pandi, Junín, Ubalá, Anapoima, Tocaima, Girardot, Zipaquirá, Cogua, Gachancipá, Anapoima, Tocaima,Tena,Girardot,El Colegio,facatativa,Mosquera, Sesquilé y Villa Pinzón, Tabio. Se da  inicio de proceso de edición e impresión, de la entrega de los ejemplares al Gobierno Departamental para el mes de diciembre del presente año,</v>
      </c>
      <c r="AK253" s="11">
        <f ca="1">VLOOKUP(K253,'1220 IDECUT'!$K$13:$AK$48,27,0)</f>
        <v>0</v>
      </c>
      <c r="AL253" s="11">
        <v>20</v>
      </c>
      <c r="AM253" s="11">
        <v>0</v>
      </c>
      <c r="AN253" s="11">
        <v>10</v>
      </c>
      <c r="AO253" s="11">
        <v>0</v>
      </c>
      <c r="AP253" s="11">
        <v>0</v>
      </c>
      <c r="AQ253" s="11">
        <v>0</v>
      </c>
      <c r="AR253" s="52"/>
      <c r="AS253" s="54">
        <v>0</v>
      </c>
      <c r="AT253" s="54">
        <f t="shared" si="361"/>
        <v>0</v>
      </c>
      <c r="AU253" s="52"/>
      <c r="AV253" s="89">
        <v>620000000</v>
      </c>
      <c r="AW253" s="89"/>
      <c r="AX253" s="89"/>
      <c r="AY253" s="89">
        <v>620000000</v>
      </c>
      <c r="AZ253" s="44">
        <f t="shared" ca="1" si="422"/>
        <v>0</v>
      </c>
      <c r="BA253" s="44">
        <v>0</v>
      </c>
      <c r="BB253" s="44" t="s">
        <v>115</v>
      </c>
      <c r="BC253" s="44">
        <f t="shared" si="423"/>
        <v>0.4</v>
      </c>
      <c r="BD253" s="44" cm="1">
        <f t="array" aca="1" ref="BD253" ca="1">_xlfn.IFS(AD253=0,"NA",AD253&gt;0,AH253/AD253)</f>
        <v>0</v>
      </c>
      <c r="BE253" s="44">
        <f t="shared" si="424"/>
        <v>0.4</v>
      </c>
      <c r="BF253" s="44">
        <v>0</v>
      </c>
      <c r="BG253" s="44">
        <f t="shared" si="425"/>
        <v>0.2</v>
      </c>
      <c r="BH253" s="44">
        <v>0</v>
      </c>
      <c r="BI253" s="44">
        <f t="shared" si="426"/>
        <v>0</v>
      </c>
      <c r="BJ253" s="44" t="s">
        <v>115</v>
      </c>
      <c r="BK253" s="44">
        <f t="shared" ca="1" si="362"/>
        <v>0</v>
      </c>
      <c r="BL253" s="44" t="s">
        <v>115</v>
      </c>
      <c r="BM253" s="44" cm="1">
        <f t="array" aca="1" ref="BM253" ca="1">_xlfn.IFS(BD253="NA","NA",BD253&gt;100%,"100%",BD253&lt;100,BD253)</f>
        <v>0</v>
      </c>
      <c r="BN253" s="44" cm="1">
        <f t="array" ref="BN253">_xlfn.IFS(BF253="NA","NA",BF253&gt;100%,"100%",BF253&lt;100,BF253)</f>
        <v>0</v>
      </c>
      <c r="BO253" s="44" cm="1">
        <f t="array" ref="BO253">_xlfn.IFS(BH253="NA","NA",BH253&gt;100%,"100%",BH253&lt;100,BH253)</f>
        <v>0</v>
      </c>
      <c r="BP253" s="44" t="str" cm="1">
        <f t="array" ref="BP253">_xlfn.IFS(BJ253="NA","NA",BJ253&gt;100%,"100%",BJ253&lt;100,BJ253)</f>
        <v>NA</v>
      </c>
      <c r="BQ253" s="45">
        <v>0.22500000000000001</v>
      </c>
      <c r="BR253" s="45">
        <f t="shared" ca="1" si="372"/>
        <v>0</v>
      </c>
      <c r="BS253" s="45">
        <v>0</v>
      </c>
      <c r="BT253" s="45" t="s">
        <v>115</v>
      </c>
      <c r="BU253" s="45">
        <v>0</v>
      </c>
      <c r="BV253" s="45">
        <f t="shared" si="427"/>
        <v>0.09</v>
      </c>
      <c r="BW253" s="45">
        <f t="shared" ca="1" si="392"/>
        <v>0</v>
      </c>
      <c r="BX253" s="45">
        <f t="shared" ca="1" si="393"/>
        <v>0</v>
      </c>
      <c r="BY253" s="45">
        <f t="shared" si="428"/>
        <v>0.09</v>
      </c>
      <c r="BZ253" s="45">
        <f t="shared" si="429"/>
        <v>0</v>
      </c>
      <c r="CA253" s="45">
        <f t="shared" ca="1" si="373"/>
        <v>0</v>
      </c>
      <c r="CB253" s="45">
        <f t="shared" si="430"/>
        <v>4.4999999999999998E-2</v>
      </c>
      <c r="CC253" s="45">
        <f t="shared" si="431"/>
        <v>0</v>
      </c>
      <c r="CD253" s="45">
        <v>0</v>
      </c>
      <c r="CE253" s="45">
        <f t="shared" si="432"/>
        <v>0</v>
      </c>
      <c r="CF253" s="45" t="str">
        <f t="shared" si="433"/>
        <v>NA</v>
      </c>
      <c r="CG253" s="45">
        <v>0</v>
      </c>
      <c r="CH253" s="244"/>
      <c r="CI253" s="244"/>
      <c r="CJ253" s="244"/>
      <c r="CK253" s="244"/>
      <c r="CM253" s="63">
        <v>0</v>
      </c>
    </row>
    <row r="254" spans="1:91" ht="18" hidden="1" customHeight="1">
      <c r="A254" s="260" t="s">
        <v>221</v>
      </c>
      <c r="B254" s="260" t="s">
        <v>222</v>
      </c>
      <c r="C254" s="260" t="s">
        <v>1286</v>
      </c>
      <c r="D254" s="260" t="s">
        <v>1657</v>
      </c>
      <c r="E254" s="260" t="s">
        <v>1696</v>
      </c>
      <c r="F254" s="260" t="s">
        <v>1697</v>
      </c>
      <c r="G254" s="260" t="s">
        <v>1698</v>
      </c>
      <c r="H254" s="260" t="s">
        <v>1713</v>
      </c>
      <c r="I254" s="260"/>
      <c r="J254" s="260"/>
      <c r="K254" s="260" t="s">
        <v>1714</v>
      </c>
      <c r="L254" s="260" t="s">
        <v>1715</v>
      </c>
      <c r="M254" s="260" t="s">
        <v>1716</v>
      </c>
      <c r="N254" s="260" t="s">
        <v>111</v>
      </c>
      <c r="O254" s="260" t="s">
        <v>112</v>
      </c>
      <c r="P254" s="10">
        <v>0</v>
      </c>
      <c r="Q254" s="11">
        <v>500</v>
      </c>
      <c r="R254" s="11">
        <f t="shared" ca="1" si="420"/>
        <v>557</v>
      </c>
      <c r="S254" s="11" t="str">
        <f ca="1">VLOOKUP(K254,'1220 IDECUT'!$K$13:$AK$48,9,0)</f>
        <v>En 2020 se llevó a cabo la implementación de las estrategias de reactivación económica del turismo tales como capacitación en los protocolos de bioseguridad en articulación con los gremios ANATO y COTELCO, programas de incentivos para artesanos y la implementación del programa de bilingüismo dirigida a prestadores de servicios turísticos. A través de la Resolución 283 de 2020 le dio apertura a la convocatoria denominada "Incentivos para la reactivación económica de los artesanos" beneficiando a 288 personas con un estímulo de 1.000.000 de pesos cada uno. En 2020 se empiezó a divulgar a través de encuesta en google a los municipiosy en acuerdo con los directores de turismo para la recolección de datos de prestadores turísticos en el departamento, la cual busca tener la mayor cantidad de datos posibles para que estos actores del turismo puedan aplicar a convocatorias y ser legalizados. Durante el año 2021.  Se han impulsado operadores turísticos con capacitaciones en comercialización, promoción y marketing turístico; y apoyo a través de canales de comunicación y difusión con el desarrollo de 30 recorridos de los Fam trip los cuales tuvieron una participación activa de 378 personas, donde se presentó el  recorrido de  6 diferentes rutas turísticas por el departamento de Cundinamarca, contribuyendo a la reactivación económica en el sector turismo. Se logro la certificación de 21 prestadores de servicios turísticos a la fecha en el sello de Bioseguridad, Check in Certificado y actualmente se continua el proceso de apoyo a los prestadores que tienen pendiente alguna documentación, para poderse certificar en sello Check in. De esta manera se han beneficiado los municipios de:  Bojaca, Cachipay, Cajica, Chía, Chipaque, Choachi, Choconta, Cogua, El Colegio, El Rosal, Facatativa, Facatativá, Fómeque, Funza, Fuquene, Gachalá, Girardot , Guachetá, Guaduas, Guatavita, Guaduas, La Calera, La Mesa, la vega, Madrid, Mosquera, Neiva, San Antonio del Tequendama, San francisco, San Juan de Rioseco, Sasaima , Soacha, Subachoque, Sutatausa, Tibacuy, Tocancipá, Ubaque, Zipaquirá. Agua de dios, Alban,Anapoima, Arbelaez, Bojaca, Cajica, Caqueza , Chia, Choachi, Cota, El Colegio, El Rosal, Facatativa, Gacheta, Girardot, Guaduas, Guasca, Guatavita, Junin, La Mesa, La Vega, Mosquera, Medina, Nemcón,  Ricaurte, San Antonio del Tequendama, San Juan de Rioseco, Silvania, Suesca, Soacha, Subachoque, Tabio, Tenjo, Utica, Ubate, Ubaque.   Garantizar la participación de dos (2) artesanos en L’Artigiano in Fiera como una oportunidad excepcional en términos de dimensión, visibilidad y presencia de público, que servirá de vitrina para el Departamento. Desarrollo de 32 recorridos de los Fam trip, con una participación de 423 personas, donde se han recorrido 5 diferentes rutas por el departamento de Cundinamarca, contribuyendo a la reactivación económica en el sector turismo. Se logro la certificación de 33 prestadores de servicios turísticos a la fecha en el sello de Bioseguridad, Check in Certificado.</v>
      </c>
      <c r="T254" s="11">
        <v>0</v>
      </c>
      <c r="U254" s="11">
        <v>0</v>
      </c>
      <c r="V254" s="11">
        <v>15</v>
      </c>
      <c r="W254" s="11">
        <v>0</v>
      </c>
      <c r="X254" s="11">
        <v>391</v>
      </c>
      <c r="Y254" s="11">
        <v>0</v>
      </c>
      <c r="Z254" s="11">
        <v>391</v>
      </c>
      <c r="AA254" s="11" t="s">
        <v>1717</v>
      </c>
      <c r="AB254" s="11" t="s">
        <v>1718</v>
      </c>
      <c r="AC254" s="11" t="s">
        <v>1719</v>
      </c>
      <c r="AD254" s="11">
        <v>15</v>
      </c>
      <c r="AE254" s="11">
        <v>0</v>
      </c>
      <c r="AF254" s="11">
        <f ca="1">VLOOKUP(K254,'1220 IDECUT'!$K$13:$AK$48,22,0)</f>
        <v>166</v>
      </c>
      <c r="AG254" s="11">
        <f ca="1">VLOOKUP(K254,'1220 IDECUT'!$K$13:$AK$48,23,0)</f>
        <v>0</v>
      </c>
      <c r="AH254" s="11">
        <f t="shared" ca="1" si="421"/>
        <v>166</v>
      </c>
      <c r="AI254" s="11" t="str">
        <f ca="1">VLOOKUP(K254,'1220 IDECUT'!$K$13:$AK$48,25,0)</f>
        <v>Asesoria</v>
      </c>
      <c r="AJ254" s="11" t="str">
        <f ca="1">VLOOKUP(K254,'1220 IDECUT'!$K$13:$AK$48,26,0)</f>
        <v>Garantizar la participación de dos (2) artesanos en L’Artigiano in Fiera como una oportunidad excepcional en términos de dimensión, visibilidad y presencia de público, que servirá de vitrina para el Departamento. Desarrollo de 32 recorridos de los Fam trip, con una participación de 423 personas, donde se han recorrido 5 diferentes rutas por el departamento de Cundinamarca, contribuyendo a la reactivación económica en el sector turismo. Se logro la certificación de 33 prestadores de servicios turísticos a la fecha en el sello de Bioseguridad, Check in Certificado.</v>
      </c>
      <c r="AK254" s="11">
        <f ca="1">VLOOKUP(K254,'1220 IDECUT'!$K$13:$AK$48,27,0)</f>
        <v>0</v>
      </c>
      <c r="AL254" s="11">
        <v>10</v>
      </c>
      <c r="AM254" s="11">
        <v>0</v>
      </c>
      <c r="AN254" s="11">
        <v>10</v>
      </c>
      <c r="AO254" s="11">
        <v>0</v>
      </c>
      <c r="AP254" s="11">
        <v>0</v>
      </c>
      <c r="AQ254" s="11">
        <v>0</v>
      </c>
      <c r="AR254" s="51">
        <v>500000000</v>
      </c>
      <c r="AS254" s="54">
        <v>0</v>
      </c>
      <c r="AT254" s="54">
        <f t="shared" si="361"/>
        <v>500000000</v>
      </c>
      <c r="AU254" s="51">
        <v>500000000</v>
      </c>
      <c r="AV254" s="89">
        <v>90000000</v>
      </c>
      <c r="AW254" s="89"/>
      <c r="AX254" s="89"/>
      <c r="AY254" s="89">
        <v>72900000</v>
      </c>
      <c r="AZ254" s="44">
        <f t="shared" ca="1" si="422"/>
        <v>1.1140000000000001</v>
      </c>
      <c r="BA254" s="44">
        <v>0.3</v>
      </c>
      <c r="BB254" s="44">
        <v>26.066700000000001</v>
      </c>
      <c r="BC254" s="44">
        <f t="shared" si="423"/>
        <v>0.03</v>
      </c>
      <c r="BD254" s="44" cm="1">
        <f t="array" aca="1" ref="BD254" ca="1">_xlfn.IFS(AD254=0,"NA",AD254&gt;0,AH254/AD254)</f>
        <v>11.066666666666666</v>
      </c>
      <c r="BE254" s="44">
        <f t="shared" si="424"/>
        <v>0.02</v>
      </c>
      <c r="BF254" s="44">
        <v>0</v>
      </c>
      <c r="BG254" s="44">
        <f t="shared" si="425"/>
        <v>0.02</v>
      </c>
      <c r="BH254" s="44">
        <v>0</v>
      </c>
      <c r="BI254" s="44">
        <f t="shared" si="426"/>
        <v>0</v>
      </c>
      <c r="BJ254" s="44" t="s">
        <v>115</v>
      </c>
      <c r="BK254" s="44" t="str">
        <f t="shared" ca="1" si="362"/>
        <v>100%</v>
      </c>
      <c r="BL254" s="44">
        <v>1</v>
      </c>
      <c r="BM254" s="44" t="str" cm="1">
        <f t="array" aca="1" ref="BM254" ca="1">_xlfn.IFS(BD254="NA","NA",BD254&gt;100%,"100%",BD254&lt;100,BD254)</f>
        <v>100%</v>
      </c>
      <c r="BN254" s="44" cm="1">
        <f t="array" ref="BN254">_xlfn.IFS(BF254="NA","NA",BF254&gt;100%,"100%",BF254&lt;100,BF254)</f>
        <v>0</v>
      </c>
      <c r="BO254" s="44" cm="1">
        <f t="array" ref="BO254">_xlfn.IFS(BH254="NA","NA",BH254&gt;100%,"100%",BH254&lt;100,BH254)</f>
        <v>0</v>
      </c>
      <c r="BP254" s="44" t="str" cm="1">
        <f t="array" ref="BP254">_xlfn.IFS(BJ254="NA","NA",BJ254&gt;100%,"100%",BJ254&lt;100,BJ254)</f>
        <v>NA</v>
      </c>
      <c r="BQ254" s="45">
        <v>0.22500000000000001</v>
      </c>
      <c r="BR254" s="45">
        <f t="shared" ca="1" si="372"/>
        <v>0.22500000000000001</v>
      </c>
      <c r="BS254" s="45">
        <v>6.7500000000000004E-2</v>
      </c>
      <c r="BT254" s="45">
        <v>6.7500000000000004E-2</v>
      </c>
      <c r="BU254" s="45">
        <v>0.22500000000000001</v>
      </c>
      <c r="BV254" s="45">
        <f t="shared" si="427"/>
        <v>6.7499999999999999E-3</v>
      </c>
      <c r="BW254" s="45">
        <f t="shared" ca="1" si="392"/>
        <v>6.7499999999999999E-3</v>
      </c>
      <c r="BX254" s="45">
        <f t="shared" ca="1" si="393"/>
        <v>0</v>
      </c>
      <c r="BY254" s="45">
        <f t="shared" si="428"/>
        <v>4.4999999999999997E-3</v>
      </c>
      <c r="BZ254" s="45">
        <f t="shared" si="429"/>
        <v>0</v>
      </c>
      <c r="CA254" s="45">
        <f t="shared" ca="1" si="373"/>
        <v>0</v>
      </c>
      <c r="CB254" s="45">
        <f t="shared" si="430"/>
        <v>4.4999999999999997E-3</v>
      </c>
      <c r="CC254" s="45">
        <f t="shared" si="431"/>
        <v>0</v>
      </c>
      <c r="CD254" s="45">
        <v>0</v>
      </c>
      <c r="CE254" s="45">
        <f t="shared" si="432"/>
        <v>0</v>
      </c>
      <c r="CF254" s="45" t="str">
        <f t="shared" si="433"/>
        <v>NA</v>
      </c>
      <c r="CG254" s="45">
        <v>0</v>
      </c>
      <c r="CH254" s="244"/>
      <c r="CI254" s="244"/>
      <c r="CJ254" s="244"/>
      <c r="CK254" s="244"/>
      <c r="CM254" s="63">
        <v>415</v>
      </c>
    </row>
    <row r="255" spans="1:91" ht="18" hidden="1" customHeight="1">
      <c r="A255" s="260" t="s">
        <v>221</v>
      </c>
      <c r="B255" s="260" t="s">
        <v>222</v>
      </c>
      <c r="C255" s="260" t="s">
        <v>1286</v>
      </c>
      <c r="D255" s="260" t="s">
        <v>1657</v>
      </c>
      <c r="E255" s="260" t="s">
        <v>1696</v>
      </c>
      <c r="F255" s="260" t="s">
        <v>1697</v>
      </c>
      <c r="G255" s="260" t="s">
        <v>1698</v>
      </c>
      <c r="H255" s="260" t="s">
        <v>1720</v>
      </c>
      <c r="I255" s="260"/>
      <c r="J255" s="260"/>
      <c r="K255" s="260" t="s">
        <v>1721</v>
      </c>
      <c r="L255" s="260" t="s">
        <v>1722</v>
      </c>
      <c r="M255" s="260" t="s">
        <v>1723</v>
      </c>
      <c r="N255" s="260" t="s">
        <v>111</v>
      </c>
      <c r="O255" s="260" t="s">
        <v>112</v>
      </c>
      <c r="P255" s="10">
        <v>22</v>
      </c>
      <c r="Q255" s="11">
        <v>10</v>
      </c>
      <c r="R255" s="11">
        <f t="shared" ca="1" si="420"/>
        <v>7</v>
      </c>
      <c r="S255" s="11" t="str">
        <f ca="1">VLOOKUP(K255,'1220 IDECUT'!$K$13:$AK$48,9,0)</f>
        <v>Se acompañó al municipio de Chaguaní en la implementación del Plan De Desarrollo Turístico que fue asesorado en el 2019, aprobado por parte del concejo municipal en el año 2020, para toda la comunidad y se organiza el acompañamiento para la implementación con los operadores y prestadores de servicios turísticos del municipio. •	Se realiza visita a los municipios de Mosquera y Madrid para brindar apoyo en la actualización y elaboración del plan de desarrollo turístico municipal.  Se dio asesoría y acompañamiento territorial a los municipios de, Madrid, Suesca, Junín, Villeta, La Mesa y Guasca para, revisión de plan de desarrollo turístico de estos municipios.  
*Se recibe plan de desarrollo turístico municipal por parte del municipio de Guatavita para revisión y posterior radicación ante concejo municipal.</v>
      </c>
      <c r="T255" s="11">
        <v>0</v>
      </c>
      <c r="U255" s="11">
        <v>0</v>
      </c>
      <c r="V255" s="11">
        <v>0</v>
      </c>
      <c r="W255" s="11">
        <v>0</v>
      </c>
      <c r="X255" s="11">
        <v>0</v>
      </c>
      <c r="Y255" s="11">
        <v>0</v>
      </c>
      <c r="Z255" s="11">
        <v>0</v>
      </c>
      <c r="AA255" s="11"/>
      <c r="AB255" s="11"/>
      <c r="AC255" s="11"/>
      <c r="AD255" s="11">
        <v>3</v>
      </c>
      <c r="AE255" s="11">
        <v>0</v>
      </c>
      <c r="AF255" s="11">
        <f ca="1">VLOOKUP(K255,'1220 IDECUT'!$K$13:$AK$48,22,0)</f>
        <v>7</v>
      </c>
      <c r="AG255" s="11">
        <f ca="1">VLOOKUP(K255,'1220 IDECUT'!$K$13:$AK$48,23,0)</f>
        <v>0</v>
      </c>
      <c r="AH255" s="11">
        <f t="shared" ca="1" si="421"/>
        <v>7</v>
      </c>
      <c r="AI255" s="11" t="str">
        <f ca="1">VLOOKUP(K255,'1220 IDECUT'!$K$13:$AK$48,25,0)</f>
        <v>Acompañamiento</v>
      </c>
      <c r="AJ255" s="11" t="str">
        <f ca="1">VLOOKUP(K255,'1220 IDECUT'!$K$13:$AK$48,26,0)</f>
        <v>Se dio asesoría y acompañamiento territorial a los municipios de, Madrid, Suesca, Junín, Villeta, La Mesa y Guasca para, revisión de plan de desarrollo turístico de estos municipios.  
*Se recibe plan de desarrollo turístico municipal por parte del municipio de Guatavita para revisión y posterior radicación ante concejo municipal.</v>
      </c>
      <c r="AK255" s="11">
        <f ca="1">VLOOKUP(K255,'1220 IDECUT'!$K$13:$AK$48,27,0)</f>
        <v>0</v>
      </c>
      <c r="AL255" s="11">
        <v>4</v>
      </c>
      <c r="AM255" s="11">
        <v>0</v>
      </c>
      <c r="AN255" s="11">
        <v>3</v>
      </c>
      <c r="AO255" s="11">
        <v>0</v>
      </c>
      <c r="AP255" s="11">
        <v>0</v>
      </c>
      <c r="AQ255" s="11">
        <v>0</v>
      </c>
      <c r="AR255" s="52"/>
      <c r="AS255" s="54">
        <v>0</v>
      </c>
      <c r="AT255" s="54">
        <f t="shared" si="361"/>
        <v>0</v>
      </c>
      <c r="AU255" s="52"/>
      <c r="AV255" s="89">
        <v>40000000</v>
      </c>
      <c r="AW255" s="89"/>
      <c r="AX255" s="89"/>
      <c r="AY255" s="89">
        <v>40000000</v>
      </c>
      <c r="AZ255" s="44">
        <f t="shared" ca="1" si="422"/>
        <v>0.7</v>
      </c>
      <c r="BA255" s="44">
        <v>0</v>
      </c>
      <c r="BB255" s="44" t="s">
        <v>115</v>
      </c>
      <c r="BC255" s="44">
        <f t="shared" si="423"/>
        <v>0.3</v>
      </c>
      <c r="BD255" s="44" cm="1">
        <f t="array" aca="1" ref="BD255" ca="1">_xlfn.IFS(AD255=0,"NA",AD255&gt;0,AH255/AD255)</f>
        <v>2.3333333333333335</v>
      </c>
      <c r="BE255" s="44">
        <f t="shared" si="424"/>
        <v>0.4</v>
      </c>
      <c r="BF255" s="44">
        <v>0</v>
      </c>
      <c r="BG255" s="44">
        <f t="shared" si="425"/>
        <v>0.3</v>
      </c>
      <c r="BH255" s="44">
        <v>0</v>
      </c>
      <c r="BI255" s="44">
        <f t="shared" si="426"/>
        <v>0</v>
      </c>
      <c r="BJ255" s="44" t="s">
        <v>115</v>
      </c>
      <c r="BK255" s="44">
        <f t="shared" ca="1" si="362"/>
        <v>0.7</v>
      </c>
      <c r="BL255" s="44" t="s">
        <v>115</v>
      </c>
      <c r="BM255" s="44" t="str" cm="1">
        <f t="array" aca="1" ref="BM255" ca="1">_xlfn.IFS(BD255="NA","NA",BD255&gt;100%,"100%",BD255&lt;100,BD255)</f>
        <v>100%</v>
      </c>
      <c r="BN255" s="44" cm="1">
        <f t="array" ref="BN255">_xlfn.IFS(BF255="NA","NA",BF255&gt;100%,"100%",BF255&lt;100,BF255)</f>
        <v>0</v>
      </c>
      <c r="BO255" s="44" cm="1">
        <f t="array" ref="BO255">_xlfn.IFS(BH255="NA","NA",BH255&gt;100%,"100%",BH255&lt;100,BH255)</f>
        <v>0</v>
      </c>
      <c r="BP255" s="44" t="str" cm="1">
        <f t="array" ref="BP255">_xlfn.IFS(BJ255="NA","NA",BJ255&gt;100%,"100%",BJ255&lt;100,BJ255)</f>
        <v>NA</v>
      </c>
      <c r="BQ255" s="45">
        <v>0.22500000000000001</v>
      </c>
      <c r="BR255" s="45">
        <f t="shared" ca="1" si="372"/>
        <v>0.1575</v>
      </c>
      <c r="BS255" s="45">
        <v>0</v>
      </c>
      <c r="BT255" s="45" t="s">
        <v>115</v>
      </c>
      <c r="BU255" s="45">
        <v>0</v>
      </c>
      <c r="BV255" s="45">
        <f t="shared" si="427"/>
        <v>6.7500000000000004E-2</v>
      </c>
      <c r="BW255" s="45">
        <f t="shared" ca="1" si="392"/>
        <v>6.7500000000000004E-2</v>
      </c>
      <c r="BX255" s="45">
        <f t="shared" ca="1" si="393"/>
        <v>0.1575</v>
      </c>
      <c r="BY255" s="45">
        <f t="shared" si="428"/>
        <v>0.09</v>
      </c>
      <c r="BZ255" s="45">
        <f t="shared" si="429"/>
        <v>0</v>
      </c>
      <c r="CA255" s="45">
        <f t="shared" ca="1" si="373"/>
        <v>0</v>
      </c>
      <c r="CB255" s="45">
        <f t="shared" si="430"/>
        <v>6.7500000000000004E-2</v>
      </c>
      <c r="CC255" s="45">
        <f t="shared" si="431"/>
        <v>0</v>
      </c>
      <c r="CD255" s="45">
        <v>0</v>
      </c>
      <c r="CE255" s="45">
        <f t="shared" si="432"/>
        <v>0</v>
      </c>
      <c r="CF255" s="45" t="str">
        <f t="shared" si="433"/>
        <v>NA</v>
      </c>
      <c r="CG255" s="45">
        <v>0</v>
      </c>
      <c r="CH255" s="244"/>
      <c r="CI255" s="244"/>
      <c r="CJ255" s="244"/>
      <c r="CK255" s="244"/>
      <c r="CM255" s="63">
        <v>1</v>
      </c>
    </row>
    <row r="256" spans="1:91" ht="18" hidden="1" customHeight="1">
      <c r="A256" s="260" t="s">
        <v>221</v>
      </c>
      <c r="B256" s="260" t="s">
        <v>222</v>
      </c>
      <c r="C256" s="260" t="s">
        <v>1286</v>
      </c>
      <c r="D256" s="260" t="s">
        <v>1657</v>
      </c>
      <c r="E256" s="260" t="s">
        <v>1696</v>
      </c>
      <c r="F256" s="260" t="s">
        <v>1697</v>
      </c>
      <c r="G256" s="260" t="s">
        <v>1698</v>
      </c>
      <c r="H256" s="260" t="s">
        <v>1724</v>
      </c>
      <c r="I256" s="260"/>
      <c r="J256" s="260"/>
      <c r="K256" s="260" t="s">
        <v>1725</v>
      </c>
      <c r="L256" s="260" t="s">
        <v>1726</v>
      </c>
      <c r="M256" s="260" t="s">
        <v>1727</v>
      </c>
      <c r="N256" s="260" t="s">
        <v>111</v>
      </c>
      <c r="O256" s="260" t="s">
        <v>112</v>
      </c>
      <c r="P256" s="10">
        <v>0</v>
      </c>
      <c r="Q256" s="11">
        <v>200</v>
      </c>
      <c r="R256" s="11">
        <f t="shared" ca="1" si="420"/>
        <v>255</v>
      </c>
      <c r="S256" s="11" t="str">
        <f ca="1">VLOOKUP(K256,'1220 IDECUT'!$K$13:$AK$48,9,0)</f>
        <v>En 2020 Se logró aunar esfuerzos entre el centro Colombo Americano, la embajada de EEUU y el IDECUT para implementar la estrategia de biligüismo dirigida a los promotores de turismo del departamento de Cundinamarca. Se dio inicio al programa de bilingüismo dirigido a prestadores de servicios turísticos a través  de convocatoria, mediante la cual se recibieron  237 postulaciones,  quedando admitidos formalmente y con el lleno de los requisitos 140 personas. Dentro de este programa está contemplado que los participantes cursen de los niveles A0 a A2. Se firma convenio 400-2021 entre Idecut y Centro Colombo americano, donde se capacitarán en idioma ingles a 80 personas en nivel B1 y 40 en nivel A2. Se busca dar continuidad el programa dándole la oportunidad a quienes lograron graduarse de seguir formándose en inglés como segunda lengua.
En lo corrido de 2021, se gestionó ante El Centro Colombo Americano $243.229.500 como tipo de aporte académico para el curso de Bilingüismo. Se dio inicio con el ciclo 4 de ingles con 115 estudiantes de la siguiente manera: 
 B1.3 = 55 estudiantes 
 A2.2 = 22 estudiantes 
 A2.1 = 18 estudiantes 
 A1.1 = 20 estudiantes 
Total = 115 estudiantes 
* se gestiono con CENCOSISTEMAS  capacitación a 45 beneficiarios turísticos de Cundinamarca enhabilidades tecnológicas y marketing digita</v>
      </c>
      <c r="T256" s="11">
        <v>0</v>
      </c>
      <c r="U256" s="11">
        <v>0</v>
      </c>
      <c r="V256" s="11">
        <v>50</v>
      </c>
      <c r="W256" s="11">
        <v>0</v>
      </c>
      <c r="X256" s="11">
        <v>140</v>
      </c>
      <c r="Y256" s="11">
        <v>0</v>
      </c>
      <c r="Z256" s="11">
        <v>140</v>
      </c>
      <c r="AA256" s="11" t="s">
        <v>1728</v>
      </c>
      <c r="AB256" s="11" t="s">
        <v>1729</v>
      </c>
      <c r="AC256" s="11" t="s">
        <v>1730</v>
      </c>
      <c r="AD256" s="11">
        <v>50</v>
      </c>
      <c r="AE256" s="11">
        <v>0</v>
      </c>
      <c r="AF256" s="11">
        <f ca="1">VLOOKUP(K256,'1220 IDECUT'!$K$13:$AK$48,22,0)</f>
        <v>115</v>
      </c>
      <c r="AG256" s="11">
        <f ca="1">VLOOKUP(K256,'1220 IDECUT'!$K$13:$AK$48,23,0)</f>
        <v>0</v>
      </c>
      <c r="AH256" s="11">
        <f t="shared" ca="1" si="421"/>
        <v>115</v>
      </c>
      <c r="AI256" s="11" t="str">
        <f ca="1">VLOOKUP(K256,'1220 IDECUT'!$K$13:$AK$48,25,0)</f>
        <v>Formacion enguanza turistica</v>
      </c>
      <c r="AJ256" s="11" t="str">
        <f ca="1">VLOOKUP(K256,'1220 IDECUT'!$K$13:$AK$48,26,0)</f>
        <v>Se dio inicio con el ciclo 4 de ingles con 115 estudiantes de la siguiente manera: 
 B1.3 = 55 estudiantes 
 A2.2 = 22 estudiantes 
 A2.1 = 18 estudiantes 
 A1.1 = 20 estudiantes 
Total = 115 estudiantes 
* se gestiono con CENCOSISTEMAS  capacitación a 45 beneficiarios turísticos de Cundinamarca enhabilidades tecnológicas y marketing digital.</v>
      </c>
      <c r="AK256" s="11">
        <f ca="1">VLOOKUP(K256,'1220 IDECUT'!$K$13:$AK$48,27,0)</f>
        <v>0</v>
      </c>
      <c r="AL256" s="11">
        <v>0</v>
      </c>
      <c r="AM256" s="11">
        <v>0</v>
      </c>
      <c r="AN256" s="11">
        <v>0</v>
      </c>
      <c r="AO256" s="11">
        <v>0</v>
      </c>
      <c r="AP256" s="11">
        <v>0</v>
      </c>
      <c r="AQ256" s="11">
        <v>0</v>
      </c>
      <c r="AR256" s="51">
        <v>180000000</v>
      </c>
      <c r="AS256" s="54">
        <v>0</v>
      </c>
      <c r="AT256" s="54">
        <f t="shared" si="361"/>
        <v>180000000</v>
      </c>
      <c r="AU256" s="51">
        <v>180000000</v>
      </c>
      <c r="AV256" s="89">
        <v>50000000</v>
      </c>
      <c r="AW256" s="89"/>
      <c r="AX256" s="89"/>
      <c r="AY256" s="89">
        <v>50000000</v>
      </c>
      <c r="AZ256" s="44">
        <f t="shared" ca="1" si="422"/>
        <v>1.2749999999999999</v>
      </c>
      <c r="BA256" s="44">
        <v>0.5</v>
      </c>
      <c r="BB256" s="44">
        <v>2.8</v>
      </c>
      <c r="BC256" s="44">
        <f t="shared" si="423"/>
        <v>0.25</v>
      </c>
      <c r="BD256" s="44" cm="1">
        <f t="array" aca="1" ref="BD256" ca="1">_xlfn.IFS(AD256=0,"NA",AD256&gt;0,AH256/AD256)</f>
        <v>2.2999999999999998</v>
      </c>
      <c r="BE256" s="44">
        <f t="shared" si="424"/>
        <v>0</v>
      </c>
      <c r="BF256" s="44">
        <v>0</v>
      </c>
      <c r="BG256" s="44">
        <f t="shared" si="425"/>
        <v>0</v>
      </c>
      <c r="BH256" s="44">
        <v>0</v>
      </c>
      <c r="BI256" s="44">
        <f t="shared" si="426"/>
        <v>0</v>
      </c>
      <c r="BJ256" s="44" t="s">
        <v>115</v>
      </c>
      <c r="BK256" s="44" t="str">
        <f t="shared" ca="1" si="362"/>
        <v>100%</v>
      </c>
      <c r="BL256" s="44">
        <v>1</v>
      </c>
      <c r="BM256" s="44" t="str" cm="1">
        <f t="array" aca="1" ref="BM256" ca="1">_xlfn.IFS(BD256="NA","NA",BD256&gt;100%,"100%",BD256&lt;100,BD256)</f>
        <v>100%</v>
      </c>
      <c r="BN256" s="44" cm="1">
        <f t="array" ref="BN256">_xlfn.IFS(BF256="NA","NA",BF256&gt;100%,"100%",BF256&lt;100,BF256)</f>
        <v>0</v>
      </c>
      <c r="BO256" s="44" cm="1">
        <f t="array" ref="BO256">_xlfn.IFS(BH256="NA","NA",BH256&gt;100%,"100%",BH256&lt;100,BH256)</f>
        <v>0</v>
      </c>
      <c r="BP256" s="44" t="str" cm="1">
        <f t="array" ref="BP256">_xlfn.IFS(BJ256="NA","NA",BJ256&gt;100%,"100%",BJ256&lt;100,BJ256)</f>
        <v>NA</v>
      </c>
      <c r="BQ256" s="45">
        <v>0.22500000000000001</v>
      </c>
      <c r="BR256" s="45">
        <f t="shared" ca="1" si="372"/>
        <v>0.22500000000000001</v>
      </c>
      <c r="BS256" s="45">
        <v>0.1125</v>
      </c>
      <c r="BT256" s="45">
        <v>0.1125</v>
      </c>
      <c r="BU256" s="45">
        <v>0.22500000000000001</v>
      </c>
      <c r="BV256" s="45">
        <f t="shared" si="427"/>
        <v>5.6250000000000001E-2</v>
      </c>
      <c r="BW256" s="45">
        <f t="shared" ca="1" si="392"/>
        <v>5.6250000000000001E-2</v>
      </c>
      <c r="BX256" s="45">
        <f t="shared" ca="1" si="393"/>
        <v>0</v>
      </c>
      <c r="BY256" s="45">
        <f t="shared" si="428"/>
        <v>0</v>
      </c>
      <c r="BZ256" s="45">
        <f t="shared" si="429"/>
        <v>0</v>
      </c>
      <c r="CA256" s="45">
        <f t="shared" ca="1" si="373"/>
        <v>0</v>
      </c>
      <c r="CB256" s="45">
        <f t="shared" si="430"/>
        <v>0</v>
      </c>
      <c r="CC256" s="45">
        <f t="shared" si="431"/>
        <v>0</v>
      </c>
      <c r="CD256" s="45">
        <v>0</v>
      </c>
      <c r="CE256" s="45">
        <f t="shared" si="432"/>
        <v>0</v>
      </c>
      <c r="CF256" s="45" t="str">
        <f t="shared" si="433"/>
        <v>NA</v>
      </c>
      <c r="CG256" s="45">
        <v>0</v>
      </c>
      <c r="CH256" s="244"/>
      <c r="CI256" s="244"/>
      <c r="CJ256" s="244"/>
      <c r="CK256" s="244"/>
      <c r="CM256" s="63">
        <v>283</v>
      </c>
    </row>
    <row r="257" spans="1:261" ht="18" hidden="1" customHeight="1">
      <c r="A257" s="260" t="s">
        <v>221</v>
      </c>
      <c r="B257" s="260" t="s">
        <v>222</v>
      </c>
      <c r="C257" s="260" t="s">
        <v>1286</v>
      </c>
      <c r="D257" s="260" t="s">
        <v>1657</v>
      </c>
      <c r="E257" s="260" t="s">
        <v>1696</v>
      </c>
      <c r="F257" s="260" t="s">
        <v>1697</v>
      </c>
      <c r="G257" s="260" t="s">
        <v>1698</v>
      </c>
      <c r="H257" s="260" t="s">
        <v>1731</v>
      </c>
      <c r="I257" s="260"/>
      <c r="J257" s="260"/>
      <c r="K257" s="260" t="s">
        <v>1732</v>
      </c>
      <c r="L257" s="260" t="s">
        <v>1733</v>
      </c>
      <c r="M257" s="260" t="s">
        <v>1734</v>
      </c>
      <c r="N257" s="260" t="s">
        <v>111</v>
      </c>
      <c r="O257" s="260" t="s">
        <v>112</v>
      </c>
      <c r="P257" s="10">
        <v>240</v>
      </c>
      <c r="Q257" s="11">
        <v>150</v>
      </c>
      <c r="R257" s="11">
        <f t="shared" ca="1" si="420"/>
        <v>12</v>
      </c>
      <c r="S257" s="11" t="str">
        <f ca="1">VLOOKUP(K257,'1220 IDECUT'!$K$13:$AK$48,9,0)</f>
        <v>Durante el año 2021. Se han cofinanciado  eventos de trayectoria turística, dentro de los cuales se destacan el Reinado Nacional del Turismo y EXPOTRAVEL. Se brindó apoyo  al municipio de Girardot en el evento Reinado Nacional del Turismo, el cual permite la reactivación turística y consolidación como destino turístico a nivel regional y nacional.
Tambien,  se brindó apoyo a la Corporación de turismo en la segunda versión del evento Expotravel, el cual sea consolidado para mostrar la riqueza natural y la magia cultural de nuestro departamento, el corazón de Colombia. Permitió a los empresarios del sector turismo tener oportunidades para hacer visible su negocio a miles de personas, adicionalmente tuvieron la oportunidad de participar en ruedas de negocio y una agenda académica de primer nivel. Se apoyo a los municipios de: Fosca, Subachoque, Cucunuba, Paratebueno, El Peñón y Tabio con eventos turísticos, los cuales permitieron la reactivación turística y dinamización económica para el departamento a través de la promoción de sus destinos.</v>
      </c>
      <c r="T257" s="11">
        <v>0</v>
      </c>
      <c r="U257" s="11">
        <v>0</v>
      </c>
      <c r="V257" s="11">
        <v>0</v>
      </c>
      <c r="W257" s="11">
        <v>0</v>
      </c>
      <c r="X257" s="11">
        <v>0</v>
      </c>
      <c r="Y257" s="11">
        <v>0</v>
      </c>
      <c r="Z257" s="11">
        <v>0</v>
      </c>
      <c r="AA257" s="11"/>
      <c r="AB257" s="11"/>
      <c r="AC257" s="11"/>
      <c r="AD257" s="11">
        <v>10</v>
      </c>
      <c r="AE257" s="11">
        <v>0</v>
      </c>
      <c r="AF257" s="11">
        <f ca="1">VLOOKUP(K257,'1220 IDECUT'!$K$13:$AK$48,22,0)</f>
        <v>12</v>
      </c>
      <c r="AG257" s="11">
        <f ca="1">VLOOKUP(K257,'1220 IDECUT'!$K$13:$AK$48,23,0)</f>
        <v>0</v>
      </c>
      <c r="AH257" s="11">
        <f t="shared" ca="1" si="421"/>
        <v>12</v>
      </c>
      <c r="AI257" s="11" t="str">
        <f ca="1">VLOOKUP(K257,'1220 IDECUT'!$K$13:$AK$48,25,0)</f>
        <v>Coonfinanciacion</v>
      </c>
      <c r="AJ257" s="11" t="str">
        <f ca="1">VLOOKUP(K257,'1220 IDECUT'!$K$13:$AK$48,26,0)</f>
        <v>Se apoyo a los municipios de: Fosca, Subachoque, Cucunuba, Paratebueno, El Peñón y Tabio con eventos turísticos, los cuales permitieron la reactivación turística y dinamización económica para el departamento a través de la promoción de sus destinos.</v>
      </c>
      <c r="AK257" s="11">
        <f ca="1">VLOOKUP(K257,'1220 IDECUT'!$K$13:$AK$48,27,0)</f>
        <v>0</v>
      </c>
      <c r="AL257" s="11">
        <v>70</v>
      </c>
      <c r="AM257" s="11">
        <v>0</v>
      </c>
      <c r="AN257" s="11">
        <v>70</v>
      </c>
      <c r="AO257" s="11">
        <v>0</v>
      </c>
      <c r="AP257" s="11">
        <v>0</v>
      </c>
      <c r="AQ257" s="11">
        <v>0</v>
      </c>
      <c r="AR257" s="52"/>
      <c r="AS257" s="54">
        <v>0</v>
      </c>
      <c r="AT257" s="54">
        <f t="shared" si="361"/>
        <v>0</v>
      </c>
      <c r="AU257" s="52"/>
      <c r="AV257" s="89">
        <v>310000000</v>
      </c>
      <c r="AW257" s="89"/>
      <c r="AX257" s="89"/>
      <c r="AY257" s="89">
        <v>274400000</v>
      </c>
      <c r="AZ257" s="44">
        <f t="shared" ca="1" si="422"/>
        <v>0.08</v>
      </c>
      <c r="BA257" s="44">
        <v>0</v>
      </c>
      <c r="BB257" s="44" t="s">
        <v>115</v>
      </c>
      <c r="BC257" s="44">
        <f t="shared" si="423"/>
        <v>6.6666666666666666E-2</v>
      </c>
      <c r="BD257" s="44" cm="1">
        <f t="array" aca="1" ref="BD257" ca="1">_xlfn.IFS(AD257=0,"NA",AD257&gt;0,AH257/AD257)</f>
        <v>1.2</v>
      </c>
      <c r="BE257" s="44">
        <f t="shared" si="424"/>
        <v>0.46666666666666667</v>
      </c>
      <c r="BF257" s="44">
        <v>0</v>
      </c>
      <c r="BG257" s="44">
        <f t="shared" si="425"/>
        <v>0.46666666666666667</v>
      </c>
      <c r="BH257" s="44">
        <v>0</v>
      </c>
      <c r="BI257" s="44">
        <f t="shared" si="426"/>
        <v>0</v>
      </c>
      <c r="BJ257" s="44" t="s">
        <v>115</v>
      </c>
      <c r="BK257" s="44">
        <f t="shared" ca="1" si="362"/>
        <v>0.08</v>
      </c>
      <c r="BL257" s="44" t="s">
        <v>115</v>
      </c>
      <c r="BM257" s="44" t="str" cm="1">
        <f t="array" aca="1" ref="BM257" ca="1">_xlfn.IFS(BD257="NA","NA",BD257&gt;100%,"100%",BD257&lt;100,BD257)</f>
        <v>100%</v>
      </c>
      <c r="BN257" s="44" cm="1">
        <f t="array" ref="BN257">_xlfn.IFS(BF257="NA","NA",BF257&gt;100%,"100%",BF257&lt;100,BF257)</f>
        <v>0</v>
      </c>
      <c r="BO257" s="44" cm="1">
        <f t="array" ref="BO257">_xlfn.IFS(BH257="NA","NA",BH257&gt;100%,"100%",BH257&lt;100,BH257)</f>
        <v>0</v>
      </c>
      <c r="BP257" s="44" t="str" cm="1">
        <f t="array" ref="BP257">_xlfn.IFS(BJ257="NA","NA",BJ257&gt;100%,"100%",BJ257&lt;100,BJ257)</f>
        <v>NA</v>
      </c>
      <c r="BQ257" s="45">
        <v>0.22500000000000001</v>
      </c>
      <c r="BR257" s="45">
        <f t="shared" ca="1" si="372"/>
        <v>1.8000000000000002E-2</v>
      </c>
      <c r="BS257" s="45">
        <v>0</v>
      </c>
      <c r="BT257" s="45" t="s">
        <v>115</v>
      </c>
      <c r="BU257" s="45">
        <v>0</v>
      </c>
      <c r="BV257" s="45">
        <f t="shared" si="427"/>
        <v>1.4999999999999999E-2</v>
      </c>
      <c r="BW257" s="45">
        <f t="shared" ca="1" si="392"/>
        <v>1.4999999999999999E-2</v>
      </c>
      <c r="BX257" s="45">
        <f t="shared" ca="1" si="393"/>
        <v>1.8000000000000002E-2</v>
      </c>
      <c r="BY257" s="45">
        <f t="shared" si="428"/>
        <v>0.105</v>
      </c>
      <c r="BZ257" s="45">
        <f t="shared" si="429"/>
        <v>0</v>
      </c>
      <c r="CA257" s="45">
        <f t="shared" ca="1" si="373"/>
        <v>0</v>
      </c>
      <c r="CB257" s="45">
        <f t="shared" si="430"/>
        <v>0.105</v>
      </c>
      <c r="CC257" s="45">
        <f t="shared" si="431"/>
        <v>0</v>
      </c>
      <c r="CD257" s="45">
        <v>0</v>
      </c>
      <c r="CE257" s="45">
        <f t="shared" si="432"/>
        <v>0</v>
      </c>
      <c r="CF257" s="45" t="str">
        <f t="shared" si="433"/>
        <v>NA</v>
      </c>
      <c r="CG257" s="45">
        <v>0</v>
      </c>
      <c r="CH257" s="244"/>
      <c r="CI257" s="244"/>
      <c r="CJ257" s="244"/>
      <c r="CK257" s="244"/>
      <c r="CM257" s="63">
        <v>1</v>
      </c>
    </row>
    <row r="258" spans="1:261" ht="18" hidden="1" customHeight="1">
      <c r="A258" s="260" t="s">
        <v>1310</v>
      </c>
      <c r="B258" s="260" t="s">
        <v>1311</v>
      </c>
      <c r="C258" s="260" t="s">
        <v>1286</v>
      </c>
      <c r="D258" s="260" t="s">
        <v>1657</v>
      </c>
      <c r="E258" s="260" t="s">
        <v>1696</v>
      </c>
      <c r="F258" s="260" t="s">
        <v>1697</v>
      </c>
      <c r="G258" s="260" t="s">
        <v>1698</v>
      </c>
      <c r="H258" s="260" t="s">
        <v>1735</v>
      </c>
      <c r="I258" s="260"/>
      <c r="J258" s="260"/>
      <c r="K258" s="260" t="s">
        <v>1736</v>
      </c>
      <c r="L258" s="260" t="s">
        <v>1737</v>
      </c>
      <c r="M258" s="260" t="s">
        <v>1738</v>
      </c>
      <c r="N258" s="260" t="s">
        <v>111</v>
      </c>
      <c r="O258" s="260" t="s">
        <v>112</v>
      </c>
      <c r="P258" s="10">
        <v>36</v>
      </c>
      <c r="Q258" s="11">
        <v>20</v>
      </c>
      <c r="R258" s="11">
        <f t="shared" ca="1" si="420"/>
        <v>17</v>
      </c>
      <c r="S258" s="11">
        <f ca="1">VLOOKUP(K258,'1120 Competitividad'!$K$13:$AK$51,9,0)</f>
        <v>0</v>
      </c>
      <c r="T258" s="11">
        <v>0</v>
      </c>
      <c r="U258" s="11">
        <v>0</v>
      </c>
      <c r="V258" s="11">
        <v>0</v>
      </c>
      <c r="W258" s="11">
        <v>0</v>
      </c>
      <c r="X258" s="11">
        <v>0</v>
      </c>
      <c r="Y258" s="11">
        <v>0</v>
      </c>
      <c r="Z258" s="11">
        <v>0</v>
      </c>
      <c r="AA258" s="11"/>
      <c r="AB258" s="11"/>
      <c r="AC258" s="11"/>
      <c r="AD258" s="11">
        <v>17</v>
      </c>
      <c r="AE258" s="11">
        <v>0</v>
      </c>
      <c r="AF258" s="11">
        <f ca="1">VLOOKUP(K258,'1120 Competitividad'!$K$13:$AK$51,22,0)</f>
        <v>17</v>
      </c>
      <c r="AG258" s="11">
        <f ca="1">VLOOKUP(K258,'1120 Competitividad'!$K$13:$AK$51,23,0)</f>
        <v>0</v>
      </c>
      <c r="AH258" s="11">
        <f t="shared" ca="1" si="421"/>
        <v>17</v>
      </c>
      <c r="AI258" s="11" t="str">
        <f ca="1">VLOOKUP(K258,'1120 Competitividad'!$K$13:$AK$51,25,0)</f>
        <v>Apoyo logistico  para espacios de comercializacion ( carpas- publicidad entre otros )</v>
      </c>
      <c r="AJ258" s="11" t="str">
        <f ca="1">VLOOKUP(K258,'1120 Competitividad'!$K$13:$AK$51,26,0)</f>
        <v xml:space="preserve">Se crea espacio denominado Tienda Cundinamarca  para promocionar los productos del Departamento y mejorar la comercializacion de los mismos . 17 Circuitos cortos de comercialización </v>
      </c>
      <c r="AK258" s="11">
        <f ca="1">VLOOKUP(K258,'1120 Competitividad'!$K$13:$AK$51,27,0)</f>
        <v>0</v>
      </c>
      <c r="AL258" s="11">
        <v>3</v>
      </c>
      <c r="AM258" s="11">
        <v>0</v>
      </c>
      <c r="AN258" s="11">
        <v>0</v>
      </c>
      <c r="AO258" s="11">
        <v>0</v>
      </c>
      <c r="AP258" s="11">
        <v>0</v>
      </c>
      <c r="AQ258" s="11">
        <v>0</v>
      </c>
      <c r="AR258" s="52"/>
      <c r="AS258" s="54">
        <v>0</v>
      </c>
      <c r="AT258" s="54">
        <f t="shared" si="361"/>
        <v>0</v>
      </c>
      <c r="AU258" s="52"/>
      <c r="AV258" s="243">
        <v>0</v>
      </c>
      <c r="AW258" s="244"/>
      <c r="AX258" s="244"/>
      <c r="AY258" s="243"/>
      <c r="AZ258" s="44">
        <f t="shared" ca="1" si="422"/>
        <v>0.85</v>
      </c>
      <c r="BA258" s="44">
        <v>0</v>
      </c>
      <c r="BB258" s="44" t="s">
        <v>115</v>
      </c>
      <c r="BC258" s="44">
        <f t="shared" si="423"/>
        <v>0.85</v>
      </c>
      <c r="BD258" s="44" cm="1">
        <f t="array" aca="1" ref="BD258" ca="1">_xlfn.IFS(AD258=0,"NA",AD258&gt;0,AH258/AD258)</f>
        <v>1</v>
      </c>
      <c r="BE258" s="44">
        <f t="shared" si="424"/>
        <v>0.15</v>
      </c>
      <c r="BF258" s="44">
        <v>0</v>
      </c>
      <c r="BG258" s="44">
        <f t="shared" si="425"/>
        <v>0</v>
      </c>
      <c r="BH258" s="44">
        <v>0</v>
      </c>
      <c r="BI258" s="44">
        <f t="shared" si="426"/>
        <v>0</v>
      </c>
      <c r="BJ258" s="44" t="s">
        <v>115</v>
      </c>
      <c r="BK258" s="44">
        <f t="shared" ca="1" si="362"/>
        <v>0.85</v>
      </c>
      <c r="BL258" s="44" t="s">
        <v>115</v>
      </c>
      <c r="BM258" s="44" cm="1">
        <f t="array" aca="1" ref="BM258" ca="1">_xlfn.IFS(BD258="NA","NA",BD258&gt;100%,"100%",BD258&lt;100,BD258)</f>
        <v>1</v>
      </c>
      <c r="BN258" s="44" cm="1">
        <f t="array" ref="BN258">_xlfn.IFS(BF258="NA","NA",BF258&gt;100%,"100%",BF258&lt;100,BF258)</f>
        <v>0</v>
      </c>
      <c r="BO258" s="44" cm="1">
        <f t="array" ref="BO258">_xlfn.IFS(BH258="NA","NA",BH258&gt;100%,"100%",BH258&lt;100,BH258)</f>
        <v>0</v>
      </c>
      <c r="BP258" s="44" t="str" cm="1">
        <f t="array" ref="BP258">_xlfn.IFS(BJ258="NA","NA",BJ258&gt;100%,"100%",BJ258&lt;100,BJ258)</f>
        <v>NA</v>
      </c>
      <c r="BQ258" s="45">
        <v>0.22500000000000001</v>
      </c>
      <c r="BR258" s="45">
        <f t="shared" ca="1" si="372"/>
        <v>0.19125</v>
      </c>
      <c r="BS258" s="45">
        <v>0</v>
      </c>
      <c r="BT258" s="45" t="s">
        <v>115</v>
      </c>
      <c r="BU258" s="45">
        <v>0</v>
      </c>
      <c r="BV258" s="45">
        <f t="shared" si="427"/>
        <v>0.19125</v>
      </c>
      <c r="BW258" s="45">
        <f t="shared" ca="1" si="392"/>
        <v>0.19125</v>
      </c>
      <c r="BX258" s="45">
        <f t="shared" ca="1" si="393"/>
        <v>0.19125</v>
      </c>
      <c r="BY258" s="45">
        <f t="shared" si="428"/>
        <v>3.3750000000000002E-2</v>
      </c>
      <c r="BZ258" s="45">
        <f t="shared" si="429"/>
        <v>0</v>
      </c>
      <c r="CA258" s="45">
        <f t="shared" ca="1" si="373"/>
        <v>0</v>
      </c>
      <c r="CB258" s="45">
        <f t="shared" si="430"/>
        <v>0</v>
      </c>
      <c r="CC258" s="45">
        <f t="shared" si="431"/>
        <v>0</v>
      </c>
      <c r="CD258" s="45">
        <v>0</v>
      </c>
      <c r="CE258" s="45">
        <f t="shared" si="432"/>
        <v>0</v>
      </c>
      <c r="CF258" s="45" t="str">
        <f t="shared" si="433"/>
        <v>NA</v>
      </c>
      <c r="CG258" s="45">
        <v>0</v>
      </c>
      <c r="CH258" s="244"/>
      <c r="CI258" s="244"/>
      <c r="CJ258" s="244"/>
      <c r="CK258" s="244"/>
      <c r="CM258" s="63">
        <v>1</v>
      </c>
    </row>
    <row r="259" spans="1:261" ht="18" hidden="1" customHeight="1">
      <c r="A259" s="260" t="s">
        <v>1739</v>
      </c>
      <c r="B259" s="260" t="s">
        <v>1740</v>
      </c>
      <c r="C259" s="260" t="s">
        <v>1286</v>
      </c>
      <c r="D259" s="260" t="s">
        <v>1657</v>
      </c>
      <c r="E259" s="260" t="s">
        <v>1696</v>
      </c>
      <c r="F259" s="260" t="s">
        <v>1697</v>
      </c>
      <c r="G259" s="260" t="s">
        <v>1698</v>
      </c>
      <c r="H259" s="260" t="s">
        <v>1741</v>
      </c>
      <c r="I259" s="260"/>
      <c r="J259" s="260"/>
      <c r="K259" s="260" t="s">
        <v>1742</v>
      </c>
      <c r="L259" s="260" t="s">
        <v>1743</v>
      </c>
      <c r="M259" s="260" t="s">
        <v>1744</v>
      </c>
      <c r="N259" s="260" t="s">
        <v>111</v>
      </c>
      <c r="O259" s="260" t="s">
        <v>112</v>
      </c>
      <c r="P259" s="10">
        <v>1</v>
      </c>
      <c r="Q259" s="11">
        <v>1</v>
      </c>
      <c r="R259" s="11">
        <f t="shared" si="420"/>
        <v>0.33999999999999997</v>
      </c>
      <c r="S259" s="11" t="str">
        <f>VLOOKUP(K259,'1135 Asuntos Int.'!$K$13:$AK$16,9,0)</f>
        <v xml:space="preserve">El propósito de posicionamiento de la Marca Cundinamarca se concentra en posicionar a la Marca Cundinamarca como “La tierra que vive” en todos los cundinamarqueses, apostando por la apropiación de la Marca y las marcas sectoriales (Kuna Mya, Pueblos Dorados y Manar) en el corazón de los cundinamarqueses.
Durante el cuatrienio se ha logrado el diagnóstico de valoración de la marca territorial y la actualización de la narrativa de la misma, llegamos a una narrativa más cercana a los cundinamarqueses en la que los protagonistas son nuestros empresarios, productores y campesinos. Se llevó a cabo la inauguración de la primera Tienda Cundinamarca Kuna Mya, en la cual, la marca Cundinamarca aparece como protagonista a través del sello dorado en productos y servicios representativos del Departamento. Por primera vez en la historia, con el liderazgo de la Secretaría de Asuntos Internacionales se adelanta una estrategia de licenciamiento de productos agroindustriales, operadores turísticos y artesanos. A la fecha, se cuenta con 41 productos agroindustriales, pertenecientes a 12 empresas y asociaciones del departamento; 13 artesanos y 7 operadores de servicios turísticos licenciados. Se diseñó una parrilla de contenidos, no institucionales que muestran los atributos del territorio desde las cuentas oficiales de la Marca Cundinamarca. Presencia de la Marca Cundinamarca en los proyectos estratégicos del Departamento (sabores Cundinamarca) El departamento de Cundinamarca gracias a su marca territorial logro ser protagonista de dos capítulos del reconocido reality de televisión Master Chef Celebrity, uno de los más vistos en la televisión nacional. La grabación del programa se trasladó a dos municipios emblemáticos del departamento como son Villeta y Guatavita, lo que permitió que la audiencia que vio el programa pudo conocer un poco más de la cultura gastronómica de nuestro departamento, así como de los hermosos paisajes del territorio. Adicionalmente la marca Cundinamarca tuvo presencia en varios momentos de la emisión del capítulo lo que permitió dar a conocer nuestra marca territorial gracias a la pauta realizada durante el programa. Solo en el primer capítulo se logró que 3.315.740 personas conocieran un poco más de la riqueza gastronómica y cultural de nuestro departamento. En el segundo capítulo fueron 3.211.478 personas. Fueron firmados los contratos con los primeros 34 empresarios que portarán el Sello Dorado de la Marca Cundinamarca a los mejores productos y servicios que representan lo mejor del territorio.
Este es un reconocimiento que garantiza la excelente reputación, altos estándares de calidad, cumplimiento de criterios técnicos y, por supuesto, del fuerte arraigo e identidad cundinamarquesa. Así mismo, beneficia a sus portadores con la promoción de productos en el mercado internacional, la participación en eventos y ferias locales, nacionales e internacionales, la promoción y presencia de sus productos a través de diferentes medios de comunicación digitales de la marca, fortalecimiento y acompañamiento técnico, así como el certificado de uso de la marca.
</v>
      </c>
      <c r="T259" s="11">
        <v>0.1</v>
      </c>
      <c r="U259" s="11">
        <v>0</v>
      </c>
      <c r="V259" s="11">
        <v>0.1</v>
      </c>
      <c r="W259" s="11">
        <v>0</v>
      </c>
      <c r="X259" s="11">
        <v>0.1</v>
      </c>
      <c r="Y259" s="11">
        <v>0</v>
      </c>
      <c r="Z259" s="11">
        <v>0.1</v>
      </c>
      <c r="AA259" s="11" t="s">
        <v>1745</v>
      </c>
      <c r="AB259" s="11" t="s">
        <v>1746</v>
      </c>
      <c r="AC259" s="11">
        <v>0</v>
      </c>
      <c r="AD259" s="11">
        <v>0.35</v>
      </c>
      <c r="AE259" s="11">
        <v>0</v>
      </c>
      <c r="AF259" s="11">
        <f>VLOOKUP(K259,'1135 Asuntos Int.'!$K$13:$AK$16,22,0)</f>
        <v>0.24</v>
      </c>
      <c r="AG259" s="11">
        <f>VLOOKUP(K259,'1135 Asuntos Int.'!$K$13:$AK$16,23,0)</f>
        <v>0</v>
      </c>
      <c r="AH259" s="11">
        <f t="shared" si="421"/>
        <v>0.24</v>
      </c>
      <c r="AI259" s="11" t="str">
        <f>VLOOKUP(K259,'1135 Asuntos Int.'!$K$13:$AK$16,25,0)</f>
        <v xml:space="preserve">Taller de socialización del Plan Táctico.
Reglamento del Comité de Marca aprobado.
Manual de Imagen de la Marca Actualizado.
Documento con el plan de acción y comunicaciones, aprobado por el comité.
Aprobación del Manual de Licenciamiento de Marca.
Documento con el proceso de gestión y despliegue de licenciamientos.
Marca Cundinamarca presente en los proyectos estratégicos del Departamento (KUNA MYA).
</v>
      </c>
      <c r="AJ259" s="11" t="str">
        <f>VLOOKUP(K259,'1135 Asuntos Int.'!$K$13:$AK$16,26,0)</f>
        <v xml:space="preserve">Se realizó taller de socialización del Plan Táctico/Estratégico de la marca Cundinamarca, con la participación de los miembros del comité. Cada uno de ellos aportó desde su sector actividades en las que se puede involucrar la activación y promoción de la marca y una lista de incentivos sectoriales para impulsarla.
 Se logró la actualización y aprobación del Decreto Ordenanza 372 del 2017 por el Decreto 116 del 2021. 
Se logró la adaptación del nuevo Manual de Imagen de la Marca de acuerdo a los lineamientos y la actualización de la nueva narrativa de marca. 
Se logró la aprobación del plan de acción y comunicaciones de la Marca Cundinamarca, por el comité. Se incluyeron actividades que vinculan a todas las Secretarías y entidades miembros del comité de marca.
Se logró la aprobación del Manual de Licenciamiento, el cual fue revisado y avalado por la Secretaria de Salud y los demás integrantes del Comité de Marca.
Se elaboró un documento con el proceso de gestión y despliegue de licenciamientos para la apertura de la Tienda Cundinamarca, en este documento, se incluyen los criterios y requisitos de licenciamiento para todos los empresarios que deseen participar del proceso y que adicionalmente, su producto haya sido seleccionado para estar en la apertura de la Tienda.
Se llevó a cabo la inauguración de la primera Tienda Cundinamarca Kuna Mya, en la cual, la marca Cundinamarca aparece como protagonista a través del sello dorado en productos y servicios representativos del Departamento. Por primera vez en la historia, con el liderazgo de la Secretaría de Asuntos Internacionales se adelanta una estrategia de licenciamiento de productos agroindustriales, operadores turísticos y artesanos. A la fecha, se cuenta con 41 productos agroindustriales, pertenecientes a 12 empresas y asociaciones del departamento; 13 artesanos y 7 operadores de servicios turísticos licenciados.
Presencia de la Marca Cundinamarca en los proyectos estratégicos del Departamento (sabores Cundinamarca) a través de 2 emisiones del programa MASTER CHEFF del canal RCN, en los Municipios de Guatavita y Villeta. 
Se construyó la parrilla de contenidos para las redes sociales (Facebook, Instagram y Tweeter) de la Marca Cundinamarca, para los meses de septiembre, Octubre, Noviembre y Diciembre. Se construyó la parrilla de contenidos para las redes sociales (Facebook, Instagram y Tweeter) de la Marca Cundinamarca, para los meses de septiembre, Octubre, Noviembre y Diciembre.
Por primera vez Cundinamarca otorga su marca a los mejores productos y servicios
•Fueron firmados los contratos con los primeros 34 empresarios que portarán el Sello Dorado de la Marca Cundinamarca a los mejores productos y servicios que representan lo mejor del territorio.
Este es un reconocimiento que garantiza la excelente reputación, altos estándares de calidad, cumplimiento de criterios técnicos y, por supuesto, del fuerte arraigo e identidad cundinamarquesa. Así mismo, beneficia a sus portadores con la promoción de productos en el mercado internacional, la participación en eventos y ferias locales, nacionales e internacionales, la promoción y presencia de sus productos a través de diferentes medios de comunicación digitales de la marca, fortalecimiento y acompañamiento técnico, así como el certificado de uso de la marca.
</v>
      </c>
      <c r="AK259" s="11">
        <f>VLOOKUP(K259,'1135 Asuntos Int.'!$K$13:$AK$16,27,0)</f>
        <v>0</v>
      </c>
      <c r="AL259" s="11">
        <v>0.35</v>
      </c>
      <c r="AM259" s="11">
        <v>0</v>
      </c>
      <c r="AN259" s="11">
        <v>0.2</v>
      </c>
      <c r="AO259" s="11">
        <v>0</v>
      </c>
      <c r="AP259" s="11">
        <v>0</v>
      </c>
      <c r="AQ259" s="11">
        <v>0</v>
      </c>
      <c r="AR259" s="51">
        <v>54989900</v>
      </c>
      <c r="AS259" s="54">
        <v>0</v>
      </c>
      <c r="AT259" s="54">
        <f t="shared" si="361"/>
        <v>54989900</v>
      </c>
      <c r="AU259" s="51">
        <v>54989900</v>
      </c>
      <c r="AV259" s="243">
        <v>650000000</v>
      </c>
      <c r="AW259" s="244"/>
      <c r="AX259" s="244"/>
      <c r="AY259" s="243">
        <v>631397000</v>
      </c>
      <c r="AZ259" s="44">
        <f t="shared" si="422"/>
        <v>0.33999999999999997</v>
      </c>
      <c r="BA259" s="44">
        <v>0.1</v>
      </c>
      <c r="BB259" s="44">
        <v>1</v>
      </c>
      <c r="BC259" s="44">
        <f t="shared" si="423"/>
        <v>0.35</v>
      </c>
      <c r="BD259" s="44" cm="1">
        <f t="array" ref="BD259">_xlfn.IFS(AD259=0,"NA",AD259&gt;0,AH259/AD259)</f>
        <v>0.68571428571428572</v>
      </c>
      <c r="BE259" s="44">
        <f t="shared" si="424"/>
        <v>0.35</v>
      </c>
      <c r="BF259" s="44">
        <v>0</v>
      </c>
      <c r="BG259" s="44">
        <f t="shared" si="425"/>
        <v>0.2</v>
      </c>
      <c r="BH259" s="44">
        <v>0</v>
      </c>
      <c r="BI259" s="44">
        <f t="shared" si="426"/>
        <v>0</v>
      </c>
      <c r="BJ259" s="44" t="s">
        <v>115</v>
      </c>
      <c r="BK259" s="44">
        <f t="shared" si="362"/>
        <v>0.33999999999999997</v>
      </c>
      <c r="BL259" s="44">
        <v>1</v>
      </c>
      <c r="BM259" s="44" cm="1">
        <f t="array" ref="BM259">_xlfn.IFS(BD259="NA","NA",BD259&gt;100%,"100%",BD259&lt;100,BD259)</f>
        <v>0.68571428571428572</v>
      </c>
      <c r="BN259" s="44" cm="1">
        <f t="array" ref="BN259">_xlfn.IFS(BF259="NA","NA",BF259&gt;100%,"100%",BF259&lt;100,BF259)</f>
        <v>0</v>
      </c>
      <c r="BO259" s="44" cm="1">
        <f t="array" ref="BO259">_xlfn.IFS(BH259="NA","NA",BH259&gt;100%,"100%",BH259&lt;100,BH259)</f>
        <v>0</v>
      </c>
      <c r="BP259" s="44" t="str" cm="1">
        <f t="array" ref="BP259">_xlfn.IFS(BJ259="NA","NA",BJ259&gt;100%,"100%",BJ259&lt;100,BJ259)</f>
        <v>NA</v>
      </c>
      <c r="BQ259" s="45">
        <v>0.22500000000000001</v>
      </c>
      <c r="BR259" s="45">
        <f t="shared" si="372"/>
        <v>7.6499999999999999E-2</v>
      </c>
      <c r="BS259" s="45">
        <v>2.2499999999999999E-2</v>
      </c>
      <c r="BT259" s="45">
        <v>2.2499999999999999E-2</v>
      </c>
      <c r="BU259" s="45">
        <v>2.2499999999999999E-2</v>
      </c>
      <c r="BV259" s="45">
        <f t="shared" si="427"/>
        <v>7.8750000000000001E-2</v>
      </c>
      <c r="BW259" s="45">
        <f t="shared" si="392"/>
        <v>5.3999999999999999E-2</v>
      </c>
      <c r="BX259" s="45">
        <f t="shared" si="393"/>
        <v>5.3999999999999999E-2</v>
      </c>
      <c r="BY259" s="45">
        <f t="shared" si="428"/>
        <v>7.8750000000000001E-2</v>
      </c>
      <c r="BZ259" s="45">
        <f t="shared" si="429"/>
        <v>0</v>
      </c>
      <c r="CA259" s="45">
        <f t="shared" si="373"/>
        <v>0</v>
      </c>
      <c r="CB259" s="45">
        <f t="shared" si="430"/>
        <v>4.5000000000000005E-2</v>
      </c>
      <c r="CC259" s="45">
        <f t="shared" si="431"/>
        <v>0</v>
      </c>
      <c r="CD259" s="45">
        <v>0</v>
      </c>
      <c r="CE259" s="45">
        <f t="shared" si="432"/>
        <v>0</v>
      </c>
      <c r="CF259" s="45" t="str">
        <f t="shared" si="433"/>
        <v>NA</v>
      </c>
      <c r="CG259" s="45">
        <v>0</v>
      </c>
      <c r="CH259" s="244"/>
      <c r="CI259" s="244"/>
      <c r="CJ259" s="244"/>
      <c r="CK259" s="244"/>
      <c r="CM259" s="63">
        <v>0.21000000000000002</v>
      </c>
    </row>
    <row r="260" spans="1:261" ht="18" hidden="1" customHeight="1">
      <c r="A260" s="260" t="s">
        <v>1739</v>
      </c>
      <c r="B260" s="260" t="s">
        <v>1740</v>
      </c>
      <c r="C260" s="260" t="s">
        <v>1286</v>
      </c>
      <c r="D260" s="260" t="s">
        <v>1657</v>
      </c>
      <c r="E260" s="260" t="s">
        <v>1696</v>
      </c>
      <c r="F260" s="260" t="s">
        <v>1697</v>
      </c>
      <c r="G260" s="260" t="s">
        <v>1698</v>
      </c>
      <c r="H260" s="260" t="s">
        <v>1747</v>
      </c>
      <c r="I260" s="260"/>
      <c r="J260" s="260"/>
      <c r="K260" s="260" t="s">
        <v>1748</v>
      </c>
      <c r="L260" s="260" t="s">
        <v>1749</v>
      </c>
      <c r="M260" s="260" t="s">
        <v>1750</v>
      </c>
      <c r="N260" s="260" t="s">
        <v>111</v>
      </c>
      <c r="O260" s="260" t="s">
        <v>112</v>
      </c>
      <c r="P260" s="10">
        <v>2</v>
      </c>
      <c r="Q260" s="11">
        <v>2</v>
      </c>
      <c r="R260" s="11">
        <f t="shared" si="420"/>
        <v>0</v>
      </c>
      <c r="S260" s="11">
        <f>VLOOKUP(K260,'1135 Asuntos Int.'!$K$13:$AK$16,9,0)</f>
        <v>0</v>
      </c>
      <c r="T260" s="11">
        <v>0</v>
      </c>
      <c r="U260" s="11">
        <v>0</v>
      </c>
      <c r="V260" s="11">
        <v>0</v>
      </c>
      <c r="W260" s="11">
        <v>0</v>
      </c>
      <c r="X260" s="11">
        <v>0</v>
      </c>
      <c r="Y260" s="11">
        <v>0</v>
      </c>
      <c r="Z260" s="11">
        <v>0</v>
      </c>
      <c r="AA260" s="11"/>
      <c r="AB260" s="11"/>
      <c r="AC260" s="11"/>
      <c r="AD260" s="11">
        <v>1</v>
      </c>
      <c r="AE260" s="11">
        <v>0</v>
      </c>
      <c r="AF260" s="11">
        <f>VLOOKUP(K260,'1135 Asuntos Int.'!$K$13:$AK$16,22,0)</f>
        <v>0</v>
      </c>
      <c r="AG260" s="11">
        <f>VLOOKUP(K260,'1135 Asuntos Int.'!$K$13:$AK$16,23,0)</f>
        <v>0</v>
      </c>
      <c r="AH260" s="11">
        <f t="shared" si="421"/>
        <v>0</v>
      </c>
      <c r="AI260" s="11">
        <f>VLOOKUP(K260,'1135 Asuntos Int.'!$K$13:$AK$16,25,0)</f>
        <v>0</v>
      </c>
      <c r="AJ260" s="11">
        <f>VLOOKUP(K260,'1135 Asuntos Int.'!$K$13:$AK$16,26,0)</f>
        <v>0</v>
      </c>
      <c r="AK260" s="11">
        <f>VLOOKUP(K260,'1135 Asuntos Int.'!$K$13:$AK$16,27,0)</f>
        <v>0</v>
      </c>
      <c r="AL260" s="11">
        <v>0</v>
      </c>
      <c r="AM260" s="11">
        <v>0</v>
      </c>
      <c r="AN260" s="11">
        <v>1</v>
      </c>
      <c r="AO260" s="11">
        <v>0</v>
      </c>
      <c r="AP260" s="11">
        <v>0</v>
      </c>
      <c r="AQ260" s="11">
        <v>0</v>
      </c>
      <c r="AR260" s="52"/>
      <c r="AS260" s="54">
        <v>0</v>
      </c>
      <c r="AT260" s="54">
        <f t="shared" si="361"/>
        <v>0</v>
      </c>
      <c r="AU260" s="52"/>
      <c r="AV260" s="243">
        <v>3570000000</v>
      </c>
      <c r="AW260" s="244"/>
      <c r="AX260" s="244"/>
      <c r="AY260" s="243">
        <v>2999999997</v>
      </c>
      <c r="AZ260" s="44">
        <f t="shared" si="422"/>
        <v>0</v>
      </c>
      <c r="BA260" s="44">
        <v>0</v>
      </c>
      <c r="BB260" s="44" t="s">
        <v>115</v>
      </c>
      <c r="BC260" s="44">
        <f t="shared" si="423"/>
        <v>0.5</v>
      </c>
      <c r="BD260" s="44" cm="1">
        <f t="array" ref="BD260">_xlfn.IFS(AD260=0,"NA",AD260&gt;0,AH260/AD260)</f>
        <v>0</v>
      </c>
      <c r="BE260" s="44">
        <f t="shared" si="424"/>
        <v>0</v>
      </c>
      <c r="BF260" s="44">
        <v>0</v>
      </c>
      <c r="BG260" s="44">
        <f t="shared" si="425"/>
        <v>0.5</v>
      </c>
      <c r="BH260" s="44">
        <v>0</v>
      </c>
      <c r="BI260" s="44">
        <f t="shared" si="426"/>
        <v>0</v>
      </c>
      <c r="BJ260" s="44" t="s">
        <v>115</v>
      </c>
      <c r="BK260" s="44">
        <f t="shared" si="362"/>
        <v>0</v>
      </c>
      <c r="BL260" s="44" t="s">
        <v>115</v>
      </c>
      <c r="BM260" s="44" cm="1">
        <f t="array" ref="BM260">_xlfn.IFS(BD260="NA","NA",BD260&gt;100%,"100%",BD260&lt;100,BD260)</f>
        <v>0</v>
      </c>
      <c r="BN260" s="44" cm="1">
        <f t="array" ref="BN260">_xlfn.IFS(BF260="NA","NA",BF260&gt;100%,"100%",BF260&lt;100,BF260)</f>
        <v>0</v>
      </c>
      <c r="BO260" s="44" cm="1">
        <f t="array" ref="BO260">_xlfn.IFS(BH260="NA","NA",BH260&gt;100%,"100%",BH260&lt;100,BH260)</f>
        <v>0</v>
      </c>
      <c r="BP260" s="44" t="str" cm="1">
        <f t="array" ref="BP260">_xlfn.IFS(BJ260="NA","NA",BJ260&gt;100%,"100%",BJ260&lt;100,BJ260)</f>
        <v>NA</v>
      </c>
      <c r="BQ260" s="45">
        <v>0.22500000000000001</v>
      </c>
      <c r="BR260" s="45">
        <f t="shared" si="372"/>
        <v>0</v>
      </c>
      <c r="BS260" s="45">
        <v>0</v>
      </c>
      <c r="BT260" s="45" t="s">
        <v>115</v>
      </c>
      <c r="BU260" s="45">
        <v>0</v>
      </c>
      <c r="BV260" s="45">
        <f t="shared" si="427"/>
        <v>0.1125</v>
      </c>
      <c r="BW260" s="45">
        <f t="shared" si="392"/>
        <v>0</v>
      </c>
      <c r="BX260" s="45">
        <f t="shared" si="393"/>
        <v>0</v>
      </c>
      <c r="BY260" s="45">
        <f t="shared" si="428"/>
        <v>0</v>
      </c>
      <c r="BZ260" s="45">
        <f t="shared" si="429"/>
        <v>0</v>
      </c>
      <c r="CA260" s="45">
        <f t="shared" si="373"/>
        <v>0</v>
      </c>
      <c r="CB260" s="45">
        <f t="shared" si="430"/>
        <v>0.1125</v>
      </c>
      <c r="CC260" s="45">
        <f t="shared" si="431"/>
        <v>0</v>
      </c>
      <c r="CD260" s="45">
        <v>0</v>
      </c>
      <c r="CE260" s="45">
        <f t="shared" si="432"/>
        <v>0</v>
      </c>
      <c r="CF260" s="45" t="str">
        <f t="shared" si="433"/>
        <v>NA</v>
      </c>
      <c r="CG260" s="45">
        <v>0</v>
      </c>
      <c r="CH260" s="244"/>
      <c r="CI260" s="244"/>
      <c r="CJ260" s="244"/>
      <c r="CK260" s="244"/>
      <c r="CM260" s="63">
        <v>0</v>
      </c>
    </row>
    <row r="261" spans="1:261" ht="18" hidden="1" customHeight="1">
      <c r="A261" s="260" t="s">
        <v>221</v>
      </c>
      <c r="B261" s="260" t="s">
        <v>222</v>
      </c>
      <c r="C261" s="260" t="s">
        <v>1286</v>
      </c>
      <c r="D261" s="260" t="s">
        <v>1657</v>
      </c>
      <c r="E261" s="260" t="s">
        <v>1751</v>
      </c>
      <c r="F261" s="260" t="s">
        <v>1752</v>
      </c>
      <c r="G261" s="260" t="s">
        <v>1753</v>
      </c>
      <c r="H261" s="260" t="s">
        <v>1754</v>
      </c>
      <c r="I261" s="260"/>
      <c r="J261" s="260"/>
      <c r="K261" s="260" t="s">
        <v>1755</v>
      </c>
      <c r="L261" s="260" t="s">
        <v>1756</v>
      </c>
      <c r="M261" s="260" t="s">
        <v>1757</v>
      </c>
      <c r="N261" s="260" t="s">
        <v>111</v>
      </c>
      <c r="O261" s="260" t="s">
        <v>112</v>
      </c>
      <c r="P261" s="10">
        <v>354</v>
      </c>
      <c r="Q261" s="11">
        <v>200</v>
      </c>
      <c r="R261" s="11">
        <f t="shared" ca="1" si="420"/>
        <v>43</v>
      </c>
      <c r="S261" s="11" t="str">
        <f ca="1">VLOOKUP(K261,'1220 IDECUT'!$K$13:$AK$48,9,0)</f>
        <v xml:space="preserve">A través de convenios interadministrativos se apoyaron eventos culturales y artísticos en actividades como soporte operativo, premiación, promoción y difusión, como parte de la reactivación del sector promoviendo y estimulando el talento local, la creación, producción, formulación y circulación artística. Durante el 2021.  Se confinanciaron 14 eventos beneficiando a los municipios de San Antonio de Tequendama, Sutatausa, El Colegio,  Anolaima, Bituima, Ubaque, Medina, Vianí, Gama, San Bernardo, Facatativá, Gachancipá, Tabio, Nemocón
Los eventos generan un gran impacto en la reactivación económica y crea espacios de recreación y aprendizaje en los participantes.
</v>
      </c>
      <c r="T261" s="11">
        <v>10</v>
      </c>
      <c r="U261" s="11">
        <v>0</v>
      </c>
      <c r="V261" s="11">
        <v>30</v>
      </c>
      <c r="W261" s="11">
        <v>0</v>
      </c>
      <c r="X261" s="11">
        <v>29</v>
      </c>
      <c r="Y261" s="11">
        <v>0</v>
      </c>
      <c r="Z261" s="11">
        <v>29</v>
      </c>
      <c r="AA261" s="11" t="s">
        <v>1758</v>
      </c>
      <c r="AB261" s="11" t="s">
        <v>1759</v>
      </c>
      <c r="AC261" s="11" t="e">
        <f ca="1">- Desarrollo de los eventos por Falta de conectividad.- Poca participación de la comunidad a los eventos.</f>
        <v>#NAME?</v>
      </c>
      <c r="AD261" s="11">
        <v>25</v>
      </c>
      <c r="AE261" s="11">
        <v>0</v>
      </c>
      <c r="AF261" s="11">
        <f ca="1">VLOOKUP(K261,'1220 IDECUT'!$K$13:$AK$48,22,0)</f>
        <v>14</v>
      </c>
      <c r="AG261" s="11">
        <f ca="1">VLOOKUP(K261,'1220 IDECUT'!$K$13:$AK$48,23,0)</f>
        <v>0</v>
      </c>
      <c r="AH261" s="11">
        <f t="shared" ca="1" si="421"/>
        <v>14</v>
      </c>
      <c r="AI261" s="11" t="str">
        <f ca="1">VLOOKUP(K261,'1220 IDECUT'!$K$13:$AK$48,25,0)</f>
        <v>Convenio</v>
      </c>
      <c r="AJ261" s="11" t="str">
        <f ca="1">VLOOKUP(K261,'1220 IDECUT'!$K$13:$AK$48,26,0)</f>
        <v xml:space="preserve">Se confinanciaron 14 eventos beneficiando a los municipios de San Antonio de Tequendama, Sutatausa, El Colegio,  Anolaima, Bituima, Ubaque, Medina, Vianí, Gama, San Bernardo, Facatativá, Gachancipá, Tabio, Nemocón
Los eventos generan un gran impacto en la reactivación económica y crea espacios de recreación y aprendizaje en los participantes.
</v>
      </c>
      <c r="AK261" s="11">
        <f ca="1">VLOOKUP(K261,'1220 IDECUT'!$K$13:$AK$48,27,0)</f>
        <v>0</v>
      </c>
      <c r="AL261" s="11">
        <v>73</v>
      </c>
      <c r="AM261" s="11">
        <v>0</v>
      </c>
      <c r="AN261" s="11">
        <v>73</v>
      </c>
      <c r="AO261" s="11">
        <v>0</v>
      </c>
      <c r="AP261" s="11">
        <v>0</v>
      </c>
      <c r="AQ261" s="11">
        <v>0</v>
      </c>
      <c r="AR261" s="51">
        <v>409850000</v>
      </c>
      <c r="AS261" s="54">
        <v>0</v>
      </c>
      <c r="AT261" s="54">
        <f t="shared" si="361"/>
        <v>409850000</v>
      </c>
      <c r="AU261" s="51">
        <v>409850000</v>
      </c>
      <c r="AV261" s="89">
        <v>1085514248</v>
      </c>
      <c r="AW261" s="89"/>
      <c r="AX261" s="89"/>
      <c r="AY261" s="89">
        <v>986354047</v>
      </c>
      <c r="AZ261" s="44">
        <f t="shared" ca="1" si="422"/>
        <v>0.215</v>
      </c>
      <c r="BA261" s="44">
        <v>0.15</v>
      </c>
      <c r="BB261" s="44">
        <v>0.9667</v>
      </c>
      <c r="BC261" s="44">
        <f t="shared" si="423"/>
        <v>0.125</v>
      </c>
      <c r="BD261" s="44" cm="1">
        <f t="array" aca="1" ref="BD261" ca="1">_xlfn.IFS(AD261=0,"NA",AD261&gt;0,AH261/AD261)</f>
        <v>0.56000000000000005</v>
      </c>
      <c r="BE261" s="44">
        <f t="shared" si="424"/>
        <v>0.36499999999999999</v>
      </c>
      <c r="BF261" s="44">
        <v>0</v>
      </c>
      <c r="BG261" s="44">
        <f t="shared" si="425"/>
        <v>0.36499999999999999</v>
      </c>
      <c r="BH261" s="44">
        <v>0</v>
      </c>
      <c r="BI261" s="44">
        <f t="shared" si="426"/>
        <v>0</v>
      </c>
      <c r="BJ261" s="44" t="s">
        <v>115</v>
      </c>
      <c r="BK261" s="44">
        <f t="shared" ca="1" si="362"/>
        <v>0.215</v>
      </c>
      <c r="BL261" s="44">
        <v>0.9667</v>
      </c>
      <c r="BM261" s="44" cm="1">
        <f t="array" aca="1" ref="BM261" ca="1">_xlfn.IFS(BD261="NA","NA",BD261&gt;100%,"100%",BD261&lt;100,BD261)</f>
        <v>0.56000000000000005</v>
      </c>
      <c r="BN261" s="44" cm="1">
        <f t="array" ref="BN261">_xlfn.IFS(BF261="NA","NA",BF261&gt;100%,"100%",BF261&lt;100,BF261)</f>
        <v>0</v>
      </c>
      <c r="BO261" s="44" cm="1">
        <f t="array" ref="BO261">_xlfn.IFS(BH261="NA","NA",BH261&gt;100%,"100%",BH261&lt;100,BH261)</f>
        <v>0</v>
      </c>
      <c r="BP261" s="44" t="str" cm="1">
        <f t="array" ref="BP261">_xlfn.IFS(BJ261="NA","NA",BJ261&gt;100%,"100%",BJ261&lt;100,BJ261)</f>
        <v>NA</v>
      </c>
      <c r="BQ261" s="45">
        <v>0.22500000000000001</v>
      </c>
      <c r="BR261" s="45">
        <f t="shared" ca="1" si="372"/>
        <v>4.8375000000000001E-2</v>
      </c>
      <c r="BS261" s="45">
        <v>3.3799999999999997E-2</v>
      </c>
      <c r="BT261" s="45">
        <v>3.27E-2</v>
      </c>
      <c r="BU261" s="45">
        <v>3.2599999999999997E-2</v>
      </c>
      <c r="BV261" s="45">
        <f t="shared" si="427"/>
        <v>2.8125000000000001E-2</v>
      </c>
      <c r="BW261" s="45">
        <f t="shared" ca="1" si="392"/>
        <v>1.5750000000000004E-2</v>
      </c>
      <c r="BX261" s="45">
        <f t="shared" ca="1" si="393"/>
        <v>1.5775000000000004E-2</v>
      </c>
      <c r="BY261" s="45">
        <f t="shared" si="428"/>
        <v>8.2125000000000004E-2</v>
      </c>
      <c r="BZ261" s="45">
        <f t="shared" si="429"/>
        <v>0</v>
      </c>
      <c r="CA261" s="45">
        <f t="shared" ca="1" si="373"/>
        <v>0</v>
      </c>
      <c r="CB261" s="45">
        <f t="shared" si="430"/>
        <v>8.2125000000000004E-2</v>
      </c>
      <c r="CC261" s="45">
        <f t="shared" si="431"/>
        <v>0</v>
      </c>
      <c r="CD261" s="45">
        <v>0</v>
      </c>
      <c r="CE261" s="45">
        <f t="shared" si="432"/>
        <v>0</v>
      </c>
      <c r="CF261" s="45" t="str">
        <f t="shared" si="433"/>
        <v>NA</v>
      </c>
      <c r="CG261" s="45">
        <v>0</v>
      </c>
      <c r="CH261" s="244"/>
      <c r="CI261" s="244"/>
      <c r="CJ261" s="244"/>
      <c r="CK261" s="244"/>
      <c r="CM261" s="63">
        <v>30</v>
      </c>
    </row>
    <row r="262" spans="1:261" ht="18" hidden="1" customHeight="1">
      <c r="A262" s="260" t="s">
        <v>221</v>
      </c>
      <c r="B262" s="260" t="s">
        <v>222</v>
      </c>
      <c r="C262" s="260" t="s">
        <v>1286</v>
      </c>
      <c r="D262" s="260" t="s">
        <v>1657</v>
      </c>
      <c r="E262" s="260" t="s">
        <v>1751</v>
      </c>
      <c r="F262" s="260" t="s">
        <v>1752</v>
      </c>
      <c r="G262" s="260" t="s">
        <v>1753</v>
      </c>
      <c r="H262" s="260" t="s">
        <v>1760</v>
      </c>
      <c r="I262" s="260"/>
      <c r="J262" s="260"/>
      <c r="K262" s="260" t="s">
        <v>1761</v>
      </c>
      <c r="L262" s="260" t="s">
        <v>1762</v>
      </c>
      <c r="M262" s="260" t="s">
        <v>1763</v>
      </c>
      <c r="N262" s="260" t="s">
        <v>111</v>
      </c>
      <c r="O262" s="260" t="s">
        <v>112</v>
      </c>
      <c r="P262" s="10">
        <v>168</v>
      </c>
      <c r="Q262" s="11">
        <v>1500</v>
      </c>
      <c r="R262" s="11">
        <f t="shared" ca="1" si="420"/>
        <v>970</v>
      </c>
      <c r="S262" s="11" t="str">
        <f ca="1">VLOOKUP(K262,'1220 IDECUT'!$K$13:$AK$48,9,0)</f>
        <v>Durante la vigencia 2020, en el marco de la emergencia el IDECUT trabajó en estrategias para brindar apoyo a los creadores, gestores y artistas cundinamarqueses  dentro de las cuales se resalta el portafolio de estímulos "corazonarte. inspírese y eche pa la casa" el cual dio inicio en el primer semestre de 2020 y continuó su etapa de implementación y entrega durante lo corrido del segundo  semestre de 2020. Adicionalmente,  a través de la Resolución N 193 del 15 de septiembre de 2020, se dio apertura a la convocatoria "CORAZONARTE cultura para cuidarte 2020", en las modalidades de bibliotecas, artes plásticas y visuales, música, teatro y circo, danza, patrimonio, literatura, cinematografía y artes audiovisuales, industrias creativas y culturales, gestión cultural y comunicaciones. En lo corrido de 2021.  Se entregaron 160 estímulos a agentes culturales de las áreas artísticas de artes plásticas y visuales, música, teatro y circo, danzas, literatura, patrimonio, bibliotecas, comunicaciones, cinematografía y artes audiovisuales, gestión cultural e industrias creativas y culturales en los municipios de Chía, Soacha, Funza, Sibaté, Fusagasugá, Mosquera, Zipaquirá, Facatativá, Cajicá, Tabio, La Calera, Guasca, Madrid, Tocancipá, Sesquilé, Subachoque, Guaduas, Tenjo, Ubaté, Cogua, Silvania, Sasaima, Gachancipá, Gutiérrez, Viotá, Topaipí, Choachí, Anolaima, Chocontá, Nimaima, Venecia, Sopó, Yacopí, Caparrapí, Medina, Suesca, Sutatausa, Vianí, San Francisco, Cota, San Juan de Rio Seco, Paratebueno y Puerto Salgar, apoyando la reactivación de los proyectos artísticos y culturales que se vienen desarrollando desde el inicio de la pandemia hasta la fecha.</v>
      </c>
      <c r="T262" s="11">
        <v>600</v>
      </c>
      <c r="U262" s="11">
        <v>0</v>
      </c>
      <c r="V262" s="11">
        <v>800</v>
      </c>
      <c r="W262" s="11">
        <v>0</v>
      </c>
      <c r="X262" s="11">
        <v>810</v>
      </c>
      <c r="Y262" s="11">
        <v>0</v>
      </c>
      <c r="Z262" s="11">
        <v>810</v>
      </c>
      <c r="AA262" s="11" t="s">
        <v>1764</v>
      </c>
      <c r="AB262" s="11" t="s">
        <v>1765</v>
      </c>
      <c r="AC262" s="11" t="s">
        <v>1766</v>
      </c>
      <c r="AD262" s="11">
        <v>250</v>
      </c>
      <c r="AE262" s="11">
        <v>0</v>
      </c>
      <c r="AF262" s="11">
        <f ca="1">VLOOKUP(K262,'1220 IDECUT'!$K$13:$AK$48,22,0)</f>
        <v>160</v>
      </c>
      <c r="AG262" s="11">
        <f ca="1">VLOOKUP(K262,'1220 IDECUT'!$K$13:$AK$48,23,0)</f>
        <v>0</v>
      </c>
      <c r="AH262" s="11">
        <f t="shared" ca="1" si="421"/>
        <v>160</v>
      </c>
      <c r="AI262" s="11" t="str">
        <f ca="1">VLOOKUP(K262,'1220 IDECUT'!$K$13:$AK$48,25,0)</f>
        <v>Estimulos economicos</v>
      </c>
      <c r="AJ262" s="11" t="str">
        <f ca="1">VLOOKUP(K262,'1220 IDECUT'!$K$13:$AK$48,26,0)</f>
        <v>Se entregaron 160 estímulos a agentes culturales de las áreas artísticas de artes plásticas y visuales, música, teatro y circo, danzas, literatura, patrimonio, bibliotecas, comunicaciones, cinematografía y artes audiovisuales, gestión cultural e industrias creativas y culturales en los municipios de Chía, Soacha, Funza, Sibaté, Fusagasugá, Mosquera, Zipaquirá, Facatativá, Cajicá, Tabio, La Calera, Guasca, Madrid, Tocancipá, Sesquilé, Subachoque, Guaduas, Tenjo, Ubaté, Cogua, Silvania, Sasaima, Gachancipá, Gutiérrez, Viotá, Topaipí, Choachí, Anolaima, Chocontá, Nimaima, Venecia, Sopó, Yacopí, Caparrapí, Medina, Suesca, Sutatausa, Vianí, San Francisco, Cota, San Juan de Rio Seco, Paratebueno y Puerto Salgar, apoyando la reactivación de los proyectos artísticos y culturales que se vienen desarrollando desde el inicio de la pandemia hasta la fecha.</v>
      </c>
      <c r="AK262" s="11">
        <f ca="1">VLOOKUP(K262,'1220 IDECUT'!$K$13:$AK$48,27,0)</f>
        <v>0</v>
      </c>
      <c r="AL262" s="11">
        <v>250</v>
      </c>
      <c r="AM262" s="11">
        <v>0</v>
      </c>
      <c r="AN262" s="11">
        <v>200</v>
      </c>
      <c r="AO262" s="11">
        <v>0</v>
      </c>
      <c r="AP262" s="11">
        <v>0</v>
      </c>
      <c r="AQ262" s="11">
        <v>0</v>
      </c>
      <c r="AR262" s="51">
        <v>258200000</v>
      </c>
      <c r="AS262" s="54">
        <v>256881297</v>
      </c>
      <c r="AT262" s="54">
        <f t="shared" si="361"/>
        <v>515081297</v>
      </c>
      <c r="AU262" s="51">
        <v>258200000</v>
      </c>
      <c r="AV262" s="89">
        <v>300000000</v>
      </c>
      <c r="AW262" s="89"/>
      <c r="AX262" s="89"/>
      <c r="AY262" s="89">
        <v>300000000</v>
      </c>
      <c r="AZ262" s="44">
        <f t="shared" ca="1" si="422"/>
        <v>0.64666666666666661</v>
      </c>
      <c r="BA262" s="44">
        <v>0.5333</v>
      </c>
      <c r="BB262" s="44">
        <v>1.0125</v>
      </c>
      <c r="BC262" s="44">
        <f t="shared" si="423"/>
        <v>0.16666666666666666</v>
      </c>
      <c r="BD262" s="44" cm="1">
        <f t="array" aca="1" ref="BD262" ca="1">_xlfn.IFS(AD262=0,"NA",AD262&gt;0,AH262/AD262)</f>
        <v>0.64</v>
      </c>
      <c r="BE262" s="44">
        <f t="shared" si="424"/>
        <v>0.16666666666666666</v>
      </c>
      <c r="BF262" s="44">
        <v>0</v>
      </c>
      <c r="BG262" s="44">
        <f t="shared" si="425"/>
        <v>0.13333333333333333</v>
      </c>
      <c r="BH262" s="44">
        <v>0</v>
      </c>
      <c r="BI262" s="44">
        <f t="shared" si="426"/>
        <v>0</v>
      </c>
      <c r="BJ262" s="44" t="s">
        <v>115</v>
      </c>
      <c r="BK262" s="44">
        <f t="shared" ca="1" si="362"/>
        <v>0.64666666666666661</v>
      </c>
      <c r="BL262" s="44">
        <v>1</v>
      </c>
      <c r="BM262" s="44" cm="1">
        <f t="array" aca="1" ref="BM262" ca="1">_xlfn.IFS(BD262="NA","NA",BD262&gt;100%,"100%",BD262&lt;100,BD262)</f>
        <v>0.64</v>
      </c>
      <c r="BN262" s="44" cm="1">
        <f t="array" ref="BN262">_xlfn.IFS(BF262="NA","NA",BF262&gt;100%,"100%",BF262&lt;100,BF262)</f>
        <v>0</v>
      </c>
      <c r="BO262" s="44" cm="1">
        <f t="array" ref="BO262">_xlfn.IFS(BH262="NA","NA",BH262&gt;100%,"100%",BH262&lt;100,BH262)</f>
        <v>0</v>
      </c>
      <c r="BP262" s="44" t="str" cm="1">
        <f t="array" ref="BP262">_xlfn.IFS(BJ262="NA","NA",BJ262&gt;100%,"100%",BJ262&lt;100,BJ262)</f>
        <v>NA</v>
      </c>
      <c r="BQ262" s="45">
        <v>0.22500000000000001</v>
      </c>
      <c r="BR262" s="45">
        <f t="shared" ca="1" si="372"/>
        <v>0.14549999999999999</v>
      </c>
      <c r="BS262" s="45">
        <v>0.12</v>
      </c>
      <c r="BT262" s="45">
        <v>0.12</v>
      </c>
      <c r="BU262" s="45">
        <v>0.1215</v>
      </c>
      <c r="BV262" s="45">
        <f t="shared" si="427"/>
        <v>3.7499999999999999E-2</v>
      </c>
      <c r="BW262" s="45">
        <f t="shared" ca="1" si="392"/>
        <v>2.4E-2</v>
      </c>
      <c r="BX262" s="45">
        <f t="shared" ca="1" si="393"/>
        <v>2.3999999999999994E-2</v>
      </c>
      <c r="BY262" s="45">
        <f t="shared" si="428"/>
        <v>3.7499999999999999E-2</v>
      </c>
      <c r="BZ262" s="45">
        <f t="shared" si="429"/>
        <v>0</v>
      </c>
      <c r="CA262" s="45">
        <f t="shared" ca="1" si="373"/>
        <v>0</v>
      </c>
      <c r="CB262" s="45">
        <f t="shared" si="430"/>
        <v>0.03</v>
      </c>
      <c r="CC262" s="45">
        <f t="shared" si="431"/>
        <v>0</v>
      </c>
      <c r="CD262" s="45">
        <v>0</v>
      </c>
      <c r="CE262" s="45">
        <f t="shared" si="432"/>
        <v>0</v>
      </c>
      <c r="CF262" s="45" t="str">
        <f t="shared" si="433"/>
        <v>NA</v>
      </c>
      <c r="CG262" s="45">
        <v>0</v>
      </c>
      <c r="CH262" s="244"/>
      <c r="CI262" s="244"/>
      <c r="CJ262" s="244"/>
      <c r="CK262" s="244"/>
      <c r="CM262" s="63">
        <v>930</v>
      </c>
    </row>
    <row r="263" spans="1:261" ht="18" hidden="1" customHeight="1">
      <c r="A263" s="260" t="s">
        <v>221</v>
      </c>
      <c r="B263" s="260" t="s">
        <v>222</v>
      </c>
      <c r="C263" s="260" t="s">
        <v>1286</v>
      </c>
      <c r="D263" s="260" t="s">
        <v>1657</v>
      </c>
      <c r="E263" s="260" t="s">
        <v>1751</v>
      </c>
      <c r="F263" s="260" t="s">
        <v>1752</v>
      </c>
      <c r="G263" s="260" t="s">
        <v>1753</v>
      </c>
      <c r="H263" s="260" t="s">
        <v>1767</v>
      </c>
      <c r="I263" s="260"/>
      <c r="J263" s="260"/>
      <c r="K263" s="260" t="s">
        <v>1768</v>
      </c>
      <c r="L263" s="260" t="s">
        <v>1769</v>
      </c>
      <c r="M263" s="260" t="s">
        <v>1770</v>
      </c>
      <c r="N263" s="260" t="s">
        <v>111</v>
      </c>
      <c r="O263" s="260" t="s">
        <v>112</v>
      </c>
      <c r="P263" s="10">
        <v>0</v>
      </c>
      <c r="Q263" s="11">
        <v>40</v>
      </c>
      <c r="R263" s="11">
        <f t="shared" ca="1" si="420"/>
        <v>24</v>
      </c>
      <c r="S263" s="11" t="str">
        <f ca="1">VLOOKUP(K263,'1220 IDECUT'!$K$13:$AK$48,9,0)</f>
        <v>Durante el año 2021. Se han potencializado 123 procesos creativos culturales contemporáneos mediante el acompañamiento, capacitación y asesoramiento en la formulación de proyectos. En el marco de la ejecución, 52 municipios han sido asesorados y acompañados en la formulación de sus proyectos y  24  de ellos han sido asesorados y avalados por la corporación Cocrea.</v>
      </c>
      <c r="T263" s="11">
        <v>0</v>
      </c>
      <c r="U263" s="11">
        <v>0</v>
      </c>
      <c r="V263" s="11">
        <v>0</v>
      </c>
      <c r="W263" s="11">
        <v>0</v>
      </c>
      <c r="X263" s="11">
        <v>0</v>
      </c>
      <c r="Y263" s="11">
        <v>0</v>
      </c>
      <c r="Z263" s="11">
        <v>0</v>
      </c>
      <c r="AA263" s="11"/>
      <c r="AB263" s="11"/>
      <c r="AC263" s="11"/>
      <c r="AD263" s="11">
        <v>14</v>
      </c>
      <c r="AE263" s="11">
        <v>0</v>
      </c>
      <c r="AF263" s="11">
        <f ca="1">VLOOKUP(K263,'1220 IDECUT'!$K$13:$AK$48,22,0)</f>
        <v>24</v>
      </c>
      <c r="AG263" s="11">
        <f ca="1">VLOOKUP(K263,'1220 IDECUT'!$K$13:$AK$48,23,0)</f>
        <v>0</v>
      </c>
      <c r="AH263" s="11">
        <f t="shared" ca="1" si="421"/>
        <v>24</v>
      </c>
      <c r="AI263" s="11" t="str">
        <f ca="1">VLOOKUP(K263,'1220 IDECUT'!$K$13:$AK$48,25,0)</f>
        <v>Asesoria</v>
      </c>
      <c r="AJ263" s="11" t="str">
        <f ca="1">VLOOKUP(K263,'1220 IDECUT'!$K$13:$AK$48,26,0)</f>
        <v>Se han potencializado 123 procesos creativos culturales contemporáneos mediante el acompañamiento, capacitación y asesoramiento en la formulación de proyectos. En el marco de la ejecución, 52 municipios han sido asesorados y acompañados en la formulación de sus proyectos y  24  de ellos han sido asesorados y avalados por la corporación Cocrea.</v>
      </c>
      <c r="AK263" s="11">
        <f ca="1">VLOOKUP(K263,'1220 IDECUT'!$K$13:$AK$48,27,0)</f>
        <v>0</v>
      </c>
      <c r="AL263" s="11">
        <v>14</v>
      </c>
      <c r="AM263" s="11">
        <v>0</v>
      </c>
      <c r="AN263" s="11">
        <v>12</v>
      </c>
      <c r="AO263" s="11">
        <v>0</v>
      </c>
      <c r="AP263" s="11">
        <v>0</v>
      </c>
      <c r="AQ263" s="11">
        <v>0</v>
      </c>
      <c r="AR263" s="52"/>
      <c r="AS263" s="54">
        <v>0</v>
      </c>
      <c r="AT263" s="54">
        <f t="shared" si="361"/>
        <v>0</v>
      </c>
      <c r="AU263" s="52"/>
      <c r="AV263" s="89">
        <v>60000000</v>
      </c>
      <c r="AW263" s="89"/>
      <c r="AX263" s="89"/>
      <c r="AY263" s="89">
        <v>60000000</v>
      </c>
      <c r="AZ263" s="44">
        <f t="shared" ca="1" si="422"/>
        <v>0.6</v>
      </c>
      <c r="BA263" s="44">
        <v>0</v>
      </c>
      <c r="BB263" s="44" t="s">
        <v>115</v>
      </c>
      <c r="BC263" s="44">
        <f t="shared" si="423"/>
        <v>0.35</v>
      </c>
      <c r="BD263" s="44" cm="1">
        <f t="array" aca="1" ref="BD263" ca="1">_xlfn.IFS(AD263=0,"NA",AD263&gt;0,AH263/AD263)</f>
        <v>1.7142857142857142</v>
      </c>
      <c r="BE263" s="44">
        <f t="shared" si="424"/>
        <v>0.35</v>
      </c>
      <c r="BF263" s="44">
        <v>0</v>
      </c>
      <c r="BG263" s="44">
        <f t="shared" si="425"/>
        <v>0.3</v>
      </c>
      <c r="BH263" s="44">
        <v>0</v>
      </c>
      <c r="BI263" s="44">
        <f t="shared" si="426"/>
        <v>0</v>
      </c>
      <c r="BJ263" s="44" t="s">
        <v>115</v>
      </c>
      <c r="BK263" s="44">
        <f t="shared" ca="1" si="362"/>
        <v>0.6</v>
      </c>
      <c r="BL263" s="44" t="s">
        <v>115</v>
      </c>
      <c r="BM263" s="44" t="str" cm="1">
        <f t="array" aca="1" ref="BM263" ca="1">_xlfn.IFS(BD263="NA","NA",BD263&gt;100%,"100%",BD263&lt;100,BD263)</f>
        <v>100%</v>
      </c>
      <c r="BN263" s="44" cm="1">
        <f t="array" ref="BN263">_xlfn.IFS(BF263="NA","NA",BF263&gt;100%,"100%",BF263&lt;100,BF263)</f>
        <v>0</v>
      </c>
      <c r="BO263" s="44" cm="1">
        <f t="array" ref="BO263">_xlfn.IFS(BH263="NA","NA",BH263&gt;100%,"100%",BH263&lt;100,BH263)</f>
        <v>0</v>
      </c>
      <c r="BP263" s="44" t="str" cm="1">
        <f t="array" ref="BP263">_xlfn.IFS(BJ263="NA","NA",BJ263&gt;100%,"100%",BJ263&lt;100,BJ263)</f>
        <v>NA</v>
      </c>
      <c r="BQ263" s="45">
        <v>0.22500000000000001</v>
      </c>
      <c r="BR263" s="45">
        <f t="shared" ca="1" si="372"/>
        <v>0.13500000000000001</v>
      </c>
      <c r="BS263" s="45">
        <v>0</v>
      </c>
      <c r="BT263" s="45" t="s">
        <v>115</v>
      </c>
      <c r="BU263" s="45">
        <v>0</v>
      </c>
      <c r="BV263" s="45">
        <f t="shared" si="427"/>
        <v>7.8750000000000001E-2</v>
      </c>
      <c r="BW263" s="45">
        <f t="shared" ca="1" si="392"/>
        <v>7.8750000000000001E-2</v>
      </c>
      <c r="BX263" s="45">
        <f t="shared" ca="1" si="393"/>
        <v>0.13500000000000001</v>
      </c>
      <c r="BY263" s="45">
        <f t="shared" si="428"/>
        <v>7.8750000000000001E-2</v>
      </c>
      <c r="BZ263" s="45">
        <f t="shared" si="429"/>
        <v>0</v>
      </c>
      <c r="CA263" s="45">
        <f t="shared" ca="1" si="373"/>
        <v>0</v>
      </c>
      <c r="CB263" s="45">
        <f t="shared" si="430"/>
        <v>6.7500000000000004E-2</v>
      </c>
      <c r="CC263" s="45">
        <f t="shared" si="431"/>
        <v>0</v>
      </c>
      <c r="CD263" s="45">
        <v>0</v>
      </c>
      <c r="CE263" s="45">
        <f t="shared" si="432"/>
        <v>0</v>
      </c>
      <c r="CF263" s="45" t="str">
        <f t="shared" si="433"/>
        <v>NA</v>
      </c>
      <c r="CG263" s="45">
        <v>0</v>
      </c>
      <c r="CH263" s="244"/>
      <c r="CI263" s="244"/>
      <c r="CJ263" s="244"/>
      <c r="CK263" s="244"/>
      <c r="CM263" s="63">
        <v>0</v>
      </c>
    </row>
    <row r="264" spans="1:261" ht="18" hidden="1" customHeight="1">
      <c r="A264" s="260" t="s">
        <v>221</v>
      </c>
      <c r="B264" s="260" t="s">
        <v>222</v>
      </c>
      <c r="C264" s="260" t="s">
        <v>1286</v>
      </c>
      <c r="D264" s="260" t="s">
        <v>1657</v>
      </c>
      <c r="E264" s="260" t="s">
        <v>1751</v>
      </c>
      <c r="F264" s="260" t="s">
        <v>1752</v>
      </c>
      <c r="G264" s="260" t="s">
        <v>1753</v>
      </c>
      <c r="H264" s="260" t="s">
        <v>1771</v>
      </c>
      <c r="I264" s="260"/>
      <c r="J264" s="260"/>
      <c r="K264" s="260" t="s">
        <v>1772</v>
      </c>
      <c r="L264" s="260" t="s">
        <v>1773</v>
      </c>
      <c r="M264" s="260" t="s">
        <v>1774</v>
      </c>
      <c r="N264" s="260" t="s">
        <v>111</v>
      </c>
      <c r="O264" s="260" t="s">
        <v>112</v>
      </c>
      <c r="P264" s="10">
        <v>0</v>
      </c>
      <c r="Q264" s="11">
        <v>6</v>
      </c>
      <c r="R264" s="11">
        <f t="shared" ca="1" si="420"/>
        <v>0</v>
      </c>
      <c r="S264" s="11" t="str">
        <f ca="1">VLOOKUP(K264,'1220 IDECUT'!$K$13:$AK$48,9,0)</f>
        <v xml:space="preserve">Se han apoyado con asesoría y acompañamiento a las industrias culturales innovadoras en los municipios de Sesquilé, Tena y Guatavita donde se pretende mejorar la capacidad cultural pública y privada mediante la formulación de proyectos que permitan el desarrollo de la productividad y sostenibilidad del sector cultural con el objetivo de fortalecer y consolidar el tejido empresarial en el Departamento.
</v>
      </c>
      <c r="T264" s="11">
        <v>0</v>
      </c>
      <c r="U264" s="11">
        <v>0</v>
      </c>
      <c r="V264" s="11">
        <v>0</v>
      </c>
      <c r="W264" s="11">
        <v>0</v>
      </c>
      <c r="X264" s="11">
        <v>0</v>
      </c>
      <c r="Y264" s="11">
        <v>0</v>
      </c>
      <c r="Z264" s="11">
        <v>0</v>
      </c>
      <c r="AA264" s="11"/>
      <c r="AB264" s="11"/>
      <c r="AC264" s="11"/>
      <c r="AD264" s="11">
        <v>1</v>
      </c>
      <c r="AE264" s="11">
        <v>0</v>
      </c>
      <c r="AF264" s="11">
        <f ca="1">VLOOKUP(K264,'1220 IDECUT'!$K$13:$AK$48,22,0)</f>
        <v>0</v>
      </c>
      <c r="AG264" s="11">
        <f ca="1">VLOOKUP(K264,'1220 IDECUT'!$K$13:$AK$48,23,0)</f>
        <v>0</v>
      </c>
      <c r="AH264" s="11">
        <f t="shared" ca="1" si="421"/>
        <v>0</v>
      </c>
      <c r="AI264" s="11" t="str">
        <f ca="1">VLOOKUP(K264,'1220 IDECUT'!$K$13:$AK$48,25,0)</f>
        <v>Asesoria y acompañamiemto</v>
      </c>
      <c r="AJ264" s="11" t="str">
        <f ca="1">VLOOKUP(K264,'1220 IDECUT'!$K$13:$AK$48,26,0)</f>
        <v xml:space="preserve">Se han apoyado con asesoría y acompañamiento a las industrias culturales innovadoras en los municipios de Sesquilé, Tena y Guatavita donde se pretende mejorar la capacidad cultural pública y privada mediante la formulación de proyectos que permitan el desarrollo de la productividad y sostenibilidad del sector cultural con el objetivo de fortalecer y consolidar el tejido empresarial en el Departamento.
</v>
      </c>
      <c r="AK264" s="11">
        <f ca="1">VLOOKUP(K264,'1220 IDECUT'!$K$13:$AK$48,27,0)</f>
        <v>0</v>
      </c>
      <c r="AL264" s="11">
        <v>2</v>
      </c>
      <c r="AM264" s="11">
        <v>0</v>
      </c>
      <c r="AN264" s="11">
        <v>3</v>
      </c>
      <c r="AO264" s="11">
        <v>0</v>
      </c>
      <c r="AP264" s="11">
        <v>0</v>
      </c>
      <c r="AQ264" s="11">
        <v>0</v>
      </c>
      <c r="AR264" s="52"/>
      <c r="AS264" s="54">
        <v>0</v>
      </c>
      <c r="AT264" s="54">
        <f t="shared" si="361"/>
        <v>0</v>
      </c>
      <c r="AU264" s="52"/>
      <c r="AV264" s="89">
        <v>60000000</v>
      </c>
      <c r="AW264" s="89"/>
      <c r="AX264" s="89"/>
      <c r="AY264" s="89">
        <v>23200000</v>
      </c>
      <c r="AZ264" s="44">
        <f t="shared" ca="1" si="422"/>
        <v>0</v>
      </c>
      <c r="BA264" s="44">
        <v>0</v>
      </c>
      <c r="BB264" s="44" t="s">
        <v>115</v>
      </c>
      <c r="BC264" s="44">
        <f t="shared" si="423"/>
        <v>0.16666666666666666</v>
      </c>
      <c r="BD264" s="44" cm="1">
        <f t="array" aca="1" ref="BD264" ca="1">_xlfn.IFS(AD264=0,"NA",AD264&gt;0,AH264/AD264)</f>
        <v>0</v>
      </c>
      <c r="BE264" s="44">
        <f t="shared" si="424"/>
        <v>0.33333333333333331</v>
      </c>
      <c r="BF264" s="44">
        <v>0</v>
      </c>
      <c r="BG264" s="44">
        <f t="shared" si="425"/>
        <v>0.5</v>
      </c>
      <c r="BH264" s="44">
        <v>0</v>
      </c>
      <c r="BI264" s="44">
        <f t="shared" si="426"/>
        <v>0</v>
      </c>
      <c r="BJ264" s="44" t="s">
        <v>115</v>
      </c>
      <c r="BK264" s="44">
        <f t="shared" ca="1" si="362"/>
        <v>0</v>
      </c>
      <c r="BL264" s="44" t="s">
        <v>115</v>
      </c>
      <c r="BM264" s="44" cm="1">
        <f t="array" aca="1" ref="BM264" ca="1">_xlfn.IFS(BD264="NA","NA",BD264&gt;100%,"100%",BD264&lt;100,BD264)</f>
        <v>0</v>
      </c>
      <c r="BN264" s="44" cm="1">
        <f t="array" ref="BN264">_xlfn.IFS(BF264="NA","NA",BF264&gt;100%,"100%",BF264&lt;100,BF264)</f>
        <v>0</v>
      </c>
      <c r="BO264" s="44" cm="1">
        <f t="array" ref="BO264">_xlfn.IFS(BH264="NA","NA",BH264&gt;100%,"100%",BH264&lt;100,BH264)</f>
        <v>0</v>
      </c>
      <c r="BP264" s="44" t="str" cm="1">
        <f t="array" ref="BP264">_xlfn.IFS(BJ264="NA","NA",BJ264&gt;100%,"100%",BJ264&lt;100,BJ264)</f>
        <v>NA</v>
      </c>
      <c r="BQ264" s="45">
        <v>0.22500000000000001</v>
      </c>
      <c r="BR264" s="45">
        <f t="shared" ca="1" si="372"/>
        <v>0</v>
      </c>
      <c r="BS264" s="45">
        <v>0</v>
      </c>
      <c r="BT264" s="45" t="s">
        <v>115</v>
      </c>
      <c r="BU264" s="45">
        <v>0</v>
      </c>
      <c r="BV264" s="45">
        <f t="shared" si="427"/>
        <v>3.7499999999999999E-2</v>
      </c>
      <c r="BW264" s="45">
        <f t="shared" ca="1" si="392"/>
        <v>0</v>
      </c>
      <c r="BX264" s="45">
        <f t="shared" ca="1" si="393"/>
        <v>0</v>
      </c>
      <c r="BY264" s="45">
        <f t="shared" si="428"/>
        <v>7.4999999999999997E-2</v>
      </c>
      <c r="BZ264" s="45">
        <f t="shared" si="429"/>
        <v>0</v>
      </c>
      <c r="CA264" s="45">
        <f t="shared" ca="1" si="373"/>
        <v>0</v>
      </c>
      <c r="CB264" s="45">
        <f t="shared" si="430"/>
        <v>0.1125</v>
      </c>
      <c r="CC264" s="45">
        <f t="shared" si="431"/>
        <v>0</v>
      </c>
      <c r="CD264" s="45">
        <v>0</v>
      </c>
      <c r="CE264" s="45">
        <f t="shared" si="432"/>
        <v>0</v>
      </c>
      <c r="CF264" s="45" t="str">
        <f t="shared" si="433"/>
        <v>NA</v>
      </c>
      <c r="CG264" s="45">
        <v>0</v>
      </c>
      <c r="CH264" s="244"/>
      <c r="CI264" s="244"/>
      <c r="CJ264" s="244"/>
      <c r="CK264" s="244"/>
      <c r="CM264" s="63">
        <v>0</v>
      </c>
    </row>
    <row r="265" spans="1:261" ht="18" hidden="1" customHeight="1">
      <c r="A265" s="260" t="s">
        <v>221</v>
      </c>
      <c r="B265" s="260" t="s">
        <v>222</v>
      </c>
      <c r="C265" s="260" t="s">
        <v>1286</v>
      </c>
      <c r="D265" s="260" t="s">
        <v>1657</v>
      </c>
      <c r="E265" s="260" t="s">
        <v>1751</v>
      </c>
      <c r="F265" s="260" t="s">
        <v>1752</v>
      </c>
      <c r="G265" s="260" t="s">
        <v>1753</v>
      </c>
      <c r="H265" s="260" t="s">
        <v>1775</v>
      </c>
      <c r="I265" s="260"/>
      <c r="J265" s="260"/>
      <c r="K265" s="260" t="s">
        <v>1776</v>
      </c>
      <c r="L265" s="260" t="s">
        <v>1777</v>
      </c>
      <c r="M265" s="260" t="s">
        <v>1778</v>
      </c>
      <c r="N265" s="260" t="s">
        <v>111</v>
      </c>
      <c r="O265" s="260" t="s">
        <v>112</v>
      </c>
      <c r="P265" s="10">
        <v>0</v>
      </c>
      <c r="Q265" s="11">
        <v>10</v>
      </c>
      <c r="R265" s="11">
        <f t="shared" ca="1" si="420"/>
        <v>10</v>
      </c>
      <c r="S265" s="11" t="str">
        <f ca="1">VLOOKUP(K265,'1220 IDECUT'!$K$13:$AK$48,9,0)</f>
        <v>Durante el 2020 se realizó la implementación de estrategia que ayudó a contrarrestar el impacto social y económico de los artesanos de Cundinamarca a través de marketing, promoción y comercialización; emprendimiento social y productivo e incentivos económicos, impulsando principalmente la línea artesanal de cestería.  durante el año 2021. Se impulsaron las  9 lineas artesanales de Cesteria, Tejeduría, Cerámica, Trabajo en madera, Joyería, Alfarería, Orfebrería, Totumo, Trabajo en cuero, Marroquinería beneficiando a 350 Artesanos del departamento  de Cundinamarca en 33 Municipios (Cucunubá, La peña;Tena, Tausa;Sutatausa, Guaduas, Fúquene, Tena, Granada,Soacha ; Anapoima; Fomeque; Choachi, Nemocon ; Gachancipa; La calera, Chocontá; Chía, Cota, Mosquera, Facatativá, Cajicá, La Calera, La Mesa, Tocaima, El colegio,  Sopó;
Cogua,, Tenjo,  Gacheta, Guasca, Junín, Cachipay y Zipaquirá.) con Fortalecimiento artesanal,módulos de producción, diseño y comercialización</v>
      </c>
      <c r="T265" s="11">
        <v>1</v>
      </c>
      <c r="U265" s="11">
        <v>0</v>
      </c>
      <c r="V265" s="11">
        <v>1</v>
      </c>
      <c r="W265" s="11">
        <v>0</v>
      </c>
      <c r="X265" s="11">
        <v>1</v>
      </c>
      <c r="Y265" s="11">
        <v>0</v>
      </c>
      <c r="Z265" s="11">
        <v>1</v>
      </c>
      <c r="AA265" s="11" t="s">
        <v>1779</v>
      </c>
      <c r="AB265" s="11" t="s">
        <v>1780</v>
      </c>
      <c r="AC265" s="11" t="s">
        <v>1781</v>
      </c>
      <c r="AD265" s="11">
        <v>3</v>
      </c>
      <c r="AE265" s="11">
        <v>0</v>
      </c>
      <c r="AF265" s="11">
        <f ca="1">VLOOKUP(K265,'1220 IDECUT'!$K$13:$AK$48,22,0)</f>
        <v>9</v>
      </c>
      <c r="AG265" s="11">
        <f ca="1">VLOOKUP(K265,'1220 IDECUT'!$K$13:$AK$48,23,0)</f>
        <v>0</v>
      </c>
      <c r="AH265" s="11">
        <f t="shared" ca="1" si="421"/>
        <v>9</v>
      </c>
      <c r="AI265" s="11" t="str">
        <f ca="1">VLOOKUP(K265,'1220 IDECUT'!$K$13:$AK$48,25,0)</f>
        <v>Apoyo al sector artesanal con adquisicon de productos</v>
      </c>
      <c r="AJ265" s="11" t="str">
        <f ca="1">VLOOKUP(K265,'1220 IDECUT'!$K$13:$AK$48,26,0)</f>
        <v>Se impulsaron las  9 lineas artesanales de Cesteria, Tejeduría, Cerámica, Trabajo en madera, Joyería, Alfarería, Orfebrería, Totumo, Trabajo en cuero, Marroquinería beneficiando a 350 Artesanos del departamento  de Cundinamarca en 33 Municipios (Cucunubá, La peña;Tena, Tausa;Sutatausa, Guaduas, Fúquene, Tena, Granada,Soacha ; Anapoima; Fomeque; Choachi, Nemocon ; Gachancipa; La calera, Chocontá; Chía, Cota, Mosquera, Facatativá, Cajicá, La Calera, La Mesa, Tocaima, El colegio,  Sopó;
Cogua,, Tenjo,  Gacheta, Guasca, Junín, Cachipay y Zipaquirá.) con Fortalecimiento artesanal,módulos de producción, diseño y comercialización</v>
      </c>
      <c r="AK265" s="11">
        <f ca="1">VLOOKUP(K265,'1220 IDECUT'!$K$13:$AK$48,27,0)</f>
        <v>0</v>
      </c>
      <c r="AL265" s="11">
        <v>3</v>
      </c>
      <c r="AM265" s="11">
        <v>0</v>
      </c>
      <c r="AN265" s="11">
        <v>3</v>
      </c>
      <c r="AO265" s="11">
        <v>0</v>
      </c>
      <c r="AP265" s="11">
        <v>0</v>
      </c>
      <c r="AQ265" s="11">
        <v>0</v>
      </c>
      <c r="AR265" s="51">
        <v>54000000</v>
      </c>
      <c r="AS265" s="54">
        <v>0</v>
      </c>
      <c r="AT265" s="54">
        <f t="shared" si="361"/>
        <v>54000000</v>
      </c>
      <c r="AU265" s="51">
        <v>54000000</v>
      </c>
      <c r="AV265" s="89">
        <v>354300000</v>
      </c>
      <c r="AW265" s="89"/>
      <c r="AX265" s="89"/>
      <c r="AY265" s="89">
        <v>349448672</v>
      </c>
      <c r="AZ265" s="44">
        <f t="shared" ca="1" si="422"/>
        <v>1</v>
      </c>
      <c r="BA265" s="44">
        <v>0.1</v>
      </c>
      <c r="BB265" s="44">
        <v>1</v>
      </c>
      <c r="BC265" s="44">
        <f t="shared" si="423"/>
        <v>0.3</v>
      </c>
      <c r="BD265" s="44" cm="1">
        <f t="array" aca="1" ref="BD265" ca="1">_xlfn.IFS(AD265=0,"NA",AD265&gt;0,AH265/AD265)</f>
        <v>3</v>
      </c>
      <c r="BE265" s="44">
        <f t="shared" si="424"/>
        <v>0.3</v>
      </c>
      <c r="BF265" s="44">
        <v>0</v>
      </c>
      <c r="BG265" s="44">
        <f t="shared" si="425"/>
        <v>0.3</v>
      </c>
      <c r="BH265" s="44">
        <v>0</v>
      </c>
      <c r="BI265" s="44">
        <f t="shared" si="426"/>
        <v>0</v>
      </c>
      <c r="BJ265" s="44" t="s">
        <v>115</v>
      </c>
      <c r="BK265" s="44">
        <f t="shared" ca="1" si="362"/>
        <v>1</v>
      </c>
      <c r="BL265" s="44">
        <v>1</v>
      </c>
      <c r="BM265" s="44" t="str" cm="1">
        <f t="array" aca="1" ref="BM265" ca="1">_xlfn.IFS(BD265="NA","NA",BD265&gt;100%,"100%",BD265&lt;100,BD265)</f>
        <v>100%</v>
      </c>
      <c r="BN265" s="44" cm="1">
        <f t="array" ref="BN265">_xlfn.IFS(BF265="NA","NA",BF265&gt;100%,"100%",BF265&lt;100,BF265)</f>
        <v>0</v>
      </c>
      <c r="BO265" s="44" cm="1">
        <f t="array" ref="BO265">_xlfn.IFS(BH265="NA","NA",BH265&gt;100%,"100%",BH265&lt;100,BH265)</f>
        <v>0</v>
      </c>
      <c r="BP265" s="44" t="str" cm="1">
        <f t="array" ref="BP265">_xlfn.IFS(BJ265="NA","NA",BJ265&gt;100%,"100%",BJ265&lt;100,BJ265)</f>
        <v>NA</v>
      </c>
      <c r="BQ265" s="45">
        <v>0.22500000000000001</v>
      </c>
      <c r="BR265" s="45">
        <f t="shared" ca="1" si="372"/>
        <v>0.22500000000000001</v>
      </c>
      <c r="BS265" s="45">
        <v>2.2499999999999999E-2</v>
      </c>
      <c r="BT265" s="45">
        <v>2.2499999999999999E-2</v>
      </c>
      <c r="BU265" s="45">
        <v>2.2499999999999999E-2</v>
      </c>
      <c r="BV265" s="45">
        <f t="shared" si="427"/>
        <v>6.7500000000000004E-2</v>
      </c>
      <c r="BW265" s="45">
        <f t="shared" ca="1" si="392"/>
        <v>6.7500000000000004E-2</v>
      </c>
      <c r="BX265" s="45">
        <f t="shared" ca="1" si="393"/>
        <v>0.20250000000000001</v>
      </c>
      <c r="BY265" s="45">
        <f t="shared" si="428"/>
        <v>6.7500000000000004E-2</v>
      </c>
      <c r="BZ265" s="45">
        <f t="shared" si="429"/>
        <v>0</v>
      </c>
      <c r="CA265" s="45">
        <f t="shared" ca="1" si="373"/>
        <v>0</v>
      </c>
      <c r="CB265" s="45">
        <f t="shared" si="430"/>
        <v>6.7500000000000004E-2</v>
      </c>
      <c r="CC265" s="45">
        <f t="shared" si="431"/>
        <v>0</v>
      </c>
      <c r="CD265" s="45">
        <v>0</v>
      </c>
      <c r="CE265" s="45">
        <f t="shared" si="432"/>
        <v>0</v>
      </c>
      <c r="CF265" s="45" t="str">
        <f t="shared" si="433"/>
        <v>NA</v>
      </c>
      <c r="CG265" s="45">
        <v>0</v>
      </c>
      <c r="CH265" s="244"/>
      <c r="CI265" s="244"/>
      <c r="CJ265" s="244"/>
      <c r="CK265" s="244"/>
      <c r="CM265" s="63">
        <v>9</v>
      </c>
    </row>
    <row r="266" spans="1:261" ht="18" hidden="1" customHeight="1">
      <c r="A266" s="260" t="s">
        <v>1302</v>
      </c>
      <c r="B266" s="260" t="s">
        <v>1303</v>
      </c>
      <c r="C266" s="260" t="s">
        <v>1286</v>
      </c>
      <c r="D266" s="260" t="s">
        <v>1657</v>
      </c>
      <c r="E266" s="260" t="s">
        <v>1751</v>
      </c>
      <c r="F266" s="260" t="s">
        <v>1752</v>
      </c>
      <c r="G266" s="260" t="s">
        <v>1753</v>
      </c>
      <c r="H266" s="260" t="s">
        <v>1782</v>
      </c>
      <c r="I266" s="260"/>
      <c r="J266" s="260"/>
      <c r="K266" s="260" t="s">
        <v>1783</v>
      </c>
      <c r="L266" s="260" t="s">
        <v>1784</v>
      </c>
      <c r="M266" s="260" t="s">
        <v>1785</v>
      </c>
      <c r="N266" s="260" t="s">
        <v>111</v>
      </c>
      <c r="O266" s="260" t="s">
        <v>112</v>
      </c>
      <c r="P266" s="10">
        <v>280</v>
      </c>
      <c r="Q266" s="11">
        <v>280</v>
      </c>
      <c r="R266" s="11">
        <f t="shared" si="420"/>
        <v>136</v>
      </c>
      <c r="S266" s="11" t="str">
        <f>VLOOKUP(K266,'1124 Agricultura'!$K$13:$AK$25,9,0)</f>
        <v>Se han realizado en total 136 eventos así: 26 eventos en la vigencia 2020 ayudando a la reactivación económica de los productores cundinamarqueses a mejorar los ingresos en el productor por la eliminación de intermediarios, se promovió la organización social y la asociatividad y se contribuyó a la Seguridad Alimentaria: Mercaton (792 -24 municipios) – 8 Mercados Campesinos–  11 Ferias Ganaderas y 6 Ferias Pesqueras. Así mismo para la vigencia 2021 se han apoyado 110 eventos: 15 eventos de ferias ganaderas, 18 eventos de mercados campesinos con dotación de elementos, 2 eventos e iniciativas empresariales que fomentan la asociatividad como preámbulo al apoyo en la comercialización de productos generados por asociaciones  - 4 ruedas de negocios , 1 circuito corto de comercialización, 53 mercados campesinos en 18 localidades de Bogotá, 15 mercados campesinos a través de la Agrovitrina, Agroexpo sealizado del 22 de octubre al 1 de noviembre en corferias y Expolana que se realizón en el municipio de Cucunubá</v>
      </c>
      <c r="T266" s="11">
        <v>4</v>
      </c>
      <c r="U266" s="11">
        <v>0</v>
      </c>
      <c r="V266" s="11">
        <v>26</v>
      </c>
      <c r="W266" s="11">
        <v>0</v>
      </c>
      <c r="X266" s="11">
        <v>26</v>
      </c>
      <c r="Y266" s="11">
        <v>0</v>
      </c>
      <c r="Z266" s="11">
        <v>26</v>
      </c>
      <c r="AA266" s="11" t="s">
        <v>1786</v>
      </c>
      <c r="AB266" s="11" t="s">
        <v>1787</v>
      </c>
      <c r="AC266" s="11">
        <v>0</v>
      </c>
      <c r="AD266" s="11">
        <v>110</v>
      </c>
      <c r="AE266" s="11">
        <v>0</v>
      </c>
      <c r="AF266" s="11">
        <f>VLOOKUP(K266,'1124 Agricultura'!$K$13:$AK$25,22,0)</f>
        <v>110</v>
      </c>
      <c r="AG266" s="11">
        <f>VLOOKUP(K266,'1124 Agricultura'!$K$13:$AK$25,23,0)</f>
        <v>0</v>
      </c>
      <c r="AH266" s="11">
        <f t="shared" si="421"/>
        <v>110</v>
      </c>
      <c r="AI266" s="11" t="str">
        <f>VLOOKUP(K266,'1124 Agricultura'!$K$13:$AK$25,25,0)</f>
        <v>Apoyo a eventos agropecuarios</v>
      </c>
      <c r="AJ266" s="11" t="str">
        <f>VLOOKUP(K266,'1124 Agricultura'!$K$13:$AK$25,26,0)</f>
        <v xml:space="preserve">Para el cumplimiento de la meta se están realizando 2 procesos:
• Proceso para entrega de implementos y dotación para mercados campesinos beneficiando a 18 municipios con una inversión de $ 393.016.720 y ferias ganaderas beneficiando a 15 municipios con una inversión de $ 168.510.915: Total Eventos realizados 33.
• Proceso de Servicios Logísticos contrato que se firmó el 25 de Junio con la Inmobiliaria de Cundinamarca para realización de mercados campesinos, ruedas de negocios, agro vitrinas  y circuitos cortos de comercialización como apoyo a la reactivación económica del sector: 
2 eventos e iniciativas empresariales que fomentan la asociatividad como preámbulo al apoyo en la comercialización de productos generados por asociaciones a través de:
* Capacitación en Medina en temas organizacionales, administrativos  y psicosociales beneficiando a 15 productores del sector agropecuario.
* Capacitación en Gobernanza efectiva en las asociaciones agropecuarias de Cundinamarca apoyando a asociaciones de 36 municipios del departamento Sasaima, Ubaté, El Rosal, Caparrapí, Chipaque, Villeta, Chocontá, Pacho, Nimaima, Bituima, San Juan de Rio seco, mesitas del colegio, la mesa, Gutiérrez, Arbeláez, Madrid, Facatativá, Cabrera, Soacha, Fusagasugá, Supatá, Utica, Chaguaní, Chía, Silvania, Guasca, Zipaquirá, Venecia, Arbeláez, Cota, Carmen de Carupa, la Palma, Tocaima, Cáqueza y Subachoque de manera virtual beneficiando a 59 productores y en Fómeque la capacitación fue presencial beneficiando a 25 productores
Ruedas de negocio: Total eventos 4
•	A través de la Estrategia de Compras Públicas de Alimentos del Distrito Capital actividad desarrollada en articulación entre la SDDE, la SDIS y la Gobernación de Cundinamarca, Este evento estuvo dirigido a operadores de los programas alimentarios de la SDIS, principalmente de Comedores Comunitarios y CI. Alliance como operador de canasta. Como producto de esta jornada se generaron acuerdos de negociación cuyo valor se estima en más de 100 Millones de pesos mensuales, comercializando productos como: frutas, verduras, hortalizas, tubérculos, lácteos, panela, frijol, arroz, entre otros beneficiando a 18 organizaciones. 
•	El 9 de septiembre desde el Centro de Innovación y Desarrollo – CID  en el municipio de Funza se desarrolló otra rueda de negocios en homenaje  al día internacional de la agricultura con el objetivo de brindar a los pequeños productores la oferta de  sus productos sin intermediación y que sus ventas sean directamente al consumidor final.
•	El 17 de septiembre se realizó rueda de negocios en el municipio de la Mesa en el Polideportivo Luis Carlos Galán Sarmiento  ofertando productos como aguacate, mango, plátano, banano, cítricos entre otros también como una oportunidad de acercar a los demandantes a productos típicos de la región y a precios justos.
•	El 23 de noviembre en la plaza de artesanos se realizó rueda de negocios con la Secretaria de Desarrollo Económico como fortalecimiento en mercados de proximidad y circuitos de comercialización a las familias participantes de ZODAS convenio con la RAPE
Circuitos Cortos 1 evento
•	Como  ayuda a todo el proceso de reactivación económica el 10 de septiembre de 2021 en la Central de Abastos del Municipio de Villeta se realizó circuitos cortos de comercialización en productos  como espárragos, mix de berrys, zarzamora, frambuesas rojas y amarillas europeas, uvilla, arándanos, quesos gourmet, semillas de chía y finas hierbas, orellanas, yogurt griego de frambuesa y otros como una muestra de productos poco convencionales pero que han venido ganando territorio en el departamento de Cundinamarca y como apuesta al rescate de nuestros productores agropecuarios.
Mercados Campesinos: Se apoyó la realización de 53 eventos de mercados campesinos como ayuda a la comercialización sin intermediarios que se llevó acabo en 18 localidades de Bogotá
Agro vitrina: Se han apoyado 15 eventos de mercado campesinos a través de la Agro vitrina
Agroexpo realizado en Corferias del 22 de octubre al 1 de noviembre
Expolana realizado en el municipio de Cucunubá
</v>
      </c>
      <c r="AK266" s="11">
        <f>VLOOKUP(K266,'1124 Agricultura'!$K$13:$AK$25,27,0)</f>
        <v>0</v>
      </c>
      <c r="AL266" s="11">
        <v>75</v>
      </c>
      <c r="AM266" s="11">
        <v>0</v>
      </c>
      <c r="AN266" s="11">
        <v>69</v>
      </c>
      <c r="AO266" s="11">
        <v>0</v>
      </c>
      <c r="AP266" s="11">
        <v>0</v>
      </c>
      <c r="AQ266" s="11">
        <v>0</v>
      </c>
      <c r="AR266" s="51">
        <v>249999776</v>
      </c>
      <c r="AS266" s="54">
        <v>0</v>
      </c>
      <c r="AT266" s="54">
        <f t="shared" si="361"/>
        <v>249999776</v>
      </c>
      <c r="AU266" s="51">
        <v>249999776</v>
      </c>
      <c r="AV266" s="243">
        <v>1676546353</v>
      </c>
      <c r="AW266" s="244"/>
      <c r="AX266" s="244"/>
      <c r="AY266" s="243">
        <v>1236525927</v>
      </c>
      <c r="AZ266" s="44">
        <f t="shared" si="422"/>
        <v>0.48571428571428571</v>
      </c>
      <c r="BA266" s="44">
        <v>9.2899999999999996E-2</v>
      </c>
      <c r="BB266" s="44">
        <v>1</v>
      </c>
      <c r="BC266" s="44">
        <f t="shared" si="423"/>
        <v>0.39285714285714285</v>
      </c>
      <c r="BD266" s="44" cm="1">
        <f t="array" ref="BD266">_xlfn.IFS(AD266=0,"NA",AD266&gt;0,AH266/AD266)</f>
        <v>1</v>
      </c>
      <c r="BE266" s="44">
        <f t="shared" si="424"/>
        <v>0.26785714285714285</v>
      </c>
      <c r="BF266" s="44">
        <v>0</v>
      </c>
      <c r="BG266" s="44">
        <f t="shared" si="425"/>
        <v>0.24642857142857144</v>
      </c>
      <c r="BH266" s="44">
        <v>0</v>
      </c>
      <c r="BI266" s="44">
        <f t="shared" si="426"/>
        <v>0</v>
      </c>
      <c r="BJ266" s="44" t="s">
        <v>115</v>
      </c>
      <c r="BK266" s="44">
        <f t="shared" si="362"/>
        <v>0.48571428571428571</v>
      </c>
      <c r="BL266" s="44">
        <v>1</v>
      </c>
      <c r="BM266" s="44" cm="1">
        <f t="array" ref="BM266">_xlfn.IFS(BD266="NA","NA",BD266&gt;100%,"100%",BD266&lt;100,BD266)</f>
        <v>1</v>
      </c>
      <c r="BN266" s="44" cm="1">
        <f t="array" ref="BN266">_xlfn.IFS(BF266="NA","NA",BF266&gt;100%,"100%",BF266&lt;100,BF266)</f>
        <v>0</v>
      </c>
      <c r="BO266" s="44" cm="1">
        <f t="array" ref="BO266">_xlfn.IFS(BH266="NA","NA",BH266&gt;100%,"100%",BH266&lt;100,BH266)</f>
        <v>0</v>
      </c>
      <c r="BP266" s="44" t="str" cm="1">
        <f t="array" ref="BP266">_xlfn.IFS(BJ266="NA","NA",BJ266&gt;100%,"100%",BJ266&lt;100,BJ266)</f>
        <v>NA</v>
      </c>
      <c r="BQ266" s="45">
        <v>0.22500000000000001</v>
      </c>
      <c r="BR266" s="45">
        <f t="shared" si="372"/>
        <v>0.10928571428571429</v>
      </c>
      <c r="BS266" s="45">
        <v>2.0899999999999998E-2</v>
      </c>
      <c r="BT266" s="45">
        <v>2.0899999999999998E-2</v>
      </c>
      <c r="BU266" s="45">
        <v>2.0899999999999998E-2</v>
      </c>
      <c r="BV266" s="45">
        <f t="shared" si="427"/>
        <v>8.8392857142857148E-2</v>
      </c>
      <c r="BW266" s="45">
        <f t="shared" si="392"/>
        <v>8.8392857142857148E-2</v>
      </c>
      <c r="BX266" s="45">
        <f t="shared" si="393"/>
        <v>8.838571428571429E-2</v>
      </c>
      <c r="BY266" s="45">
        <f t="shared" si="428"/>
        <v>6.0267857142857144E-2</v>
      </c>
      <c r="BZ266" s="45">
        <f t="shared" si="429"/>
        <v>0</v>
      </c>
      <c r="CA266" s="45">
        <f t="shared" si="373"/>
        <v>0</v>
      </c>
      <c r="CB266" s="45">
        <f t="shared" si="430"/>
        <v>5.544642857142857E-2</v>
      </c>
      <c r="CC266" s="45">
        <f t="shared" si="431"/>
        <v>0</v>
      </c>
      <c r="CD266" s="45">
        <v>0</v>
      </c>
      <c r="CE266" s="45">
        <f t="shared" si="432"/>
        <v>0</v>
      </c>
      <c r="CF266" s="45" t="str">
        <f t="shared" si="433"/>
        <v>NA</v>
      </c>
      <c r="CG266" s="45">
        <v>0</v>
      </c>
      <c r="CH266" s="244"/>
      <c r="CI266" s="244"/>
      <c r="CJ266" s="244"/>
      <c r="CK266" s="244"/>
      <c r="CM266" s="63">
        <v>81</v>
      </c>
    </row>
    <row r="267" spans="1:261" ht="18" hidden="1" customHeight="1">
      <c r="A267" s="260" t="s">
        <v>1739</v>
      </c>
      <c r="B267" s="260" t="s">
        <v>1740</v>
      </c>
      <c r="C267" s="260" t="s">
        <v>1286</v>
      </c>
      <c r="D267" s="260" t="s">
        <v>1657</v>
      </c>
      <c r="E267" s="260" t="s">
        <v>1751</v>
      </c>
      <c r="F267" s="260" t="s">
        <v>1752</v>
      </c>
      <c r="G267" s="260" t="s">
        <v>1753</v>
      </c>
      <c r="H267" s="260" t="s">
        <v>1788</v>
      </c>
      <c r="I267" s="260"/>
      <c r="J267" s="260"/>
      <c r="K267" s="260" t="s">
        <v>1789</v>
      </c>
      <c r="L267" s="260" t="s">
        <v>1790</v>
      </c>
      <c r="M267" s="260" t="s">
        <v>1791</v>
      </c>
      <c r="N267" s="260" t="s">
        <v>111</v>
      </c>
      <c r="O267" s="260" t="s">
        <v>112</v>
      </c>
      <c r="P267" s="10">
        <v>0</v>
      </c>
      <c r="Q267" s="11">
        <v>1</v>
      </c>
      <c r="R267" s="11">
        <f t="shared" si="420"/>
        <v>0.38</v>
      </c>
      <c r="S267" s="11" t="str">
        <f>VLOOKUP(K267,'1135 Asuntos Int.'!$K$13:$AK$16,9,0)</f>
        <v xml:space="preserve">Se logró para la vigencia 2020,  la construcción de la Estrategia de Internacionalización del departamento de Cundinamarca a partir de la identificación de dos ejes estratégicos; Promoción del comercio internacional y promoción y consolidación de la inversión extranjera directa. Apoyo y Acompañamiento 63 empresas de Cundinamarca que cuenta con potencial exportador a partir de dos convenios;   Amcham para la promoción de los productos de Cundinamarca en el mercado de Estados Unidos,  se obtuvieron recursos no incorporados por valor de $16.140.000 y un segundo convenio con Pro Colombia en el que realizamos un diagnóstico empresarial para identificar el potencial de las empresas y, apoyo a las empresas del departamento en su plan exportador con el fin de promocionar los productos del territorio en el mercado internacional, se obtuvieron recursos no incorporados por valor de $71.775.000.
Para la vigencia 2021, se realizó socialización e implementación de la estrategia de internacionalización. Partiendo del eje de comercio internacional, con  un total de 199 participantes del sector empresarial de Cundinamarca, entre los que se encuentran representantes de entidades del orden nacional, alcaldes, Secretarios de Desarrollo Económico, Cámaras de Comercio, Cámaras binacionales, entidades académicas, gremios, empresas y asociaciones productivas.
La implementación se ha desarrollado a través de dos grandes estrategias: La intervención empresarial uno a uno, consistente en el acompañamiento a cada una de las empresas y asociaciones con potencial exportador, a través de actividades de asesoría en internacionalización, Diagnósticos a 76 empresas,  inteligencia de mercados, vinculación a actividades de fortalecimiento y promoción en el mercado internacional (a través de convenios y acompañamiento para la postulación a oportunidades del orden nacional e internacional), entre otros. Actualmente, 109 empresas y asociaciones del departamento cuentan con un asesor encargado de su acompañamiento uno a uno. Y la intervención a aglomeraciones productivas priorizadas de acuerdo a la identificación y caracterización de la oferta exportable del departamento, que se compone de aproximadamente treinta (30) productos del sector de agro alimentos, incluyendo subsectores como: frutas exóticas y tropicales, hortalizas y tubérculos, lácteos, pescados, especias, aromáticas y alimentos procesados. 
La Secretaría de Asuntos Internacionales, en alianza con entidades estratégicas como; (Innpulsa, Amcham, Min comercio, Industria y comercio, ICA) desarrolló cinco (5) webinars y eventos en materia de fortalecimiento empresarial y/o asociativo de acuerdo a las tendencias comerciales que exigen fortalecimiento para acceder a nuevos mercados y adelantar procesos de internacionalización.(1.540 participantes)
Se han logrado otras alianzas estratégicas mediante 3 convenios, el primero con  Euro Cámaras: promoción del tejido empresarial del Departamento en el mercado europeo, se logra realizar servicios de asistencia técnica a 10 empresas de Cundinamarca, se obtuvieron recursos no incorporados por valor de $48.000.000
Convenio con Analdex, en el que se busca desarrollar un programa de formación empresarial a 49 empresas y el diseño de un plan exportador a 11 empresas del departamento. Se obtuvieron recursos no incorporados por valor de $ 18.595.986.
Convenio con ICONTEC en el que se busca que 27 empresas participen en el Curso “Sistema HACCP para la industria de alimentos, 15 empresas para pre auditorias en estándares de calidad para exportar y 5 empresas de Cundinamarca en auditorias para la certificación en estándares de calidad para exportar. Se obtuvieron recursos no incorporados por valor de $ 42.857.142.
En lo transcurrido del cuatrienio la SAI, ha logrado gestionar recursos por valor de $197.368.128, logrando fortalecer  a más de 180 empresas de diferentes Municipios del Cundinamarca.
</v>
      </c>
      <c r="T267" s="11">
        <v>0.1</v>
      </c>
      <c r="U267" s="11">
        <v>0</v>
      </c>
      <c r="V267" s="11">
        <v>0.1</v>
      </c>
      <c r="W267" s="11">
        <v>0</v>
      </c>
      <c r="X267" s="11">
        <v>0.1</v>
      </c>
      <c r="Y267" s="11">
        <v>0</v>
      </c>
      <c r="Z267" s="11">
        <v>0.1</v>
      </c>
      <c r="AA267" s="11" t="s">
        <v>1792</v>
      </c>
      <c r="AB267" s="11" t="s">
        <v>1793</v>
      </c>
      <c r="AC267" s="11">
        <v>0</v>
      </c>
      <c r="AD267" s="11">
        <v>0.35</v>
      </c>
      <c r="AE267" s="11">
        <v>0</v>
      </c>
      <c r="AF267" s="11">
        <f>VLOOKUP(K267,'1135 Asuntos Int.'!$K$13:$AK$16,22,0)</f>
        <v>0.28000000000000003</v>
      </c>
      <c r="AG267" s="11">
        <f>VLOOKUP(K267,'1135 Asuntos Int.'!$K$13:$AK$16,23,0)</f>
        <v>0</v>
      </c>
      <c r="AH267" s="11">
        <f t="shared" si="421"/>
        <v>0.28000000000000003</v>
      </c>
      <c r="AI267" s="11" t="str">
        <f>VLOOKUP(K267,'1135 Asuntos Int.'!$K$13:$AK$16,25,0)</f>
        <v xml:space="preserve">Diagnostico empresarial (Pro Colombia).
Cartilla de la estrategia de Internacionalización.
Documentos Oferta exportable de Cundinamarca.
Talleres en Ventanilla única, Plan Vallejo Express e  Innpulsa.
Ficha país.
Estrategia de atracción.
Diagnostico empresarial SAI.
Convenio Euro Cámaras
</v>
      </c>
      <c r="AJ267" s="11" t="str">
        <f>VLOOKUP(K267,'1135 Asuntos Int.'!$K$13:$AK$16,26,0)</f>
        <v xml:space="preserve">Socialización de la Estrategia de Internacionalización con  un total de 199 participantes del sector empresarial de Cundinamarca, entre los que se encuentran representantes de entidades del orden nacional, alcaldes, Secretarios de Desarrollo Económico, Cámaras de Comercio, Cámaras binacionales, entidades académicas, gremios, empresas y asociaciones productivas.
Diagnósticos a 76 empresas del Departamento para acompañarlas en su proceso de internacionalización.
A través la gestión de alianzas estratégicas se establecieron 3 convenios, entre los que se encuentran: Convenio Euro Cámaras: promoción del tejido empresarial del Departamento en el mercado europeo, se logra realizar servicios de asistencia técnica a 10 empresas de Cundinamarca.
Convenio con Analdex, en el que se busca desarrollar un programa de formación empresarial a 49 empresas y el diseño de un plan exportador a 11 empresas del departamento. 
Convenio con ICONTEC en el que se busca que 27 empresas participen en el Curso “Sistema HACCP para la industria de alimentos, 15 empresas para pre auditorias en estándares de calidad para exportar y 5 empresas de Cundinamarca en auditorias para la certificación en estándares de calidad para exportar.
En articulación con Min Comercio, Innpulsa y Amcham  se desarrollaron  cinco (5) webinars y eventos en materia de fortalecimiento empresarial y/o asociativo de acuerdo a las tendencias comerciales que exigen fortalecimiento para acceder a nuevos mercados y adelantar procesos de internacionalización (1.540 empresas participantes)
Talleres y capacitaciones con el apoyo de entidades del orden nacional como lo son Min comercio en temas de Comercializadoras Internacionales y el ICA para los procesos y requisitos de exportación para los productos agrícolas y pecuarios del departamento.
Construcción e Identificación de la oferta exportable de Cundinamarca a partir del estudio y análisis de la producción y comercialización dada la naturaleza del territorio.
Ficha país y ficha producto para los bienes y servicios del Departamento.
Estrategia de atracción “Por qué invertir en Cundinamarca”
</v>
      </c>
      <c r="AK267" s="11">
        <f>VLOOKUP(K267,'1135 Asuntos Int.'!$K$13:$AK$16,27,0)</f>
        <v>0</v>
      </c>
      <c r="AL267" s="11">
        <v>0.35</v>
      </c>
      <c r="AM267" s="11">
        <v>0</v>
      </c>
      <c r="AN267" s="11">
        <v>0.2</v>
      </c>
      <c r="AO267" s="11">
        <v>0</v>
      </c>
      <c r="AP267" s="11">
        <v>0</v>
      </c>
      <c r="AQ267" s="11">
        <v>0</v>
      </c>
      <c r="AR267" s="51">
        <v>153303162</v>
      </c>
      <c r="AS267" s="54">
        <v>0</v>
      </c>
      <c r="AT267" s="54">
        <f t="shared" si="361"/>
        <v>153303162</v>
      </c>
      <c r="AU267" s="51">
        <v>153303000</v>
      </c>
      <c r="AV267" s="243">
        <v>461738760</v>
      </c>
      <c r="AW267" s="244"/>
      <c r="AX267" s="244"/>
      <c r="AY267" s="243">
        <v>447965593</v>
      </c>
      <c r="AZ267" s="44">
        <f t="shared" si="422"/>
        <v>0.38</v>
      </c>
      <c r="BA267" s="44">
        <v>0.1</v>
      </c>
      <c r="BB267" s="44">
        <v>1</v>
      </c>
      <c r="BC267" s="44">
        <f t="shared" si="423"/>
        <v>0.35</v>
      </c>
      <c r="BD267" s="44" cm="1">
        <f t="array" ref="BD267">_xlfn.IFS(AD267=0,"NA",AD267&gt;0,AH267/AD267)</f>
        <v>0.80000000000000016</v>
      </c>
      <c r="BE267" s="44">
        <f t="shared" si="424"/>
        <v>0.35</v>
      </c>
      <c r="BF267" s="44">
        <v>0</v>
      </c>
      <c r="BG267" s="44">
        <f t="shared" si="425"/>
        <v>0.2</v>
      </c>
      <c r="BH267" s="44">
        <v>0</v>
      </c>
      <c r="BI267" s="44">
        <f t="shared" si="426"/>
        <v>0</v>
      </c>
      <c r="BJ267" s="44" t="s">
        <v>115</v>
      </c>
      <c r="BK267" s="44">
        <f t="shared" si="362"/>
        <v>0.38</v>
      </c>
      <c r="BL267" s="44">
        <v>1</v>
      </c>
      <c r="BM267" s="44" cm="1">
        <f t="array" ref="BM267">_xlfn.IFS(BD267="NA","NA",BD267&gt;100%,"100%",BD267&lt;100,BD267)</f>
        <v>0.80000000000000016</v>
      </c>
      <c r="BN267" s="44" cm="1">
        <f t="array" ref="BN267">_xlfn.IFS(BF267="NA","NA",BF267&gt;100%,"100%",BF267&lt;100,BF267)</f>
        <v>0</v>
      </c>
      <c r="BO267" s="44" cm="1">
        <f t="array" ref="BO267">_xlfn.IFS(BH267="NA","NA",BH267&gt;100%,"100%",BH267&lt;100,BH267)</f>
        <v>0</v>
      </c>
      <c r="BP267" s="44" t="str" cm="1">
        <f t="array" ref="BP267">_xlfn.IFS(BJ267="NA","NA",BJ267&gt;100%,"100%",BJ267&lt;100,BJ267)</f>
        <v>NA</v>
      </c>
      <c r="BQ267" s="45">
        <v>0.22500000000000001</v>
      </c>
      <c r="BR267" s="45">
        <f t="shared" si="372"/>
        <v>8.5500000000000007E-2</v>
      </c>
      <c r="BS267" s="45">
        <v>2.2499999999999999E-2</v>
      </c>
      <c r="BT267" s="45">
        <v>2.2499999999999999E-2</v>
      </c>
      <c r="BU267" s="45">
        <v>2.2499999999999999E-2</v>
      </c>
      <c r="BV267" s="45">
        <f t="shared" si="427"/>
        <v>7.8750000000000001E-2</v>
      </c>
      <c r="BW267" s="45">
        <f t="shared" si="392"/>
        <v>6.3000000000000014E-2</v>
      </c>
      <c r="BX267" s="45">
        <f t="shared" si="393"/>
        <v>6.3E-2</v>
      </c>
      <c r="BY267" s="45">
        <f t="shared" si="428"/>
        <v>7.8750000000000001E-2</v>
      </c>
      <c r="BZ267" s="45">
        <f t="shared" si="429"/>
        <v>0</v>
      </c>
      <c r="CA267" s="45">
        <f t="shared" si="373"/>
        <v>0</v>
      </c>
      <c r="CB267" s="45">
        <f t="shared" si="430"/>
        <v>4.5000000000000005E-2</v>
      </c>
      <c r="CC267" s="45">
        <f t="shared" si="431"/>
        <v>0</v>
      </c>
      <c r="CD267" s="45">
        <v>0</v>
      </c>
      <c r="CE267" s="45">
        <f t="shared" si="432"/>
        <v>0</v>
      </c>
      <c r="CF267" s="45" t="str">
        <f t="shared" si="433"/>
        <v>NA</v>
      </c>
      <c r="CG267" s="45">
        <v>0</v>
      </c>
      <c r="CH267" s="244"/>
      <c r="CI267" s="244"/>
      <c r="CJ267" s="244"/>
      <c r="CK267" s="244"/>
      <c r="CM267" s="63">
        <v>0.28000000000000003</v>
      </c>
    </row>
    <row r="268" spans="1:261" ht="18" hidden="1" customHeight="1">
      <c r="A268" s="260" t="s">
        <v>1739</v>
      </c>
      <c r="B268" s="260" t="s">
        <v>1740</v>
      </c>
      <c r="C268" s="260" t="s">
        <v>1286</v>
      </c>
      <c r="D268" s="260" t="s">
        <v>1657</v>
      </c>
      <c r="E268" s="260" t="s">
        <v>1751</v>
      </c>
      <c r="F268" s="260" t="s">
        <v>1752</v>
      </c>
      <c r="G268" s="260" t="s">
        <v>1753</v>
      </c>
      <c r="H268" s="260" t="s">
        <v>1794</v>
      </c>
      <c r="I268" s="260"/>
      <c r="J268" s="260"/>
      <c r="K268" s="260" t="s">
        <v>1795</v>
      </c>
      <c r="L268" s="260" t="s">
        <v>1796</v>
      </c>
      <c r="M268" s="260" t="s">
        <v>1797</v>
      </c>
      <c r="N268" s="260" t="s">
        <v>111</v>
      </c>
      <c r="O268" s="260" t="s">
        <v>124</v>
      </c>
      <c r="P268" s="10">
        <v>2</v>
      </c>
      <c r="Q268" s="11">
        <v>2</v>
      </c>
      <c r="R268" s="11">
        <f>(Z268+AH268)/CL268</f>
        <v>1</v>
      </c>
      <c r="S268" s="11" t="str">
        <f>VLOOKUP(K268,'1135 Asuntos Int.'!$K$13:$AK$16,9,0)</f>
        <v xml:space="preserve">Mediante las dos líneas efectivas de Cooperación a lo largo del cuatrienio se  han establecido 14 alianzas estratégicas con entidades nacionales e internacionales, a través de la gestión de cooperación técnica y financiera, logran generar nuevos espacios y alianzas que contribuyen al desarrollo de diferentes sectores sociales y económicos del Departamento, beneficiando a los 116 municipios y a la población cundinamarquesa. A la fecha y gracias al esfuerzo conjunto con nuestros cooperantes hemos logrado gestionar recursos no incorporados por valor de $2.909.886.410.
.
Se han realizado 30 transferencias de conocimiento que aportan al fortalecimiento las capacidades y competencias del territorio cundinamarqués y diferentes departamentos
</v>
      </c>
      <c r="T268" s="11">
        <v>0</v>
      </c>
      <c r="U268" s="11">
        <v>2</v>
      </c>
      <c r="V268" s="11">
        <v>0</v>
      </c>
      <c r="W268" s="11">
        <v>2</v>
      </c>
      <c r="X268" s="11" t="s">
        <v>115</v>
      </c>
      <c r="Y268" s="11">
        <v>2</v>
      </c>
      <c r="Z268" s="11">
        <v>2</v>
      </c>
      <c r="AA268" s="11">
        <v>0</v>
      </c>
      <c r="AB268" s="11" t="s">
        <v>1798</v>
      </c>
      <c r="AC268" s="11">
        <v>0</v>
      </c>
      <c r="AD268" s="11">
        <v>0</v>
      </c>
      <c r="AE268" s="11">
        <v>2</v>
      </c>
      <c r="AF268" s="11">
        <f>VLOOKUP(K268,'1135 Asuntos Int.'!$K$13:$AK$16,22,0)</f>
        <v>0</v>
      </c>
      <c r="AG268" s="11">
        <f>VLOOKUP(K268,'1135 Asuntos Int.'!$K$13:$AK$16,23,0)</f>
        <v>2</v>
      </c>
      <c r="AH268" s="11">
        <f>AG268</f>
        <v>2</v>
      </c>
      <c r="AI268" s="11" t="str">
        <f>VLOOKUP(K268,'1135 Asuntos Int.'!$K$13:$AK$16,25,0)</f>
        <v>Convenios,proyectos  y transferencias de conocimiento gestionados.</v>
      </c>
      <c r="AJ268" s="11" t="str">
        <f>VLOOKUP(K268,'1135 Asuntos Int.'!$K$13:$AK$16,26,0)</f>
        <v xml:space="preserve">Gestión de cooperación técnica y financiera, se han generado 8 alianzas estratégicas con entidades nacionales e internacionales, que permitirán movilizar recursos técnicos y financieros de cooperación con el fin de aportar al desarrollo Departamento y los Cundinamarqueses: 1. FUNDACIÓN ÉXITO convenio a través del cual se desarrolla el programa GEN CERO que beneficia a 1500 madres gestantes y lactantes y a niños y niñas menores de 12 meses en 15 municipios del Departamento. Así mismo se desarrolló la actividad LACTATON que beneficio a 4000 mujeres, el Valor de la gestión no incorporada, en estas dos actividades es de $1.601.000.000, 2. MEMORANDO DE ENTENDIMIENTO ENTRE LA SAI Y FUNDACIÓN CAROLINA para fortalecimiento de capacidades de los cundinamarqueses, en los sectores que se identifiquen, 3. MEMORANDO DE ENTENDIMIENTO DE COOPERACIÓN ENTRE LA SAI Y  PACT INC. /PROYECTO EQUAL - VAMOS TEJIENDO para beneficiar a mujeres del sector floricultor de los municipios de Facatativá y Funza, 4. Memorando de Entendimiento Gobernación de Cundinamarca y Agencia Turca de Cooperación y Coordinación – TIKA, con el fin de presentar proyectos de impacto territorial. 5. PROYECTO APROBADO POR COOPERANTE INTERNACIONAL TIKA -  COOPERACIÓN FINANCIERA “FORTALECIMIENTO PARA LA TRANSFORMACIÓN DE RESIDUOS PLÁSTICOS EN EL MUNICIPIO DE FUNZA, se entregaron 4 máquinas industrializadas valor de $89.500.000.  6. COMIXTA PARAGUAY, Proyecto de internacionalización del municipio de Facatativá, se está realizando mesas técnicas SAI, APC, Gobierno de Paraguay y Facatativá.  7. CONVENIO DE ASOCIACION ENTRE SAI Y 2811, evento internacional YOUNG CLIMATHON dirigidos a los estudiantes de grado 10 y 11 y sus docentes de instituciones educativas no certificadas del departamento con el fin que presente soluciones al reto medio ambiental planteado  este último aportando recursos de cooperación por valor de $11.000.598. 8. CONVENIO MARCO DE COOPERACIÓN INTERADMINISTRATIVO ENTRE LA GOBERNACIÓN DE CUNDINAMARCA Y LA ESAP, con el fin de aunar esfuerzos técnicos, administrativos y financieros para establecer acciones de cooperación enfocadas al fortalecimiento institucional a través de la formación en el saber público y administrativo a los servidores públicos y los ciudadanos del Departamento de Cundinamarca.
Se han realizado 19 Transferencias de conocimiento con diferentes entes territoriales, departamento nacional e internacional que han expresado su interés por la gestión de la cooperación internacional, su normatividad, sus procedimientos, mapas de riesgos, proceso de gestión de calidad, metodología de la cuantificación de la cooperación internacional y estrategia de internacionalización, proceso de fortalecimiento marca Cundinamarca EL DORADO LA LEYENDA VIVE y metodologías de valoración en gestión pública de la cultura.
</v>
      </c>
      <c r="AK268" s="11">
        <f>VLOOKUP(K268,'1135 Asuntos Int.'!$K$13:$AK$16,27,0)</f>
        <v>0</v>
      </c>
      <c r="AL268" s="11">
        <v>0</v>
      </c>
      <c r="AM268" s="11">
        <v>2</v>
      </c>
      <c r="AN268" s="11">
        <v>0</v>
      </c>
      <c r="AO268" s="11">
        <v>2</v>
      </c>
      <c r="AP268" s="11">
        <v>0</v>
      </c>
      <c r="AQ268" s="11">
        <v>0</v>
      </c>
      <c r="AR268" s="51">
        <v>42726318</v>
      </c>
      <c r="AS268" s="54">
        <v>0</v>
      </c>
      <c r="AT268" s="54">
        <f t="shared" ref="AT268:AT331" si="434">AR268+AS268</f>
        <v>42726318</v>
      </c>
      <c r="AU268" s="51">
        <v>41898447</v>
      </c>
      <c r="AV268" s="243">
        <v>304261240</v>
      </c>
      <c r="AW268" s="244"/>
      <c r="AX268" s="244"/>
      <c r="AY268" s="243">
        <v>304261240</v>
      </c>
      <c r="AZ268" s="44" cm="1">
        <f t="array" ref="AZ268">_xlfn.IFS((BA268=0),(BD268/CL268),(BA268&gt;0),((BB268+BD268)/CL268),(BE268&gt;0),((BB268+BD268+BE268)/CL268),(BG268&gt;0),((BB268+BD268+BE268+G268)/CL268))</f>
        <v>0.5</v>
      </c>
      <c r="BA268" s="44">
        <v>0.25</v>
      </c>
      <c r="BB268" s="44">
        <v>1</v>
      </c>
      <c r="BC268" s="44">
        <f>IF(AE268&gt;0,(1/CL268),0)</f>
        <v>0.25</v>
      </c>
      <c r="BD268" s="44" cm="1">
        <f t="array" ref="BD268">_xlfn.IFS(AE268=0,"NA",AE268&gt;0,AH268/AE268)</f>
        <v>1</v>
      </c>
      <c r="BE268" s="44">
        <f>IF(AM268&gt;0,(1/CL268),0)</f>
        <v>0.25</v>
      </c>
      <c r="BF268" s="44">
        <v>0</v>
      </c>
      <c r="BG268" s="44">
        <f>IF(AO268&gt;0,(1/CL268),0)</f>
        <v>0.25</v>
      </c>
      <c r="BH268" s="44">
        <v>0</v>
      </c>
      <c r="BI268" s="44">
        <v>0</v>
      </c>
      <c r="BJ268" s="44" t="s">
        <v>115</v>
      </c>
      <c r="BK268" s="44">
        <f t="shared" ref="BK268:BK331" si="435">IF(AZ268&gt;100%,"100%",AZ268)</f>
        <v>0.5</v>
      </c>
      <c r="BL268" s="44">
        <v>1</v>
      </c>
      <c r="BM268" s="44" cm="1">
        <f t="array" ref="BM268">_xlfn.IFS(BD268="NA","NA",BD268&gt;100%,"100%",BD268&lt;100,BD268)</f>
        <v>1</v>
      </c>
      <c r="BN268" s="44">
        <v>0</v>
      </c>
      <c r="BO268" s="44">
        <v>0</v>
      </c>
      <c r="BP268" s="44" t="s">
        <v>115</v>
      </c>
      <c r="BQ268" s="45">
        <v>0.22500000000000001</v>
      </c>
      <c r="BR268" s="45">
        <f t="shared" ref="BR268:BR331" si="436">BQ268*BK268</f>
        <v>0.1125</v>
      </c>
      <c r="BS268" s="45">
        <v>5.6300000000000003E-2</v>
      </c>
      <c r="BT268" s="45">
        <v>5.6300000000000003E-2</v>
      </c>
      <c r="BU268" s="45">
        <v>5.6300000000000003E-2</v>
      </c>
      <c r="BV268" s="45">
        <v>5.6300000000000003E-2</v>
      </c>
      <c r="BW268" s="45">
        <f t="shared" ref="BW268" si="437">IF(BM268="NA","NA",BM268*BV268)</f>
        <v>5.6300000000000003E-2</v>
      </c>
      <c r="BX268" s="45">
        <f t="shared" ref="BX268" si="438">BR268-BU268</f>
        <v>5.62E-2</v>
      </c>
      <c r="BY268" s="45">
        <v>5.6300000000000003E-2</v>
      </c>
      <c r="BZ268" s="45">
        <v>0</v>
      </c>
      <c r="CA268" s="45">
        <f t="shared" ref="CA268:CA331" si="439">BR268-BU268-BX268</f>
        <v>0</v>
      </c>
      <c r="CB268" s="45">
        <v>5.6300000000000003E-2</v>
      </c>
      <c r="CC268" s="45">
        <v>0</v>
      </c>
      <c r="CD268" s="45">
        <v>0</v>
      </c>
      <c r="CE268" s="45">
        <v>0</v>
      </c>
      <c r="CF268" s="45" t="s">
        <v>115</v>
      </c>
      <c r="CG268" s="45">
        <v>0</v>
      </c>
      <c r="CH268" s="244">
        <f>IF(W268&gt;0,1,0)</f>
        <v>1</v>
      </c>
      <c r="CI268" s="244">
        <f>IF(AE268&gt;0,1,0)</f>
        <v>1</v>
      </c>
      <c r="CJ268" s="244">
        <f>IF(AM268&gt;0,1,0)</f>
        <v>1</v>
      </c>
      <c r="CK268" s="244">
        <f>IF(AO268&gt;0,1,0)</f>
        <v>1</v>
      </c>
      <c r="CL268">
        <f>CH268+CI268+CJ268+CK268</f>
        <v>4</v>
      </c>
      <c r="CM268" s="63">
        <f>AVERAGE(Z268,AH268)</f>
        <v>2</v>
      </c>
    </row>
    <row r="269" spans="1:261" ht="18" hidden="1" customHeight="1">
      <c r="A269" s="260" t="s">
        <v>1302</v>
      </c>
      <c r="B269" s="260" t="s">
        <v>1303</v>
      </c>
      <c r="C269" s="260" t="s">
        <v>1286</v>
      </c>
      <c r="D269" s="260" t="s">
        <v>1799</v>
      </c>
      <c r="E269" s="260" t="s">
        <v>1800</v>
      </c>
      <c r="F269" s="260" t="s">
        <v>1801</v>
      </c>
      <c r="G269" s="260" t="s">
        <v>1802</v>
      </c>
      <c r="H269" s="260" t="s">
        <v>1803</v>
      </c>
      <c r="I269" s="260"/>
      <c r="J269" s="260"/>
      <c r="K269" s="260" t="s">
        <v>1804</v>
      </c>
      <c r="L269" s="260" t="s">
        <v>1805</v>
      </c>
      <c r="M269" s="260" t="s">
        <v>1806</v>
      </c>
      <c r="N269" s="260" t="s">
        <v>111</v>
      </c>
      <c r="O269" s="260" t="s">
        <v>112</v>
      </c>
      <c r="P269" s="10">
        <v>0</v>
      </c>
      <c r="Q269" s="11">
        <v>1</v>
      </c>
      <c r="R269" s="11">
        <f t="shared" ref="R269:R282" si="440">Z269+AH269</f>
        <v>0.42000000000000004</v>
      </c>
      <c r="S269" s="11" t="str">
        <f>VLOOKUP(K269,'1124 Agricultura'!$K$13:$AK$25,9,0)</f>
        <v xml:space="preserve">Se han visitado y georreferenciado con corte a la fecha 49.938 productores agropecuarios mediante el aplicativo Agrosig con identificación de uso de suelos, cultivo e inventario pecuario que ha servido para el fortalecer el sistema de planificación agropecuaria del departamento, esto se ha realizado mediante el acompañamiento técnico de las UMATAS.
Para el cumplimiento de esta meta se están realizando los siguientes procesos:
*Análisis de suelos para 41 municipios con 2.900 muestras el cual ya se encuentra en ejecución a partir del 4 de junio con Agrosavia. Ya se comenzó la toma muestras y la georreferenciación para el Agrosig y a la fecha ya se ha tomado alrededor de 1.565 muestras. Avance del proceso en un 35%
* Estudio de suelos en las provincias de Ubate y Almeidas convenio adjudicado al IGAC se firmó acta de inicio y está en ejecución. Se está realizando trabajo de campo y elevando cartografía  y frente al proceso en sí se lleva un avance del 60% 
*Evaluación agropecuaria se terminó de revisar y consolidar la información agropecuaria de los años 2019 y 2020 la cual se estima publicar virtualmente en el mes de diciembre pero la publicación física se realizará en la vigencia 2022.
</v>
      </c>
      <c r="T269" s="11">
        <v>0.1</v>
      </c>
      <c r="U269" s="11">
        <v>0</v>
      </c>
      <c r="V269" s="11">
        <v>0.1</v>
      </c>
      <c r="W269" s="11">
        <v>0</v>
      </c>
      <c r="X269" s="11">
        <v>0.08</v>
      </c>
      <c r="Y269" s="11">
        <v>0</v>
      </c>
      <c r="Z269" s="11">
        <v>0.08</v>
      </c>
      <c r="AA269" s="11" t="s">
        <v>1807</v>
      </c>
      <c r="AB269" s="11" t="s">
        <v>1808</v>
      </c>
      <c r="AC269" s="11">
        <v>0</v>
      </c>
      <c r="AD269" s="11">
        <v>0.4</v>
      </c>
      <c r="AE269" s="11">
        <v>0</v>
      </c>
      <c r="AF269" s="11">
        <f>VLOOKUP(K269,'1124 Agricultura'!$K$13:$AK$25,22,0)</f>
        <v>0.34</v>
      </c>
      <c r="AG269" s="11">
        <f>VLOOKUP(K269,'1124 Agricultura'!$K$13:$AK$25,23,0)</f>
        <v>0</v>
      </c>
      <c r="AH269" s="11">
        <f t="shared" ref="AH269:AH282" si="441">AF269</f>
        <v>0.34</v>
      </c>
      <c r="AI269" s="11" t="str">
        <f>VLOOKUP(K269,'1124 Agricultura'!$K$13:$AK$25,25,0)</f>
        <v>Sistema de Planificación Intervenido</v>
      </c>
      <c r="AJ269" s="11" t="str">
        <f>VLOOKUP(K269,'1124 Agricultura'!$K$13:$AK$25,26,0)</f>
        <v xml:space="preserve">Se han visitado y georreferenciado con corte a la fecha 49.938 productores agropecuarios mediante el aplicativo Agrosig con identificación de uso de suelos, cultivo e inventario pecuario que ha servido para el fortalecer el sistema de planificación agropecuaria del departamento, esto se ha realizado mediante el acompañamiento técnico de las UMATAS.
Para el cumplimiento de esta meta se están realizando los siguientes procesos:
*Análisis de suelos para 41 municipios con 2.900 muestras el cual ya se encuentra en ejecución a partir del 4 de junio con Agrosavia. Ya se comenzó la toma muestras y la georreferenciación para el Agrosig y a la fecha ya se ha tomado alrededor de 1.565 muestras. Avance del proceso en un 35%
* Estudio de suelos en las provincias de Ubate y Almeidas convenio adjudicado al IGAC se firmó acta de inicio y está en ejecución. Se está realizando trabajo de campo y elevando cartografía  y frente al proceso en sí se lleva un avance del 60% 
*Evaluación agropecuaria se terminó de revisar y consolidar la información agropecuaria de los años 2019 y 2020 la cual se estima publicar virtualmente en el mes de diciembre pero la publicación física se realizará en la vigencia 2022.
</v>
      </c>
      <c r="AK269" s="11">
        <f>VLOOKUP(K269,'1124 Agricultura'!$K$13:$AK$25,27,0)</f>
        <v>0</v>
      </c>
      <c r="AL269" s="11">
        <v>0.28999999999999998</v>
      </c>
      <c r="AM269" s="11">
        <v>0</v>
      </c>
      <c r="AN269" s="206">
        <v>0.23</v>
      </c>
      <c r="AO269" s="11">
        <v>0</v>
      </c>
      <c r="AP269" s="11">
        <v>0</v>
      </c>
      <c r="AQ269" s="11">
        <v>0</v>
      </c>
      <c r="AR269" s="52"/>
      <c r="AS269" s="54">
        <v>0</v>
      </c>
      <c r="AT269" s="54">
        <f t="shared" si="434"/>
        <v>0</v>
      </c>
      <c r="AU269" s="52"/>
      <c r="AV269" s="243">
        <v>1072500000</v>
      </c>
      <c r="AW269" s="244"/>
      <c r="AX269" s="244"/>
      <c r="AY269" s="243">
        <v>887000000</v>
      </c>
      <c r="AZ269" s="44">
        <f t="shared" ref="AZ269:AZ282" si="442">R269/Q269</f>
        <v>0.42000000000000004</v>
      </c>
      <c r="BA269" s="44">
        <v>0.1</v>
      </c>
      <c r="BB269" s="44">
        <v>0.8</v>
      </c>
      <c r="BC269" s="44">
        <f t="shared" ref="BC269:BC282" si="443">AD269/Q269</f>
        <v>0.4</v>
      </c>
      <c r="BD269" s="44" cm="1">
        <f t="array" ref="BD269">_xlfn.IFS(AD269=0,"NA",AD269&gt;0,AH269/AD269)</f>
        <v>0.85</v>
      </c>
      <c r="BE269" s="44">
        <f t="shared" ref="BE269:BE282" si="444">AL269/Q269</f>
        <v>0.28999999999999998</v>
      </c>
      <c r="BF269" s="44">
        <v>0</v>
      </c>
      <c r="BG269" s="44">
        <f t="shared" ref="BG269:BG282" si="445">AN269/Q269</f>
        <v>0.23</v>
      </c>
      <c r="BH269" s="44">
        <v>0</v>
      </c>
      <c r="BI269" s="44">
        <f t="shared" ref="BI269:BI282" si="446">AP269/Q269</f>
        <v>0</v>
      </c>
      <c r="BJ269" s="44" t="s">
        <v>115</v>
      </c>
      <c r="BK269" s="44">
        <f t="shared" si="435"/>
        <v>0.42000000000000004</v>
      </c>
      <c r="BL269" s="44">
        <v>0.8</v>
      </c>
      <c r="BM269" s="44" cm="1">
        <f t="array" ref="BM269">_xlfn.IFS(BD269="NA","NA",BD269&gt;100%,"100%",BD269&lt;100,BD269)</f>
        <v>0.85</v>
      </c>
      <c r="BN269" s="44" cm="1">
        <f t="array" ref="BN269">_xlfn.IFS(BF269="NA","NA",BF269&gt;100%,"100%",BF269&lt;100,BF269)</f>
        <v>0</v>
      </c>
      <c r="BO269" s="44" cm="1">
        <f t="array" ref="BO269">_xlfn.IFS(BH269="NA","NA",BH269&gt;100%,"100%",BH269&lt;100,BH269)</f>
        <v>0</v>
      </c>
      <c r="BP269" s="44" t="str" cm="1">
        <f t="array" ref="BP269">_xlfn.IFS(BJ269="NA","NA",BJ269&gt;100%,"100%",BJ269&lt;100,BJ269)</f>
        <v>NA</v>
      </c>
      <c r="BQ269" s="45">
        <v>0.22500000000000001</v>
      </c>
      <c r="BR269" s="45">
        <f t="shared" si="436"/>
        <v>9.4500000000000015E-2</v>
      </c>
      <c r="BS269" s="45">
        <v>2.2499999999999999E-2</v>
      </c>
      <c r="BT269" s="45">
        <v>1.7999999999999999E-2</v>
      </c>
      <c r="BU269" s="45">
        <v>1.7999999999999999E-2</v>
      </c>
      <c r="BV269" s="45">
        <f t="shared" ref="BV269:BV282" si="447">(AD269*BQ269)/Q269</f>
        <v>9.0000000000000011E-2</v>
      </c>
      <c r="BW269" s="45">
        <f t="shared" ref="BW269:BW331" si="448">IF(BM269="NA","NA",BM269*BV269)</f>
        <v>7.6500000000000012E-2</v>
      </c>
      <c r="BX269" s="45">
        <f t="shared" ref="BX269:BX331" si="449">BR269-BU269</f>
        <v>7.6500000000000012E-2</v>
      </c>
      <c r="BY269" s="45">
        <f t="shared" ref="BY269:BY282" si="450">(AL269*BQ269)/Q269</f>
        <v>6.5250000000000002E-2</v>
      </c>
      <c r="BZ269" s="45">
        <f t="shared" ref="BZ269:BZ282" si="451">IF(BN269="NA","NA",BN269*BY269)</f>
        <v>0</v>
      </c>
      <c r="CA269" s="45">
        <f t="shared" si="439"/>
        <v>0</v>
      </c>
      <c r="CB269" s="45">
        <f t="shared" ref="CB269:CB282" si="452">(AN269*BQ269)/Q269</f>
        <v>5.1750000000000004E-2</v>
      </c>
      <c r="CC269" s="45">
        <f t="shared" ref="CC269:CC282" si="453">IF(BO269="NA","NA",BO269*CB269)</f>
        <v>0</v>
      </c>
      <c r="CD269" s="45">
        <v>0</v>
      </c>
      <c r="CE269" s="45">
        <f t="shared" ref="CE269:CE282" si="454">(AP269*BQ269)/Q269</f>
        <v>0</v>
      </c>
      <c r="CF269" s="45" t="str">
        <f t="shared" ref="CF269:CF282" si="455">IF(BP269="NA","NA",BP269*CE269)</f>
        <v>NA</v>
      </c>
      <c r="CG269" s="45">
        <v>0</v>
      </c>
      <c r="CH269" s="244"/>
      <c r="CI269" s="244"/>
      <c r="CJ269" s="244"/>
      <c r="CK269" s="244"/>
      <c r="CM269" s="63">
        <v>0.22999999999999998</v>
      </c>
    </row>
    <row r="270" spans="1:261" ht="18" hidden="1" customHeight="1">
      <c r="A270" s="260" t="s">
        <v>1310</v>
      </c>
      <c r="B270" s="260" t="s">
        <v>1311</v>
      </c>
      <c r="C270" s="260" t="s">
        <v>1286</v>
      </c>
      <c r="D270" s="260" t="s">
        <v>1799</v>
      </c>
      <c r="E270" s="260" t="s">
        <v>1800</v>
      </c>
      <c r="F270" s="260" t="s">
        <v>1801</v>
      </c>
      <c r="G270" s="260" t="s">
        <v>1802</v>
      </c>
      <c r="H270" s="260" t="s">
        <v>1809</v>
      </c>
      <c r="I270" s="260"/>
      <c r="J270" s="260"/>
      <c r="K270" s="260" t="s">
        <v>1810</v>
      </c>
      <c r="L270" s="260" t="s">
        <v>1811</v>
      </c>
      <c r="M270" s="260" t="s">
        <v>1812</v>
      </c>
      <c r="N270" s="260" t="s">
        <v>111</v>
      </c>
      <c r="O270" s="260" t="s">
        <v>112</v>
      </c>
      <c r="P270" s="10">
        <v>0</v>
      </c>
      <c r="Q270" s="11">
        <v>1</v>
      </c>
      <c r="R270" s="11">
        <f t="shared" ca="1" si="440"/>
        <v>0</v>
      </c>
      <c r="S270" s="11">
        <f ca="1">VLOOKUP(K270,'1120 Competitividad'!$K$13:$AK$51,9,0)</f>
        <v>0</v>
      </c>
      <c r="T270" s="11">
        <v>0.2</v>
      </c>
      <c r="U270" s="11">
        <v>0</v>
      </c>
      <c r="V270" s="11">
        <v>0</v>
      </c>
      <c r="W270" s="11">
        <v>0</v>
      </c>
      <c r="X270" s="11">
        <v>0</v>
      </c>
      <c r="Y270" s="11">
        <v>0</v>
      </c>
      <c r="Z270" s="11">
        <v>0</v>
      </c>
      <c r="AA270" s="11"/>
      <c r="AB270" s="11"/>
      <c r="AC270" s="11"/>
      <c r="AD270" s="11">
        <v>0</v>
      </c>
      <c r="AE270" s="11">
        <v>0</v>
      </c>
      <c r="AF270" s="11">
        <f ca="1">VLOOKUP(K270,'1120 Competitividad'!$K$13:$AK$51,22,0)</f>
        <v>0</v>
      </c>
      <c r="AG270" s="11">
        <f ca="1">VLOOKUP(K270,'1120 Competitividad'!$K$13:$AK$51,23,0)</f>
        <v>0</v>
      </c>
      <c r="AH270" s="11">
        <f t="shared" ca="1" si="441"/>
        <v>0</v>
      </c>
      <c r="AI270" s="11">
        <f ca="1">VLOOKUP(K270,'1120 Competitividad'!$K$13:$AK$51,25,0)</f>
        <v>0</v>
      </c>
      <c r="AJ270" s="11">
        <f ca="1">VLOOKUP(K270,'1120 Competitividad'!$K$13:$AK$51,26,0)</f>
        <v>0</v>
      </c>
      <c r="AK270" s="11">
        <f ca="1">VLOOKUP(K270,'1120 Competitividad'!$K$13:$AK$51,27,0)</f>
        <v>0</v>
      </c>
      <c r="AL270" s="11">
        <v>0.9</v>
      </c>
      <c r="AM270" s="11">
        <v>0</v>
      </c>
      <c r="AN270" s="11">
        <v>0.1</v>
      </c>
      <c r="AO270" s="11">
        <v>0</v>
      </c>
      <c r="AP270" s="11">
        <v>0</v>
      </c>
      <c r="AQ270" s="11">
        <v>0</v>
      </c>
      <c r="AR270" s="52"/>
      <c r="AS270" s="54">
        <v>0</v>
      </c>
      <c r="AT270" s="54">
        <f t="shared" si="434"/>
        <v>0</v>
      </c>
      <c r="AU270" s="52"/>
      <c r="AV270" s="243">
        <v>0</v>
      </c>
      <c r="AW270" s="244"/>
      <c r="AX270" s="244"/>
      <c r="AY270" s="243"/>
      <c r="AZ270" s="44">
        <f t="shared" ca="1" si="442"/>
        <v>0</v>
      </c>
      <c r="BA270" s="44">
        <v>0</v>
      </c>
      <c r="BB270" s="44" t="s">
        <v>115</v>
      </c>
      <c r="BC270" s="44">
        <f t="shared" si="443"/>
        <v>0</v>
      </c>
      <c r="BD270" s="44" t="str" cm="1">
        <f t="array" aca="1" ref="BD270" ca="1">_xlfn.IFS(AD270=0,"NA",AD270&gt;0,AH270/AD270)</f>
        <v>NA</v>
      </c>
      <c r="BE270" s="44">
        <f t="shared" si="444"/>
        <v>0.9</v>
      </c>
      <c r="BF270" s="44">
        <v>0</v>
      </c>
      <c r="BG270" s="44">
        <f t="shared" si="445"/>
        <v>0.1</v>
      </c>
      <c r="BH270" s="44">
        <v>0</v>
      </c>
      <c r="BI270" s="44">
        <f t="shared" si="446"/>
        <v>0</v>
      </c>
      <c r="BJ270" s="44" t="s">
        <v>115</v>
      </c>
      <c r="BK270" s="44">
        <f t="shared" ca="1" si="435"/>
        <v>0</v>
      </c>
      <c r="BL270" s="44" t="s">
        <v>115</v>
      </c>
      <c r="BM270" s="44" t="str" cm="1">
        <f t="array" aca="1" ref="BM270" ca="1">_xlfn.IFS(BD270="NA","NA",BD270&gt;100%,"100%",BD270&lt;100,BD270)</f>
        <v>NA</v>
      </c>
      <c r="BN270" s="44" cm="1">
        <f t="array" ref="BN270">_xlfn.IFS(BF270="NA","NA",BF270&gt;100%,"100%",BF270&lt;100,BF270)</f>
        <v>0</v>
      </c>
      <c r="BO270" s="44" cm="1">
        <f t="array" ref="BO270">_xlfn.IFS(BH270="NA","NA",BH270&gt;100%,"100%",BH270&lt;100,BH270)</f>
        <v>0</v>
      </c>
      <c r="BP270" s="44" t="str" cm="1">
        <f t="array" ref="BP270">_xlfn.IFS(BJ270="NA","NA",BJ270&gt;100%,"100%",BJ270&lt;100,BJ270)</f>
        <v>NA</v>
      </c>
      <c r="BQ270" s="45">
        <v>0.22500000000000001</v>
      </c>
      <c r="BR270" s="45">
        <f t="shared" ca="1" si="436"/>
        <v>0</v>
      </c>
      <c r="BS270" s="45">
        <v>0</v>
      </c>
      <c r="BT270" s="45" t="s">
        <v>115</v>
      </c>
      <c r="BU270" s="45">
        <v>0</v>
      </c>
      <c r="BV270" s="45">
        <f t="shared" si="447"/>
        <v>0</v>
      </c>
      <c r="BW270" s="45" t="str">
        <f t="shared" ca="1" si="448"/>
        <v>NA</v>
      </c>
      <c r="BX270" s="45">
        <f t="shared" ca="1" si="449"/>
        <v>0</v>
      </c>
      <c r="BY270" s="45">
        <f t="shared" si="450"/>
        <v>0.20250000000000001</v>
      </c>
      <c r="BZ270" s="45">
        <f t="shared" si="451"/>
        <v>0</v>
      </c>
      <c r="CA270" s="45">
        <f t="shared" ca="1" si="439"/>
        <v>0</v>
      </c>
      <c r="CB270" s="45">
        <f t="shared" si="452"/>
        <v>2.2500000000000003E-2</v>
      </c>
      <c r="CC270" s="45">
        <f t="shared" si="453"/>
        <v>0</v>
      </c>
      <c r="CD270" s="45">
        <v>0</v>
      </c>
      <c r="CE270" s="45">
        <f t="shared" si="454"/>
        <v>0</v>
      </c>
      <c r="CF270" s="45" t="str">
        <f t="shared" si="455"/>
        <v>NA</v>
      </c>
      <c r="CG270" s="45">
        <v>0</v>
      </c>
      <c r="CH270" s="244"/>
      <c r="CI270" s="244"/>
      <c r="CJ270" s="244"/>
      <c r="CK270" s="244"/>
      <c r="CM270" s="63">
        <v>0</v>
      </c>
    </row>
    <row r="271" spans="1:261" ht="18" hidden="1" customHeight="1">
      <c r="A271" s="260" t="s">
        <v>1310</v>
      </c>
      <c r="B271" s="260" t="s">
        <v>1311</v>
      </c>
      <c r="C271" s="260" t="s">
        <v>1286</v>
      </c>
      <c r="D271" s="260" t="s">
        <v>1799</v>
      </c>
      <c r="E271" s="260" t="s">
        <v>1800</v>
      </c>
      <c r="F271" s="260" t="s">
        <v>1801</v>
      </c>
      <c r="G271" s="260" t="s">
        <v>1802</v>
      </c>
      <c r="H271" s="260" t="s">
        <v>1813</v>
      </c>
      <c r="I271" s="260"/>
      <c r="J271" s="260"/>
      <c r="K271" s="260" t="s">
        <v>1814</v>
      </c>
      <c r="L271" s="260" t="s">
        <v>1815</v>
      </c>
      <c r="M271" s="260" t="s">
        <v>1816</v>
      </c>
      <c r="N271" s="260" t="s">
        <v>111</v>
      </c>
      <c r="O271" s="260" t="s">
        <v>112</v>
      </c>
      <c r="P271" s="10">
        <v>1</v>
      </c>
      <c r="Q271" s="11">
        <v>4</v>
      </c>
      <c r="R271" s="11">
        <f t="shared" ca="1" si="440"/>
        <v>0</v>
      </c>
      <c r="S271" s="11">
        <f ca="1">VLOOKUP(K271,'1120 Competitividad'!$K$13:$AK$51,9,0)</f>
        <v>0</v>
      </c>
      <c r="T271" s="11">
        <v>0</v>
      </c>
      <c r="U271" s="11">
        <v>0</v>
      </c>
      <c r="V271" s="11">
        <v>0</v>
      </c>
      <c r="W271" s="11">
        <v>0</v>
      </c>
      <c r="X271" s="11">
        <v>0</v>
      </c>
      <c r="Y271" s="11">
        <v>0</v>
      </c>
      <c r="Z271" s="11">
        <v>0</v>
      </c>
      <c r="AA271" s="11"/>
      <c r="AB271" s="11"/>
      <c r="AC271" s="11"/>
      <c r="AD271" s="11">
        <v>1</v>
      </c>
      <c r="AE271" s="11">
        <v>0</v>
      </c>
      <c r="AF271" s="11">
        <f ca="1">VLOOKUP(K271,'1120 Competitividad'!$K$13:$AK$51,22,0)</f>
        <v>0</v>
      </c>
      <c r="AG271" s="11">
        <f ca="1">VLOOKUP(K271,'1120 Competitividad'!$K$13:$AK$51,23,0)</f>
        <v>0</v>
      </c>
      <c r="AH271" s="11">
        <f t="shared" ca="1" si="441"/>
        <v>0</v>
      </c>
      <c r="AI271" s="11" t="str">
        <f ca="1">VLOOKUP(K271,'1120 Competitividad'!$K$13:$AK$51,25,0)</f>
        <v xml:space="preserve">Estudio </v>
      </c>
      <c r="AJ271" s="11" t="str">
        <f ca="1">VLOOKUP(K271,'1120 Competitividad'!$K$13:$AK$51,26,0)</f>
        <v>La Secretaría de Competitividad y Desarrollo Económico de la Gobernación de Cundinamarca y la Organización Iberoamericana de Seguridad Social, firmaron un convenio de cooperación a fin de realizar estudios que permitan identificar la realidad de la competitividad de las Mipymes del departamento de Cundinamarca y su fortalecimiento frente a la formalización laboral, el Trabajo a distancia y la cultura de la seguridad social. En este sentido, se han adelantado aproximadamente 40 talleres, eventos, reuniones y capacitaciones con empresarios, funcionarios públicos, emprendedores, asociaciones y ciudadanía en general a fin de fortalecer conocimientos y levantar un diagnostico de los componentes descritos en el Departamento.</v>
      </c>
      <c r="AK271" s="11">
        <f ca="1">VLOOKUP(K271,'1120 Competitividad'!$K$13:$AK$51,27,0)</f>
        <v>0</v>
      </c>
      <c r="AL271" s="11">
        <v>2</v>
      </c>
      <c r="AM271" s="11">
        <v>0</v>
      </c>
      <c r="AN271" s="11">
        <v>1</v>
      </c>
      <c r="AO271" s="11">
        <v>0</v>
      </c>
      <c r="AP271" s="11">
        <v>0</v>
      </c>
      <c r="AQ271" s="11">
        <v>0</v>
      </c>
      <c r="AR271" s="52"/>
      <c r="AS271" s="54">
        <v>0</v>
      </c>
      <c r="AT271" s="54">
        <f t="shared" si="434"/>
        <v>0</v>
      </c>
      <c r="AU271" s="52"/>
      <c r="AV271" s="243">
        <v>500000000</v>
      </c>
      <c r="AW271" s="244"/>
      <c r="AX271" s="244"/>
      <c r="AY271" s="243">
        <v>500000000</v>
      </c>
      <c r="AZ271" s="44">
        <f t="shared" ca="1" si="442"/>
        <v>0</v>
      </c>
      <c r="BA271" s="44">
        <v>0</v>
      </c>
      <c r="BB271" s="44" t="s">
        <v>115</v>
      </c>
      <c r="BC271" s="44">
        <f t="shared" si="443"/>
        <v>0.25</v>
      </c>
      <c r="BD271" s="44" cm="1">
        <f t="array" aca="1" ref="BD271" ca="1">_xlfn.IFS(AD271=0,"NA",AD271&gt;0,AH271/AD271)</f>
        <v>0</v>
      </c>
      <c r="BE271" s="44">
        <f t="shared" si="444"/>
        <v>0.5</v>
      </c>
      <c r="BF271" s="44">
        <v>0</v>
      </c>
      <c r="BG271" s="44">
        <f t="shared" si="445"/>
        <v>0.25</v>
      </c>
      <c r="BH271" s="44">
        <v>0</v>
      </c>
      <c r="BI271" s="44">
        <f t="shared" si="446"/>
        <v>0</v>
      </c>
      <c r="BJ271" s="44" t="s">
        <v>115</v>
      </c>
      <c r="BK271" s="44">
        <f t="shared" ca="1" si="435"/>
        <v>0</v>
      </c>
      <c r="BL271" s="44" t="s">
        <v>115</v>
      </c>
      <c r="BM271" s="44" cm="1">
        <f t="array" aca="1" ref="BM271" ca="1">_xlfn.IFS(BD271="NA","NA",BD271&gt;100%,"100%",BD271&lt;100,BD271)</f>
        <v>0</v>
      </c>
      <c r="BN271" s="44" cm="1">
        <f t="array" ref="BN271">_xlfn.IFS(BF271="NA","NA",BF271&gt;100%,"100%",BF271&lt;100,BF271)</f>
        <v>0</v>
      </c>
      <c r="BO271" s="44" cm="1">
        <f t="array" ref="BO271">_xlfn.IFS(BH271="NA","NA",BH271&gt;100%,"100%",BH271&lt;100,BH271)</f>
        <v>0</v>
      </c>
      <c r="BP271" s="44" t="str" cm="1">
        <f t="array" ref="BP271">_xlfn.IFS(BJ271="NA","NA",BJ271&gt;100%,"100%",BJ271&lt;100,BJ271)</f>
        <v>NA</v>
      </c>
      <c r="BQ271" s="45">
        <v>0.22500000000000001</v>
      </c>
      <c r="BR271" s="45">
        <f t="shared" ca="1" si="436"/>
        <v>0</v>
      </c>
      <c r="BS271" s="45">
        <v>0</v>
      </c>
      <c r="BT271" s="45" t="s">
        <v>115</v>
      </c>
      <c r="BU271" s="45">
        <v>0</v>
      </c>
      <c r="BV271" s="45">
        <f t="shared" si="447"/>
        <v>5.6250000000000001E-2</v>
      </c>
      <c r="BW271" s="45">
        <f t="shared" ca="1" si="448"/>
        <v>0</v>
      </c>
      <c r="BX271" s="45">
        <f t="shared" ca="1" si="449"/>
        <v>0</v>
      </c>
      <c r="BY271" s="45">
        <f t="shared" si="450"/>
        <v>0.1125</v>
      </c>
      <c r="BZ271" s="45">
        <f t="shared" si="451"/>
        <v>0</v>
      </c>
      <c r="CA271" s="45">
        <f t="shared" ca="1" si="439"/>
        <v>0</v>
      </c>
      <c r="CB271" s="45">
        <f t="shared" si="452"/>
        <v>5.6250000000000001E-2</v>
      </c>
      <c r="CC271" s="45">
        <f t="shared" si="453"/>
        <v>0</v>
      </c>
      <c r="CD271" s="45">
        <v>0</v>
      </c>
      <c r="CE271" s="45">
        <f t="shared" si="454"/>
        <v>0</v>
      </c>
      <c r="CF271" s="45" t="str">
        <f t="shared" si="455"/>
        <v>NA</v>
      </c>
      <c r="CG271" s="45">
        <v>0</v>
      </c>
      <c r="CH271" s="244"/>
      <c r="CI271" s="244"/>
      <c r="CJ271" s="244"/>
      <c r="CK271" s="244"/>
      <c r="CM271" s="63">
        <v>0</v>
      </c>
    </row>
    <row r="272" spans="1:261" s="16" customFormat="1" ht="18" hidden="1" customHeight="1">
      <c r="A272" s="198" t="s">
        <v>388</v>
      </c>
      <c r="B272" s="198" t="s">
        <v>389</v>
      </c>
      <c r="C272" s="198" t="s">
        <v>1286</v>
      </c>
      <c r="D272" s="198" t="s">
        <v>1799</v>
      </c>
      <c r="E272" s="198" t="s">
        <v>1817</v>
      </c>
      <c r="F272" s="198" t="s">
        <v>1818</v>
      </c>
      <c r="G272" s="198" t="s">
        <v>1819</v>
      </c>
      <c r="H272" s="198" t="s">
        <v>1820</v>
      </c>
      <c r="I272" s="198" t="s">
        <v>200</v>
      </c>
      <c r="J272" s="198"/>
      <c r="K272" s="198" t="s">
        <v>1821</v>
      </c>
      <c r="L272" s="198" t="s">
        <v>1822</v>
      </c>
      <c r="M272" s="198" t="s">
        <v>1823</v>
      </c>
      <c r="N272" s="198" t="s">
        <v>111</v>
      </c>
      <c r="O272" s="198" t="s">
        <v>112</v>
      </c>
      <c r="P272" s="199">
        <v>0</v>
      </c>
      <c r="Q272" s="200">
        <v>1</v>
      </c>
      <c r="R272" s="11">
        <f t="shared" si="440"/>
        <v>0.35000000000000003</v>
      </c>
      <c r="S272" s="200">
        <f>VLOOKUP(K272,'1123 Transporte'!$K$13:$AK$23,9,0)</f>
        <v>0</v>
      </c>
      <c r="T272" s="200">
        <v>7.0000000000000007E-2</v>
      </c>
      <c r="U272" s="200">
        <v>0</v>
      </c>
      <c r="V272" s="200">
        <v>7.0000000000000007E-2</v>
      </c>
      <c r="W272" s="200">
        <v>0</v>
      </c>
      <c r="X272" s="200">
        <v>7.0000000000000007E-2</v>
      </c>
      <c r="Y272" s="200">
        <v>0</v>
      </c>
      <c r="Z272" s="200">
        <v>7.0000000000000007E-2</v>
      </c>
      <c r="AA272" s="200" t="s">
        <v>1824</v>
      </c>
      <c r="AB272" s="200" t="s">
        <v>1825</v>
      </c>
      <c r="AC272" s="200">
        <v>0</v>
      </c>
      <c r="AD272" s="11">
        <v>0.31</v>
      </c>
      <c r="AE272" s="11">
        <v>0</v>
      </c>
      <c r="AF272" s="200">
        <f>VLOOKUP(K272,'1123 Transporte'!$K$13:$AK$23,22,0)</f>
        <v>0.28000000000000003</v>
      </c>
      <c r="AG272" s="200">
        <f>VLOOKUP(K272,'1123 Transporte'!$K$13:$AK$23,23,0)</f>
        <v>0</v>
      </c>
      <c r="AH272" s="11">
        <f t="shared" si="441"/>
        <v>0.28000000000000003</v>
      </c>
      <c r="AI272" s="200" t="str">
        <f>VLOOKUP(K272,'1123 Transporte'!$K$13:$AK$23,25,0)</f>
        <v>Política Pública formulada</v>
      </c>
      <c r="AJ272" s="200" t="str">
        <f>VLOOKUP(K272,'1123 Transporte'!$K$13:$AK$23,26,0)</f>
        <v xml:space="preserve">META 277
  en proceso precontractual
AVANCE MES DE JULIO Se realiza convocatoria pública fue publicada desde el veintinueve (29) de junio de 2021, hasta primero (01) de julio de 2021 en el portal único de contratación www.colombiacompra.gov.co  SECOP II; término dentro del cual se recibieron observaciones por los proponentes
El día 1 de julio de 2021, se efectuó el cierre del proceso encontrando que se presentaron cuatro proponentes
Una vez la secretaria realizó la evaluación jurídica, técnica y financiera, el comité evaluador recomendó al secretario de Transporte y Movilidad de Cundinamarca, declarar desierto el proceso ya que al no existir ningún proponente que cumpla con las condiciones establecidas en el pliego de condiciones se enmarcan las causales contempladas en el numeral 4to de la Invitación Nº STM-CMC-002-2021.
Avance mes de agosto 
•	Reunión virtual con la Secretaría de Planeación para la revisión de los avances en la formulación de la política pública de movilidad del Departamento. (Agosto 10 de 2021). 
•	Reunión presencial el 19 de agosto del 2021 con Secretaría de Planeación, el Consultor encargado de la fase de diagnóstico y el equipo de trabajo de la Oficina de Proyectos Especiales de la Secretaría de Transporte y Movilidad.
Durante la reunión se socializaron las fases para la construcción de la política pública por parte de la Secretaria de planeación y los instrumentos para la formalización de los actores en la política.
Se acordaron acciones para la articulación entre la Secretaría de Planeación, la Secretaría de Movilidad y la consultoría en relación a la revisión y aporte de información e insumo para la construcción del diagnóstico.
•	Reunión presencial el 19 de agosto del 2021 con el Consultor encargado de la fase de diagnóstico y el equipo de trabajo de la Oficina de Proyectos Especiales de la Secretaría de Transporte y Movilidad.
Durante este encuentro se llevó a cabo la planeación de las mesas de trabajo para la vinculación de los actores que participarán en las diferentes etapas de la política pública y se acordó sobre las estrategias para articulación del trabajo.
Específicamente, se planeó el desarrollo de cinco (5) mesas de trabajo con actores:
Mesa 1:
Secretarías e instancias departamentales
Corporaciones
Mesa 2:
Autoridades municipales
Oficinas de transporte
Sedes operativas
Mesa 3:
Transportadores (empresas, gremios y asociaciones)
Concesiones e interventorías.
Mesa 4
Gobierno Nacional (entidades)
Externos (expertos y universidades)
Mesa 5
Ciudadanía (JACs, colectivos, gremios, veedurías, otros)
•	Reunión presencial el 24 de agosto del 2021 con representantes de las diferentes dependencias de la Secretaría de Transporte y Movilidad,  el Consultor encargado de la fase de diagnóstico y el equipo de trabajo de la Oficina de Proyectos Especiales. 
En esta reunión se revisaron los posibles enfoques que orientaran la política pública de movilidad del Departamento y se socializaron los requerimientos asociados a la consolidación de la fase de diagnóstico de este instrumento.
Se expusieron los diferentes conceptos y dimensiones a incluirse en el diagnóstico. La política pública de movilidad de Cundinamarca deberá incluir temas asociados a:
o	Desarrollo competitivo de los municipios
o	Conectividad a los centros urbanos
o	Descongestión vehicular
o	Seguridad vial
o	Infraestructura vial
o	Protección a los actores viales
o	Cuidado del medio ambiente.
Avance Mes de Septiembre 2021
Acto administrativo de instancia institucional:  Fue adjudicado mediante un proceso de selección de mínima cuantía (STM –CMC-003-2021) al consultor Soluciones comerciales y empresariales Zipar S.A.S.
PLAN DE TRABAJO
•	Esta etapa inicio el 25 de agosto del 2021y finaliza el 30 de octubre del 2021
Investigación sobre la movilidad de Cundinamarca antecedentes normatividad aplicable vigente estrategias, ejes temáticos, recolección de información.
•	Etapa Del 1 de noviembre del 2021 hasta el 5 de noviembre del 2021 
Entrega del primer producto de análisis de la etapa investigativa, un primer avance en la consecución del diagnóstico para la elaboración de la política publica de movilidad para el departamento de Cundinamarca.
•	Etapa del 6 de noviembre del 2021 al 3 de diciembre del 2021 
Se efectuará la construcción del documento diagnóstico para la elaboración de la política publica de movilidad para el departamento de Cundinamarca.
•	Etapa del 6 de diciembre del 2021 al 10 de diciembre del 2021
Entrega y socialización del producto o documento reflejo del estudio diagnóstico para la elaboración de la política publica de movilidad para el departamento de Cundinamarca 
•	Etapa del 11 de diciembre del 2021 hasta el 17 de diciembre
Adecuación, corrección y aplicación de las peticiones que se pudieran presentar al documento diagnostico socializado
•	Etapa del 19 de diciembre del 2021 hasta el 23 diciembre
Entrega final del documento diagnóstico para la elaboración de la política publica de movilidad para el departamento de Cundinamarca.
Avances Octubre de 2021
1.	De acuerdo a la solicitud de información enviada por el Consultor encargado de realizar la fase de diagnóstico de la Política Pública de Movilidad del Departamento se llevaron a cabo las siguientes acciones:
•	Recopilación de información e insumos de las diferentes áreas de la Secretaría de Transporte y Movilidad de Cundinamarca, específicamente del Centro de Estudios e Investigaciones en Seguridad vial – CEIS y de la Oficina de Política Sectorial de esta Secretaría.
•	Revisión y organización de la información recolectada de conformidad a lo solicitado en cada uno de los puntos remitidos.
•	Proyección y envío del oficio de respuesta el 08 de octubre de 2021 con la descripción de cada uno de los puntos requeridos. Se adjuntaron los respectivos documentos e insumos.
2.	Diligenciamiento de matriz con el plan de mejoramiento correspondiente a los meses de abril, mayo y junio de 2021 con la descripción de los avances entorno a los siguientes compromisos:
•	Elaboración de la justificación de la política pública de movilidad.
•	Coordinación para el desarrollo de la formulación de la política pública de movilidad.
En esta matriz se indicó que durante el trimestre se consolidó la información respectiva en cuanto a la identificación de la problemática y el mapa de actores que participarán en el proceso de formulación y ejecución de la política pública de movilidad, así mismo que se realizaron actividades relacionadas con la gestión para la contratación del consultor encargado de realizar el diagnóstico de la Política Pública. 
Como evidencia de los avances se adjuntaron las siguientes evidencias:
-	Formato E-DEAG-FR-062 diligenciado - Justificación  de la política pública de movilidad del Departamento.
-	Presentación de la justificación de la Política Pública de Movilidad.
3.	Diligenciamiento de la matriz Ficha de seguimiento presupuestal donde se incluye información relacionada con los avances del proyecto de formulación de la política pública de movilidad del Departamento.
Este documento fue remitido el 29 de octubre de 2021 e incluyó las siguientes acciones realizadas para el cumplimiento de la meta 277:
-	Se formularon y publicaron los estudios previos para la contratación de la consultoría encargada de la realización de la fase diagnostica para la construcción de la política pública de movilidad de Cundinamarca, en sus componentes de agenda pública, activación de actores y diagnostico estadístico.
-	Se adjudicó mediante acto administrativo el contrato de consultoría para la elaboración del diagnóstico  de la política pública de movilidad de Cundinamarca a la firma Soluciones comerciales y empresariales Zipar S.A.S.
-	Se llevó a cabo el respectivo seguimiento al desarrollo de las actividades de la consultoría apoyando la definición de los enfoques y la organización de los actores que participarán en el proceso de formulación de la política pública de movilidad.
-	Se revisó en conjunto con la Secretaría de Planeación del Departamento los diferentes requisitos y herramientas que se requieren para avanzar en la formulación de las diferentes etapas de la política pública de movilidad.
4.	Entre el 01 y el 05 de noviembre de 2021 y de acuerdo con el plan de trabajo establecido, el consultor realizará la entrega del primer producto de análisis de la etapa investigativa. Esta entrega se constituye como un primer avance para la consolidación del diagnóstico en el marco de la formulación de la política pública de movilidad del Departamento. A partir de dicha entrega se continuará con el seguimiento al proceso de formulación de la política pública de movilidad.
</v>
      </c>
      <c r="AK272" s="200">
        <f>VLOOKUP(K272,'1123 Transporte'!$K$13:$AK$23,27,0)</f>
        <v>0</v>
      </c>
      <c r="AL272" s="200">
        <v>0.31</v>
      </c>
      <c r="AM272" s="200">
        <v>0</v>
      </c>
      <c r="AN272" s="200">
        <v>0.31</v>
      </c>
      <c r="AO272" s="200">
        <v>0</v>
      </c>
      <c r="AP272" s="200">
        <v>0</v>
      </c>
      <c r="AQ272" s="200">
        <v>0</v>
      </c>
      <c r="AR272" s="205"/>
      <c r="AS272" s="202">
        <v>2000000</v>
      </c>
      <c r="AT272" s="202">
        <f t="shared" si="434"/>
        <v>2000000</v>
      </c>
      <c r="AU272" s="205"/>
      <c r="AV272" s="245">
        <v>45319960</v>
      </c>
      <c r="AW272" s="246"/>
      <c r="AX272" s="246"/>
      <c r="AY272" s="245">
        <v>45319960</v>
      </c>
      <c r="AZ272" s="203">
        <f t="shared" si="442"/>
        <v>0.35000000000000003</v>
      </c>
      <c r="BA272" s="203">
        <v>7.0000000000000007E-2</v>
      </c>
      <c r="BB272" s="203">
        <v>1</v>
      </c>
      <c r="BC272" s="44">
        <f t="shared" si="443"/>
        <v>0.31</v>
      </c>
      <c r="BD272" s="44" cm="1">
        <f t="array" ref="BD272">_xlfn.IFS(AD272=0,"NA",AD272&gt;0,AH272/AD272)</f>
        <v>0.90322580645161299</v>
      </c>
      <c r="BE272" s="44">
        <f t="shared" si="444"/>
        <v>0.31</v>
      </c>
      <c r="BF272" s="44">
        <v>0</v>
      </c>
      <c r="BG272" s="44">
        <f t="shared" si="445"/>
        <v>0.31</v>
      </c>
      <c r="BH272" s="44">
        <v>0</v>
      </c>
      <c r="BI272" s="203">
        <f t="shared" si="446"/>
        <v>0</v>
      </c>
      <c r="BJ272" s="203" t="s">
        <v>115</v>
      </c>
      <c r="BK272" s="203">
        <f t="shared" si="435"/>
        <v>0.35000000000000003</v>
      </c>
      <c r="BL272" s="203">
        <v>1</v>
      </c>
      <c r="BM272" s="203" cm="1">
        <f t="array" ref="BM272">_xlfn.IFS(BD272="NA","NA",BD272&gt;100%,"100%",BD272&lt;100,BD272)</f>
        <v>0.90322580645161299</v>
      </c>
      <c r="BN272" s="203" cm="1">
        <f t="array" ref="BN272">_xlfn.IFS(BF272="NA","NA",BF272&gt;100%,"100%",BF272&lt;100,BF272)</f>
        <v>0</v>
      </c>
      <c r="BO272" s="203" cm="1">
        <f t="array" ref="BO272">_xlfn.IFS(BH272="NA","NA",BH272&gt;100%,"100%",BH272&lt;100,BH272)</f>
        <v>0</v>
      </c>
      <c r="BP272" s="203" t="str" cm="1">
        <f t="array" ref="BP272">_xlfn.IFS(BJ272="NA","NA",BJ272&gt;100%,"100%",BJ272&lt;100,BJ272)</f>
        <v>NA</v>
      </c>
      <c r="BQ272" s="204">
        <v>0.22500000000000001</v>
      </c>
      <c r="BR272" s="45">
        <f t="shared" si="436"/>
        <v>7.8750000000000014E-2</v>
      </c>
      <c r="BS272" s="204">
        <v>1.5800000000000002E-2</v>
      </c>
      <c r="BT272" s="204">
        <v>1.5800000000000002E-2</v>
      </c>
      <c r="BU272" s="204">
        <v>1.5800000000000002E-2</v>
      </c>
      <c r="BV272" s="45">
        <f t="shared" si="447"/>
        <v>6.9750000000000006E-2</v>
      </c>
      <c r="BW272" s="45">
        <f t="shared" si="448"/>
        <v>6.3000000000000014E-2</v>
      </c>
      <c r="BX272" s="45">
        <f t="shared" si="449"/>
        <v>6.2950000000000006E-2</v>
      </c>
      <c r="BY272" s="45">
        <f t="shared" si="450"/>
        <v>6.9750000000000006E-2</v>
      </c>
      <c r="BZ272" s="45">
        <f t="shared" si="451"/>
        <v>0</v>
      </c>
      <c r="CA272" s="45">
        <f t="shared" si="439"/>
        <v>0</v>
      </c>
      <c r="CB272" s="45">
        <f t="shared" si="452"/>
        <v>6.9750000000000006E-2</v>
      </c>
      <c r="CC272" s="45">
        <f t="shared" si="453"/>
        <v>0</v>
      </c>
      <c r="CD272" s="45">
        <v>0</v>
      </c>
      <c r="CE272" s="204">
        <f t="shared" si="454"/>
        <v>0</v>
      </c>
      <c r="CF272" s="204" t="str">
        <f t="shared" si="455"/>
        <v>NA</v>
      </c>
      <c r="CG272" s="204">
        <v>0</v>
      </c>
      <c r="CH272" s="246"/>
      <c r="CI272" s="246"/>
      <c r="CJ272" s="246"/>
      <c r="CK272" s="246"/>
      <c r="CL272" s="48"/>
      <c r="CM272" s="63">
        <v>7.0000000000000007E-2</v>
      </c>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row>
    <row r="273" spans="1:91" ht="18" hidden="1" customHeight="1">
      <c r="A273" s="260" t="s">
        <v>1826</v>
      </c>
      <c r="B273" s="260" t="s">
        <v>1827</v>
      </c>
      <c r="C273" s="260" t="s">
        <v>1828</v>
      </c>
      <c r="D273" s="260" t="s">
        <v>1829</v>
      </c>
      <c r="E273" s="260" t="s">
        <v>1830</v>
      </c>
      <c r="F273" s="260" t="s">
        <v>1831</v>
      </c>
      <c r="G273" s="260" t="s">
        <v>1832</v>
      </c>
      <c r="H273" s="260" t="s">
        <v>1833</v>
      </c>
      <c r="I273" s="260"/>
      <c r="J273" s="260"/>
      <c r="K273" s="260" t="s">
        <v>1834</v>
      </c>
      <c r="L273" s="260" t="s">
        <v>1835</v>
      </c>
      <c r="M273" s="260" t="s">
        <v>1836</v>
      </c>
      <c r="N273" s="260" t="s">
        <v>111</v>
      </c>
      <c r="O273" s="260" t="s">
        <v>112</v>
      </c>
      <c r="P273" s="10">
        <v>667</v>
      </c>
      <c r="Q273" s="11">
        <v>150</v>
      </c>
      <c r="R273" s="11">
        <f t="shared" si="440"/>
        <v>51</v>
      </c>
      <c r="S273" s="11" t="str">
        <f>VLOOKUP(K273,'1121 Ambiente'!$K$13:$AK$38,9,0)</f>
        <v>Las áreas a rehabilitarse actualmente se encuentran en diagnostico para proceder a realizar las acciones de restauración, para lo cual se celebrará convenio para la reforestación por valor de $200.000.000</v>
      </c>
      <c r="T273" s="11">
        <v>0</v>
      </c>
      <c r="U273" s="11">
        <v>0</v>
      </c>
      <c r="V273" s="11">
        <v>0</v>
      </c>
      <c r="W273" s="11">
        <v>0</v>
      </c>
      <c r="X273" s="11">
        <v>0</v>
      </c>
      <c r="Y273" s="11">
        <v>0</v>
      </c>
      <c r="Z273" s="11">
        <v>0</v>
      </c>
      <c r="AA273" s="11"/>
      <c r="AB273" s="11"/>
      <c r="AC273" s="11"/>
      <c r="AD273" s="11">
        <v>60</v>
      </c>
      <c r="AE273" s="11">
        <v>0</v>
      </c>
      <c r="AF273" s="11">
        <f>VLOOKUP(K273,'1121 Ambiente'!$K$13:$AK$38,22,0)</f>
        <v>51</v>
      </c>
      <c r="AG273" s="11">
        <f>VLOOKUP(K273,'1121 Ambiente'!$K$13:$AK$38,23,0)</f>
        <v>0</v>
      </c>
      <c r="AH273" s="11">
        <f t="shared" si="441"/>
        <v>51</v>
      </c>
      <c r="AI273" s="11" t="str">
        <f>VLOOKUP(K273,'1121 Ambiente'!$K$13:$AK$38,25,0)</f>
        <v>51 Ha reforestadas</v>
      </c>
      <c r="AJ273" s="11" t="str">
        <f>VLOOKUP(K273,'1121 Ambiente'!$K$13:$AK$38,26,0)</f>
        <v>Se realizó la reforestación de 1 hectareas en 5 municipios pertenecientes a la cuenca del río Bogotá (Facatativá, Tausa, Sesquilé, Guatavitá y San Antonio del Tequendama)</v>
      </c>
      <c r="AK273" s="11">
        <f>VLOOKUP(K273,'1121 Ambiente'!$K$13:$AK$38,27,0)</f>
        <v>0</v>
      </c>
      <c r="AL273" s="11">
        <v>64</v>
      </c>
      <c r="AM273" s="11">
        <v>0</v>
      </c>
      <c r="AN273" s="11">
        <v>26</v>
      </c>
      <c r="AO273" s="11">
        <v>0</v>
      </c>
      <c r="AP273" s="11">
        <v>0</v>
      </c>
      <c r="AQ273" s="11">
        <v>0</v>
      </c>
      <c r="AR273" s="52"/>
      <c r="AS273" s="54">
        <v>0</v>
      </c>
      <c r="AT273" s="54">
        <f t="shared" si="434"/>
        <v>0</v>
      </c>
      <c r="AU273" s="52"/>
      <c r="AV273" s="243">
        <v>200000000</v>
      </c>
      <c r="AW273" s="244"/>
      <c r="AX273" s="244"/>
      <c r="AY273" s="243">
        <v>200000000</v>
      </c>
      <c r="AZ273" s="44">
        <f t="shared" si="442"/>
        <v>0.34</v>
      </c>
      <c r="BA273" s="44">
        <v>0</v>
      </c>
      <c r="BB273" s="44" t="s">
        <v>115</v>
      </c>
      <c r="BC273" s="44">
        <f t="shared" si="443"/>
        <v>0.4</v>
      </c>
      <c r="BD273" s="44" cm="1">
        <f t="array" ref="BD273">_xlfn.IFS(AD273=0,"NA",AD273&gt;0,AH273/AD273)</f>
        <v>0.85</v>
      </c>
      <c r="BE273" s="44">
        <f t="shared" si="444"/>
        <v>0.42666666666666669</v>
      </c>
      <c r="BF273" s="44">
        <v>0</v>
      </c>
      <c r="BG273" s="44">
        <f t="shared" si="445"/>
        <v>0.17333333333333334</v>
      </c>
      <c r="BH273" s="44">
        <v>0</v>
      </c>
      <c r="BI273" s="44">
        <f t="shared" si="446"/>
        <v>0</v>
      </c>
      <c r="BJ273" s="44" t="s">
        <v>115</v>
      </c>
      <c r="BK273" s="44">
        <f t="shared" si="435"/>
        <v>0.34</v>
      </c>
      <c r="BL273" s="44" t="s">
        <v>115</v>
      </c>
      <c r="BM273" s="44" cm="1">
        <f t="array" ref="BM273">_xlfn.IFS(BD273="NA","NA",BD273&gt;100%,"100%",BD273&lt;100,BD273)</f>
        <v>0.85</v>
      </c>
      <c r="BN273" s="44" cm="1">
        <f t="array" ref="BN273">_xlfn.IFS(BF273="NA","NA",BF273&gt;100%,"100%",BF273&lt;100,BF273)</f>
        <v>0</v>
      </c>
      <c r="BO273" s="44" cm="1">
        <f t="array" ref="BO273">_xlfn.IFS(BH273="NA","NA",BH273&gt;100%,"100%",BH273&lt;100,BH273)</f>
        <v>0</v>
      </c>
      <c r="BP273" s="44" t="str" cm="1">
        <f t="array" ref="BP273">_xlfn.IFS(BJ273="NA","NA",BJ273&gt;100%,"100%",BJ273&lt;100,BJ273)</f>
        <v>NA</v>
      </c>
      <c r="BQ273" s="45">
        <v>0.22500000000000001</v>
      </c>
      <c r="BR273" s="45">
        <f t="shared" si="436"/>
        <v>7.6500000000000012E-2</v>
      </c>
      <c r="BS273" s="45">
        <v>0</v>
      </c>
      <c r="BT273" s="45" t="s">
        <v>115</v>
      </c>
      <c r="BU273" s="45">
        <v>0</v>
      </c>
      <c r="BV273" s="45">
        <f t="shared" si="447"/>
        <v>0.09</v>
      </c>
      <c r="BW273" s="45">
        <f t="shared" si="448"/>
        <v>7.6499999999999999E-2</v>
      </c>
      <c r="BX273" s="45">
        <f t="shared" si="449"/>
        <v>7.6500000000000012E-2</v>
      </c>
      <c r="BY273" s="45">
        <f t="shared" si="450"/>
        <v>9.6000000000000002E-2</v>
      </c>
      <c r="BZ273" s="45">
        <f t="shared" si="451"/>
        <v>0</v>
      </c>
      <c r="CA273" s="45">
        <f t="shared" si="439"/>
        <v>0</v>
      </c>
      <c r="CB273" s="45">
        <f t="shared" si="452"/>
        <v>3.9000000000000007E-2</v>
      </c>
      <c r="CC273" s="45">
        <f t="shared" si="453"/>
        <v>0</v>
      </c>
      <c r="CD273" s="45">
        <v>0</v>
      </c>
      <c r="CE273" s="45">
        <f t="shared" si="454"/>
        <v>0</v>
      </c>
      <c r="CF273" s="45" t="str">
        <f t="shared" si="455"/>
        <v>NA</v>
      </c>
      <c r="CG273" s="45">
        <v>0</v>
      </c>
      <c r="CH273" s="244"/>
      <c r="CI273" s="244"/>
      <c r="CJ273" s="244"/>
      <c r="CK273" s="244"/>
      <c r="CM273" s="63">
        <v>0</v>
      </c>
    </row>
    <row r="274" spans="1:91" ht="18" hidden="1" customHeight="1">
      <c r="A274" s="260" t="s">
        <v>1826</v>
      </c>
      <c r="B274" s="260" t="s">
        <v>1827</v>
      </c>
      <c r="C274" s="260" t="s">
        <v>1828</v>
      </c>
      <c r="D274" s="260" t="s">
        <v>1829</v>
      </c>
      <c r="E274" s="260" t="s">
        <v>1830</v>
      </c>
      <c r="F274" s="260" t="s">
        <v>1837</v>
      </c>
      <c r="G274" s="260" t="s">
        <v>1838</v>
      </c>
      <c r="H274" s="260" t="s">
        <v>1839</v>
      </c>
      <c r="I274" s="260"/>
      <c r="J274" s="260"/>
      <c r="K274" s="260" t="s">
        <v>1840</v>
      </c>
      <c r="L274" s="260" t="s">
        <v>1841</v>
      </c>
      <c r="M274" s="260" t="s">
        <v>1842</v>
      </c>
      <c r="N274" s="260" t="s">
        <v>111</v>
      </c>
      <c r="O274" s="260" t="s">
        <v>112</v>
      </c>
      <c r="P274" s="10">
        <v>2</v>
      </c>
      <c r="Q274" s="11">
        <v>6</v>
      </c>
      <c r="R274" s="11">
        <f t="shared" si="440"/>
        <v>2</v>
      </c>
      <c r="S274" s="11" t="str">
        <f>VLOOKUP(K274,'1121 Ambiente'!$K$13:$AK$38,9,0)</f>
        <v xml:space="preserve">Se reportaron 2 viveros Nocaima SA-CDCVI-053-2021 $50.986.500 “Vivero Las Mercedes” y Caparrapí SA-CDCVI-054-2021 $47.500.000 “Vivero La Granja”, los cuales presentan un avance del 30% correspondiente al mantenimiento de las áreas que requieren arreglos locativos y la germinación de las plántulas.
Se reportaron 2 viveros Nocaima SA-CDCVI-053-2021 $50.986.500 “Vivero Las Mercedes” y Caparrapí SA-CDCVI-054-2021 $47.500.000 “Vivero La Granja”, los cuales presentan un avance del 30% correspondiente al mantenimiento de las áreas que requieren arreglos locativos y la germinación de las plántulas.
</v>
      </c>
      <c r="T274" s="11">
        <v>1</v>
      </c>
      <c r="U274" s="11">
        <v>0</v>
      </c>
      <c r="V274" s="11">
        <v>1</v>
      </c>
      <c r="W274" s="11">
        <v>0</v>
      </c>
      <c r="X274" s="11">
        <v>0</v>
      </c>
      <c r="Y274" s="11">
        <v>0</v>
      </c>
      <c r="Z274" s="11">
        <v>0</v>
      </c>
      <c r="AA274" s="11"/>
      <c r="AB274" s="11"/>
      <c r="AC274" s="11"/>
      <c r="AD274" s="11">
        <v>3</v>
      </c>
      <c r="AE274" s="11">
        <v>0</v>
      </c>
      <c r="AF274" s="11">
        <f>VLOOKUP(K274,'1121 Ambiente'!$K$13:$AK$38,22,0)</f>
        <v>2</v>
      </c>
      <c r="AG274" s="11">
        <f>VLOOKUP(K274,'1121 Ambiente'!$K$13:$AK$38,23,0)</f>
        <v>0</v>
      </c>
      <c r="AH274" s="11">
        <f t="shared" si="441"/>
        <v>2</v>
      </c>
      <c r="AI274" s="11" t="str">
        <f>VLOOKUP(K274,'1121 Ambiente'!$K$13:$AK$38,25,0)</f>
        <v>2 víveros implementados</v>
      </c>
      <c r="AJ274" s="11" t="str">
        <f>VLOOKUP(K274,'1121 Ambiente'!$K$13:$AK$38,26,0)</f>
        <v xml:space="preserve">Se realizó la implementación de los viveros de Nocaima y Caparrapí para propagar 75.000 árboles. </v>
      </c>
      <c r="AK274" s="11">
        <f>VLOOKUP(K274,'1121 Ambiente'!$K$13:$AK$38,27,0)</f>
        <v>0</v>
      </c>
      <c r="AL274" s="11">
        <v>2</v>
      </c>
      <c r="AM274" s="11">
        <v>0</v>
      </c>
      <c r="AN274" s="11">
        <v>0</v>
      </c>
      <c r="AO274" s="11">
        <v>0</v>
      </c>
      <c r="AP274" s="11">
        <v>0</v>
      </c>
      <c r="AQ274" s="11">
        <v>0</v>
      </c>
      <c r="AR274" s="51">
        <v>70590000</v>
      </c>
      <c r="AS274" s="54">
        <v>0</v>
      </c>
      <c r="AT274" s="54">
        <f t="shared" si="434"/>
        <v>70590000</v>
      </c>
      <c r="AU274" s="51">
        <v>0</v>
      </c>
      <c r="AV274" s="243">
        <v>735107408</v>
      </c>
      <c r="AW274" s="244"/>
      <c r="AX274" s="244"/>
      <c r="AY274" s="243">
        <v>392039034</v>
      </c>
      <c r="AZ274" s="44">
        <f t="shared" si="442"/>
        <v>0.33333333333333331</v>
      </c>
      <c r="BA274" s="44">
        <v>0.16669999999999999</v>
      </c>
      <c r="BB274" s="44">
        <v>0</v>
      </c>
      <c r="BC274" s="44">
        <f t="shared" si="443"/>
        <v>0.5</v>
      </c>
      <c r="BD274" s="44" cm="1">
        <f t="array" ref="BD274">_xlfn.IFS(AD274=0,"NA",AD274&gt;0,AH274/AD274)</f>
        <v>0.66666666666666663</v>
      </c>
      <c r="BE274" s="44">
        <f t="shared" si="444"/>
        <v>0.33333333333333331</v>
      </c>
      <c r="BF274" s="44">
        <v>0</v>
      </c>
      <c r="BG274" s="44">
        <f t="shared" si="445"/>
        <v>0</v>
      </c>
      <c r="BH274" s="44">
        <v>0</v>
      </c>
      <c r="BI274" s="44">
        <f t="shared" si="446"/>
        <v>0</v>
      </c>
      <c r="BJ274" s="44" t="s">
        <v>115</v>
      </c>
      <c r="BK274" s="44">
        <f t="shared" si="435"/>
        <v>0.33333333333333331</v>
      </c>
      <c r="BL274" s="44">
        <v>0</v>
      </c>
      <c r="BM274" s="44" cm="1">
        <f t="array" ref="BM274">_xlfn.IFS(BD274="NA","NA",BD274&gt;100%,"100%",BD274&lt;100,BD274)</f>
        <v>0.66666666666666663</v>
      </c>
      <c r="BN274" s="44" cm="1">
        <f t="array" ref="BN274">_xlfn.IFS(BF274="NA","NA",BF274&gt;100%,"100%",BF274&lt;100,BF274)</f>
        <v>0</v>
      </c>
      <c r="BO274" s="44" cm="1">
        <f t="array" ref="BO274">_xlfn.IFS(BH274="NA","NA",BH274&gt;100%,"100%",BH274&lt;100,BH274)</f>
        <v>0</v>
      </c>
      <c r="BP274" s="44" t="str" cm="1">
        <f t="array" ref="BP274">_xlfn.IFS(BJ274="NA","NA",BJ274&gt;100%,"100%",BJ274&lt;100,BJ274)</f>
        <v>NA</v>
      </c>
      <c r="BQ274" s="45">
        <v>0.22500000000000001</v>
      </c>
      <c r="BR274" s="45">
        <f t="shared" si="436"/>
        <v>7.4999999999999997E-2</v>
      </c>
      <c r="BS274" s="45">
        <v>3.7499999999999999E-2</v>
      </c>
      <c r="BT274" s="45">
        <v>0</v>
      </c>
      <c r="BU274" s="45">
        <v>0</v>
      </c>
      <c r="BV274" s="45">
        <f t="shared" si="447"/>
        <v>0.1125</v>
      </c>
      <c r="BW274" s="45">
        <f t="shared" si="448"/>
        <v>7.4999999999999997E-2</v>
      </c>
      <c r="BX274" s="45">
        <f t="shared" si="449"/>
        <v>7.4999999999999997E-2</v>
      </c>
      <c r="BY274" s="45">
        <f t="shared" si="450"/>
        <v>7.4999999999999997E-2</v>
      </c>
      <c r="BZ274" s="45">
        <f t="shared" si="451"/>
        <v>0</v>
      </c>
      <c r="CA274" s="45">
        <f t="shared" si="439"/>
        <v>0</v>
      </c>
      <c r="CB274" s="45">
        <f t="shared" si="452"/>
        <v>0</v>
      </c>
      <c r="CC274" s="45">
        <f t="shared" si="453"/>
        <v>0</v>
      </c>
      <c r="CD274" s="45">
        <v>0</v>
      </c>
      <c r="CE274" s="45">
        <f t="shared" si="454"/>
        <v>0</v>
      </c>
      <c r="CF274" s="45" t="str">
        <f t="shared" si="455"/>
        <v>NA</v>
      </c>
      <c r="CG274" s="45">
        <v>0</v>
      </c>
      <c r="CH274" s="244"/>
      <c r="CI274" s="244"/>
      <c r="CJ274" s="244"/>
      <c r="CK274" s="244"/>
      <c r="CM274" s="63">
        <v>2</v>
      </c>
    </row>
    <row r="275" spans="1:91" ht="18" hidden="1" customHeight="1">
      <c r="A275" s="260" t="s">
        <v>1826</v>
      </c>
      <c r="B275" s="260" t="s">
        <v>1827</v>
      </c>
      <c r="C275" s="260" t="s">
        <v>1828</v>
      </c>
      <c r="D275" s="260" t="s">
        <v>1829</v>
      </c>
      <c r="E275" s="260" t="s">
        <v>1830</v>
      </c>
      <c r="F275" s="260" t="s">
        <v>1843</v>
      </c>
      <c r="G275" s="260" t="s">
        <v>1844</v>
      </c>
      <c r="H275" s="260" t="s">
        <v>1845</v>
      </c>
      <c r="I275" s="260"/>
      <c r="J275" s="260"/>
      <c r="K275" s="260" t="s">
        <v>1846</v>
      </c>
      <c r="L275" s="260" t="s">
        <v>1847</v>
      </c>
      <c r="M275" s="260" t="s">
        <v>1848</v>
      </c>
      <c r="N275" s="260" t="s">
        <v>111</v>
      </c>
      <c r="O275" s="260" t="s">
        <v>112</v>
      </c>
      <c r="P275" s="10">
        <v>3</v>
      </c>
      <c r="Q275" s="11">
        <v>2</v>
      </c>
      <c r="R275" s="11">
        <f t="shared" si="440"/>
        <v>2</v>
      </c>
      <c r="S275" s="11" t="str">
        <f>VLOOKUP(K275,'1121 Ambiente'!$K$13:$AK$38,9,0)</f>
        <v xml:space="preserve">Se logró la limpieza de 35.853 m2 de espejo de agua del humedal CACAHUAL La Vega, por valor de $ 1.099.927.977 ($560.131.696 aportes CAR).
Convenio SA-CDCVI-031-2018 se logró la limpieza de 5.000 m2 del espejo de agua de la LAGUNA UBAQUE, por valor de $300.000.000.
</v>
      </c>
      <c r="T275" s="11">
        <v>0</v>
      </c>
      <c r="U275" s="11">
        <v>0</v>
      </c>
      <c r="V275" s="11">
        <v>0</v>
      </c>
      <c r="W275" s="11">
        <v>0</v>
      </c>
      <c r="X275" s="11">
        <v>0</v>
      </c>
      <c r="Y275" s="11">
        <v>0</v>
      </c>
      <c r="Z275" s="11">
        <v>0</v>
      </c>
      <c r="AA275" s="11"/>
      <c r="AB275" s="11"/>
      <c r="AC275" s="11"/>
      <c r="AD275" s="11">
        <v>2</v>
      </c>
      <c r="AE275" s="11">
        <v>0</v>
      </c>
      <c r="AF275" s="11">
        <f>VLOOKUP(K275,'1121 Ambiente'!$K$13:$AK$38,22,0)</f>
        <v>2</v>
      </c>
      <c r="AG275" s="11">
        <f>VLOOKUP(K275,'1121 Ambiente'!$K$13:$AK$38,23,0)</f>
        <v>0</v>
      </c>
      <c r="AH275" s="11">
        <f t="shared" si="441"/>
        <v>2</v>
      </c>
      <c r="AI275" s="11" t="str">
        <f>VLOOKUP(K275,'1121 Ambiente'!$K$13:$AK$38,25,0)</f>
        <v>2 lagunas recuperadas</v>
      </c>
      <c r="AJ275" s="11" t="str">
        <f>VLOOKUP(K275,'1121 Ambiente'!$K$13:$AK$38,26,0)</f>
        <v>Se logró la limpieza de 35853 m2 de espejo de agua del humedal CACAHUAL La Vega y 5000 m2 del espejo de agua de la LAGUNA UBAQUE</v>
      </c>
      <c r="AK275" s="11">
        <f>VLOOKUP(K275,'1121 Ambiente'!$K$13:$AK$38,27,0)</f>
        <v>0</v>
      </c>
      <c r="AL275" s="11">
        <v>0</v>
      </c>
      <c r="AM275" s="11">
        <v>1</v>
      </c>
      <c r="AN275" s="11">
        <v>0</v>
      </c>
      <c r="AO275" s="11">
        <v>0</v>
      </c>
      <c r="AP275" s="11">
        <v>0</v>
      </c>
      <c r="AQ275" s="11">
        <v>0</v>
      </c>
      <c r="AR275" s="52"/>
      <c r="AS275" s="54">
        <v>0</v>
      </c>
      <c r="AT275" s="54">
        <f t="shared" si="434"/>
        <v>0</v>
      </c>
      <c r="AU275" s="52"/>
      <c r="AV275" s="243">
        <v>412403941</v>
      </c>
      <c r="AW275" s="244"/>
      <c r="AX275" s="244"/>
      <c r="AY275" s="243">
        <v>412403941</v>
      </c>
      <c r="AZ275" s="44">
        <f t="shared" si="442"/>
        <v>1</v>
      </c>
      <c r="BA275" s="44">
        <v>0</v>
      </c>
      <c r="BB275" s="44" t="s">
        <v>115</v>
      </c>
      <c r="BC275" s="44">
        <f t="shared" si="443"/>
        <v>1</v>
      </c>
      <c r="BD275" s="44" cm="1">
        <f t="array" ref="BD275">_xlfn.IFS(AD275=0,"NA",AD275&gt;0,AH275/AD275)</f>
        <v>1</v>
      </c>
      <c r="BE275" s="44">
        <f t="shared" si="444"/>
        <v>0</v>
      </c>
      <c r="BF275" s="44">
        <v>0</v>
      </c>
      <c r="BG275" s="44">
        <f t="shared" si="445"/>
        <v>0</v>
      </c>
      <c r="BH275" s="44">
        <v>0</v>
      </c>
      <c r="BI275" s="44">
        <f t="shared" si="446"/>
        <v>0</v>
      </c>
      <c r="BJ275" s="44" t="s">
        <v>115</v>
      </c>
      <c r="BK275" s="44">
        <f t="shared" si="435"/>
        <v>1</v>
      </c>
      <c r="BL275" s="44" t="s">
        <v>115</v>
      </c>
      <c r="BM275" s="44" cm="1">
        <f t="array" ref="BM275">_xlfn.IFS(BD275="NA","NA",BD275&gt;100%,"100%",BD275&lt;100,BD275)</f>
        <v>1</v>
      </c>
      <c r="BN275" s="44" cm="1">
        <f t="array" ref="BN275">_xlfn.IFS(BF275="NA","NA",BF275&gt;100%,"100%",BF275&lt;100,BF275)</f>
        <v>0</v>
      </c>
      <c r="BO275" s="44" cm="1">
        <f t="array" ref="BO275">_xlfn.IFS(BH275="NA","NA",BH275&gt;100%,"100%",BH275&lt;100,BH275)</f>
        <v>0</v>
      </c>
      <c r="BP275" s="44" t="str" cm="1">
        <f t="array" ref="BP275">_xlfn.IFS(BJ275="NA","NA",BJ275&gt;100%,"100%",BJ275&lt;100,BJ275)</f>
        <v>NA</v>
      </c>
      <c r="BQ275" s="45">
        <v>0.22500000000000001</v>
      </c>
      <c r="BR275" s="45">
        <f t="shared" si="436"/>
        <v>0.22500000000000001</v>
      </c>
      <c r="BS275" s="45">
        <v>0</v>
      </c>
      <c r="BT275" s="45" t="s">
        <v>115</v>
      </c>
      <c r="BU275" s="45">
        <v>0</v>
      </c>
      <c r="BV275" s="45">
        <f t="shared" si="447"/>
        <v>0.22500000000000001</v>
      </c>
      <c r="BW275" s="45">
        <f t="shared" si="448"/>
        <v>0.22500000000000001</v>
      </c>
      <c r="BX275" s="45">
        <f t="shared" si="449"/>
        <v>0.22500000000000001</v>
      </c>
      <c r="BY275" s="45">
        <f t="shared" si="450"/>
        <v>0</v>
      </c>
      <c r="BZ275" s="45">
        <f t="shared" si="451"/>
        <v>0</v>
      </c>
      <c r="CA275" s="45">
        <f t="shared" si="439"/>
        <v>0</v>
      </c>
      <c r="CB275" s="45">
        <f t="shared" si="452"/>
        <v>0</v>
      </c>
      <c r="CC275" s="45">
        <f t="shared" si="453"/>
        <v>0</v>
      </c>
      <c r="CD275" s="45">
        <v>0</v>
      </c>
      <c r="CE275" s="45">
        <f t="shared" si="454"/>
        <v>0</v>
      </c>
      <c r="CF275" s="45" t="str">
        <f t="shared" si="455"/>
        <v>NA</v>
      </c>
      <c r="CG275" s="45">
        <v>0</v>
      </c>
      <c r="CH275" s="244"/>
      <c r="CI275" s="244"/>
      <c r="CJ275" s="244"/>
      <c r="CK275" s="244"/>
      <c r="CM275" s="63">
        <v>2</v>
      </c>
    </row>
    <row r="276" spans="1:91" ht="18" hidden="1" customHeight="1">
      <c r="A276" s="260" t="s">
        <v>1826</v>
      </c>
      <c r="B276" s="260" t="s">
        <v>1827</v>
      </c>
      <c r="C276" s="260" t="s">
        <v>1828</v>
      </c>
      <c r="D276" s="260" t="s">
        <v>1829</v>
      </c>
      <c r="E276" s="260" t="s">
        <v>1830</v>
      </c>
      <c r="F276" s="260" t="s">
        <v>1849</v>
      </c>
      <c r="G276" s="260" t="s">
        <v>1850</v>
      </c>
      <c r="H276" s="260" t="s">
        <v>1851</v>
      </c>
      <c r="I276" s="260"/>
      <c r="J276" s="260"/>
      <c r="K276" s="260" t="s">
        <v>1852</v>
      </c>
      <c r="L276" s="260" t="s">
        <v>1853</v>
      </c>
      <c r="M276" s="260" t="s">
        <v>1854</v>
      </c>
      <c r="N276" s="260" t="s">
        <v>111</v>
      </c>
      <c r="O276" s="260" t="s">
        <v>112</v>
      </c>
      <c r="P276" s="10">
        <v>4</v>
      </c>
      <c r="Q276" s="11">
        <v>4</v>
      </c>
      <c r="R276" s="11">
        <f t="shared" si="440"/>
        <v>1</v>
      </c>
      <c r="S276" s="11" t="str">
        <f>VLOOKUP(K276,'1121 Ambiente'!$K$13:$AK$38,9,0)</f>
        <v xml:space="preserve">A través del convenio 0978 CAR- DPTO por valor de $728.371.525, se realizó la implementación de una estrategia mediante la entrega de 80 Toneladas de alimento, para un total de 2.646 animales beneficiados. Piscilago (Nilo): 1.183 animales, Wakata, (Tocancipá): 721 animales, Santa Cruz (San Antonio Tequendama): 592 animales, Reserva (Cota): 150 animales.
</v>
      </c>
      <c r="T276" s="11">
        <v>0.5</v>
      </c>
      <c r="U276" s="11">
        <v>0</v>
      </c>
      <c r="V276" s="11">
        <v>0.5</v>
      </c>
      <c r="W276" s="11">
        <v>0</v>
      </c>
      <c r="X276" s="11">
        <v>0.5</v>
      </c>
      <c r="Y276" s="11">
        <v>0</v>
      </c>
      <c r="Z276" s="11">
        <v>0.5</v>
      </c>
      <c r="AA276" s="11">
        <v>0</v>
      </c>
      <c r="AB276" s="11"/>
      <c r="AC276" s="11">
        <v>0</v>
      </c>
      <c r="AD276" s="11">
        <v>0.5</v>
      </c>
      <c r="AE276" s="11">
        <v>0</v>
      </c>
      <c r="AF276" s="11">
        <f>VLOOKUP(K276,'1121 Ambiente'!$K$13:$AK$38,22,0)</f>
        <v>0.5</v>
      </c>
      <c r="AG276" s="11">
        <f>VLOOKUP(K276,'1121 Ambiente'!$K$13:$AK$38,23,0)</f>
        <v>0</v>
      </c>
      <c r="AH276" s="11">
        <f t="shared" si="441"/>
        <v>0.5</v>
      </c>
      <c r="AI276" s="11" t="str">
        <f>VLOOKUP(K276,'1121 Ambiente'!$K$13:$AK$38,25,0)</f>
        <v>1 estrategia implementada</v>
      </c>
      <c r="AJ276" s="11" t="str">
        <f>VLOOKUP(K276,'1121 Ambiente'!$K$13:$AK$38,26,0)</f>
        <v>Se logró la implementación de una estrategia con la entrega de 80 Toneladas de alimento entregadas beneficiando a 2.646 animales en los zoologicos de Piscilago (Nilo), Wakata, (Tocancipá), Santa Cruz (San Antonio Tequendama) y  Reserva (Cota)</v>
      </c>
      <c r="AK276" s="11" t="str">
        <f>VLOOKUP(K276,'1121 Ambiente'!$K$13:$AK$38,27,0)</f>
        <v>Convenio 0978 CAR- DPTO $728.371.525 
80 Toneladas de alimento entregadas y 2.646 animales beneficiados. Piscilago (Nilo): 1.183 animales, Wakata, (Tocancipá): 721 animales, Santa Cruz (San Antonio Tequendama): 592 animales, Reserva (Cota): 150 animales</v>
      </c>
      <c r="AL276" s="11">
        <v>2</v>
      </c>
      <c r="AM276" s="11">
        <v>0</v>
      </c>
      <c r="AN276" s="11">
        <v>1</v>
      </c>
      <c r="AO276" s="11">
        <v>0</v>
      </c>
      <c r="AP276" s="11">
        <v>0</v>
      </c>
      <c r="AQ276" s="11">
        <v>0</v>
      </c>
      <c r="AR276" s="51">
        <v>698371525</v>
      </c>
      <c r="AS276" s="54">
        <v>0</v>
      </c>
      <c r="AT276" s="54">
        <f t="shared" si="434"/>
        <v>698371525</v>
      </c>
      <c r="AU276" s="51">
        <v>691979111</v>
      </c>
      <c r="AV276" s="243">
        <v>334426676</v>
      </c>
      <c r="AW276" s="244"/>
      <c r="AX276" s="244"/>
      <c r="AY276" s="243">
        <v>318332380</v>
      </c>
      <c r="AZ276" s="44">
        <f t="shared" si="442"/>
        <v>0.25</v>
      </c>
      <c r="BA276" s="44">
        <v>0.125</v>
      </c>
      <c r="BB276" s="44">
        <v>1</v>
      </c>
      <c r="BC276" s="44">
        <f t="shared" si="443"/>
        <v>0.125</v>
      </c>
      <c r="BD276" s="44" cm="1">
        <f t="array" ref="BD276">_xlfn.IFS(AD276=0,"NA",AD276&gt;0,AH276/AD276)</f>
        <v>1</v>
      </c>
      <c r="BE276" s="44">
        <f t="shared" si="444"/>
        <v>0.5</v>
      </c>
      <c r="BF276" s="44">
        <v>0</v>
      </c>
      <c r="BG276" s="44">
        <f t="shared" si="445"/>
        <v>0.25</v>
      </c>
      <c r="BH276" s="44">
        <v>0</v>
      </c>
      <c r="BI276" s="44">
        <f t="shared" si="446"/>
        <v>0</v>
      </c>
      <c r="BJ276" s="44" t="s">
        <v>115</v>
      </c>
      <c r="BK276" s="44">
        <f t="shared" si="435"/>
        <v>0.25</v>
      </c>
      <c r="BL276" s="44">
        <v>1</v>
      </c>
      <c r="BM276" s="44" cm="1">
        <f t="array" ref="BM276">_xlfn.IFS(BD276="NA","NA",BD276&gt;100%,"100%",BD276&lt;100,BD276)</f>
        <v>1</v>
      </c>
      <c r="BN276" s="44" cm="1">
        <f t="array" ref="BN276">_xlfn.IFS(BF276="NA","NA",BF276&gt;100%,"100%",BF276&lt;100,BF276)</f>
        <v>0</v>
      </c>
      <c r="BO276" s="44" cm="1">
        <f t="array" ref="BO276">_xlfn.IFS(BH276="NA","NA",BH276&gt;100%,"100%",BH276&lt;100,BH276)</f>
        <v>0</v>
      </c>
      <c r="BP276" s="44" t="str" cm="1">
        <f t="array" ref="BP276">_xlfn.IFS(BJ276="NA","NA",BJ276&gt;100%,"100%",BJ276&lt;100,BJ276)</f>
        <v>NA</v>
      </c>
      <c r="BQ276" s="45">
        <v>0.22500000000000001</v>
      </c>
      <c r="BR276" s="45">
        <f t="shared" si="436"/>
        <v>5.6250000000000001E-2</v>
      </c>
      <c r="BS276" s="45">
        <v>2.81E-2</v>
      </c>
      <c r="BT276" s="45">
        <v>2.81E-2</v>
      </c>
      <c r="BU276" s="45">
        <v>2.81E-2</v>
      </c>
      <c r="BV276" s="45">
        <f t="shared" si="447"/>
        <v>2.8125000000000001E-2</v>
      </c>
      <c r="BW276" s="45">
        <f t="shared" si="448"/>
        <v>2.8125000000000001E-2</v>
      </c>
      <c r="BX276" s="45">
        <f t="shared" si="449"/>
        <v>2.8150000000000001E-2</v>
      </c>
      <c r="BY276" s="45">
        <f t="shared" si="450"/>
        <v>0.1125</v>
      </c>
      <c r="BZ276" s="45">
        <f t="shared" si="451"/>
        <v>0</v>
      </c>
      <c r="CA276" s="45">
        <f t="shared" si="439"/>
        <v>0</v>
      </c>
      <c r="CB276" s="45">
        <f t="shared" si="452"/>
        <v>5.6250000000000001E-2</v>
      </c>
      <c r="CC276" s="45">
        <f t="shared" si="453"/>
        <v>0</v>
      </c>
      <c r="CD276" s="45">
        <v>0</v>
      </c>
      <c r="CE276" s="45">
        <f t="shared" si="454"/>
        <v>0</v>
      </c>
      <c r="CF276" s="45" t="str">
        <f t="shared" si="455"/>
        <v>NA</v>
      </c>
      <c r="CG276" s="45">
        <v>0</v>
      </c>
      <c r="CH276" s="244"/>
      <c r="CI276" s="244"/>
      <c r="CJ276" s="244"/>
      <c r="CK276" s="244"/>
      <c r="CM276" s="63">
        <v>1</v>
      </c>
    </row>
    <row r="277" spans="1:91" ht="18" hidden="1" customHeight="1">
      <c r="A277" s="260" t="s">
        <v>1826</v>
      </c>
      <c r="B277" s="260" t="s">
        <v>1827</v>
      </c>
      <c r="C277" s="260" t="s">
        <v>1828</v>
      </c>
      <c r="D277" s="260" t="s">
        <v>1829</v>
      </c>
      <c r="E277" s="260" t="s">
        <v>1830</v>
      </c>
      <c r="F277" s="260" t="s">
        <v>1855</v>
      </c>
      <c r="G277" s="260" t="s">
        <v>1856</v>
      </c>
      <c r="H277" s="260" t="s">
        <v>1857</v>
      </c>
      <c r="I277" s="260"/>
      <c r="J277" s="260"/>
      <c r="K277" s="260" t="s">
        <v>1858</v>
      </c>
      <c r="L277" s="260" t="s">
        <v>1859</v>
      </c>
      <c r="M277" s="260" t="s">
        <v>1860</v>
      </c>
      <c r="N277" s="260" t="s">
        <v>111</v>
      </c>
      <c r="O277" s="260" t="s">
        <v>112</v>
      </c>
      <c r="P277" s="10">
        <v>51541.01</v>
      </c>
      <c r="Q277" s="11">
        <v>10000</v>
      </c>
      <c r="R277" s="11">
        <f t="shared" si="440"/>
        <v>1311.69</v>
      </c>
      <c r="S277" s="11" t="str">
        <f>VLOOKUP(K277,'1121 Ambiente'!$K$13:$AK$38,9,0)</f>
        <v xml:space="preserve">1037 hectáreas conservadas en relación a Apiarios con fines de conservación y restauración con acuerdos de conservación (Villapinzón, Gutiérrez, Zipaquirá, Viota, Silvania, Nilo, Chaguaní). A través de los convenios de recuperación de las Lagunas Cacahual del municipio de La Vega y Laguna Ubaque se logró la conservación de 48,05 hectáreas. Así mismo, a través del convenio 068-2020 celebrado con Corpoguavio se realizó la adquisición de 5 predios logrando la conservación de 123.20 Ha en los municipios de Gachalá y Guasca. 
Así mismo, a través del convenio 065-2021 suscrito con FONDECUN por valor de $948.782.844 se han visitado 636 de 700 predios con el fin de realizar el informe diagnostico de evaluación del estado actual de cada uno de estos, de los cuales 490 se encuentran aprobados, 134 en revisión y 12 en corrección, lo que representa un avance de ejecución del 90%. 
Convenio 056-2021 suscrito con la inmobiliaria para ADQUIRIR PREDIOS PRIORIZADOS DE IMPORTANCIA ESTRATÉGICA PARA LA CONSERVACIÓN DE RECURSOS HIDRICOS QUE SURTEN DE AGUA LOS ACUEDUCTOS MUNICIPALES, VEREDALES Y REGIONALES EN EL DEPARTAMENTO DE CUNDINAMARCA or valor de $2.324.084.515.
</v>
      </c>
      <c r="T277" s="11">
        <v>1500</v>
      </c>
      <c r="U277" s="11">
        <v>0</v>
      </c>
      <c r="V277" s="11">
        <v>1500</v>
      </c>
      <c r="W277" s="11">
        <v>0</v>
      </c>
      <c r="X277" s="11">
        <v>97.94</v>
      </c>
      <c r="Y277" s="11">
        <v>0</v>
      </c>
      <c r="Z277" s="11">
        <v>97.94</v>
      </c>
      <c r="AA277" s="11">
        <v>0</v>
      </c>
      <c r="AB277" s="11" t="s">
        <v>1861</v>
      </c>
      <c r="AC277" s="11">
        <v>0</v>
      </c>
      <c r="AD277" s="11">
        <v>3500</v>
      </c>
      <c r="AE277" s="11">
        <v>0</v>
      </c>
      <c r="AF277" s="11">
        <f>VLOOKUP(K277,'1121 Ambiente'!$K$13:$AK$38,22,0)</f>
        <v>1213.75</v>
      </c>
      <c r="AG277" s="11">
        <f>VLOOKUP(K277,'1121 Ambiente'!$K$13:$AK$38,23,0)</f>
        <v>0</v>
      </c>
      <c r="AH277" s="11">
        <f t="shared" si="441"/>
        <v>1213.75</v>
      </c>
      <c r="AI277" s="11" t="str">
        <f>VLOOKUP(K277,'1121 Ambiente'!$K$13:$AK$38,25,0)</f>
        <v>1.213 Ha conservadas</v>
      </c>
      <c r="AJ277" s="11" t="str">
        <f>VLOOKUP(K277,'1121 Ambiente'!$K$13:$AK$38,26,0)</f>
        <v>Durante el 2021 se han logrado conservar  1213.75 hectareas, de las cuales 1037 de apiarios con acuerdos de conservación  (Villapinzón, Gutiérrez, Zipaquirá, Viota, Silvania, Nilo, Chaguaní). 48.05 hectareas conservadas con la limpieza de dos cuerpos lagunares en el municipio de La Vega y de Ubaque, 12320 hectareas con la adquisición de predios en los municipios de GAchalá y Guasca y 5,5 hectareas mediante la instalación de 2.200 metros de cerca en los municipios de Facatativá, Guatavita y Silvania.</v>
      </c>
      <c r="AK277" s="11" t="str">
        <f>VLOOKUP(K277,'1121 Ambiente'!$K$13:$AK$38,27,0)</f>
        <v>La medición de la restauración se puede realizar luego de un año, sin embargo los cambios en los ecosistemas se pueden observar desde los 6 meses de instalados los apiarios.</v>
      </c>
      <c r="AL277" s="11">
        <v>3500</v>
      </c>
      <c r="AM277" s="11">
        <v>0</v>
      </c>
      <c r="AN277" s="11">
        <v>1500</v>
      </c>
      <c r="AO277" s="11">
        <v>0</v>
      </c>
      <c r="AP277" s="11">
        <v>0</v>
      </c>
      <c r="AQ277" s="11">
        <v>0</v>
      </c>
      <c r="AR277" s="51">
        <v>4806713038</v>
      </c>
      <c r="AS277" s="54">
        <v>0</v>
      </c>
      <c r="AT277" s="54">
        <f t="shared" si="434"/>
        <v>4806713038</v>
      </c>
      <c r="AU277" s="51">
        <v>2836983162</v>
      </c>
      <c r="AV277" s="243">
        <v>15727971242</v>
      </c>
      <c r="AW277" s="244"/>
      <c r="AX277" s="244"/>
      <c r="AY277" s="243">
        <v>8779131622</v>
      </c>
      <c r="AZ277" s="44">
        <f t="shared" si="442"/>
        <v>0.13116900000000001</v>
      </c>
      <c r="BA277" s="44">
        <v>0.15</v>
      </c>
      <c r="BB277" s="44">
        <v>6.5299999999999997E-2</v>
      </c>
      <c r="BC277" s="44">
        <f t="shared" si="443"/>
        <v>0.35</v>
      </c>
      <c r="BD277" s="44" cm="1">
        <f t="array" ref="BD277">_xlfn.IFS(AD277=0,"NA",AD277&gt;0,AH277/AD277)</f>
        <v>0.34678571428571431</v>
      </c>
      <c r="BE277" s="44">
        <f t="shared" si="444"/>
        <v>0.35</v>
      </c>
      <c r="BF277" s="44">
        <v>0</v>
      </c>
      <c r="BG277" s="44">
        <f t="shared" si="445"/>
        <v>0.15</v>
      </c>
      <c r="BH277" s="44">
        <v>0</v>
      </c>
      <c r="BI277" s="44">
        <f t="shared" si="446"/>
        <v>0</v>
      </c>
      <c r="BJ277" s="44" t="s">
        <v>115</v>
      </c>
      <c r="BK277" s="44">
        <f t="shared" si="435"/>
        <v>0.13116900000000001</v>
      </c>
      <c r="BL277" s="44">
        <v>6.5299999999999997E-2</v>
      </c>
      <c r="BM277" s="44" cm="1">
        <f t="array" ref="BM277">_xlfn.IFS(BD277="NA","NA",BD277&gt;100%,"100%",BD277&lt;100,BD277)</f>
        <v>0.34678571428571431</v>
      </c>
      <c r="BN277" s="44" cm="1">
        <f t="array" ref="BN277">_xlfn.IFS(BF277="NA","NA",BF277&gt;100%,"100%",BF277&lt;100,BF277)</f>
        <v>0</v>
      </c>
      <c r="BO277" s="44" cm="1">
        <f t="array" ref="BO277">_xlfn.IFS(BH277="NA","NA",BH277&gt;100%,"100%",BH277&lt;100,BH277)</f>
        <v>0</v>
      </c>
      <c r="BP277" s="44" t="str" cm="1">
        <f t="array" ref="BP277">_xlfn.IFS(BJ277="NA","NA",BJ277&gt;100%,"100%",BJ277&lt;100,BJ277)</f>
        <v>NA</v>
      </c>
      <c r="BQ277" s="45">
        <v>0.22500000000000001</v>
      </c>
      <c r="BR277" s="45">
        <f t="shared" si="436"/>
        <v>2.9513025000000002E-2</v>
      </c>
      <c r="BS277" s="45">
        <v>3.3799999999999997E-2</v>
      </c>
      <c r="BT277" s="45">
        <v>2.2000000000000001E-3</v>
      </c>
      <c r="BU277" s="45">
        <v>2.2000000000000001E-3</v>
      </c>
      <c r="BV277" s="45">
        <f t="shared" si="447"/>
        <v>7.8750000000000001E-2</v>
      </c>
      <c r="BW277" s="45">
        <f t="shared" si="448"/>
        <v>2.7309375E-2</v>
      </c>
      <c r="BX277" s="45">
        <f t="shared" si="449"/>
        <v>2.7313025000000001E-2</v>
      </c>
      <c r="BY277" s="45">
        <f t="shared" si="450"/>
        <v>7.8750000000000001E-2</v>
      </c>
      <c r="BZ277" s="45">
        <f t="shared" si="451"/>
        <v>0</v>
      </c>
      <c r="CA277" s="45">
        <f t="shared" si="439"/>
        <v>0</v>
      </c>
      <c r="CB277" s="45">
        <f t="shared" si="452"/>
        <v>3.3750000000000002E-2</v>
      </c>
      <c r="CC277" s="45">
        <f t="shared" si="453"/>
        <v>0</v>
      </c>
      <c r="CD277" s="45">
        <v>0</v>
      </c>
      <c r="CE277" s="45">
        <f t="shared" si="454"/>
        <v>0</v>
      </c>
      <c r="CF277" s="45" t="str">
        <f t="shared" si="455"/>
        <v>NA</v>
      </c>
      <c r="CG277" s="45">
        <v>0</v>
      </c>
      <c r="CH277" s="244"/>
      <c r="CI277" s="244"/>
      <c r="CJ277" s="244"/>
      <c r="CK277" s="244"/>
      <c r="CM277" s="63">
        <v>1305.94</v>
      </c>
    </row>
    <row r="278" spans="1:91" ht="18" hidden="1" customHeight="1">
      <c r="A278" s="260" t="s">
        <v>1826</v>
      </c>
      <c r="B278" s="260" t="s">
        <v>1827</v>
      </c>
      <c r="C278" s="260" t="s">
        <v>1828</v>
      </c>
      <c r="D278" s="260" t="s">
        <v>1829</v>
      </c>
      <c r="E278" s="260" t="s">
        <v>1830</v>
      </c>
      <c r="F278" s="260" t="s">
        <v>1862</v>
      </c>
      <c r="G278" s="260" t="s">
        <v>1863</v>
      </c>
      <c r="H278" s="260" t="s">
        <v>1864</v>
      </c>
      <c r="I278" s="260"/>
      <c r="J278" s="260"/>
      <c r="K278" s="260" t="s">
        <v>1865</v>
      </c>
      <c r="L278" s="260" t="s">
        <v>1866</v>
      </c>
      <c r="M278" s="260" t="s">
        <v>1867</v>
      </c>
      <c r="N278" s="260" t="s">
        <v>111</v>
      </c>
      <c r="O278" s="260" t="s">
        <v>112</v>
      </c>
      <c r="P278" s="10">
        <v>961985</v>
      </c>
      <c r="Q278" s="11">
        <v>1000000</v>
      </c>
      <c r="R278" s="11">
        <f t="shared" si="440"/>
        <v>322074</v>
      </c>
      <c r="S278" s="11" t="str">
        <f>VLOOKUP(K278,'1121 Ambiente'!$K$13:$AK$38,9,0)</f>
        <v>Se han realizado diferentes jornadas de siembra de árboles en diferentes municipios del departamento, logrando a 31 de agosto 145.895 como aporte a la meta. De los cuales  2.200 se realizaron a través de los convenios de Fincas Sostenibles 079-2020 Nilo 1600 Arboles Sembrados (Finca La Ilusión Especies De Igua) y 080-2020 Villeta Finca San Pedro  N° Plantas 600 Especies:   Oyuelo, Roble, Sauco, Cedro, Madre De Agua</v>
      </c>
      <c r="T278" s="11">
        <v>150000</v>
      </c>
      <c r="U278" s="11">
        <v>0</v>
      </c>
      <c r="V278" s="11">
        <v>40000</v>
      </c>
      <c r="W278" s="11">
        <v>0</v>
      </c>
      <c r="X278" s="11">
        <v>35050</v>
      </c>
      <c r="Y278" s="11">
        <v>0</v>
      </c>
      <c r="Z278" s="11">
        <v>35050</v>
      </c>
      <c r="AA278" s="11">
        <v>0</v>
      </c>
      <c r="AB278" s="11" t="s">
        <v>1868</v>
      </c>
      <c r="AC278" s="11">
        <v>0</v>
      </c>
      <c r="AD278" s="11">
        <v>300000</v>
      </c>
      <c r="AE278" s="11">
        <v>0</v>
      </c>
      <c r="AF278" s="11">
        <f>VLOOKUP(K278,'1121 Ambiente'!$K$13:$AK$38,22,0)</f>
        <v>287024</v>
      </c>
      <c r="AG278" s="11">
        <f>VLOOKUP(K278,'1121 Ambiente'!$K$13:$AK$38,23,0)</f>
        <v>0</v>
      </c>
      <c r="AH278" s="11">
        <f t="shared" si="441"/>
        <v>287024</v>
      </c>
      <c r="AI278" s="11" t="str">
        <f>VLOOKUP(K278,'1121 Ambiente'!$K$13:$AK$38,25,0)</f>
        <v xml:space="preserve">287.024 árboles sembrados
CHOCONTA  20760 ARBOLES SEMBRADOS COMO COMPENSACION
JERUSALEN,  248 ARBOLES SEMBRADOS COMO COMPENSACION
JUNIN, 600 ARBOLES SEMBRADOS COMO COMPENSACION
ANOLAIMA, 730 ARBOLES SEMBRADOS COMO COMPENSACION
GACHALA, 200 ARBOLES SEMBRADOS COMO COMPENSACION 
FUQUENE, 710 ARBOLES SEMBRADOS COMO COMPENSACION
ALBAN, 100 ARBOLES SEMBRADOS COMO COMPENSACION
NEMOCON ,1575 ARBOLES SEMBRADOS COMO COMPENSACION
VILLAPINZON, 790 ARBOLES SEMBRADOS COMO COMPENSACION
FACATATIVA, 680 ARBOLES SEMBRADOS COMO COMPENSACION
MOSQUERA, 12843 ARBOLES SEMBRADOS COMO COMPENSACION
FUNZA, 650 ARBOLES SEMBRADOS COMO COMPENSACION
LA CALERA, 423 ARBOLES SEMBRADOS COMO COMPENSACION
CHIA, 2844 ARBOLES SEMBRADOS COMO COMPENSACION
TABIO, 1860 ARBOLES SEMBRADOS COMO COMPENSACION
VILLAGOMEZ, 9375 ARBOLES SEMBRADOS COMO COMPENSACION
"Facatativa ,Especies Sembradas Central Laurel, Tibar Encenillo. Anillo Hayuelo, Arrayán, Mortiño, 
Macle, Amargoso, Corono, Espino, Chuque, Uva camarona, Ciro , Tinto, Duraznillo, Trompeto"
"Tausa, especies sembradas Central Laurel, Tibar, Encenillo, Arrayán, Aliso. Anillo Aliso, Arrayán, Mortiño, 
Macle, Amargoso, Corono, Espino, Chuque, Uva camarona, Ciro , Tinto, Duraznillo"
"Sesquilé, especies sembradas Central Laurel, Tibar, encenillo. Anillo Aliso, Arrayán, Mortiño, 
Macle, Amargoso, Corono, Espino"
"Silvania, especies sembradas Central Roble, Cedro. Anillos Nogal, Sangregado, Chicalá, 
 Inga, Cambulo, Guayacán de Manizales, Nacedero"
</v>
      </c>
      <c r="AJ278" s="11" t="str">
        <f>VLOOKUP(K278,'1121 Ambiente'!$K$13:$AK$38,26,0)</f>
        <v>Sibate 3000 árboles, Zipacón 1000 árboles, Nariño 500 arboles, Quetame 300 árboles, Nilo 4535 árboles, Guasca 1000 árboles y Cota 2769 árboles.  Agua De Dios 280, Albán 1.000, Apulo 500, Arbeláez 1.700, Cabrera 409, Cachipay 1.000, Cajicá 400, Cáqueza 3.300, Carmen De Carupa 1.650, Chía 2.844, Chipaque 2.360, Choachi 106, Cogua 154, El Colegio 215, El Rosal 375, Facatativá 680, Fosca 700, Funza 650, Fusagasugá 1.616, Gachancipá 450, Gacheta 1.028, Gama 1.000, Girardot 1.200, Guachetá 3.900, Guaduas 2.608, Guayabal de Síquima 200, Guayabetal 2.620, Gutiérrez 2.640, La Calera 423, La Palma 450, Lenguazaque 500, Macheta 340, Medina 2.182, Mosquera 12.843, Nemocón 1.575, Nilo 500, Pacho 422, Paime 750, Paratebueno 3.000, Pasca 11.113, Puerto Salgar 185, Ricaurte 1.554, San Antonio 620, San Bernardo 300, San Cayetano 800, San Juan Ríoseco 1.461, Sesquilé 350, Sibate 837, Silvania 900, Simijaca 9.500, Sopo 352, Subachoque 150, Suesca 387, Supata 1.000, Susa 630, Sutatausa 105, Tausa 1.000, Tena 170, Tenjo 715, Tibacuy 2.051, Tibirita 300, Tocaima 440, Tocancipá 964, Topaipi 200, Ubaté 400, Une 790, Viani 220, Villapinzón 790, Villeta 880, Viota 156, Villeta 670, Sasaima 670, Cachipay 670, Silvania 1.200, Soacha 374, Pandi 300, Guataquí 400, Ubalá 1200, Fusagasugá 100 Y Nemocón 2500 y Secretaria De Competitividad Y Desarrollo Económico 10.000 (Chocontá, La Calera, Villapinzón, Guatavita Y Guasca) Bojaca 686 Arboles Sembrados, El Peñón 1680, Guatavita 170, Madrid 2561, Venecia 640, San Antonio 300 (QDA La Cuy Siembra De Chicala, Chachafruto, Cambulo, Urapán), Sibate, 3000 (Especies De Aliso, Hierba Conejo, Sauco, Mortiño, Laurel, Arrayán, Borrachero, Arboloco), Nilo 1600 Arboles Sembrados (Finca La Ilusión Especies De Igua) Y Villeta Finca San Pedro  N° Plantas 600 Especies:   Oyuelo, Roble, Sauco, Cedro, Madre De Agua FOMEQUE, 500 ARBOLES SEMBRADOS, ANAPOIMA, 1291 ARBOLES SEMBRADOS CUCUNUBA, 16500 ARBOLES SEMBRADOS, SASAIMA, 150 ARBOLES SEMBRADOS
BELTRAN, 200 ARBOLES SEMBRADOS, ARBELAEZ, 600 ARBOLES SEMBRADOS EN LA FINCA EL MIRADOR VEREDA SAN MIGUEL Y  1000 ARBOLES SEMBRADOSN EN FINCA SEDEMAR VEREDA SAN JOSE., VENECIA, 1000 ARBOLES SEMBRADOS, FINCA ELPALMAR, QUEBRADA TIMBRIO, SILVANIA, 200 ARBOLESSEMBRADOS, VEREDA AGUA BONITA, QUEBRADA DIVINO NIÑO, SUBACHOQUE, 300 ARBOLES SEMBRADOS, PROTECCION QUEBRADA HORNILLO, VEREDA LA UNION.</v>
      </c>
      <c r="AK278" s="11" t="str">
        <f>VLOOKUP(K278,'1121 Ambiente'!$K$13:$AK$38,27,0)</f>
        <v>Debido a los problemas de ordén público presentados durante las movilizaciones de Paro Nacional se tuvieron que postergar visitas, por problemas en el desplazamiento</v>
      </c>
      <c r="AL278" s="11">
        <v>400000</v>
      </c>
      <c r="AM278" s="11">
        <v>0</v>
      </c>
      <c r="AN278" s="11">
        <v>2600000</v>
      </c>
      <c r="AO278" s="11">
        <v>0</v>
      </c>
      <c r="AP278" s="11">
        <v>0</v>
      </c>
      <c r="AQ278" s="11">
        <v>0</v>
      </c>
      <c r="AR278" s="51">
        <v>205790000</v>
      </c>
      <c r="AS278" s="54">
        <v>856800000</v>
      </c>
      <c r="AT278" s="54">
        <f t="shared" si="434"/>
        <v>1062590000</v>
      </c>
      <c r="AU278" s="51">
        <v>0</v>
      </c>
      <c r="AV278" s="243">
        <v>2636889697</v>
      </c>
      <c r="AW278" s="244"/>
      <c r="AX278" s="244"/>
      <c r="AY278" s="243">
        <v>1899383145</v>
      </c>
      <c r="AZ278" s="44">
        <f t="shared" si="442"/>
        <v>0.32207400000000003</v>
      </c>
      <c r="BA278" s="44">
        <v>0.04</v>
      </c>
      <c r="BB278" s="44">
        <v>0.87629999999999997</v>
      </c>
      <c r="BC278" s="44">
        <f t="shared" si="443"/>
        <v>0.3</v>
      </c>
      <c r="BD278" s="44" cm="1">
        <f t="array" ref="BD278">_xlfn.IFS(AD278=0,"NA",AD278&gt;0,AH278/AD278)</f>
        <v>0.95674666666666663</v>
      </c>
      <c r="BE278" s="44">
        <f t="shared" si="444"/>
        <v>0.4</v>
      </c>
      <c r="BF278" s="44">
        <v>0</v>
      </c>
      <c r="BG278" s="44">
        <f t="shared" si="445"/>
        <v>2.6</v>
      </c>
      <c r="BH278" s="44">
        <v>0</v>
      </c>
      <c r="BI278" s="44">
        <f t="shared" si="446"/>
        <v>0</v>
      </c>
      <c r="BJ278" s="44" t="s">
        <v>115</v>
      </c>
      <c r="BK278" s="44">
        <f t="shared" si="435"/>
        <v>0.32207400000000003</v>
      </c>
      <c r="BL278" s="44">
        <v>0.87629999999999997</v>
      </c>
      <c r="BM278" s="44" cm="1">
        <f t="array" ref="BM278">_xlfn.IFS(BD278="NA","NA",BD278&gt;100%,"100%",BD278&lt;100,BD278)</f>
        <v>0.95674666666666663</v>
      </c>
      <c r="BN278" s="44" cm="1">
        <f t="array" ref="BN278">_xlfn.IFS(BF278="NA","NA",BF278&gt;100%,"100%",BF278&lt;100,BF278)</f>
        <v>0</v>
      </c>
      <c r="BO278" s="44" cm="1">
        <f t="array" ref="BO278">_xlfn.IFS(BH278="NA","NA",BH278&gt;100%,"100%",BH278&lt;100,BH278)</f>
        <v>0</v>
      </c>
      <c r="BP278" s="44" t="str" cm="1">
        <f t="array" ref="BP278">_xlfn.IFS(BJ278="NA","NA",BJ278&gt;100%,"100%",BJ278&lt;100,BJ278)</f>
        <v>NA</v>
      </c>
      <c r="BQ278" s="45">
        <v>0.22500000000000001</v>
      </c>
      <c r="BR278" s="45">
        <f t="shared" si="436"/>
        <v>7.2466650000000007E-2</v>
      </c>
      <c r="BS278" s="45">
        <v>8.9999999999999993E-3</v>
      </c>
      <c r="BT278" s="45">
        <v>7.9000000000000008E-3</v>
      </c>
      <c r="BU278" s="45">
        <v>7.9000000000000008E-3</v>
      </c>
      <c r="BV278" s="45">
        <f t="shared" si="447"/>
        <v>6.7500000000000004E-2</v>
      </c>
      <c r="BW278" s="45">
        <f t="shared" si="448"/>
        <v>6.4580399999999996E-2</v>
      </c>
      <c r="BX278" s="45">
        <f t="shared" si="449"/>
        <v>6.4566650000000003E-2</v>
      </c>
      <c r="BY278" s="45">
        <f t="shared" si="450"/>
        <v>0.09</v>
      </c>
      <c r="BZ278" s="45">
        <f t="shared" si="451"/>
        <v>0</v>
      </c>
      <c r="CA278" s="45">
        <f t="shared" si="439"/>
        <v>0</v>
      </c>
      <c r="CB278" s="45">
        <f t="shared" si="452"/>
        <v>0.58499999999999996</v>
      </c>
      <c r="CC278" s="45">
        <f t="shared" si="453"/>
        <v>0</v>
      </c>
      <c r="CD278" s="45">
        <v>0</v>
      </c>
      <c r="CE278" s="45">
        <f t="shared" si="454"/>
        <v>0</v>
      </c>
      <c r="CF278" s="45" t="str">
        <f t="shared" si="455"/>
        <v>NA</v>
      </c>
      <c r="CG278" s="45">
        <v>0</v>
      </c>
      <c r="CH278" s="244"/>
      <c r="CI278" s="244"/>
      <c r="CJ278" s="244"/>
      <c r="CK278" s="244"/>
      <c r="CM278" s="63">
        <v>180945</v>
      </c>
    </row>
    <row r="279" spans="1:91" ht="18" hidden="1" customHeight="1">
      <c r="A279" s="260" t="s">
        <v>1826</v>
      </c>
      <c r="B279" s="260" t="s">
        <v>1827</v>
      </c>
      <c r="C279" s="260" t="s">
        <v>1828</v>
      </c>
      <c r="D279" s="260" t="s">
        <v>1829</v>
      </c>
      <c r="E279" s="260" t="s">
        <v>1830</v>
      </c>
      <c r="F279" s="260" t="s">
        <v>1869</v>
      </c>
      <c r="G279" s="260" t="s">
        <v>1870</v>
      </c>
      <c r="H279" s="260" t="s">
        <v>1871</v>
      </c>
      <c r="I279" s="260"/>
      <c r="J279" s="260"/>
      <c r="K279" s="260" t="s">
        <v>1872</v>
      </c>
      <c r="L279" s="260" t="s">
        <v>1873</v>
      </c>
      <c r="M279" s="260" t="s">
        <v>1848</v>
      </c>
      <c r="N279" s="260" t="s">
        <v>111</v>
      </c>
      <c r="O279" s="260" t="s">
        <v>112</v>
      </c>
      <c r="P279" s="10">
        <v>52</v>
      </c>
      <c r="Q279" s="11">
        <v>6</v>
      </c>
      <c r="R279" s="11">
        <f t="shared" si="440"/>
        <v>5</v>
      </c>
      <c r="S279" s="11" t="str">
        <f>VLOOKUP(K279,'1121 Ambiente'!$K$13:$AK$38,9,0)</f>
        <v xml:space="preserve">Durante la vigencia 2020 se formularon 3 PUEAAA  en los municipios de Pandi, Bituima y Viani. Para la vigencia 2021 se formularon dos PUEAA: Asociación de usuarios vereda el Tigre municipio de Vergara ASUAT (se radico en la CAR el PUEAA formulado el 16/06/2021) y Asociación ASCUABAÑA Zipacón (Se radico el 06/07/2021 a la CAR).
</v>
      </c>
      <c r="T279" s="11">
        <v>0</v>
      </c>
      <c r="U279" s="11">
        <v>0</v>
      </c>
      <c r="V279" s="11">
        <v>0</v>
      </c>
      <c r="W279" s="11">
        <v>0</v>
      </c>
      <c r="X279" s="11">
        <v>0</v>
      </c>
      <c r="Y279" s="11">
        <v>0</v>
      </c>
      <c r="Z279" s="11">
        <v>0</v>
      </c>
      <c r="AA279" s="11"/>
      <c r="AB279" s="11"/>
      <c r="AC279" s="11"/>
      <c r="AD279" s="11">
        <v>3</v>
      </c>
      <c r="AE279" s="11">
        <v>0</v>
      </c>
      <c r="AF279" s="11">
        <f>VLOOKUP(K279,'1121 Ambiente'!$K$13:$AK$38,22,0)</f>
        <v>5</v>
      </c>
      <c r="AG279" s="11">
        <f>VLOOKUP(K279,'1121 Ambiente'!$K$13:$AK$38,23,0)</f>
        <v>0</v>
      </c>
      <c r="AH279" s="11">
        <f t="shared" si="441"/>
        <v>5</v>
      </c>
      <c r="AI279" s="11" t="str">
        <f>VLOOKUP(K279,'1121 Ambiente'!$K$13:$AK$38,25,0)</f>
        <v>5 PUEAA formulados</v>
      </c>
      <c r="AJ279" s="11" t="str">
        <f>VLOOKUP(K279,'1121 Ambiente'!$K$13:$AK$38,26,0)</f>
        <v>Para la vigencia 2021 se formularon dos: Asociación de usuarios vereda el Tigre municipio de Vergara ASUAT (se radico en l CAR el PUEAA formulado el 16/06/2021) y Asociación ASCUABAÑA Zipacón (Se radico el 06/07/2021 a la CAR formulación PUEAA). Se realizó radicación ante la CAR de los PUEAA de Silvania, vereda Santa Isabel, Guaduas  vereda Lajitas, Sasaima Acualimonal</v>
      </c>
      <c r="AK279" s="11">
        <f>VLOOKUP(K279,'1121 Ambiente'!$K$13:$AK$38,27,0)</f>
        <v>0</v>
      </c>
      <c r="AL279" s="11">
        <v>3</v>
      </c>
      <c r="AM279" s="11">
        <v>0</v>
      </c>
      <c r="AN279" s="11">
        <v>0</v>
      </c>
      <c r="AO279" s="11">
        <v>0</v>
      </c>
      <c r="AP279" s="11">
        <v>0</v>
      </c>
      <c r="AQ279" s="11">
        <v>0</v>
      </c>
      <c r="AR279" s="52"/>
      <c r="AS279" s="54">
        <v>0</v>
      </c>
      <c r="AT279" s="54">
        <f t="shared" si="434"/>
        <v>0</v>
      </c>
      <c r="AU279" s="52"/>
      <c r="AV279" s="243">
        <v>451868102</v>
      </c>
      <c r="AW279" s="244"/>
      <c r="AX279" s="244"/>
      <c r="AY279" s="243">
        <v>385790825</v>
      </c>
      <c r="AZ279" s="44">
        <f t="shared" si="442"/>
        <v>0.83333333333333337</v>
      </c>
      <c r="BA279" s="44">
        <v>0</v>
      </c>
      <c r="BB279" s="44" t="s">
        <v>115</v>
      </c>
      <c r="BC279" s="44">
        <f t="shared" si="443"/>
        <v>0.5</v>
      </c>
      <c r="BD279" s="44" cm="1">
        <f t="array" ref="BD279">_xlfn.IFS(AD279=0,"NA",AD279&gt;0,AH279/AD279)</f>
        <v>1.6666666666666667</v>
      </c>
      <c r="BE279" s="44">
        <f t="shared" si="444"/>
        <v>0.5</v>
      </c>
      <c r="BF279" s="44">
        <v>0</v>
      </c>
      <c r="BG279" s="44">
        <f t="shared" si="445"/>
        <v>0</v>
      </c>
      <c r="BH279" s="44">
        <v>0</v>
      </c>
      <c r="BI279" s="44">
        <f t="shared" si="446"/>
        <v>0</v>
      </c>
      <c r="BJ279" s="44" t="s">
        <v>115</v>
      </c>
      <c r="BK279" s="44">
        <f t="shared" si="435"/>
        <v>0.83333333333333337</v>
      </c>
      <c r="BL279" s="44" t="s">
        <v>115</v>
      </c>
      <c r="BM279" s="44" t="str" cm="1">
        <f t="array" ref="BM279">_xlfn.IFS(BD279="NA","NA",BD279&gt;100%,"100%",BD279&lt;100,BD279)</f>
        <v>100%</v>
      </c>
      <c r="BN279" s="44" cm="1">
        <f t="array" ref="BN279">_xlfn.IFS(BF279="NA","NA",BF279&gt;100%,"100%",BF279&lt;100,BF279)</f>
        <v>0</v>
      </c>
      <c r="BO279" s="44" cm="1">
        <f t="array" ref="BO279">_xlfn.IFS(BH279="NA","NA",BH279&gt;100%,"100%",BH279&lt;100,BH279)</f>
        <v>0</v>
      </c>
      <c r="BP279" s="44" t="str" cm="1">
        <f t="array" ref="BP279">_xlfn.IFS(BJ279="NA","NA",BJ279&gt;100%,"100%",BJ279&lt;100,BJ279)</f>
        <v>NA</v>
      </c>
      <c r="BQ279" s="45">
        <v>0.22500000000000001</v>
      </c>
      <c r="BR279" s="45">
        <f t="shared" si="436"/>
        <v>0.1875</v>
      </c>
      <c r="BS279" s="45">
        <v>0</v>
      </c>
      <c r="BT279" s="45" t="s">
        <v>115</v>
      </c>
      <c r="BU279" s="45">
        <v>0</v>
      </c>
      <c r="BV279" s="45">
        <f t="shared" si="447"/>
        <v>0.1125</v>
      </c>
      <c r="BW279" s="45">
        <f t="shared" si="448"/>
        <v>0.1125</v>
      </c>
      <c r="BX279" s="45">
        <f t="shared" si="449"/>
        <v>0.1875</v>
      </c>
      <c r="BY279" s="45">
        <f t="shared" si="450"/>
        <v>0.1125</v>
      </c>
      <c r="BZ279" s="45">
        <f t="shared" si="451"/>
        <v>0</v>
      </c>
      <c r="CA279" s="45">
        <f t="shared" si="439"/>
        <v>0</v>
      </c>
      <c r="CB279" s="45">
        <f t="shared" si="452"/>
        <v>0</v>
      </c>
      <c r="CC279" s="45">
        <f t="shared" si="453"/>
        <v>0</v>
      </c>
      <c r="CD279" s="45">
        <v>0</v>
      </c>
      <c r="CE279" s="45">
        <f t="shared" si="454"/>
        <v>0</v>
      </c>
      <c r="CF279" s="45" t="str">
        <f t="shared" si="455"/>
        <v>NA</v>
      </c>
      <c r="CG279" s="45">
        <v>0</v>
      </c>
      <c r="CH279" s="244"/>
      <c r="CI279" s="244"/>
      <c r="CJ279" s="244"/>
      <c r="CK279" s="244"/>
      <c r="CM279" s="63">
        <v>5</v>
      </c>
    </row>
    <row r="280" spans="1:91" ht="18" hidden="1" customHeight="1">
      <c r="A280" s="260" t="s">
        <v>1302</v>
      </c>
      <c r="B280" s="260" t="s">
        <v>1303</v>
      </c>
      <c r="C280" s="260" t="s">
        <v>1828</v>
      </c>
      <c r="D280" s="260" t="s">
        <v>1829</v>
      </c>
      <c r="E280" s="260" t="s">
        <v>1830</v>
      </c>
      <c r="F280" s="260" t="s">
        <v>1837</v>
      </c>
      <c r="G280" s="260" t="s">
        <v>1838</v>
      </c>
      <c r="H280" s="260" t="s">
        <v>1874</v>
      </c>
      <c r="I280" s="260"/>
      <c r="J280" s="260"/>
      <c r="K280" s="260" t="s">
        <v>1875</v>
      </c>
      <c r="L280" s="260" t="s">
        <v>1876</v>
      </c>
      <c r="M280" s="260" t="s">
        <v>1877</v>
      </c>
      <c r="N280" s="260" t="s">
        <v>111</v>
      </c>
      <c r="O280" s="260" t="s">
        <v>112</v>
      </c>
      <c r="P280" s="10">
        <v>20</v>
      </c>
      <c r="Q280" s="11">
        <v>42</v>
      </c>
      <c r="R280" s="11">
        <f t="shared" si="440"/>
        <v>28</v>
      </c>
      <c r="S280" s="11" t="str">
        <f>VLOOKUP(K280,'1124 Agricultura'!$K$13:$AK$25,9,0)</f>
        <v>Se han intervenido 28 distritos de riego en su totalidad: en la vigencia 2020 se intervinieron  17 distritos de riego con la adquisición y entrega de elementos requeridos por ellos técnicamente como tuberías y accesorios para rehabilitación por suministros, así mismo para la vigencia 2021 tambien se han rehabilitado 11 distritos de riego por suministros y se entrego a 8 distritos más atendidos en la vigencia 2020 con otros elementos que requerian pero que por temas presupuestales no se pudo atender en su totalidad en esa vigencia</v>
      </c>
      <c r="T280" s="11">
        <v>10</v>
      </c>
      <c r="U280" s="11">
        <v>0</v>
      </c>
      <c r="V280" s="11">
        <v>17</v>
      </c>
      <c r="W280" s="11">
        <v>0</v>
      </c>
      <c r="X280" s="11">
        <v>17</v>
      </c>
      <c r="Y280" s="11">
        <v>0</v>
      </c>
      <c r="Z280" s="11">
        <v>17</v>
      </c>
      <c r="AA280" s="11" t="s">
        <v>1878</v>
      </c>
      <c r="AB280" s="11" t="s">
        <v>1879</v>
      </c>
      <c r="AC280" s="11">
        <v>0</v>
      </c>
      <c r="AD280" s="206">
        <v>12</v>
      </c>
      <c r="AE280" s="11">
        <v>0</v>
      </c>
      <c r="AF280" s="11">
        <f>VLOOKUP(K280,'1124 Agricultura'!$K$13:$AK$25,22,0)</f>
        <v>11</v>
      </c>
      <c r="AG280" s="11">
        <f>VLOOKUP(K280,'1124 Agricultura'!$K$13:$AK$25,23,0)</f>
        <v>8</v>
      </c>
      <c r="AH280" s="11">
        <f t="shared" si="441"/>
        <v>11</v>
      </c>
      <c r="AI280" s="11" t="str">
        <f>VLOOKUP(K280,'1124 Agricultura'!$K$13:$AK$25,25,0)</f>
        <v>Distritos de Riego Rehabilitados por suministros</v>
      </c>
      <c r="AJ280" s="11" t="str">
        <f>VLOOKUP(K280,'1124 Agricultura'!$K$13:$AK$25,26,0)</f>
        <v>Se hizo la entrega a 11 distritos de riego nuevos en los municipios de Cachipay (2 Asociaciones), Ubaque (2 Asociaciones), Fómeque (2 Asociaciones), Fúquene (1 Asociación), Fusagasugá (2 Asociaciones), Pasca (1 Asociación) y Choachí (1 Asociación). Así mismo se entregó a 8 asociaciones más que ya habían sido atendidas en el 2020 otros suministros que habían quedado pendientes por temas de recursos en los municipios de: Anolaima (1 Asociación), Cachipay (1 Asociación), Ubaque (1 Asociación), Fómeque (1 asociación), Pasca (1 Asociación), Suesca (1 Asociación) y Choachí (2 Asociaciones). El total de beneficiados fue de 1.468 productores nuevos y 741 productores antiguos atendidos en 2020 para un total de 2.209 beneficiarios.</v>
      </c>
      <c r="AK280" s="11">
        <f>VLOOKUP(K280,'1124 Agricultura'!$K$13:$AK$25,27,0)</f>
        <v>0</v>
      </c>
      <c r="AL280" s="206">
        <v>7</v>
      </c>
      <c r="AM280" s="11">
        <v>0</v>
      </c>
      <c r="AN280" s="206">
        <v>6</v>
      </c>
      <c r="AO280" s="11">
        <v>0</v>
      </c>
      <c r="AP280" s="11">
        <v>0</v>
      </c>
      <c r="AQ280" s="11">
        <v>0</v>
      </c>
      <c r="AR280" s="51">
        <v>249999802</v>
      </c>
      <c r="AS280" s="54">
        <v>0</v>
      </c>
      <c r="AT280" s="54">
        <f t="shared" si="434"/>
        <v>249999802</v>
      </c>
      <c r="AU280" s="51">
        <v>249999802</v>
      </c>
      <c r="AV280" s="243">
        <v>1063000000</v>
      </c>
      <c r="AW280" s="244"/>
      <c r="AX280" s="244"/>
      <c r="AY280" s="243">
        <v>1062998752</v>
      </c>
      <c r="AZ280" s="44">
        <f t="shared" si="442"/>
        <v>0.66666666666666663</v>
      </c>
      <c r="BA280" s="44">
        <v>0.40479999999999999</v>
      </c>
      <c r="BB280" s="44">
        <v>1</v>
      </c>
      <c r="BC280" s="44">
        <f t="shared" si="443"/>
        <v>0.2857142857142857</v>
      </c>
      <c r="BD280" s="44" cm="1">
        <f t="array" ref="BD280">_xlfn.IFS(AD280=0,"NA",AD280&gt;0,AH280/AD280)</f>
        <v>0.91666666666666663</v>
      </c>
      <c r="BE280" s="44">
        <f t="shared" si="444"/>
        <v>0.16666666666666666</v>
      </c>
      <c r="BF280" s="44">
        <v>0</v>
      </c>
      <c r="BG280" s="44">
        <f t="shared" si="445"/>
        <v>0.14285714285714285</v>
      </c>
      <c r="BH280" s="44">
        <v>0</v>
      </c>
      <c r="BI280" s="44">
        <f t="shared" si="446"/>
        <v>0</v>
      </c>
      <c r="BJ280" s="44" t="s">
        <v>115</v>
      </c>
      <c r="BK280" s="44">
        <f t="shared" si="435"/>
        <v>0.66666666666666663</v>
      </c>
      <c r="BL280" s="44">
        <v>1</v>
      </c>
      <c r="BM280" s="44" cm="1">
        <f t="array" ref="BM280">_xlfn.IFS(BD280="NA","NA",BD280&gt;100%,"100%",BD280&lt;100,BD280)</f>
        <v>0.91666666666666663</v>
      </c>
      <c r="BN280" s="44" cm="1">
        <f t="array" ref="BN280">_xlfn.IFS(BF280="NA","NA",BF280&gt;100%,"100%",BF280&lt;100,BF280)</f>
        <v>0</v>
      </c>
      <c r="BO280" s="44" cm="1">
        <f t="array" ref="BO280">_xlfn.IFS(BH280="NA","NA",BH280&gt;100%,"100%",BH280&lt;100,BH280)</f>
        <v>0</v>
      </c>
      <c r="BP280" s="44" t="str" cm="1">
        <f t="array" ref="BP280">_xlfn.IFS(BJ280="NA","NA",BJ280&gt;100%,"100%",BJ280&lt;100,BJ280)</f>
        <v>NA</v>
      </c>
      <c r="BQ280" s="45">
        <v>0.22500000000000001</v>
      </c>
      <c r="BR280" s="45">
        <f t="shared" si="436"/>
        <v>0.15</v>
      </c>
      <c r="BS280" s="45">
        <v>9.11E-2</v>
      </c>
      <c r="BT280" s="45">
        <v>9.11E-2</v>
      </c>
      <c r="BU280" s="45">
        <v>9.11E-2</v>
      </c>
      <c r="BV280" s="45">
        <f t="shared" si="447"/>
        <v>6.4285714285714293E-2</v>
      </c>
      <c r="BW280" s="45">
        <f t="shared" si="448"/>
        <v>5.8928571428571434E-2</v>
      </c>
      <c r="BX280" s="45">
        <f t="shared" si="449"/>
        <v>5.8899999999999994E-2</v>
      </c>
      <c r="BY280" s="45">
        <f t="shared" si="450"/>
        <v>3.7499999999999999E-2</v>
      </c>
      <c r="BZ280" s="45">
        <f t="shared" si="451"/>
        <v>0</v>
      </c>
      <c r="CA280" s="45">
        <f t="shared" si="439"/>
        <v>0</v>
      </c>
      <c r="CB280" s="45">
        <f t="shared" si="452"/>
        <v>3.2142857142857147E-2</v>
      </c>
      <c r="CC280" s="45">
        <f t="shared" si="453"/>
        <v>0</v>
      </c>
      <c r="CD280" s="45">
        <v>0</v>
      </c>
      <c r="CE280" s="45">
        <f t="shared" si="454"/>
        <v>0</v>
      </c>
      <c r="CF280" s="45" t="str">
        <f t="shared" si="455"/>
        <v>NA</v>
      </c>
      <c r="CG280" s="45">
        <v>0</v>
      </c>
      <c r="CH280" s="244"/>
      <c r="CI280" s="244"/>
      <c r="CJ280" s="244"/>
      <c r="CK280" s="244"/>
      <c r="CM280" s="63">
        <v>26</v>
      </c>
    </row>
    <row r="281" spans="1:91" ht="18" hidden="1" customHeight="1">
      <c r="A281" s="260" t="s">
        <v>1302</v>
      </c>
      <c r="B281" s="260" t="s">
        <v>1303</v>
      </c>
      <c r="C281" s="260" t="s">
        <v>1828</v>
      </c>
      <c r="D281" s="260" t="s">
        <v>1829</v>
      </c>
      <c r="E281" s="260" t="s">
        <v>1830</v>
      </c>
      <c r="F281" s="260" t="s">
        <v>1837</v>
      </c>
      <c r="G281" s="260" t="s">
        <v>1838</v>
      </c>
      <c r="H281" s="260" t="s">
        <v>1880</v>
      </c>
      <c r="I281" s="260"/>
      <c r="J281" s="260"/>
      <c r="K281" s="260" t="s">
        <v>1881</v>
      </c>
      <c r="L281" s="260" t="s">
        <v>1882</v>
      </c>
      <c r="M281" s="260" t="s">
        <v>1883</v>
      </c>
      <c r="N281" s="260" t="s">
        <v>111</v>
      </c>
      <c r="O281" s="260" t="s">
        <v>112</v>
      </c>
      <c r="P281" s="10">
        <v>0</v>
      </c>
      <c r="Q281" s="11">
        <v>2</v>
      </c>
      <c r="R281" s="11">
        <f t="shared" si="440"/>
        <v>0</v>
      </c>
      <c r="S281" s="11" t="str">
        <f>VLOOKUP(K281,'1124 Agricultura'!$K$13:$AK$25,9,0)</f>
        <v>Meta que esta programada para la vigencia 2023</v>
      </c>
      <c r="T281" s="11">
        <v>0</v>
      </c>
      <c r="U281" s="11">
        <v>0</v>
      </c>
      <c r="V281" s="11">
        <v>0</v>
      </c>
      <c r="W281" s="11">
        <v>0</v>
      </c>
      <c r="X281" s="11">
        <v>0</v>
      </c>
      <c r="Y281" s="11">
        <v>0</v>
      </c>
      <c r="Z281" s="11">
        <v>0</v>
      </c>
      <c r="AA281" s="11"/>
      <c r="AB281" s="11"/>
      <c r="AC281" s="11"/>
      <c r="AD281" s="11">
        <v>0</v>
      </c>
      <c r="AE281" s="11">
        <v>0</v>
      </c>
      <c r="AF281" s="11">
        <f>VLOOKUP(K281,'1124 Agricultura'!$K$13:$AK$25,22,0)</f>
        <v>0</v>
      </c>
      <c r="AG281" s="11">
        <f>VLOOKUP(K281,'1124 Agricultura'!$K$13:$AK$25,23,0)</f>
        <v>0</v>
      </c>
      <c r="AH281" s="11">
        <f t="shared" si="441"/>
        <v>0</v>
      </c>
      <c r="AI281" s="11">
        <f>VLOOKUP(K281,'1124 Agricultura'!$K$13:$AK$25,25,0)</f>
        <v>0</v>
      </c>
      <c r="AJ281" s="11" t="str">
        <f>VLOOKUP(K281,'1124 Agricultura'!$K$13:$AK$25,26,0)</f>
        <v>Esta meta se solicitó a Planeación reprogramarla para la vigencia 2023 por lo tanto no se ejecutará este año</v>
      </c>
      <c r="AK281" s="11">
        <f>VLOOKUP(K281,'1124 Agricultura'!$K$13:$AK$25,27,0)</f>
        <v>0</v>
      </c>
      <c r="AL281" s="11">
        <v>0</v>
      </c>
      <c r="AM281" s="11">
        <v>0</v>
      </c>
      <c r="AN281" s="11">
        <v>2</v>
      </c>
      <c r="AO281" s="11">
        <v>0</v>
      </c>
      <c r="AP281" s="11">
        <v>0</v>
      </c>
      <c r="AQ281" s="11">
        <v>0</v>
      </c>
      <c r="AR281" s="52"/>
      <c r="AS281" s="54">
        <v>0</v>
      </c>
      <c r="AT281" s="54">
        <f t="shared" si="434"/>
        <v>0</v>
      </c>
      <c r="AU281" s="52"/>
      <c r="AV281" s="243">
        <v>0</v>
      </c>
      <c r="AW281" s="244"/>
      <c r="AX281" s="244"/>
      <c r="AY281" s="243">
        <v>0</v>
      </c>
      <c r="AZ281" s="44">
        <f t="shared" si="442"/>
        <v>0</v>
      </c>
      <c r="BA281" s="44">
        <v>0</v>
      </c>
      <c r="BB281" s="44" t="s">
        <v>115</v>
      </c>
      <c r="BC281" s="44">
        <f t="shared" si="443"/>
        <v>0</v>
      </c>
      <c r="BD281" s="44" t="str" cm="1">
        <f t="array" ref="BD281">_xlfn.IFS(AD281=0,"NA",AD281&gt;0,AH281/AD281)</f>
        <v>NA</v>
      </c>
      <c r="BE281" s="44">
        <f t="shared" si="444"/>
        <v>0</v>
      </c>
      <c r="BF281" s="44">
        <v>0</v>
      </c>
      <c r="BG281" s="44">
        <f t="shared" si="445"/>
        <v>1</v>
      </c>
      <c r="BH281" s="44">
        <v>0</v>
      </c>
      <c r="BI281" s="44">
        <f t="shared" si="446"/>
        <v>0</v>
      </c>
      <c r="BJ281" s="44" t="s">
        <v>115</v>
      </c>
      <c r="BK281" s="44">
        <f t="shared" si="435"/>
        <v>0</v>
      </c>
      <c r="BL281" s="44" t="s">
        <v>115</v>
      </c>
      <c r="BM281" s="44" t="str" cm="1">
        <f t="array" ref="BM281">_xlfn.IFS(BD281="NA","NA",BD281&gt;100%,"100%",BD281&lt;100,BD281)</f>
        <v>NA</v>
      </c>
      <c r="BN281" s="44" cm="1">
        <f t="array" ref="BN281">_xlfn.IFS(BF281="NA","NA",BF281&gt;100%,"100%",BF281&lt;100,BF281)</f>
        <v>0</v>
      </c>
      <c r="BO281" s="44" cm="1">
        <f t="array" ref="BO281">_xlfn.IFS(BH281="NA","NA",BH281&gt;100%,"100%",BH281&lt;100,BH281)</f>
        <v>0</v>
      </c>
      <c r="BP281" s="44" t="str" cm="1">
        <f t="array" ref="BP281">_xlfn.IFS(BJ281="NA","NA",BJ281&gt;100%,"100%",BJ281&lt;100,BJ281)</f>
        <v>NA</v>
      </c>
      <c r="BQ281" s="45">
        <v>0.22500000000000001</v>
      </c>
      <c r="BR281" s="45">
        <f t="shared" si="436"/>
        <v>0</v>
      </c>
      <c r="BS281" s="45">
        <v>0</v>
      </c>
      <c r="BT281" s="45" t="s">
        <v>115</v>
      </c>
      <c r="BU281" s="45">
        <v>0</v>
      </c>
      <c r="BV281" s="45">
        <f t="shared" si="447"/>
        <v>0</v>
      </c>
      <c r="BW281" s="45" t="str">
        <f t="shared" si="448"/>
        <v>NA</v>
      </c>
      <c r="BX281" s="45">
        <f t="shared" si="449"/>
        <v>0</v>
      </c>
      <c r="BY281" s="45">
        <f t="shared" si="450"/>
        <v>0</v>
      </c>
      <c r="BZ281" s="45">
        <f t="shared" si="451"/>
        <v>0</v>
      </c>
      <c r="CA281" s="45">
        <f t="shared" si="439"/>
        <v>0</v>
      </c>
      <c r="CB281" s="45">
        <f t="shared" si="452"/>
        <v>0.22500000000000001</v>
      </c>
      <c r="CC281" s="45">
        <f t="shared" si="453"/>
        <v>0</v>
      </c>
      <c r="CD281" s="45">
        <v>0</v>
      </c>
      <c r="CE281" s="45">
        <f t="shared" si="454"/>
        <v>0</v>
      </c>
      <c r="CF281" s="45" t="str">
        <f t="shared" si="455"/>
        <v>NA</v>
      </c>
      <c r="CG281" s="45">
        <v>0</v>
      </c>
      <c r="CH281" s="244"/>
      <c r="CI281" s="244"/>
      <c r="CJ281" s="244"/>
      <c r="CK281" s="244"/>
      <c r="CM281" s="63">
        <v>0</v>
      </c>
    </row>
    <row r="282" spans="1:91" ht="18" hidden="1" customHeight="1">
      <c r="A282" s="260" t="s">
        <v>1302</v>
      </c>
      <c r="B282" s="260" t="s">
        <v>1303</v>
      </c>
      <c r="C282" s="260" t="s">
        <v>1828</v>
      </c>
      <c r="D282" s="260" t="s">
        <v>1829</v>
      </c>
      <c r="E282" s="260" t="s">
        <v>1830</v>
      </c>
      <c r="F282" s="260" t="s">
        <v>1837</v>
      </c>
      <c r="G282" s="260" t="s">
        <v>1838</v>
      </c>
      <c r="H282" s="260" t="s">
        <v>1884</v>
      </c>
      <c r="I282" s="260"/>
      <c r="J282" s="260"/>
      <c r="K282" s="260" t="s">
        <v>1885</v>
      </c>
      <c r="L282" s="260" t="s">
        <v>1886</v>
      </c>
      <c r="M282" s="260" t="s">
        <v>1887</v>
      </c>
      <c r="N282" s="260" t="s">
        <v>111</v>
      </c>
      <c r="O282" s="260" t="s">
        <v>112</v>
      </c>
      <c r="P282" s="10">
        <v>713</v>
      </c>
      <c r="Q282" s="11">
        <v>350</v>
      </c>
      <c r="R282" s="11">
        <f t="shared" si="440"/>
        <v>62</v>
      </c>
      <c r="S282" s="11" t="str">
        <f>VLOOKUP(K282,'1124 Agricultura'!$K$13:$AK$25,9,0)</f>
        <v xml:space="preserve">Se priorizaron inicialmente 16 municipios para la entrega de 139 reservorios (Zipaquirá, Nemocón, La Calera, Junín, Machetá, Ubaté, Cucunubá, Fúquene, Madrid, El Rosal, La Mesa, Viotá, El Colegio, Tocaima, Nariño y Beltran). Los predios son seleccionados por los municipios con los criterios establecidos por la Secretaría de Agricultura y Desarrollo Rural los cuales son:
*Propietarios o poseedores de buena fe – certificados por juntas de acción comunal y por la Alcaldía 
*Pequeños productores agropecuarios – lo certifica las oficinas de desarrollo económico o las UMATA
*Que demuestren la necesidad del aprovechamiento del recurso hídrico 
*Que cuenten con el área disponible para la instalación. Preferiblemente terreno plano
El tipo de reservorios a entregar son tipo australiano (desarmables) entre 20.000 y 25.000 litros cada uno.
Para el mes de diciembre entra una adición de recursos con los cuales se llegaran a 10 municipios más entregando 130 reservorios (Anapoima, Cogua, La Peña, Lenguazaque, Sasaima, Simijaca, Susa, Tábio, Tibirita y Villeta) por lo que aumentara lo programado en la vigencia 2021.
 Al 30 de Noviembre se han entregado 62 reservorios así: 6 en La Calera, 40 en Zipaquirá, 10 en Nemocón, 6 en Ubaté. En el mes de noviembre se estima la instalación de reservorios en Zipaquirá, Nemocón, el Rosal y Madrid
</v>
      </c>
      <c r="T282" s="11">
        <v>0</v>
      </c>
      <c r="U282" s="11">
        <v>0</v>
      </c>
      <c r="V282" s="11">
        <v>0</v>
      </c>
      <c r="W282" s="11">
        <v>0</v>
      </c>
      <c r="X282" s="11">
        <v>0</v>
      </c>
      <c r="Y282" s="11">
        <v>0</v>
      </c>
      <c r="Z282" s="11">
        <v>0</v>
      </c>
      <c r="AA282" s="11"/>
      <c r="AB282" s="11"/>
      <c r="AC282" s="11"/>
      <c r="AD282" s="11">
        <v>139</v>
      </c>
      <c r="AE282" s="11">
        <v>0</v>
      </c>
      <c r="AF282" s="11">
        <f>VLOOKUP(K282,'1124 Agricultura'!$K$13:$AK$25,22,0)</f>
        <v>62</v>
      </c>
      <c r="AG282" s="11">
        <f>VLOOKUP(K282,'1124 Agricultura'!$K$13:$AK$25,23,0)</f>
        <v>0</v>
      </c>
      <c r="AH282" s="11">
        <f t="shared" si="441"/>
        <v>62</v>
      </c>
      <c r="AI282" s="11" t="str">
        <f>VLOOKUP(K282,'1124 Agricultura'!$K$13:$AK$25,25,0)</f>
        <v>Predios con Reservorios</v>
      </c>
      <c r="AJ282" s="11" t="str">
        <f>VLOOKUP(K282,'1124 Agricultura'!$K$13:$AK$25,26,0)</f>
        <v xml:space="preserve">Se priorizaron inicialmente 16 municipios para la entrega de 139 reservorios (Zipaquirá, Nemocón, La Calera, Junín, Machetá, Ubaté, Cucunubá, Fúquene, Madrid, El Rosal, La Mesa, Viotá, El Colegio, Tocaima, Nariño y Beltran). Los predios son seleccionados por los municipios con los criterios establecidos por la Secretaría de Agricultura y Desarrollo Rural los cuales son:
*Propietarios o poseedores de buena fe – certificados por juntas de acción comunal y por la Alcaldía 
*Pequeños productores agropecuarios – lo certifica las oficinas de desarrollo económico o las UMATA
*Que demuestren la necesidad del aprovechamiento del recurso hídrico 
*Que cuenten con el área disponible para la instalación. Preferiblemente terreno plano
El tipo de reservorios a entregar son tipo australiano (desarmables) entre 20.000 y 25.000 litros cada uno.
Para el mes de diciembre entra una adición de recursos con los cuales se llegaran a 10 municipios más entregando 130 reservorios (Anapoima, Cogua, La Peña, Lenguazaque, Sasaima, Simijaca, Susa, Tábio, Tibirita y Villeta) por lo que aumentara lo programado en la vigencia 2021.
 Al 30 de Noviembre se han entregado 62 reservorios así: 6 en La Calera, 40 en Zipaquirá, 10 en Nemocón, 6 en Ubaté. En el mes de noviembre se estima la instalación de reservorios en Zipaquirá, Nemocón, el Rosal y Madrid
</v>
      </c>
      <c r="AK282" s="11">
        <f>VLOOKUP(K282,'1124 Agricultura'!$K$13:$AK$25,27,0)</f>
        <v>0</v>
      </c>
      <c r="AL282" s="11">
        <v>170</v>
      </c>
      <c r="AM282" s="11">
        <v>0</v>
      </c>
      <c r="AN282" s="11">
        <v>41</v>
      </c>
      <c r="AO282" s="11">
        <v>0</v>
      </c>
      <c r="AP282" s="11">
        <v>0</v>
      </c>
      <c r="AQ282" s="11">
        <v>0</v>
      </c>
      <c r="AR282" s="52"/>
      <c r="AS282" s="54">
        <v>0</v>
      </c>
      <c r="AT282" s="54">
        <f t="shared" si="434"/>
        <v>0</v>
      </c>
      <c r="AU282" s="52"/>
      <c r="AV282" s="243">
        <v>2068000000</v>
      </c>
      <c r="AW282" s="244"/>
      <c r="AX282" s="244"/>
      <c r="AY282" s="243">
        <v>1064024428</v>
      </c>
      <c r="AZ282" s="44">
        <f t="shared" si="442"/>
        <v>0.17714285714285713</v>
      </c>
      <c r="BA282" s="44">
        <v>0</v>
      </c>
      <c r="BB282" s="44" t="s">
        <v>115</v>
      </c>
      <c r="BC282" s="44">
        <f t="shared" si="443"/>
        <v>0.39714285714285713</v>
      </c>
      <c r="BD282" s="44" cm="1">
        <f t="array" ref="BD282">_xlfn.IFS(AD282=0,"NA",AD282&gt;0,AH282/AD282)</f>
        <v>0.4460431654676259</v>
      </c>
      <c r="BE282" s="44">
        <f t="shared" si="444"/>
        <v>0.48571428571428571</v>
      </c>
      <c r="BF282" s="44">
        <v>0</v>
      </c>
      <c r="BG282" s="44">
        <f t="shared" si="445"/>
        <v>0.11714285714285715</v>
      </c>
      <c r="BH282" s="44">
        <v>0</v>
      </c>
      <c r="BI282" s="44">
        <f t="shared" si="446"/>
        <v>0</v>
      </c>
      <c r="BJ282" s="44" t="s">
        <v>115</v>
      </c>
      <c r="BK282" s="44">
        <f t="shared" si="435"/>
        <v>0.17714285714285713</v>
      </c>
      <c r="BL282" s="44" t="s">
        <v>115</v>
      </c>
      <c r="BM282" s="44" cm="1">
        <f t="array" ref="BM282">_xlfn.IFS(BD282="NA","NA",BD282&gt;100%,"100%",BD282&lt;100,BD282)</f>
        <v>0.4460431654676259</v>
      </c>
      <c r="BN282" s="44" cm="1">
        <f t="array" ref="BN282">_xlfn.IFS(BF282="NA","NA",BF282&gt;100%,"100%",BF282&lt;100,BF282)</f>
        <v>0</v>
      </c>
      <c r="BO282" s="44" cm="1">
        <f t="array" ref="BO282">_xlfn.IFS(BH282="NA","NA",BH282&gt;100%,"100%",BH282&lt;100,BH282)</f>
        <v>0</v>
      </c>
      <c r="BP282" s="44" t="str" cm="1">
        <f t="array" ref="BP282">_xlfn.IFS(BJ282="NA","NA",BJ282&gt;100%,"100%",BJ282&lt;100,BJ282)</f>
        <v>NA</v>
      </c>
      <c r="BQ282" s="45">
        <v>0.22500000000000001</v>
      </c>
      <c r="BR282" s="45">
        <f t="shared" si="436"/>
        <v>3.9857142857142855E-2</v>
      </c>
      <c r="BS282" s="45">
        <v>0</v>
      </c>
      <c r="BT282" s="45" t="s">
        <v>115</v>
      </c>
      <c r="BU282" s="45">
        <v>0</v>
      </c>
      <c r="BV282" s="45">
        <f t="shared" si="447"/>
        <v>8.9357142857142857E-2</v>
      </c>
      <c r="BW282" s="45">
        <f t="shared" si="448"/>
        <v>3.9857142857142855E-2</v>
      </c>
      <c r="BX282" s="45">
        <f t="shared" si="449"/>
        <v>3.9857142857142855E-2</v>
      </c>
      <c r="BY282" s="45">
        <f t="shared" si="450"/>
        <v>0.10928571428571429</v>
      </c>
      <c r="BZ282" s="45">
        <f t="shared" si="451"/>
        <v>0</v>
      </c>
      <c r="CA282" s="45">
        <f t="shared" si="439"/>
        <v>0</v>
      </c>
      <c r="CB282" s="45">
        <f t="shared" si="452"/>
        <v>2.6357142857142857E-2</v>
      </c>
      <c r="CC282" s="45">
        <f t="shared" si="453"/>
        <v>0</v>
      </c>
      <c r="CD282" s="45">
        <v>0</v>
      </c>
      <c r="CE282" s="45">
        <f t="shared" si="454"/>
        <v>0</v>
      </c>
      <c r="CF282" s="45" t="str">
        <f t="shared" si="455"/>
        <v>NA</v>
      </c>
      <c r="CG282" s="45">
        <v>0</v>
      </c>
      <c r="CH282" s="244"/>
      <c r="CI282" s="244"/>
      <c r="CJ282" s="244"/>
      <c r="CK282" s="244"/>
      <c r="CM282" s="63">
        <v>0</v>
      </c>
    </row>
    <row r="283" spans="1:91" ht="18" hidden="1" customHeight="1">
      <c r="A283" s="260" t="s">
        <v>1826</v>
      </c>
      <c r="B283" s="260" t="s">
        <v>1827</v>
      </c>
      <c r="C283" s="260" t="s">
        <v>1828</v>
      </c>
      <c r="D283" s="260" t="s">
        <v>1829</v>
      </c>
      <c r="E283" s="260" t="s">
        <v>1830</v>
      </c>
      <c r="F283" s="260" t="s">
        <v>1837</v>
      </c>
      <c r="G283" s="260" t="s">
        <v>1838</v>
      </c>
      <c r="H283" s="260" t="s">
        <v>1888</v>
      </c>
      <c r="I283" s="260"/>
      <c r="J283" s="260"/>
      <c r="K283" s="260" t="s">
        <v>1889</v>
      </c>
      <c r="L283" s="260" t="s">
        <v>1890</v>
      </c>
      <c r="M283" s="260" t="s">
        <v>1891</v>
      </c>
      <c r="N283" s="260" t="s">
        <v>123</v>
      </c>
      <c r="O283" s="260" t="s">
        <v>124</v>
      </c>
      <c r="P283" s="10">
        <v>100</v>
      </c>
      <c r="Q283" s="11">
        <v>100</v>
      </c>
      <c r="R283" s="11">
        <f t="shared" ref="R283:R284" si="456">(Z283+AH283)/CL283</f>
        <v>48.907499999999999</v>
      </c>
      <c r="S283" s="11" t="str">
        <f>VLOOKUP(K283,'1121 Ambiente'!$K$13:$AK$38,9,0)</f>
        <v xml:space="preserve">Para la vigencia 2020 se realizó la transferencia de recursos destinados a agua potable y saneamiento básico en un 100%, para la vigencia 2021 se tiene un avance correspondiente a la transferencia de los recursos de $18.535.000.000
</v>
      </c>
      <c r="T283" s="11">
        <v>0</v>
      </c>
      <c r="U283" s="11">
        <v>100</v>
      </c>
      <c r="V283" s="11">
        <v>0</v>
      </c>
      <c r="W283" s="11">
        <v>100</v>
      </c>
      <c r="X283" s="11" t="s">
        <v>115</v>
      </c>
      <c r="Y283" s="11">
        <v>100</v>
      </c>
      <c r="Z283" s="11">
        <v>100</v>
      </c>
      <c r="AA283" s="11" t="s">
        <v>1892</v>
      </c>
      <c r="AB283" s="11" t="s">
        <v>1893</v>
      </c>
      <c r="AC283" s="11">
        <v>0</v>
      </c>
      <c r="AD283" s="11">
        <v>0</v>
      </c>
      <c r="AE283" s="11">
        <v>100</v>
      </c>
      <c r="AF283" s="11">
        <f>VLOOKUP(K283,'1121 Ambiente'!$K$13:$AK$38,22,0)</f>
        <v>0</v>
      </c>
      <c r="AG283" s="11">
        <f>VLOOKUP(K283,'1121 Ambiente'!$K$13:$AK$38,23,0)</f>
        <v>95.63</v>
      </c>
      <c r="AH283" s="11">
        <f t="shared" ref="AH283:AH284" si="457">AG283</f>
        <v>95.63</v>
      </c>
      <c r="AI283" s="11" t="str">
        <f>VLOOKUP(K283,'1121 Ambiente'!$K$13:$AK$38,25,0)</f>
        <v>0.95% transferidos para el PDA</v>
      </c>
      <c r="AJ283" s="11" t="str">
        <f>VLOOKUP(K283,'1121 Ambiente'!$K$13:$AK$38,26,0)</f>
        <v>Los recursos desembolsados no corresponden al 95, 63%, sino un valor menor valor.
Para el mes de Septeimbre se transfirieron 10.000.000.000 de recursos ordinarios al FIA( tercer desembolso), corresponde al 75% y se giraron 6.180.000.000 de los recursos de SGP (2 desembolso), corresponde al 50% 
Teniendo en cuenta lo anterior se puede deducir que la meta total va en un 62,5%</v>
      </c>
      <c r="AK283" s="11">
        <f>VLOOKUP(K283,'1121 Ambiente'!$K$13:$AK$38,27,0)</f>
        <v>0</v>
      </c>
      <c r="AL283" s="11">
        <v>0</v>
      </c>
      <c r="AM283" s="11">
        <v>100</v>
      </c>
      <c r="AN283" s="11">
        <v>0</v>
      </c>
      <c r="AO283" s="11">
        <v>100</v>
      </c>
      <c r="AP283" s="11">
        <v>0</v>
      </c>
      <c r="AQ283" s="11">
        <v>0</v>
      </c>
      <c r="AR283" s="51">
        <v>41517183293</v>
      </c>
      <c r="AS283" s="54">
        <v>0</v>
      </c>
      <c r="AT283" s="54">
        <f t="shared" si="434"/>
        <v>41517183293</v>
      </c>
      <c r="AU283" s="51">
        <v>31827445696</v>
      </c>
      <c r="AV283" s="243">
        <v>69348815620</v>
      </c>
      <c r="AW283" s="244"/>
      <c r="AX283" s="244"/>
      <c r="AY283" s="243">
        <v>69348815620</v>
      </c>
      <c r="AZ283" s="44" cm="1">
        <f t="array" ref="AZ283">_xlfn.IFS((BA283=0),(BD283/CL283),(BA283&gt;0),((BB283+BD283)/CL283),(BE283&gt;0),((BB283+BD283+BE283)/CL283),(BG283&gt;0),((BB283+BD283+BE283+G283)/CL283))</f>
        <v>0.48907499999999998</v>
      </c>
      <c r="BA283" s="44">
        <v>0.25</v>
      </c>
      <c r="BB283" s="44">
        <v>1</v>
      </c>
      <c r="BC283" s="44">
        <f t="shared" ref="BC283:BC284" si="458">IF(AE283&gt;0,(1/CL283),0)</f>
        <v>0.25</v>
      </c>
      <c r="BD283" s="44" cm="1">
        <f t="array" ref="BD283">_xlfn.IFS(AE283=0,"NA",AE283&gt;0,AH283/AE283)</f>
        <v>0.95629999999999993</v>
      </c>
      <c r="BE283" s="44">
        <f t="shared" ref="BE283:BE284" si="459">IF(AM283&gt;0,(1/CL283),0)</f>
        <v>0.25</v>
      </c>
      <c r="BF283" s="44">
        <v>0</v>
      </c>
      <c r="BG283" s="44">
        <f t="shared" ref="BG283:BG284" si="460">IF(AO283&gt;0,(1/CL283),0)</f>
        <v>0.25</v>
      </c>
      <c r="BH283" s="44">
        <v>0</v>
      </c>
      <c r="BI283" s="44">
        <v>0</v>
      </c>
      <c r="BJ283" s="44" t="s">
        <v>115</v>
      </c>
      <c r="BK283" s="44">
        <f t="shared" si="435"/>
        <v>0.48907499999999998</v>
      </c>
      <c r="BL283" s="44">
        <v>1</v>
      </c>
      <c r="BM283" s="44" cm="1">
        <f t="array" ref="BM283">_xlfn.IFS(BD283="NA","NA",BD283&gt;100%,"100%",BD283&lt;100,BD283)</f>
        <v>0.95629999999999993</v>
      </c>
      <c r="BN283" s="44">
        <v>0</v>
      </c>
      <c r="BO283" s="44">
        <v>0</v>
      </c>
      <c r="BP283" s="44" t="s">
        <v>115</v>
      </c>
      <c r="BQ283" s="45">
        <v>0.22500000000000001</v>
      </c>
      <c r="BR283" s="45">
        <f t="shared" si="436"/>
        <v>0.110041875</v>
      </c>
      <c r="BS283" s="45">
        <v>5.6300000000000003E-2</v>
      </c>
      <c r="BT283" s="45">
        <v>5.6300000000000003E-2</v>
      </c>
      <c r="BU283" s="45">
        <v>5.6300000000000003E-2</v>
      </c>
      <c r="BV283" s="45">
        <v>5.6300000000000003E-2</v>
      </c>
      <c r="BW283" s="45">
        <f t="shared" si="448"/>
        <v>5.3839689999999996E-2</v>
      </c>
      <c r="BX283" s="45">
        <f t="shared" si="449"/>
        <v>5.3741874999999995E-2</v>
      </c>
      <c r="BY283" s="45">
        <v>5.6300000000000003E-2</v>
      </c>
      <c r="BZ283" s="45">
        <v>0</v>
      </c>
      <c r="CA283" s="45">
        <f t="shared" si="439"/>
        <v>0</v>
      </c>
      <c r="CB283" s="45">
        <v>5.6300000000000003E-2</v>
      </c>
      <c r="CC283" s="45">
        <v>0</v>
      </c>
      <c r="CD283" s="45">
        <v>0</v>
      </c>
      <c r="CE283" s="45">
        <v>0</v>
      </c>
      <c r="CF283" s="45" t="s">
        <v>115</v>
      </c>
      <c r="CG283" s="45">
        <v>0</v>
      </c>
      <c r="CH283" s="244">
        <f t="shared" ref="CH283:CH284" si="461">IF(W283&gt;0,1,0)</f>
        <v>1</v>
      </c>
      <c r="CI283" s="244">
        <f t="shared" ref="CI283:CI284" si="462">IF(AE283&gt;0,1,0)</f>
        <v>1</v>
      </c>
      <c r="CJ283" s="244">
        <f t="shared" ref="CJ283:CJ284" si="463">IF(AM283&gt;0,1,0)</f>
        <v>1</v>
      </c>
      <c r="CK283" s="244">
        <f t="shared" ref="CK283:CK284" si="464">IF(AO283&gt;0,1,0)</f>
        <v>1</v>
      </c>
      <c r="CL283">
        <f t="shared" ref="CL283:CL284" si="465">CH283+CI283+CJ283+CK283</f>
        <v>4</v>
      </c>
      <c r="CM283" s="63">
        <f t="shared" ref="CM283:CM284" si="466">AVERAGE(Z283,AH283)</f>
        <v>97.814999999999998</v>
      </c>
    </row>
    <row r="284" spans="1:91" ht="18" hidden="1" customHeight="1">
      <c r="A284" s="260" t="s">
        <v>98</v>
      </c>
      <c r="B284" s="260" t="s">
        <v>99</v>
      </c>
      <c r="C284" s="260" t="s">
        <v>1828</v>
      </c>
      <c r="D284" s="260" t="s">
        <v>1829</v>
      </c>
      <c r="E284" s="260" t="s">
        <v>1830</v>
      </c>
      <c r="F284" s="260" t="s">
        <v>1843</v>
      </c>
      <c r="G284" s="260" t="s">
        <v>1844</v>
      </c>
      <c r="H284" s="260" t="s">
        <v>1894</v>
      </c>
      <c r="I284" s="260" t="s">
        <v>200</v>
      </c>
      <c r="J284" s="260" t="s">
        <v>1895</v>
      </c>
      <c r="K284" s="260" t="s">
        <v>1896</v>
      </c>
      <c r="L284" s="260" t="s">
        <v>1897</v>
      </c>
      <c r="M284" s="260" t="s">
        <v>1898</v>
      </c>
      <c r="N284" s="260" t="s">
        <v>111</v>
      </c>
      <c r="O284" s="260" t="s">
        <v>124</v>
      </c>
      <c r="P284" s="10">
        <v>0</v>
      </c>
      <c r="Q284" s="11">
        <v>7</v>
      </c>
      <c r="R284" s="11">
        <f t="shared" si="456"/>
        <v>3.5</v>
      </c>
      <c r="S284" s="11" t="str">
        <f>VLOOKUP(K284,'1197 Salud'!$K$13:$AK$54,9,0)</f>
        <v>Se implementaron los 7 planes de acción de las mesas técnicas de agua, aire, alimentos seguridad alimentaria y nutrición, zoonosis, sustancias químicas, residuos sólidos y entornos saludables. y se realizara el seguimiento trimestral a la ejecución de los planes de acción de las mesas técnicas de agua, aire, alimentos seguridad alimentaria y nutrición, zoonosis, sustancias químicas, residuos sólidos y entornos saludables.</v>
      </c>
      <c r="T284" s="11">
        <v>0</v>
      </c>
      <c r="U284" s="11">
        <v>7</v>
      </c>
      <c r="V284" s="11">
        <v>0</v>
      </c>
      <c r="W284" s="11">
        <v>7</v>
      </c>
      <c r="X284" s="11" t="s">
        <v>115</v>
      </c>
      <c r="Y284" s="11">
        <v>7</v>
      </c>
      <c r="Z284" s="11">
        <v>7</v>
      </c>
      <c r="AA284" s="11" t="s">
        <v>1899</v>
      </c>
      <c r="AB284" s="11" t="s">
        <v>1900</v>
      </c>
      <c r="AC284" s="11" t="s">
        <v>1901</v>
      </c>
      <c r="AD284" s="11">
        <v>0</v>
      </c>
      <c r="AE284" s="11">
        <v>7</v>
      </c>
      <c r="AF284" s="11">
        <f>VLOOKUP(K284,'1197 Salud'!$K$13:$AK$54,22,0)</f>
        <v>0</v>
      </c>
      <c r="AG284" s="11">
        <f>VLOOKUP(K284,'1197 Salud'!$K$13:$AK$54,23,0)</f>
        <v>7</v>
      </c>
      <c r="AH284" s="11">
        <f t="shared" si="457"/>
        <v>7</v>
      </c>
      <c r="AI284" s="11" t="str">
        <f>VLOOKUP(K284,'1197 Salud'!$K$13:$AK$54,25,0)</f>
        <v>Planes de acción COTSACUN implementados</v>
      </c>
      <c r="AJ284" s="11">
        <f>VLOOKUP(K284,'1197 Salud'!$K$13:$AK$54,26,0)</f>
        <v>0</v>
      </c>
      <c r="AK284" s="11">
        <f>VLOOKUP(K284,'1197 Salud'!$K$13:$AK$54,27,0)</f>
        <v>0</v>
      </c>
      <c r="AL284" s="11">
        <v>0</v>
      </c>
      <c r="AM284" s="11">
        <v>7</v>
      </c>
      <c r="AN284" s="11">
        <v>0</v>
      </c>
      <c r="AO284" s="11">
        <v>7</v>
      </c>
      <c r="AP284" s="11">
        <v>0</v>
      </c>
      <c r="AQ284" s="11">
        <v>0</v>
      </c>
      <c r="AR284" s="51">
        <v>178336671</v>
      </c>
      <c r="AS284" s="54">
        <v>0</v>
      </c>
      <c r="AT284" s="54">
        <f t="shared" si="434"/>
        <v>178336671</v>
      </c>
      <c r="AU284" s="51">
        <v>103891102</v>
      </c>
      <c r="AV284" s="243">
        <v>1223422979</v>
      </c>
      <c r="AW284" s="244"/>
      <c r="AX284" s="244"/>
      <c r="AY284" s="243">
        <v>1206722046</v>
      </c>
      <c r="AZ284" s="44" cm="1">
        <f t="array" ref="AZ284">_xlfn.IFS((BA284=0),(BD284/CL284),(BA284&gt;0),((BB284+BD284)/CL284),(BE284&gt;0),((BB284+BD284+BE284)/CL284),(BG284&gt;0),((BB284+BD284+BE284+G284)/CL284))</f>
        <v>0.5</v>
      </c>
      <c r="BA284" s="44">
        <v>0.25</v>
      </c>
      <c r="BB284" s="44">
        <v>1</v>
      </c>
      <c r="BC284" s="44">
        <f t="shared" si="458"/>
        <v>0.25</v>
      </c>
      <c r="BD284" s="44" cm="1">
        <f t="array" ref="BD284">_xlfn.IFS(AE284=0,"NA",AE284&gt;0,AH284/AE284)</f>
        <v>1</v>
      </c>
      <c r="BE284" s="44">
        <f t="shared" si="459"/>
        <v>0.25</v>
      </c>
      <c r="BF284" s="44">
        <v>0</v>
      </c>
      <c r="BG284" s="44">
        <f t="shared" si="460"/>
        <v>0.25</v>
      </c>
      <c r="BH284" s="44">
        <v>0</v>
      </c>
      <c r="BI284" s="44">
        <v>0</v>
      </c>
      <c r="BJ284" s="44" t="s">
        <v>115</v>
      </c>
      <c r="BK284" s="44">
        <f t="shared" si="435"/>
        <v>0.5</v>
      </c>
      <c r="BL284" s="44">
        <v>1</v>
      </c>
      <c r="BM284" s="44" cm="1">
        <f t="array" ref="BM284">_xlfn.IFS(BD284="NA","NA",BD284&gt;100%,"100%",BD284&lt;100,BD284)</f>
        <v>1</v>
      </c>
      <c r="BN284" s="44">
        <v>0</v>
      </c>
      <c r="BO284" s="44">
        <v>0</v>
      </c>
      <c r="BP284" s="44" t="s">
        <v>115</v>
      </c>
      <c r="BQ284" s="45">
        <v>0.22500000000000001</v>
      </c>
      <c r="BR284" s="45">
        <f t="shared" si="436"/>
        <v>0.1125</v>
      </c>
      <c r="BS284" s="45">
        <v>5.6300000000000003E-2</v>
      </c>
      <c r="BT284" s="45">
        <v>5.6300000000000003E-2</v>
      </c>
      <c r="BU284" s="45">
        <v>5.6300000000000003E-2</v>
      </c>
      <c r="BV284" s="45">
        <v>5.6300000000000003E-2</v>
      </c>
      <c r="BW284" s="45">
        <f t="shared" si="448"/>
        <v>5.6300000000000003E-2</v>
      </c>
      <c r="BX284" s="45">
        <f t="shared" si="449"/>
        <v>5.62E-2</v>
      </c>
      <c r="BY284" s="45">
        <v>5.6300000000000003E-2</v>
      </c>
      <c r="BZ284" s="45">
        <v>0</v>
      </c>
      <c r="CA284" s="45">
        <f t="shared" si="439"/>
        <v>0</v>
      </c>
      <c r="CB284" s="45">
        <v>5.6300000000000003E-2</v>
      </c>
      <c r="CC284" s="45">
        <v>0</v>
      </c>
      <c r="CD284" s="45">
        <v>0</v>
      </c>
      <c r="CE284" s="45">
        <v>0</v>
      </c>
      <c r="CF284" s="45" t="s">
        <v>115</v>
      </c>
      <c r="CG284" s="45">
        <v>0</v>
      </c>
      <c r="CH284" s="244">
        <f t="shared" si="461"/>
        <v>1</v>
      </c>
      <c r="CI284" s="244">
        <f t="shared" si="462"/>
        <v>1</v>
      </c>
      <c r="CJ284" s="244">
        <f t="shared" si="463"/>
        <v>1</v>
      </c>
      <c r="CK284" s="244">
        <f t="shared" si="464"/>
        <v>1</v>
      </c>
      <c r="CL284">
        <f t="shared" si="465"/>
        <v>4</v>
      </c>
      <c r="CM284" s="63">
        <f t="shared" si="466"/>
        <v>7</v>
      </c>
    </row>
    <row r="285" spans="1:91" ht="18" hidden="1" customHeight="1">
      <c r="A285" s="260" t="s">
        <v>98</v>
      </c>
      <c r="B285" s="260" t="s">
        <v>99</v>
      </c>
      <c r="C285" s="260" t="s">
        <v>1828</v>
      </c>
      <c r="D285" s="260" t="s">
        <v>1829</v>
      </c>
      <c r="E285" s="260" t="s">
        <v>1830</v>
      </c>
      <c r="F285" s="260" t="s">
        <v>1843</v>
      </c>
      <c r="G285" s="260" t="s">
        <v>1844</v>
      </c>
      <c r="H285" s="260" t="s">
        <v>1902</v>
      </c>
      <c r="I285" s="260" t="s">
        <v>1903</v>
      </c>
      <c r="J285" s="12" t="s">
        <v>393</v>
      </c>
      <c r="K285" s="260" t="s">
        <v>1904</v>
      </c>
      <c r="L285" s="260" t="s">
        <v>1905</v>
      </c>
      <c r="M285" s="260" t="s">
        <v>1906</v>
      </c>
      <c r="N285" s="260" t="s">
        <v>111</v>
      </c>
      <c r="O285" s="260" t="s">
        <v>112</v>
      </c>
      <c r="P285" s="10">
        <v>25</v>
      </c>
      <c r="Q285" s="11">
        <v>40</v>
      </c>
      <c r="R285" s="11">
        <f t="shared" ref="R285:R297" si="467">Z285+AH285</f>
        <v>17</v>
      </c>
      <c r="S285" s="11" t="str">
        <f>VLOOKUP(K285,'1197 Salud'!$K$13:$AK$54,9,0)</f>
        <v>Se han elaboraron 16 mapas de riesgo de fuentes de abastecimiento de los sistemas de acueducto ubicados en los municipios  de Choconta (4), el Colegio (2), Anolaima (1),  Mesa (1), Suesca (1) , la Calera (2), Subachoque (4), Sesquile (1) , Subachoque (1)</v>
      </c>
      <c r="T285" s="11">
        <v>5</v>
      </c>
      <c r="U285" s="11">
        <v>0</v>
      </c>
      <c r="V285" s="11">
        <v>5</v>
      </c>
      <c r="W285" s="11">
        <v>0</v>
      </c>
      <c r="X285" s="11">
        <v>5</v>
      </c>
      <c r="Y285" s="11">
        <v>0</v>
      </c>
      <c r="Z285" s="11">
        <v>5</v>
      </c>
      <c r="AA285" s="11" t="s">
        <v>1907</v>
      </c>
      <c r="AB285" s="11" t="s">
        <v>1908</v>
      </c>
      <c r="AC285" s="11" t="s">
        <v>1909</v>
      </c>
      <c r="AD285" s="11">
        <v>15</v>
      </c>
      <c r="AE285" s="11">
        <v>0</v>
      </c>
      <c r="AF285" s="11">
        <f>VLOOKUP(K285,'1197 Salud'!$K$13:$AK$54,22,0)</f>
        <v>12</v>
      </c>
      <c r="AG285" s="11">
        <f>VLOOKUP(K285,'1197 Salud'!$K$13:$AK$54,23,0)</f>
        <v>0</v>
      </c>
      <c r="AH285" s="11">
        <f t="shared" ref="AH285:AH297" si="468">AF285</f>
        <v>12</v>
      </c>
      <c r="AI285" s="11" t="str">
        <f>VLOOKUP(K285,'1197 Salud'!$K$13:$AK$54,25,0)</f>
        <v>Mapas de riesgo Elaborados</v>
      </c>
      <c r="AJ285" s="11" t="str">
        <f>VLOOKUP(K285,'1197 Salud'!$K$13:$AK$54,26,0)</f>
        <v>Apoyo interinstitucional entre Empresas Públicas de Cundinamarca - EPC y la Secretaria de Salud de Cundinamarca, para apoyar a los acueductos rurales en las tomas de muestra de Anexo 1 para la elaboración de  los mapas de riesgo de la calidad del agua para consumo humano, y en los diseños de los sistemas de tratamiento, con el fin de otorgar el respectivo mapa de riesgo de Agua para Consumo Humano de las fentes Hídricas: en los municipios de choconta (2)  ,el colegio  (2),la  mesa (1) , la calera (1) , Suesca (1) Anolaima (1), municipio de Subachoque (2), Municipio de Sesquile (1), Municipio de Subachoque (1)</v>
      </c>
      <c r="AK285" s="11" t="str">
        <f>VLOOKUP(K285,'1197 Salud'!$K$13:$AK$54,27,0)</f>
        <v>N/A</v>
      </c>
      <c r="AL285" s="11">
        <v>10</v>
      </c>
      <c r="AM285" s="11">
        <v>0</v>
      </c>
      <c r="AN285" s="11">
        <v>10</v>
      </c>
      <c r="AO285" s="11">
        <v>0</v>
      </c>
      <c r="AP285" s="11">
        <v>0</v>
      </c>
      <c r="AQ285" s="11">
        <v>0</v>
      </c>
      <c r="AR285" s="51">
        <v>36464802</v>
      </c>
      <c r="AS285" s="54">
        <v>0</v>
      </c>
      <c r="AT285" s="54">
        <f t="shared" si="434"/>
        <v>36464802</v>
      </c>
      <c r="AU285" s="51">
        <v>20409156</v>
      </c>
      <c r="AV285" s="243">
        <v>332496655</v>
      </c>
      <c r="AW285" s="244"/>
      <c r="AX285" s="244"/>
      <c r="AY285" s="243">
        <v>186973147</v>
      </c>
      <c r="AZ285" s="44">
        <f t="shared" ref="AZ285:AZ297" si="469">R285/Q285</f>
        <v>0.42499999999999999</v>
      </c>
      <c r="BA285" s="44">
        <v>0.125</v>
      </c>
      <c r="BB285" s="44">
        <v>1</v>
      </c>
      <c r="BC285" s="44">
        <f t="shared" ref="BC285:BC297" si="470">AD285/Q285</f>
        <v>0.375</v>
      </c>
      <c r="BD285" s="44" cm="1">
        <f t="array" ref="BD285">_xlfn.IFS(AD285=0,"NA",AD285&gt;0,AH285/AD285)</f>
        <v>0.8</v>
      </c>
      <c r="BE285" s="44">
        <f t="shared" ref="BE285:BE297" si="471">AL285/Q285</f>
        <v>0.25</v>
      </c>
      <c r="BF285" s="44">
        <v>0</v>
      </c>
      <c r="BG285" s="44">
        <f t="shared" ref="BG285:BG297" si="472">AN285/Q285</f>
        <v>0.25</v>
      </c>
      <c r="BH285" s="44">
        <v>0</v>
      </c>
      <c r="BI285" s="44">
        <f t="shared" ref="BI285:BI297" si="473">AP285/Q285</f>
        <v>0</v>
      </c>
      <c r="BJ285" s="44" t="s">
        <v>115</v>
      </c>
      <c r="BK285" s="44">
        <f t="shared" si="435"/>
        <v>0.42499999999999999</v>
      </c>
      <c r="BL285" s="44">
        <v>1</v>
      </c>
      <c r="BM285" s="44" cm="1">
        <f t="array" ref="BM285">_xlfn.IFS(BD285="NA","NA",BD285&gt;100%,"100%",BD285&lt;100,BD285)</f>
        <v>0.8</v>
      </c>
      <c r="BN285" s="44" cm="1">
        <f t="array" ref="BN285">_xlfn.IFS(BF285="NA","NA",BF285&gt;100%,"100%",BF285&lt;100,BF285)</f>
        <v>0</v>
      </c>
      <c r="BO285" s="44" cm="1">
        <f t="array" ref="BO285">_xlfn.IFS(BH285="NA","NA",BH285&gt;100%,"100%",BH285&lt;100,BH285)</f>
        <v>0</v>
      </c>
      <c r="BP285" s="44" t="str" cm="1">
        <f t="array" ref="BP285">_xlfn.IFS(BJ285="NA","NA",BJ285&gt;100%,"100%",BJ285&lt;100,BJ285)</f>
        <v>NA</v>
      </c>
      <c r="BQ285" s="45">
        <v>0.22500000000000001</v>
      </c>
      <c r="BR285" s="45">
        <f t="shared" si="436"/>
        <v>9.5625000000000002E-2</v>
      </c>
      <c r="BS285" s="45">
        <v>2.81E-2</v>
      </c>
      <c r="BT285" s="45">
        <v>2.81E-2</v>
      </c>
      <c r="BU285" s="45">
        <v>2.81E-2</v>
      </c>
      <c r="BV285" s="45">
        <f t="shared" ref="BV285:BV297" si="474">(AD285*BQ285)/Q285</f>
        <v>8.4375000000000006E-2</v>
      </c>
      <c r="BW285" s="45">
        <f t="shared" si="448"/>
        <v>6.7500000000000004E-2</v>
      </c>
      <c r="BX285" s="45">
        <f t="shared" si="449"/>
        <v>6.7525000000000002E-2</v>
      </c>
      <c r="BY285" s="45">
        <f t="shared" ref="BY285:BY297" si="475">(AL285*BQ285)/Q285</f>
        <v>5.6250000000000001E-2</v>
      </c>
      <c r="BZ285" s="45">
        <f t="shared" ref="BZ285:BZ297" si="476">IF(BN285="NA","NA",BN285*BY285)</f>
        <v>0</v>
      </c>
      <c r="CA285" s="45">
        <f t="shared" si="439"/>
        <v>0</v>
      </c>
      <c r="CB285" s="45">
        <f t="shared" ref="CB285:CB297" si="477">(AN285*BQ285)/Q285</f>
        <v>5.6250000000000001E-2</v>
      </c>
      <c r="CC285" s="45">
        <f t="shared" ref="CC285:CC297" si="478">IF(BO285="NA","NA",BO285*CB285)</f>
        <v>0</v>
      </c>
      <c r="CD285" s="45">
        <v>0</v>
      </c>
      <c r="CE285" s="45">
        <f t="shared" ref="CE285:CE297" si="479">(AP285*BQ285)/Q285</f>
        <v>0</v>
      </c>
      <c r="CF285" s="45" t="str">
        <f t="shared" ref="CF285:CF297" si="480">IF(BP285="NA","NA",BP285*CE285)</f>
        <v>NA</v>
      </c>
      <c r="CG285" s="45">
        <v>0</v>
      </c>
      <c r="CH285" s="244"/>
      <c r="CI285" s="244"/>
      <c r="CJ285" s="244"/>
      <c r="CK285" s="244"/>
      <c r="CM285" s="63">
        <v>15</v>
      </c>
    </row>
    <row r="286" spans="1:91" ht="30.75" hidden="1" customHeight="1">
      <c r="A286" s="260" t="s">
        <v>1387</v>
      </c>
      <c r="B286" s="260" t="s">
        <v>1388</v>
      </c>
      <c r="C286" s="260" t="s">
        <v>1828</v>
      </c>
      <c r="D286" s="260" t="s">
        <v>1829</v>
      </c>
      <c r="E286" s="260" t="s">
        <v>1910</v>
      </c>
      <c r="F286" s="260" t="s">
        <v>1849</v>
      </c>
      <c r="G286" s="260" t="s">
        <v>1850</v>
      </c>
      <c r="H286" s="260" t="s">
        <v>1911</v>
      </c>
      <c r="I286" s="260"/>
      <c r="J286" s="260"/>
      <c r="K286" s="260" t="s">
        <v>1912</v>
      </c>
      <c r="L286" s="12" t="s">
        <v>1913</v>
      </c>
      <c r="M286" s="260" t="s">
        <v>1914</v>
      </c>
      <c r="N286" s="260" t="s">
        <v>111</v>
      </c>
      <c r="O286" s="260" t="s">
        <v>112</v>
      </c>
      <c r="P286" s="10">
        <v>55</v>
      </c>
      <c r="Q286" s="11">
        <v>15</v>
      </c>
      <c r="R286" s="11">
        <f t="shared" si="467"/>
        <v>5</v>
      </c>
      <c r="S286" s="11">
        <f>VLOOKUP(K286,'1285 EPC'!$K$13:$AK$35,9,0)</f>
        <v>0</v>
      </c>
      <c r="T286" s="11">
        <v>0</v>
      </c>
      <c r="U286" s="11">
        <v>0</v>
      </c>
      <c r="V286" s="11">
        <v>0.8</v>
      </c>
      <c r="W286" s="11">
        <v>0</v>
      </c>
      <c r="X286" s="11">
        <v>0</v>
      </c>
      <c r="Y286" s="11">
        <v>0</v>
      </c>
      <c r="Z286" s="11">
        <v>0</v>
      </c>
      <c r="AA286" s="11"/>
      <c r="AB286" s="11"/>
      <c r="AC286" s="11"/>
      <c r="AD286" s="11">
        <v>5.2</v>
      </c>
      <c r="AE286" s="11">
        <v>0</v>
      </c>
      <c r="AF286" s="11">
        <f>VLOOKUP(K286,'1285 EPC'!$K$13:$AK$35,22,0)</f>
        <v>5</v>
      </c>
      <c r="AG286" s="11">
        <f>VLOOKUP(K286,'1285 EPC'!$K$13:$AK$35,23,0)</f>
        <v>0</v>
      </c>
      <c r="AH286" s="11">
        <f t="shared" si="468"/>
        <v>5</v>
      </c>
      <c r="AI286" s="11" t="str">
        <f>VLOOKUP(K286,'1285 EPC'!$K$13:$AK$35,25,0)</f>
        <v>Plantas de tratamiento de agua residual</v>
      </c>
      <c r="AJ286" s="11" t="str">
        <f>VLOOKUP(K286,'1285 EPC'!$K$13:$AK$35,26,0)</f>
        <v>PTAR en operación
5 PTAR en operación:  Manta, Tenjo, Mosquera, Junín, Tena PTAR y Emisario final urbanización sueños del Castillo 
Proyecto de Colectores Terminados
Construcción de colectores y emisarios final fase 2 (alcantarillado residual) para el centro poblado La Peña Negra municipio de Cachipay
Proyectos en ejecución
Se continua con la ejecución del proyecto de Vergara, dando cumplimiento con la programación aprobada por la interventoría.
De otro lado se adelanta la reformulación interna del proyecto de la PTAR de gama san Roque, con el fin de obtener los recursos para el componente eléctrico que requiere el mismo para ser funcional. Se logro la aprobación de recursos para la reformulación interna del proyecto en el comité Directivo N 110, se está adelantando el modificatorio, se estima dar reinicio a su ejecución el 20/10/2021.
proyecto de Paratebueno ya se cuentan con los permisos los cuales permiten dar pronto reinicio a la ejecución del proyecto, referente al permiso por parte de Corporinoquia, se informa que tan pronto se tenga la construcción de la PTAR será otorgado, así mismo con el proyecto de Gachetá, incluye la construcción de la PTAR que tiene un valor aproximado de $2 mil millones de pesos y el proyecto cuenta con un avance del 33%.
Diseños terminados:
PTAR de Tausa, Cucunuba y Yacopí, Ubaque, Guaduas, Anolaima, Pasca
Aprobación del permiso de vertimientos:
PTAR Granada.
Diseño de Colectores e Interceptores y PTAR aprobados:
- EPC-CI-073-2019 Chipaque
- EPC-CI-077-2017 Anapoima
- EPC-PDA-C-353-2019 Ubaque
- EPC-PDA-363-2019 Guaduas
EPC-PDA-C-339-2019 PTAR Urbana Vianí
Viabilización de proyectos
PTAR Sopó - En evaluación
PTAR Útica – Evaluación
Construcción y/o optimización de sistema de alcantarillado y emisario final del sector El Hato, municipio de La Mesa viabilizado el 8/11/2021
Proyectos en contratación 
colector de Funza
Radicados en la CAR y ventanilla: 
Cucunubá – PTAR
PTAR Tausa
Diagnóstico, actualización y ajuste al diseño de la Planta de Tratamiento de Aguas Residuales del centro poblado Maya del municipio de Paratebueno radicado a MVD el 23/11/2021
Se encuentran en etapa de alistamiento y ajustes de observaciones
PTAR Gachancipá - En alistamiento
PTAR Facatativá - En ajustes
PTAR Funza - En ajustes
PTAR La Calera - En ajustes
En el período, se realizaron 12 capacitaciones a los operadores de las PTAR de los municipios para implementación de las “Buenas Prácticas Operativas en el Tratamiento de Aguas Residuales”, fortaleciendo el manejo de las diferentes operaciones unitarias que intervienen en el proceso de tratamiento tales como filtración, sedimentación, adsorción, clarificación, cribado, y el tratamiento secundario según correspondió y además el uso de la instrumentación básica requerida para el manejo de estas.
 En el mes de agosto, se realizó diagnósticos técnico operativo a 12 PTAR del departamento de Cundinamarca, que se encuentran priorizadas en el Plan de Aseguramiento 2021.</v>
      </c>
      <c r="AK286" s="11" t="str">
        <f>VLOOKUP(K286,'1285 EPC'!$K$13:$AK$35,27,0)</f>
        <v>Atención de observaciones por parte de la consultoría.Mayores tiempos de revisión debido a que no se contaba con el profesional especializado para la evaluación de los proyectos</v>
      </c>
      <c r="AL286" s="11">
        <v>1</v>
      </c>
      <c r="AM286" s="11">
        <v>0</v>
      </c>
      <c r="AN286" s="11">
        <v>8</v>
      </c>
      <c r="AO286" s="11">
        <v>0</v>
      </c>
      <c r="AP286" s="11">
        <v>0</v>
      </c>
      <c r="AQ286" s="11">
        <v>0</v>
      </c>
      <c r="AR286" s="52"/>
      <c r="AS286" s="54">
        <v>0</v>
      </c>
      <c r="AT286" s="54">
        <f t="shared" si="434"/>
        <v>0</v>
      </c>
      <c r="AU286" s="52"/>
      <c r="AV286" s="243">
        <v>804557881</v>
      </c>
      <c r="AW286" s="244"/>
      <c r="AX286" s="244"/>
      <c r="AY286" s="243">
        <v>290253762.19999999</v>
      </c>
      <c r="AZ286" s="44">
        <f t="shared" si="469"/>
        <v>0.33333333333333331</v>
      </c>
      <c r="BA286" s="44">
        <v>5.33E-2</v>
      </c>
      <c r="BB286" s="44">
        <v>0</v>
      </c>
      <c r="BC286" s="44">
        <f t="shared" si="470"/>
        <v>0.34666666666666668</v>
      </c>
      <c r="BD286" s="44" cm="1">
        <f t="array" ref="BD286">_xlfn.IFS(AD286=0,"NA",AD286&gt;0,AH286/AD286)</f>
        <v>0.96153846153846145</v>
      </c>
      <c r="BE286" s="44">
        <f t="shared" si="471"/>
        <v>6.6666666666666666E-2</v>
      </c>
      <c r="BF286" s="44">
        <v>0</v>
      </c>
      <c r="BG286" s="44">
        <f t="shared" si="472"/>
        <v>0.53333333333333333</v>
      </c>
      <c r="BH286" s="44">
        <v>0</v>
      </c>
      <c r="BI286" s="44">
        <f t="shared" si="473"/>
        <v>0</v>
      </c>
      <c r="BJ286" s="44" t="s">
        <v>115</v>
      </c>
      <c r="BK286" s="44">
        <f t="shared" si="435"/>
        <v>0.33333333333333331</v>
      </c>
      <c r="BL286" s="44">
        <v>0</v>
      </c>
      <c r="BM286" s="44" cm="1">
        <f t="array" ref="BM286">_xlfn.IFS(BD286="NA","NA",BD286&gt;100%,"100%",BD286&lt;100,BD286)</f>
        <v>0.96153846153846145</v>
      </c>
      <c r="BN286" s="44" cm="1">
        <f t="array" ref="BN286">_xlfn.IFS(BF286="NA","NA",BF286&gt;100%,"100%",BF286&lt;100,BF286)</f>
        <v>0</v>
      </c>
      <c r="BO286" s="44" cm="1">
        <f t="array" ref="BO286">_xlfn.IFS(BH286="NA","NA",BH286&gt;100%,"100%",BH286&lt;100,BH286)</f>
        <v>0</v>
      </c>
      <c r="BP286" s="44" t="str" cm="1">
        <f t="array" ref="BP286">_xlfn.IFS(BJ286="NA","NA",BJ286&gt;100%,"100%",BJ286&lt;100,BJ286)</f>
        <v>NA</v>
      </c>
      <c r="BQ286" s="45">
        <v>0.22500000000000001</v>
      </c>
      <c r="BR286" s="45">
        <f t="shared" si="436"/>
        <v>7.4999999999999997E-2</v>
      </c>
      <c r="BS286" s="45">
        <v>1.2E-2</v>
      </c>
      <c r="BT286" s="45">
        <v>0</v>
      </c>
      <c r="BU286" s="45">
        <v>0</v>
      </c>
      <c r="BV286" s="45">
        <f t="shared" si="474"/>
        <v>7.8000000000000014E-2</v>
      </c>
      <c r="BW286" s="45">
        <f t="shared" si="448"/>
        <v>7.5000000000000011E-2</v>
      </c>
      <c r="BX286" s="45">
        <f t="shared" si="449"/>
        <v>7.4999999999999997E-2</v>
      </c>
      <c r="BY286" s="45">
        <f t="shared" si="475"/>
        <v>1.5000000000000001E-2</v>
      </c>
      <c r="BZ286" s="45">
        <f t="shared" si="476"/>
        <v>0</v>
      </c>
      <c r="CA286" s="45">
        <f t="shared" si="439"/>
        <v>0</v>
      </c>
      <c r="CB286" s="45">
        <f t="shared" si="477"/>
        <v>0.12000000000000001</v>
      </c>
      <c r="CC286" s="45">
        <f t="shared" si="478"/>
        <v>0</v>
      </c>
      <c r="CD286" s="45">
        <v>0</v>
      </c>
      <c r="CE286" s="45">
        <f t="shared" si="479"/>
        <v>0</v>
      </c>
      <c r="CF286" s="45" t="str">
        <f t="shared" si="480"/>
        <v>NA</v>
      </c>
      <c r="CG286" s="45">
        <v>0</v>
      </c>
      <c r="CH286" s="244"/>
      <c r="CI286" s="244"/>
      <c r="CJ286" s="244"/>
      <c r="CK286" s="244"/>
      <c r="CM286" s="63">
        <v>5</v>
      </c>
    </row>
    <row r="287" spans="1:91" ht="30.75" hidden="1" customHeight="1">
      <c r="A287" s="260" t="s">
        <v>1387</v>
      </c>
      <c r="B287" s="260" t="s">
        <v>1388</v>
      </c>
      <c r="C287" s="260" t="s">
        <v>1828</v>
      </c>
      <c r="D287" s="260" t="s">
        <v>1829</v>
      </c>
      <c r="E287" s="260" t="s">
        <v>1910</v>
      </c>
      <c r="F287" s="260" t="s">
        <v>1855</v>
      </c>
      <c r="G287" s="260" t="s">
        <v>1856</v>
      </c>
      <c r="H287" s="260" t="s">
        <v>1915</v>
      </c>
      <c r="I287" s="260"/>
      <c r="J287" s="260"/>
      <c r="K287" s="260" t="s">
        <v>1916</v>
      </c>
      <c r="L287" s="12" t="s">
        <v>1917</v>
      </c>
      <c r="M287" s="260" t="s">
        <v>1918</v>
      </c>
      <c r="N287" s="260" t="s">
        <v>111</v>
      </c>
      <c r="O287" s="260" t="s">
        <v>112</v>
      </c>
      <c r="P287" s="10">
        <v>0</v>
      </c>
      <c r="Q287" s="11">
        <v>12</v>
      </c>
      <c r="R287" s="11">
        <f t="shared" si="467"/>
        <v>1.9</v>
      </c>
      <c r="S287" s="11">
        <f>VLOOKUP(K287,'1285 EPC'!$K$13:$AK$35,9,0)</f>
        <v>0</v>
      </c>
      <c r="T287" s="11">
        <v>0</v>
      </c>
      <c r="U287" s="11">
        <v>0</v>
      </c>
      <c r="V287" s="11">
        <v>0.9</v>
      </c>
      <c r="W287" s="11">
        <v>0</v>
      </c>
      <c r="X287" s="11">
        <v>0.9</v>
      </c>
      <c r="Y287" s="11">
        <v>0</v>
      </c>
      <c r="Z287" s="11">
        <v>0.9</v>
      </c>
      <c r="AA287" s="11" t="s">
        <v>1919</v>
      </c>
      <c r="AB287" s="11" t="s">
        <v>1920</v>
      </c>
      <c r="AC287" s="11">
        <v>0</v>
      </c>
      <c r="AD287" s="11">
        <v>1.1000000000000001</v>
      </c>
      <c r="AE287" s="11">
        <v>0</v>
      </c>
      <c r="AF287" s="11">
        <f>VLOOKUP(K287,'1285 EPC'!$K$13:$AK$35,22,0)</f>
        <v>1</v>
      </c>
      <c r="AG287" s="11" t="str">
        <f>VLOOKUP(K287,'1285 EPC'!$K$13:$AK$35,23,0)</f>
        <v> </v>
      </c>
      <c r="AH287" s="11">
        <f t="shared" si="468"/>
        <v>1</v>
      </c>
      <c r="AI287" s="11" t="str">
        <f>VLOOKUP(K287,'1285 EPC'!$K$13:$AK$35,25,0)</f>
        <v>sistemas de acueducto con uso de fuentes o caudales de abastecimiento complementarias.</v>
      </c>
      <c r="AJ287" s="11" t="str">
        <f>VLOOKUP(K287,'1285 EPC'!$K$13:$AK$35,26,0)</f>
        <v xml:space="preserve">Embalse Pantano de arce: Actualización de los Estudios y diseños de Pantano de Arce aprobados por la Interventoría. El proyecto Pantano de Arce ya cuenta con Licencia Ambiental, Otorgada por la Corporación Autónoma Regional de Cundinamarca en el año 2006. El proyecto se debe radicar a la Corporación autónoma Regional de Cundinamarca, para ser evaluado en el cumplimiento de los requisitos técnicos y una vez aprobados se podrá obtener el documento de financiación de la Construcción Embalse Pantano de Arce
Pozos Diseño: 
Gachancipá: 50% de avance, contrato finalizado anticipadamente por falta de información predial y de población, Pulí: 100% avance, terminado,’ Zipacón: 100% terminado,  Ubaté: 85% avance, Ejecución, Fúquene: 60% avance, Ejecución, Chaguaní: 75% avance, Ejecución, Tabio: 70% avance, Ejecución, Guachetá: 80% avance, en ejecución 
Pozos en Ejecución:
El Rosal: 90.5% de ejecución, Suspendido por certificación Codensa, se aprobó reformulación
Deudoro Aponte Facatativá: 100% proyecto terminado
Guanguita 2%: Contrato en proceso de liquidación anticipada, se espera contar con ajustes a los diseños, con lo que se procederá a reformulación del proyecto y posterior proceso de contratación de obra.
Acueductos regionales:
Diseño en ejecución: Acueducto Regional Fruticas Ramal 100% avance, diseños aprobados por interventoría, y radicados a la Dirección de Estructuración de proyectos para su alistamiento y posterior radicación ante el mecanismo de viabilización - Fruticas  Regional: 70% avance físico, se encuentra en ejecución. - Acueducto regional Guataquí - Nariño - Jerusalén 20% avance Suspendido ajustes al diseño - Quipile La Mesa Anapoima: 30% de avance en proceso de reformulación – Suspendido (La Comunidad opuesta al proyecto) - Sibaté - Soacha y Granada; 8% avance - Tena La Mesa: 10% de avance Suspendido (revisión diagnóstico y alternativas) - Arbeláez San Bernardo: 30% avance Suspendido (Geotecnia para pasos elevados), 
Viabilidad- Facatativá - San Francisco en proceso de Viabilidad - Acueducto Regional Sabaneta: Solicitud de recursos para contratar ajustes de diseño, Proyecto Acueducto Regional Nocaima, Nimaima,  Quebradanegra, Útica y Villeta en proceso de viabilización 
Obra: Dorado Fase II: Avance 67.17% en proceso de reformulación, Suspendido (pasos elevados) - Fruticas - Chipaque: Avance 99,8%  -  En proceso de viabilización de la Reformulación 
Gestión predial: Para el Embalse Pantano de Arce se deberán adquirir tres predios, se está adelantando el trámite de levantamiento topográfico. Se envía solicitud al municipio de adelantar los tramites de adquisición predial </v>
      </c>
      <c r="AK287" s="11" t="str">
        <f>VLOOKUP(K287,'1285 EPC'!$K$13:$AK$35,27,0)</f>
        <v>Pantano de Arce: El consultor se encuentra realizando  las actividades del estudio de Sitio como de sustracción forestal, se espera hacer entrega de estos documentos finalizando el mes de septiembre y asi complementar el producto 5.Gachancipá: problemasTécnicos, prediales Ambientales e Institucionales eh temas de predios y operación que no permiten continuar con el proyecto. el municipio liquidó el contrato derivado, por lo que se está a la espera de ajustes requeridos al proyecto con el fin de adelantar reformulación y nuevo proceso de contratación.  se espera contar con ajustes a los diseños en el mes de septiembre de 2021, con lo que se procederá a reformulación del proyecto y posterior proceso de contratación de obra.
Fúquene: Hace falta claridad por parte del municipio frente al predio para realizar la solicitud del permiso de exploración de agua subterránea, ya que el solicitado fue caducado por lo mismo
El Rosal; pendiente componente electrico aprobación Enel Codensa
Guanguita: permiso de exploracion
Facatativa - San Francisco: Demora en la entrega de observaciones por parte del municipio.
Dorado Fase II: Realizar consultoría para los ajustes de diseños puesto que no se contaba con el diseño de detalle de diferentes pasos elevados necesarios para la interconexión de las redes puesto que el proyecto cuenta con el diseño tipo de un paso elevado para una luz de hasta 30m. En proceso de contratacion los ajustes de Diseño con el proyecto EVALUACION Y DIAGNOSTICO DE LAS OBRAS EXISTENTES DEL ACUEDUCTO REGIONAL FASE 1, ESTUDIOS Y DISEÑOS DE LOS PASOS ELEVADOS DE LA FASE 1 Y FASE 2 DEL ACUEDUCTO REGIONAL EL DORADO</v>
      </c>
      <c r="AL287" s="11">
        <v>5</v>
      </c>
      <c r="AM287" s="11">
        <v>0</v>
      </c>
      <c r="AN287" s="11">
        <v>5</v>
      </c>
      <c r="AO287" s="11">
        <v>0</v>
      </c>
      <c r="AP287" s="11">
        <v>0</v>
      </c>
      <c r="AQ287" s="11">
        <v>0</v>
      </c>
      <c r="AR287" s="52"/>
      <c r="AS287" s="54">
        <v>289046645</v>
      </c>
      <c r="AT287" s="54">
        <f t="shared" si="434"/>
        <v>289046645</v>
      </c>
      <c r="AU287" s="52"/>
      <c r="AV287" s="243">
        <v>100000000.2335639</v>
      </c>
      <c r="AW287" s="244"/>
      <c r="AX287" s="244"/>
      <c r="AY287" s="243">
        <v>1518783</v>
      </c>
      <c r="AZ287" s="44">
        <f t="shared" si="469"/>
        <v>0.15833333333333333</v>
      </c>
      <c r="BA287" s="44">
        <v>7.4999999999999997E-2</v>
      </c>
      <c r="BB287" s="44">
        <v>1</v>
      </c>
      <c r="BC287" s="44">
        <f t="shared" si="470"/>
        <v>9.1666666666666674E-2</v>
      </c>
      <c r="BD287" s="44" cm="1">
        <f t="array" ref="BD287">_xlfn.IFS(AD287=0,"NA",AD287&gt;0,AH287/AD287)</f>
        <v>0.90909090909090906</v>
      </c>
      <c r="BE287" s="44">
        <f t="shared" si="471"/>
        <v>0.41666666666666669</v>
      </c>
      <c r="BF287" s="44">
        <v>0</v>
      </c>
      <c r="BG287" s="44">
        <f t="shared" si="472"/>
        <v>0.41666666666666669</v>
      </c>
      <c r="BH287" s="44">
        <v>0</v>
      </c>
      <c r="BI287" s="44">
        <f t="shared" si="473"/>
        <v>0</v>
      </c>
      <c r="BJ287" s="44" t="s">
        <v>115</v>
      </c>
      <c r="BK287" s="44">
        <f t="shared" si="435"/>
        <v>0.15833333333333333</v>
      </c>
      <c r="BL287" s="44">
        <v>1</v>
      </c>
      <c r="BM287" s="44" cm="1">
        <f t="array" ref="BM287">_xlfn.IFS(BD287="NA","NA",BD287&gt;100%,"100%",BD287&lt;100,BD287)</f>
        <v>0.90909090909090906</v>
      </c>
      <c r="BN287" s="44" cm="1">
        <f t="array" ref="BN287">_xlfn.IFS(BF287="NA","NA",BF287&gt;100%,"100%",BF287&lt;100,BF287)</f>
        <v>0</v>
      </c>
      <c r="BO287" s="44" cm="1">
        <f t="array" ref="BO287">_xlfn.IFS(BH287="NA","NA",BH287&gt;100%,"100%",BH287&lt;100,BH287)</f>
        <v>0</v>
      </c>
      <c r="BP287" s="44" t="str" cm="1">
        <f t="array" ref="BP287">_xlfn.IFS(BJ287="NA","NA",BJ287&gt;100%,"100%",BJ287&lt;100,BJ287)</f>
        <v>NA</v>
      </c>
      <c r="BQ287" s="45">
        <v>0.22500000000000001</v>
      </c>
      <c r="BR287" s="45">
        <f t="shared" si="436"/>
        <v>3.5624999999999997E-2</v>
      </c>
      <c r="BS287" s="45">
        <v>1.6899999999999998E-2</v>
      </c>
      <c r="BT287" s="45">
        <v>1.6899999999999998E-2</v>
      </c>
      <c r="BU287" s="45">
        <v>1.6899999999999998E-2</v>
      </c>
      <c r="BV287" s="45">
        <f t="shared" si="474"/>
        <v>2.0625000000000001E-2</v>
      </c>
      <c r="BW287" s="45">
        <f t="shared" si="448"/>
        <v>1.8749999999999999E-2</v>
      </c>
      <c r="BX287" s="45">
        <f t="shared" si="449"/>
        <v>1.8724999999999999E-2</v>
      </c>
      <c r="BY287" s="45">
        <f t="shared" si="475"/>
        <v>9.375E-2</v>
      </c>
      <c r="BZ287" s="45">
        <f t="shared" si="476"/>
        <v>0</v>
      </c>
      <c r="CA287" s="45">
        <f t="shared" si="439"/>
        <v>0</v>
      </c>
      <c r="CB287" s="45">
        <f t="shared" si="477"/>
        <v>9.375E-2</v>
      </c>
      <c r="CC287" s="45">
        <f t="shared" si="478"/>
        <v>0</v>
      </c>
      <c r="CD287" s="45">
        <v>0</v>
      </c>
      <c r="CE287" s="45">
        <f t="shared" si="479"/>
        <v>0</v>
      </c>
      <c r="CF287" s="45" t="str">
        <f t="shared" si="480"/>
        <v>NA</v>
      </c>
      <c r="CG287" s="45">
        <v>0</v>
      </c>
      <c r="CH287" s="244"/>
      <c r="CI287" s="244"/>
      <c r="CJ287" s="244"/>
      <c r="CK287" s="244"/>
      <c r="CM287" s="63">
        <v>1.9</v>
      </c>
    </row>
    <row r="288" spans="1:91" ht="18" hidden="1" customHeight="1">
      <c r="A288" s="260" t="s">
        <v>1387</v>
      </c>
      <c r="B288" s="260" t="s">
        <v>1388</v>
      </c>
      <c r="C288" s="260" t="s">
        <v>1828</v>
      </c>
      <c r="D288" s="260" t="s">
        <v>1829</v>
      </c>
      <c r="E288" s="260" t="s">
        <v>1910</v>
      </c>
      <c r="F288" s="260" t="s">
        <v>1855</v>
      </c>
      <c r="G288" s="260" t="s">
        <v>1856</v>
      </c>
      <c r="H288" s="260" t="s">
        <v>1921</v>
      </c>
      <c r="I288" s="260"/>
      <c r="J288" s="260"/>
      <c r="K288" s="260" t="s">
        <v>1922</v>
      </c>
      <c r="L288" s="12" t="s">
        <v>1923</v>
      </c>
      <c r="M288" s="260" t="s">
        <v>1924</v>
      </c>
      <c r="N288" s="260" t="s">
        <v>111</v>
      </c>
      <c r="O288" s="260" t="s">
        <v>112</v>
      </c>
      <c r="P288" s="10">
        <v>0</v>
      </c>
      <c r="Q288" s="11">
        <v>1</v>
      </c>
      <c r="R288" s="11">
        <f t="shared" si="467"/>
        <v>0.06</v>
      </c>
      <c r="S288" s="11">
        <f>VLOOKUP(K288,'1285 EPC'!$K$13:$AK$35,9,0)</f>
        <v>0</v>
      </c>
      <c r="T288" s="11">
        <v>0</v>
      </c>
      <c r="U288" s="11">
        <v>0</v>
      </c>
      <c r="V288" s="11">
        <v>0</v>
      </c>
      <c r="W288" s="11">
        <v>0</v>
      </c>
      <c r="X288" s="11">
        <v>0</v>
      </c>
      <c r="Y288" s="11">
        <v>0</v>
      </c>
      <c r="Z288" s="11">
        <v>0</v>
      </c>
      <c r="AA288" s="11"/>
      <c r="AB288" s="11"/>
      <c r="AC288" s="11"/>
      <c r="AD288" s="11">
        <v>0.1</v>
      </c>
      <c r="AE288" s="11">
        <v>0</v>
      </c>
      <c r="AF288" s="11">
        <f>VLOOKUP(K288,'1285 EPC'!$K$13:$AK$35,22,0)</f>
        <v>0.06</v>
      </c>
      <c r="AG288" s="11" t="str">
        <f>VLOOKUP(K288,'1285 EPC'!$K$13:$AK$35,23,0)</f>
        <v> </v>
      </c>
      <c r="AH288" s="11">
        <f t="shared" si="468"/>
        <v>0.06</v>
      </c>
      <c r="AI288" s="11" t="str">
        <f>VLOOKUP(K288,'1285 EPC'!$K$13:$AK$35,25,0)</f>
        <v> </v>
      </c>
      <c r="AJ288" s="11" t="str">
        <f>VLOOKUP(K288,'1285 EPC'!$K$13:$AK$35,26,0)</f>
        <v>Se realizaron reuniones entre la CAR y EPC, para la revisión del acuerdo de voluntades, esta actualización se realizara una vez se obtenga la Licencia Ambiental.
Se adelantaron actividades de revisión previa entre EPC y ANLA, para la revisión del Estudio de Impacto Ambiental EIA.
Se presenta presupuesto a la CAR con los costos de la actualización.
De igual manera se presentan las actividades a realizar por parte de EPC y la CAR , queda en evaluación por la CAR de la reunión con la ANLA para adelantar trámites pertinentes.
Se solicita modificatorio en el acuerdo de voluntades firmado con la CAR, con el propósito de modificar los compromisos de las partes de manera que la corporación lidere de ahora en adelante el proceso del trámite de licencia ambiental y que la Corporación asuma la administración del embalse una vez construido este, además de realizar la respectiva actualización de los términos de referencia solicitado por la  ANLA y el respectivo pago por concepto de evaluación del Estudio de Impacto Ambiental EIA, así como la obtención de la Licencia Ambiental para la Construcción del Embalse Calandaima"
La CAR da respuesta a la solicitud de modificación del acuerdo de Voluntades, donde informan, que desde la Dirección Jurídica se está adelantando el trámite del modificatorio, que una vez se tenga resultado, será notificado para la revisión y firma.
EPC hace entrega a la CAR de todos los archivos de los Diseños realizados respecto al Estudio de Impacto Ambiental EIA, con el fin de que se inicie la revisión y así iniciar la actualización del mismo.
La CAR, EPC y los municipios de Anapoima, El colegio, Viotá, Tocaima firmando el modificatorio al acuerdo de voluntades donde la obligación de la actualización de EIA y la posterior radicación y solicitud de licencia ambiental quedan a cargo de la CAR.
De igual manera, la CAR ya inicio con la actualización del EIA con los ensayos de laboratorio en la cuenca del rio Calandaima.
La Corporación Autónoma Regional de Cundinamarca CAR, se encuentra actualizando el Estudio de Impacto Ambiental EIA, en el cual se debe realizar * Estudio Ambiental de Riesgo en el área de influencia del proyecto.
En Mesa de trabajo se evalúa la posibilidad de que la CAR sea la entidad que otorgué la licencia ambiental para la construcción del Embalse Calandaima, se deberá evaluar entre EPC y CAR, el acuerdo de voluntades para el retiro de la CAR si son ellos quienes otorguen la licencia.
Para dicha evaluación se programaron mesas de trabajo entre las partes jurídicas para la revisión.
Como el proyecto de Calandaima ha sufrido retrasos en su ejecución, ahora se realizará  el seguimiento del avance al proyecto de pantano de arce: Actualización de los Estudios y diseños de Pantano de Arce  aprobados por la Interventoría, El proyecto Pantano de Arce ya cuenta con Licencia Ambiental, Otorgada por la Corporación autónoma Regional de Cundinamarca en el año 2006, El proyecto se debe radicar a la Corporación autónoma Regional de Cundinamarca, para ser evaluado en el cumplimiento de los requisitos técnicos y una vez aprobados se podrá obtener el documento de financiación de la Construcción Embalse Pantano de Arce</v>
      </c>
      <c r="AK288" s="11" t="str">
        <f>VLOOKUP(K288,'1285 EPC'!$K$13:$AK$35,27,0)</f>
        <v xml:space="preserve"> Con el cambio de normatividad en los terminos de referencia del año 2018, se deberá actualizar todo el EIA presenatdo inicialmente
De acuerdo a la solicItud de EPC, se esta a la espera de la respuesta de la CAR, de igual manera de esta respuesta depende quien realizará la actualziación al Estudio de Impacto Ambiental EIA.  </v>
      </c>
      <c r="AL288" s="11">
        <v>0.4</v>
      </c>
      <c r="AM288" s="11">
        <v>0</v>
      </c>
      <c r="AN288" s="11">
        <v>0.5</v>
      </c>
      <c r="AO288" s="11">
        <v>0</v>
      </c>
      <c r="AP288" s="11">
        <v>0</v>
      </c>
      <c r="AQ288" s="11">
        <v>0</v>
      </c>
      <c r="AR288" s="52"/>
      <c r="AS288" s="54">
        <v>200000000</v>
      </c>
      <c r="AT288" s="54">
        <f t="shared" si="434"/>
        <v>200000000</v>
      </c>
      <c r="AU288" s="52"/>
      <c r="AV288" s="243">
        <v>200000000</v>
      </c>
      <c r="AW288" s="244"/>
      <c r="AX288" s="244"/>
      <c r="AY288" s="243">
        <v>26874300</v>
      </c>
      <c r="AZ288" s="44">
        <f t="shared" si="469"/>
        <v>0.06</v>
      </c>
      <c r="BA288" s="44">
        <v>0</v>
      </c>
      <c r="BB288" s="44" t="s">
        <v>115</v>
      </c>
      <c r="BC288" s="44">
        <f t="shared" si="470"/>
        <v>0.1</v>
      </c>
      <c r="BD288" s="44" cm="1">
        <f t="array" ref="BD288">_xlfn.IFS(AD288=0,"NA",AD288&gt;0,AH288/AD288)</f>
        <v>0.6</v>
      </c>
      <c r="BE288" s="44">
        <f t="shared" si="471"/>
        <v>0.4</v>
      </c>
      <c r="BF288" s="44">
        <v>0</v>
      </c>
      <c r="BG288" s="44">
        <f t="shared" si="472"/>
        <v>0.5</v>
      </c>
      <c r="BH288" s="44">
        <v>0</v>
      </c>
      <c r="BI288" s="44">
        <f t="shared" si="473"/>
        <v>0</v>
      </c>
      <c r="BJ288" s="44" t="s">
        <v>115</v>
      </c>
      <c r="BK288" s="44">
        <f t="shared" si="435"/>
        <v>0.06</v>
      </c>
      <c r="BL288" s="44" t="s">
        <v>115</v>
      </c>
      <c r="BM288" s="44" cm="1">
        <f t="array" ref="BM288">_xlfn.IFS(BD288="NA","NA",BD288&gt;100%,"100%",BD288&lt;100,BD288)</f>
        <v>0.6</v>
      </c>
      <c r="BN288" s="44" cm="1">
        <f t="array" ref="BN288">_xlfn.IFS(BF288="NA","NA",BF288&gt;100%,"100%",BF288&lt;100,BF288)</f>
        <v>0</v>
      </c>
      <c r="BO288" s="44" cm="1">
        <f t="array" ref="BO288">_xlfn.IFS(BH288="NA","NA",BH288&gt;100%,"100%",BH288&lt;100,BH288)</f>
        <v>0</v>
      </c>
      <c r="BP288" s="44" t="str" cm="1">
        <f t="array" ref="BP288">_xlfn.IFS(BJ288="NA","NA",BJ288&gt;100%,"100%",BJ288&lt;100,BJ288)</f>
        <v>NA</v>
      </c>
      <c r="BQ288" s="45">
        <v>0.22500000000000001</v>
      </c>
      <c r="BR288" s="45">
        <f t="shared" si="436"/>
        <v>1.35E-2</v>
      </c>
      <c r="BS288" s="45">
        <v>0</v>
      </c>
      <c r="BT288" s="45" t="s">
        <v>115</v>
      </c>
      <c r="BU288" s="45">
        <v>0</v>
      </c>
      <c r="BV288" s="45">
        <f t="shared" si="474"/>
        <v>2.2500000000000003E-2</v>
      </c>
      <c r="BW288" s="45">
        <f t="shared" si="448"/>
        <v>1.3500000000000002E-2</v>
      </c>
      <c r="BX288" s="45">
        <f t="shared" si="449"/>
        <v>1.35E-2</v>
      </c>
      <c r="BY288" s="45">
        <f t="shared" si="475"/>
        <v>9.0000000000000011E-2</v>
      </c>
      <c r="BZ288" s="45">
        <f t="shared" si="476"/>
        <v>0</v>
      </c>
      <c r="CA288" s="45">
        <f t="shared" si="439"/>
        <v>0</v>
      </c>
      <c r="CB288" s="45">
        <f t="shared" si="477"/>
        <v>0.1125</v>
      </c>
      <c r="CC288" s="45">
        <f t="shared" si="478"/>
        <v>0</v>
      </c>
      <c r="CD288" s="45">
        <v>0</v>
      </c>
      <c r="CE288" s="45">
        <f t="shared" si="479"/>
        <v>0</v>
      </c>
      <c r="CF288" s="45" t="str">
        <f t="shared" si="480"/>
        <v>NA</v>
      </c>
      <c r="CG288" s="45">
        <v>0</v>
      </c>
      <c r="CH288" s="244"/>
      <c r="CI288" s="244"/>
      <c r="CJ288" s="244"/>
      <c r="CK288" s="244"/>
      <c r="CM288" s="63">
        <v>0</v>
      </c>
    </row>
    <row r="289" spans="1:91" ht="30.75" hidden="1" customHeight="1">
      <c r="A289" s="260" t="s">
        <v>1387</v>
      </c>
      <c r="B289" s="260" t="s">
        <v>1388</v>
      </c>
      <c r="C289" s="260" t="s">
        <v>1828</v>
      </c>
      <c r="D289" s="260" t="s">
        <v>1829</v>
      </c>
      <c r="E289" s="260" t="s">
        <v>1910</v>
      </c>
      <c r="F289" s="260" t="s">
        <v>1855</v>
      </c>
      <c r="G289" s="260" t="s">
        <v>1856</v>
      </c>
      <c r="H289" s="260" t="s">
        <v>1925</v>
      </c>
      <c r="I289" s="260"/>
      <c r="J289" s="260"/>
      <c r="K289" s="260" t="s">
        <v>1926</v>
      </c>
      <c r="L289" s="12" t="s">
        <v>1927</v>
      </c>
      <c r="M289" s="260" t="s">
        <v>1928</v>
      </c>
      <c r="N289" s="260" t="s">
        <v>111</v>
      </c>
      <c r="O289" s="260" t="s">
        <v>112</v>
      </c>
      <c r="P289" s="10">
        <v>0</v>
      </c>
      <c r="Q289" s="11">
        <v>1</v>
      </c>
      <c r="R289" s="11">
        <f t="shared" si="467"/>
        <v>0.15</v>
      </c>
      <c r="S289" s="11">
        <f>VLOOKUP(K289,'1285 EPC'!$K$13:$AK$35,9,0)</f>
        <v>0</v>
      </c>
      <c r="T289" s="11">
        <v>0.1</v>
      </c>
      <c r="U289" s="11">
        <v>0</v>
      </c>
      <c r="V289" s="11">
        <v>0.05</v>
      </c>
      <c r="W289" s="11">
        <v>0</v>
      </c>
      <c r="X289" s="11">
        <v>0</v>
      </c>
      <c r="Y289" s="11">
        <v>0</v>
      </c>
      <c r="Z289" s="11">
        <v>0</v>
      </c>
      <c r="AA289" s="11"/>
      <c r="AB289" s="11"/>
      <c r="AC289" s="11"/>
      <c r="AD289" s="11">
        <v>0.39</v>
      </c>
      <c r="AE289" s="11">
        <v>0</v>
      </c>
      <c r="AF289" s="11">
        <f>VLOOKUP(K289,'1285 EPC'!$K$13:$AK$35,22,0)</f>
        <v>0.15</v>
      </c>
      <c r="AG289" s="11" t="str">
        <f>VLOOKUP(K289,'1285 EPC'!$K$13:$AK$35,23,0)</f>
        <v> </v>
      </c>
      <c r="AH289" s="11">
        <f t="shared" si="468"/>
        <v>0.15</v>
      </c>
      <c r="AI289" s="11" t="str">
        <f>VLOOKUP(K289,'1285 EPC'!$K$13:$AK$35,25,0)</f>
        <v>Avance de la implementación del sistema información integrado</v>
      </c>
      <c r="AJ289" s="11" t="str">
        <f>VLOOKUP(K289,'1285 EPC'!$K$13:$AK$35,26,0)</f>
        <v>Se contrató al ingeniero de sistemas experto en sistemas de información, el cual ha realizado una serie de reuniones para obtener un diagnóstico inicial de las necesidades del sistema.
Se realizo sesión con los asesores del director General para revisar y validar las actividades detectadas en el flujo de trabajo del ciclo de vida de los proyectos, para lo cual se realizaron ajustes a las a actividades de planeación y estructuración. Se valida las actividades y tareas con las personas funcionales de las direcciones de DOPE, Interventoría y Contratación. Se ajustan las especificaciones técnicas mínimas requeridas del sistema de información.
Se coordina con el asesor del director General y subgerencia técnica, la revisión y validación de las actividades detectadas al flujo de trabajo del ciclo de vida de los proyectos, para ajustar las especificaciones técnicas mínimas requeridas del sistema de información para la semana comprendida del 2 al 6 de agosto del 2021.
Elaboración de documento en su primera versión con las especificaciones técnicas mínimas requeridas del sistema de información, diagnostico Sistema de Gestión de Calidad procesos Misionales y herramienta de gestión y administración del SGC
Se realizaron reuniones con los líderes de los siguientes procesos: Aseguramiento, Estructuración, contabilidad, presupuesto, tesorería, Servicio al Cliente, Calidad, Gestión Documental, Ventanilla Única, Control Interno, Nomina, Activos Fijo e Inventario, Interventoría, Ambiental, Subgerencia General, Jurídica, Operaciones y Proyectos Especiales, para conocer el flujo del proceso y las actividades de entrada y salida que interactúan con el proceso de Gestión de Proyectos.
 Reuniones realizadas con los líderes de los siguientes procesos: Operación de Servicio Públicos Domiciliarios y Contratación, para conocer el flujo del proceso y las actividades de entrada y salida que interactúan con el proceso de Gestión de Proyectos.
Entrega y socialización al Director de Planeación, del documento con el diagnóstico y la propuesta con el alcance del sistema de información de Gestión de Proyectos para EPC, el día el 19/05/2020
Presentación de KickOff del Sistema de Información de Gestión de Proyectos -SIGPRO, al subgerente General, al director de planeación y a la directora de Gestión Humana.
Programación reunión asesores del director General de EPC, para presentación KickOff Sistema de Información de Gestión de Proyectos -SIGPRO.
Validación las actividades y tareas a desarrollar en el módulo de Recursos Ambientales, con la persona funcional del proceso. Validación con la persona técnica de la empresa que provee el servicio de plataforma de Gestión financiera y contable SOLIN, los mecanismos de conexión para compartir información con el sistema de información de gestión de proyectos. Se ajustan las especificaciones técnicas mínimas requeridas del sistema de información según las observaciones realizadas.
Se realiza presentación de las funcionalidades y se envían las especificaciones técnicas con los componentes de diagnóstico procesos y procedimiento, Sistema de información Sistema de Gestión de Calidad y Sistema de Información de Gestión de Proyectos, para observaciones y ajustes, se encuentra en proceso de aprobación.
Se comparte con las áreas de planeación financiera, asuntos corporativos y presupuesto el APP “Planeación para el desarrollo”, para validar las funcionalidades, aplicabilidad en EPC y cumplimiento de i) Resolución # 3832 de 18/10/2019 Minhacienda” Catálogo de Clasificación Presupuestal para Entidades Territoriales y sus Descentralizadas (CCPET)” ii), DANE: Resolución # 0550 de 08/05/2020 del DANE “Clasificación Central de Productos adaptada para Colombia (CPC)” y iii) Catalogo Central de productos MGA – DNP.
Diligenciamiento del formato el anexo 3 Certificación Proyectos de Preinversión.
Elaboración solicitud a la Gerencia para la asignación de recursos para la contratación del Sistema de Información de Gestión de Proyectos en la vigencia 2022, por valor de $800 millones</v>
      </c>
      <c r="AK289" s="11" t="str">
        <f>VLOOKUP(K289,'1285 EPC'!$K$13:$AK$35,27,0)</f>
        <v>Por disponibilidad de agenda del asesor, designado no se ha continuado con la validación general que permita realizar los ajustes a las funcionalidades descritas para cada uno de los módulos del sistema de información de Gestión de Proyectos.</v>
      </c>
      <c r="AL289" s="11">
        <v>0.46</v>
      </c>
      <c r="AM289" s="11">
        <v>0</v>
      </c>
      <c r="AN289" s="11">
        <v>0.1</v>
      </c>
      <c r="AO289" s="11">
        <v>0</v>
      </c>
      <c r="AP289" s="11">
        <v>0</v>
      </c>
      <c r="AQ289" s="11">
        <v>0</v>
      </c>
      <c r="AR289" s="52"/>
      <c r="AS289" s="54">
        <v>0</v>
      </c>
      <c r="AT289" s="54">
        <f t="shared" si="434"/>
        <v>0</v>
      </c>
      <c r="AU289" s="52"/>
      <c r="AV289" s="243">
        <v>20000000</v>
      </c>
      <c r="AW289" s="244"/>
      <c r="AX289" s="244"/>
      <c r="AY289" s="243">
        <v>19110000</v>
      </c>
      <c r="AZ289" s="44">
        <f t="shared" si="469"/>
        <v>0.15</v>
      </c>
      <c r="BA289" s="44">
        <v>0.05</v>
      </c>
      <c r="BB289" s="44">
        <v>0</v>
      </c>
      <c r="BC289" s="44">
        <f t="shared" si="470"/>
        <v>0.39</v>
      </c>
      <c r="BD289" s="44" cm="1">
        <f t="array" ref="BD289">_xlfn.IFS(AD289=0,"NA",AD289&gt;0,AH289/AD289)</f>
        <v>0.38461538461538458</v>
      </c>
      <c r="BE289" s="44">
        <f t="shared" si="471"/>
        <v>0.46</v>
      </c>
      <c r="BF289" s="44">
        <v>0</v>
      </c>
      <c r="BG289" s="44">
        <f t="shared" si="472"/>
        <v>0.1</v>
      </c>
      <c r="BH289" s="44">
        <v>0</v>
      </c>
      <c r="BI289" s="44">
        <f t="shared" si="473"/>
        <v>0</v>
      </c>
      <c r="BJ289" s="44" t="s">
        <v>115</v>
      </c>
      <c r="BK289" s="44">
        <f t="shared" si="435"/>
        <v>0.15</v>
      </c>
      <c r="BL289" s="44">
        <v>0</v>
      </c>
      <c r="BM289" s="44" cm="1">
        <f t="array" ref="BM289">_xlfn.IFS(BD289="NA","NA",BD289&gt;100%,"100%",BD289&lt;100,BD289)</f>
        <v>0.38461538461538458</v>
      </c>
      <c r="BN289" s="44" cm="1">
        <f t="array" ref="BN289">_xlfn.IFS(BF289="NA","NA",BF289&gt;100%,"100%",BF289&lt;100,BF289)</f>
        <v>0</v>
      </c>
      <c r="BO289" s="44" cm="1">
        <f t="array" ref="BO289">_xlfn.IFS(BH289="NA","NA",BH289&gt;100%,"100%",BH289&lt;100,BH289)</f>
        <v>0</v>
      </c>
      <c r="BP289" s="44" t="str" cm="1">
        <f t="array" ref="BP289">_xlfn.IFS(BJ289="NA","NA",BJ289&gt;100%,"100%",BJ289&lt;100,BJ289)</f>
        <v>NA</v>
      </c>
      <c r="BQ289" s="45">
        <v>0.22500000000000001</v>
      </c>
      <c r="BR289" s="45">
        <f t="shared" si="436"/>
        <v>3.3750000000000002E-2</v>
      </c>
      <c r="BS289" s="45">
        <v>1.1299999999999999E-2</v>
      </c>
      <c r="BT289" s="45">
        <v>0</v>
      </c>
      <c r="BU289" s="45">
        <v>0</v>
      </c>
      <c r="BV289" s="45">
        <f t="shared" si="474"/>
        <v>8.7750000000000009E-2</v>
      </c>
      <c r="BW289" s="45">
        <f t="shared" si="448"/>
        <v>3.3750000000000002E-2</v>
      </c>
      <c r="BX289" s="45">
        <f t="shared" si="449"/>
        <v>3.3750000000000002E-2</v>
      </c>
      <c r="BY289" s="45">
        <f t="shared" si="475"/>
        <v>0.10350000000000001</v>
      </c>
      <c r="BZ289" s="45">
        <f t="shared" si="476"/>
        <v>0</v>
      </c>
      <c r="CA289" s="45">
        <f t="shared" si="439"/>
        <v>0</v>
      </c>
      <c r="CB289" s="45">
        <f t="shared" si="477"/>
        <v>2.2500000000000003E-2</v>
      </c>
      <c r="CC289" s="45">
        <f t="shared" si="478"/>
        <v>0</v>
      </c>
      <c r="CD289" s="45">
        <v>0</v>
      </c>
      <c r="CE289" s="45">
        <f t="shared" si="479"/>
        <v>0</v>
      </c>
      <c r="CF289" s="45" t="str">
        <f t="shared" si="480"/>
        <v>NA</v>
      </c>
      <c r="CG289" s="45">
        <v>0</v>
      </c>
      <c r="CH289" s="244"/>
      <c r="CI289" s="244"/>
      <c r="CJ289" s="244"/>
      <c r="CK289" s="244"/>
      <c r="CM289" s="63">
        <v>0.15</v>
      </c>
    </row>
    <row r="290" spans="1:91" ht="30.75" hidden="1" customHeight="1">
      <c r="A290" s="260" t="s">
        <v>1387</v>
      </c>
      <c r="B290" s="260" t="s">
        <v>1388</v>
      </c>
      <c r="C290" s="260" t="s">
        <v>1828</v>
      </c>
      <c r="D290" s="260" t="s">
        <v>1829</v>
      </c>
      <c r="E290" s="260" t="s">
        <v>1910</v>
      </c>
      <c r="F290" s="260" t="s">
        <v>1855</v>
      </c>
      <c r="G290" s="260" t="s">
        <v>1856</v>
      </c>
      <c r="H290" s="260" t="s">
        <v>1929</v>
      </c>
      <c r="I290" s="260"/>
      <c r="J290" s="260"/>
      <c r="K290" s="260" t="s">
        <v>1930</v>
      </c>
      <c r="L290" s="12" t="s">
        <v>1931</v>
      </c>
      <c r="M290" s="260" t="s">
        <v>1932</v>
      </c>
      <c r="N290" s="260" t="s">
        <v>111</v>
      </c>
      <c r="O290" s="260" t="s">
        <v>112</v>
      </c>
      <c r="P290" s="10">
        <v>0</v>
      </c>
      <c r="Q290" s="11">
        <v>1</v>
      </c>
      <c r="R290" s="11">
        <f t="shared" si="467"/>
        <v>0.75</v>
      </c>
      <c r="S290" s="11">
        <f>VLOOKUP(K290,'1285 EPC'!$K$13:$AK$35,9,0)</f>
        <v>0</v>
      </c>
      <c r="T290" s="11">
        <v>0</v>
      </c>
      <c r="U290" s="11">
        <v>0</v>
      </c>
      <c r="V290" s="11">
        <v>0</v>
      </c>
      <c r="W290" s="11">
        <v>0</v>
      </c>
      <c r="X290" s="11">
        <v>0</v>
      </c>
      <c r="Y290" s="11">
        <v>0</v>
      </c>
      <c r="Z290" s="11">
        <v>0</v>
      </c>
      <c r="AA290" s="11"/>
      <c r="AB290" s="11"/>
      <c r="AC290" s="11"/>
      <c r="AD290" s="11">
        <v>0.9</v>
      </c>
      <c r="AE290" s="11">
        <v>0</v>
      </c>
      <c r="AF290" s="11">
        <f>VLOOKUP(K290,'1285 EPC'!$K$13:$AK$35,22,0)</f>
        <v>0.75</v>
      </c>
      <c r="AG290" s="11" t="str">
        <f>VLOOKUP(K290,'1285 EPC'!$K$13:$AK$35,23,0)</f>
        <v> </v>
      </c>
      <c r="AH290" s="11">
        <f t="shared" si="468"/>
        <v>0.75</v>
      </c>
      <c r="AI290" s="11" t="str">
        <f>VLOOKUP(K290,'1285 EPC'!$K$13:$AK$35,25,0)</f>
        <v> </v>
      </c>
      <c r="AJ290" s="11" t="str">
        <f>VLOOKUP(K290,'1285 EPC'!$K$13:$AK$35,26,0)</f>
        <v>Se encuentran aprobados los productos, avance meta 75%:
producto 1. Recopilación de información secundaria
producto 2. Análisis y procesamiento de   la información secundaria cuencas hidrográficas
producto 3. Análisis y procesamiento de   la información secundaria de aguas subterráneas                                                
producto 4. Necesidad de estudios en campo                                                                                                              
producto 5. Diagnostico   general fuentes actuales       
producto 7. Alternativas de abastecimiento – agua subterránea                                   
producto 8. Alternativas       de abastecimiento - venta de     agua    en     bloque     desde     el   acueducto de Bogotá                                           
producto 9. Alternativas de abastecimiento - alternativas no convencionales             
producto 10. Alternativas de abastecimiento -   aguas superficiales alternas                                                                                     
Producto 11. Análisis Predial: En revisión por la Interventoría.
Producto 12 Diagnóstico Integral:  En revisión por la Interventoría.
Producto 6. Alternativas de abastecimiento - Embalses: En Ajustes por la consultoría.
Producto 7. Alternativas de abastecimiento - Agua Subterránea: En Ajustes por la consultoría.
Producto 8. Alternativas de abastecimiento - Venta Agua en Bloque: En Ajustes por la consultoría.
Producto 9. Alternativas de abastecimiento - No convencionales:  En Ajustes por la consultoría.
Producto 10. Alternativas de abastecimiento - Aguas superficiales alternas:  En Ajustes por la consultoría.
Producto 11. Análisis Predial: En revisión por la Interventoría.
Producto 12 Diagnóstico Integral:  En revisión por la Interventoría.</v>
      </c>
      <c r="AK290" s="11" t="str">
        <f>VLOOKUP(K290,'1285 EPC'!$K$13:$AK$35,27,0)</f>
        <v>Pendiente respuesta por la EAAB para la socialización de este plan de abastecimiento.</v>
      </c>
      <c r="AL290" s="11">
        <v>0.1</v>
      </c>
      <c r="AM290" s="11">
        <v>0</v>
      </c>
      <c r="AN290" s="11">
        <v>0</v>
      </c>
      <c r="AO290" s="11">
        <v>0</v>
      </c>
      <c r="AP290" s="11">
        <v>0</v>
      </c>
      <c r="AQ290" s="11">
        <v>0</v>
      </c>
      <c r="AR290" s="52"/>
      <c r="AS290" s="54">
        <v>50382696</v>
      </c>
      <c r="AT290" s="54">
        <f t="shared" si="434"/>
        <v>50382696</v>
      </c>
      <c r="AU290" s="52"/>
      <c r="AV290" s="243">
        <v>48444900</v>
      </c>
      <c r="AW290" s="244"/>
      <c r="AX290" s="244"/>
      <c r="AY290" s="243">
        <v>1937796</v>
      </c>
      <c r="AZ290" s="44">
        <f t="shared" si="469"/>
        <v>0.75</v>
      </c>
      <c r="BA290" s="44">
        <v>0</v>
      </c>
      <c r="BB290" s="44" t="s">
        <v>115</v>
      </c>
      <c r="BC290" s="44">
        <f t="shared" si="470"/>
        <v>0.9</v>
      </c>
      <c r="BD290" s="44" cm="1">
        <f t="array" ref="BD290">_xlfn.IFS(AD290=0,"NA",AD290&gt;0,AH290/AD290)</f>
        <v>0.83333333333333326</v>
      </c>
      <c r="BE290" s="44">
        <f t="shared" si="471"/>
        <v>0.1</v>
      </c>
      <c r="BF290" s="44">
        <v>0</v>
      </c>
      <c r="BG290" s="44">
        <f t="shared" si="472"/>
        <v>0</v>
      </c>
      <c r="BH290" s="44">
        <v>0</v>
      </c>
      <c r="BI290" s="44">
        <f t="shared" si="473"/>
        <v>0</v>
      </c>
      <c r="BJ290" s="44" t="s">
        <v>115</v>
      </c>
      <c r="BK290" s="44">
        <f t="shared" si="435"/>
        <v>0.75</v>
      </c>
      <c r="BL290" s="44" t="s">
        <v>115</v>
      </c>
      <c r="BM290" s="44" cm="1">
        <f t="array" ref="BM290">_xlfn.IFS(BD290="NA","NA",BD290&gt;100%,"100%",BD290&lt;100,BD290)</f>
        <v>0.83333333333333326</v>
      </c>
      <c r="BN290" s="44" cm="1">
        <f t="array" ref="BN290">_xlfn.IFS(BF290="NA","NA",BF290&gt;100%,"100%",BF290&lt;100,BF290)</f>
        <v>0</v>
      </c>
      <c r="BO290" s="44" cm="1">
        <f t="array" ref="BO290">_xlfn.IFS(BH290="NA","NA",BH290&gt;100%,"100%",BH290&lt;100,BH290)</f>
        <v>0</v>
      </c>
      <c r="BP290" s="44" t="str" cm="1">
        <f t="array" ref="BP290">_xlfn.IFS(BJ290="NA","NA",BJ290&gt;100%,"100%",BJ290&lt;100,BJ290)</f>
        <v>NA</v>
      </c>
      <c r="BQ290" s="45">
        <v>0.22500000000000001</v>
      </c>
      <c r="BR290" s="45">
        <f t="shared" si="436"/>
        <v>0.16875000000000001</v>
      </c>
      <c r="BS290" s="45">
        <v>0</v>
      </c>
      <c r="BT290" s="45" t="s">
        <v>115</v>
      </c>
      <c r="BU290" s="45">
        <v>0</v>
      </c>
      <c r="BV290" s="45">
        <f t="shared" si="474"/>
        <v>0.20250000000000001</v>
      </c>
      <c r="BW290" s="45">
        <f t="shared" si="448"/>
        <v>0.16874999999999998</v>
      </c>
      <c r="BX290" s="45">
        <f t="shared" si="449"/>
        <v>0.16875000000000001</v>
      </c>
      <c r="BY290" s="45">
        <f t="shared" si="475"/>
        <v>2.2500000000000003E-2</v>
      </c>
      <c r="BZ290" s="45">
        <f t="shared" si="476"/>
        <v>0</v>
      </c>
      <c r="CA290" s="45">
        <f t="shared" si="439"/>
        <v>0</v>
      </c>
      <c r="CB290" s="45">
        <f t="shared" si="477"/>
        <v>0</v>
      </c>
      <c r="CC290" s="45">
        <f t="shared" si="478"/>
        <v>0</v>
      </c>
      <c r="CD290" s="45">
        <v>0</v>
      </c>
      <c r="CE290" s="45">
        <f t="shared" si="479"/>
        <v>0</v>
      </c>
      <c r="CF290" s="45" t="str">
        <f t="shared" si="480"/>
        <v>NA</v>
      </c>
      <c r="CG290" s="45">
        <v>0</v>
      </c>
      <c r="CH290" s="244"/>
      <c r="CI290" s="244"/>
      <c r="CJ290" s="244"/>
      <c r="CK290" s="244"/>
      <c r="CM290" s="63">
        <v>0</v>
      </c>
    </row>
    <row r="291" spans="1:91" ht="30.75" hidden="1" customHeight="1">
      <c r="A291" s="260" t="s">
        <v>1387</v>
      </c>
      <c r="B291" s="260" t="s">
        <v>1388</v>
      </c>
      <c r="C291" s="260" t="s">
        <v>1828</v>
      </c>
      <c r="D291" s="260" t="s">
        <v>1829</v>
      </c>
      <c r="E291" s="260" t="s">
        <v>1910</v>
      </c>
      <c r="F291" s="260" t="s">
        <v>1855</v>
      </c>
      <c r="G291" s="260" t="s">
        <v>1856</v>
      </c>
      <c r="H291" s="260" t="s">
        <v>1933</v>
      </c>
      <c r="I291" s="260"/>
      <c r="J291" s="260"/>
      <c r="K291" s="260" t="s">
        <v>1934</v>
      </c>
      <c r="L291" s="12" t="s">
        <v>1935</v>
      </c>
      <c r="M291" s="260" t="s">
        <v>1936</v>
      </c>
      <c r="N291" s="260" t="s">
        <v>111</v>
      </c>
      <c r="O291" s="260" t="s">
        <v>112</v>
      </c>
      <c r="P291" s="10">
        <v>0</v>
      </c>
      <c r="Q291" s="11">
        <v>4</v>
      </c>
      <c r="R291" s="11">
        <f t="shared" si="467"/>
        <v>1</v>
      </c>
      <c r="S291" s="11">
        <f>VLOOKUP(K291,'1285 EPC'!$K$13:$AK$35,9,0)</f>
        <v>0</v>
      </c>
      <c r="T291" s="11">
        <v>0</v>
      </c>
      <c r="U291" s="11">
        <v>0</v>
      </c>
      <c r="V291" s="11">
        <v>0</v>
      </c>
      <c r="W291" s="11">
        <v>0</v>
      </c>
      <c r="X291" s="11">
        <v>0</v>
      </c>
      <c r="Y291" s="11">
        <v>0</v>
      </c>
      <c r="Z291" s="11">
        <v>0</v>
      </c>
      <c r="AA291" s="11"/>
      <c r="AB291" s="11"/>
      <c r="AC291" s="11"/>
      <c r="AD291" s="11">
        <v>1</v>
      </c>
      <c r="AE291" s="11">
        <v>0</v>
      </c>
      <c r="AF291" s="11">
        <f>VLOOKUP(K291,'1285 EPC'!$K$13:$AK$35,22,0)</f>
        <v>1</v>
      </c>
      <c r="AG291" s="11" t="str">
        <f>VLOOKUP(K291,'1285 EPC'!$K$13:$AK$35,23,0)</f>
        <v> </v>
      </c>
      <c r="AH291" s="11">
        <f t="shared" si="468"/>
        <v>1</v>
      </c>
      <c r="AI291" s="11" t="str">
        <f>VLOOKUP(K291,'1285 EPC'!$K$13:$AK$35,25,0)</f>
        <v> </v>
      </c>
      <c r="AJ291" s="11" t="str">
        <f>VLOOKUP(K291,'1285 EPC'!$K$13:$AK$35,26,0)</f>
        <v>Pendiente la respuesta por parte de la CAR, ante la entrega de los ajustes y el estado de evaluación de las alternativas de Diagnóstico Ambiental DAA, por lo tanto se desarrolló reunión entre la Interventoría, el consultor y la Subgerencia General para establecer las medidas.
Se realizo reunión entre la CAR, DOPE y la Subgerencia General, donde se revisó el estado actual de las solicitudes de DAA, por lo cual EPC, deberá revisar la trazabilidad realizada ya que la CAR solicitó un desistimiento de los trámites. Esta evaluación está a cargo de DOPE y se está a la espera de la respuesta de la CAR.
Por solicitud de la CAR, el día 23 de julio de 2021 se hace entrega nuevamente del contenido de las alternativas de los Embalses Sumapaz, Gualivá y Ubaté.
La CAR solicita mesa de trabajo para la socialización de los requerimientos que debe realizar el consultor. Y se acuerda entre las partes que la CAR seguirá revisando el documento del Plan de Abastecimiento para dar aprobación del mismo.
Se termina el contrato EPC-PDA-C-256-2018 ACTUALIZACIÓN DE LOS ESTUDIOS Y DISEÑOS A DETALLE EMBALSE PANTANO DE ARCE II, avance 100% de ejecución, los diseños fueron aprobados por interventoría
Se han adelantado 3 mesas de trabajo con la CAR, para dar revisión a las observaciones generadas donde la última se realizó el día 30 de noviembre de 2021 por lo que la consultoría generara un plan de trabajo a presentar el próximo 13 de diciembre de 2021.</v>
      </c>
      <c r="AK291" s="11" t="str">
        <f>VLOOKUP(K291,'1285 EPC'!$K$13:$AK$35,27,0)</f>
        <v xml:space="preserve"> No se ha recibido respuesta por parte de la CAR, respecto a los ajustes presentados por epc.
Se requiere de considerables periodos de tiempo para que la CAR pueda realizar la revisión de los entregables así como la programación de las mesas de trabajo dado el alto volumen de trabajo que maneja dicha entidad. 
Se realizo reunón entre la CAR, Dirección Operativa y la Subgerencia Gneral, donde se revisó el estado actual de las solicitudes de DAA, por lo cual EPC, deberá revisar la trazabilidad realizada ya que la CAR solicitó un desistimiento de los tramites.</v>
      </c>
      <c r="AL291" s="11">
        <v>3</v>
      </c>
      <c r="AM291" s="11">
        <v>0</v>
      </c>
      <c r="AN291" s="11">
        <v>0</v>
      </c>
      <c r="AO291" s="11">
        <v>0</v>
      </c>
      <c r="AP291" s="11">
        <v>0</v>
      </c>
      <c r="AQ291" s="11">
        <v>0</v>
      </c>
      <c r="AR291" s="52"/>
      <c r="AS291" s="54">
        <v>3000000000</v>
      </c>
      <c r="AT291" s="54">
        <f t="shared" si="434"/>
        <v>3000000000</v>
      </c>
      <c r="AU291" s="52"/>
      <c r="AV291" s="243">
        <v>30003605</v>
      </c>
      <c r="AW291" s="244"/>
      <c r="AX291" s="244"/>
      <c r="AY291" s="243">
        <v>30003605</v>
      </c>
      <c r="AZ291" s="44">
        <f t="shared" si="469"/>
        <v>0.25</v>
      </c>
      <c r="BA291" s="44">
        <v>0</v>
      </c>
      <c r="BB291" s="44" t="s">
        <v>115</v>
      </c>
      <c r="BC291" s="44">
        <f t="shared" si="470"/>
        <v>0.25</v>
      </c>
      <c r="BD291" s="44" cm="1">
        <f t="array" ref="BD291">_xlfn.IFS(AD291=0,"NA",AD291&gt;0,AH291/AD291)</f>
        <v>1</v>
      </c>
      <c r="BE291" s="44">
        <f t="shared" si="471"/>
        <v>0.75</v>
      </c>
      <c r="BF291" s="44">
        <v>0</v>
      </c>
      <c r="BG291" s="44">
        <f t="shared" si="472"/>
        <v>0</v>
      </c>
      <c r="BH291" s="44">
        <v>0</v>
      </c>
      <c r="BI291" s="44">
        <f t="shared" si="473"/>
        <v>0</v>
      </c>
      <c r="BJ291" s="44" t="s">
        <v>115</v>
      </c>
      <c r="BK291" s="44">
        <f t="shared" si="435"/>
        <v>0.25</v>
      </c>
      <c r="BL291" s="44" t="s">
        <v>115</v>
      </c>
      <c r="BM291" s="44" cm="1">
        <f t="array" ref="BM291">_xlfn.IFS(BD291="NA","NA",BD291&gt;100%,"100%",BD291&lt;100,BD291)</f>
        <v>1</v>
      </c>
      <c r="BN291" s="44" cm="1">
        <f t="array" ref="BN291">_xlfn.IFS(BF291="NA","NA",BF291&gt;100%,"100%",BF291&lt;100,BF291)</f>
        <v>0</v>
      </c>
      <c r="BO291" s="44" cm="1">
        <f t="array" ref="BO291">_xlfn.IFS(BH291="NA","NA",BH291&gt;100%,"100%",BH291&lt;100,BH291)</f>
        <v>0</v>
      </c>
      <c r="BP291" s="44" t="str" cm="1">
        <f t="array" ref="BP291">_xlfn.IFS(BJ291="NA","NA",BJ291&gt;100%,"100%",BJ291&lt;100,BJ291)</f>
        <v>NA</v>
      </c>
      <c r="BQ291" s="45">
        <v>0.22500000000000001</v>
      </c>
      <c r="BR291" s="45">
        <f t="shared" si="436"/>
        <v>5.6250000000000001E-2</v>
      </c>
      <c r="BS291" s="45">
        <v>0</v>
      </c>
      <c r="BT291" s="45" t="s">
        <v>115</v>
      </c>
      <c r="BU291" s="45">
        <v>0</v>
      </c>
      <c r="BV291" s="45">
        <f t="shared" si="474"/>
        <v>5.6250000000000001E-2</v>
      </c>
      <c r="BW291" s="45">
        <f t="shared" si="448"/>
        <v>5.6250000000000001E-2</v>
      </c>
      <c r="BX291" s="45">
        <f t="shared" si="449"/>
        <v>5.6250000000000001E-2</v>
      </c>
      <c r="BY291" s="45">
        <f t="shared" si="475"/>
        <v>0.16875000000000001</v>
      </c>
      <c r="BZ291" s="45">
        <f t="shared" si="476"/>
        <v>0</v>
      </c>
      <c r="CA291" s="45">
        <f t="shared" si="439"/>
        <v>0</v>
      </c>
      <c r="CB291" s="45">
        <f t="shared" si="477"/>
        <v>0</v>
      </c>
      <c r="CC291" s="45">
        <f t="shared" si="478"/>
        <v>0</v>
      </c>
      <c r="CD291" s="45">
        <v>0</v>
      </c>
      <c r="CE291" s="45">
        <f t="shared" si="479"/>
        <v>0</v>
      </c>
      <c r="CF291" s="45" t="str">
        <f t="shared" si="480"/>
        <v>NA</v>
      </c>
      <c r="CG291" s="45">
        <v>0</v>
      </c>
      <c r="CH291" s="244"/>
      <c r="CI291" s="244"/>
      <c r="CJ291" s="244"/>
      <c r="CK291" s="244"/>
      <c r="CM291" s="63">
        <v>0</v>
      </c>
    </row>
    <row r="292" spans="1:91" ht="18" hidden="1" customHeight="1">
      <c r="A292" s="260" t="s">
        <v>1937</v>
      </c>
      <c r="B292" s="260" t="s">
        <v>1938</v>
      </c>
      <c r="C292" s="260" t="s">
        <v>1828</v>
      </c>
      <c r="D292" s="260" t="s">
        <v>1829</v>
      </c>
      <c r="E292" s="260" t="s">
        <v>1939</v>
      </c>
      <c r="F292" s="260" t="s">
        <v>1940</v>
      </c>
      <c r="G292" s="260" t="s">
        <v>1941</v>
      </c>
      <c r="H292" s="260" t="s">
        <v>1942</v>
      </c>
      <c r="I292" s="260"/>
      <c r="J292" s="260"/>
      <c r="K292" s="260" t="s">
        <v>1943</v>
      </c>
      <c r="L292" s="260" t="s">
        <v>1944</v>
      </c>
      <c r="M292" s="260" t="s">
        <v>1945</v>
      </c>
      <c r="N292" s="260" t="s">
        <v>111</v>
      </c>
      <c r="O292" s="260" t="s">
        <v>112</v>
      </c>
      <c r="P292" s="10">
        <v>109</v>
      </c>
      <c r="Q292" s="11">
        <v>116</v>
      </c>
      <c r="R292" s="11">
        <f t="shared" si="467"/>
        <v>23</v>
      </c>
      <c r="S292" s="11" t="str">
        <f>VLOOKUP(K292,'1203 IPYBAC'!$K$13:$AK$25,9,0)</f>
        <v>Para cumplir esta meta se han diseñado 5 líneas de acción: Desde la Línea de Acción de Manejo Humanitario de Poblaciones se han atiendido solicitudes de los municipios en cuanto a estimativos poblacionales de animales en condición de vulnerabilidad, generación de los programas de Capturas – Esterilizar – Soltar (CES), Animal Comunitario, Red de Hogares de Paso, y programa de adopciones. Además, se ha apoyado desde la medicina de albergues las asesorías en la instauración de Centros de Bienestar Animal y las valoraciones de comportamiento de animales bajo la custodia del albergue municipal. Para la Línea de Acción de Protección Ante la Crueldad Animal se ha venido realizando un consultorio jurídico, abierto a la comunidad en especial para la denuncia de presuntos casos de maltrato animal, así como para los diferentes actores que desde el municipio necesitan conocer la forma técnica y jurídica de atender las diferentes problemáticas asociadas a los animales. Desde el 15 de marzo del presente años al 31 de octubre se han atendido 377 casos. Desde la Línea de Gestión del Bienestar Animal, se han realizado 23 Jornadas de Bienestar Animal donde se han atendido 1144 animales para consulta médica veterinaria prioritaria y se han realizado 3545 cirugías para el control de poblaciones. Además, se realizó la entrega de alimentos balanceados en el marco de la Ruta Huella Animal 2021 con un total de 15.760 kilogramos entregados a los 116 municipios del Departamento. A partir del 4 de octubre se han entregado kits de medicamentos veterinarios a las UMATAS y/o las Secretarias que tengan sus competencias, para fortalecer la atención de los animales en estado de vulnerabilidad de cada uno de  los 116 municipios del Departamento. Para la Línea de Acción de Fortalecimiento del Vínculo Humano – Animal, se han realizado 2 charlas virtuales a los 116 municipios del Departamento sobre la necesidad de la atención articulada en los temas de Protección y Bienestar Animal, las competencias del Instituto de Protección y Bienestar Animal de Cundinamarca – IPYBAC y las competencias de los diferentes actores del municipio. De igual manera se han realizado 48 capacitaciones a 36 municipios del Departamento sobre la ruta de atención de casos por presunto maltrato animal, tenencia responsable desde el concepto de “Un Solo Bienestar”, Bienestar Animal en las Cabalgatas, entre otros temas; buscando sensibilizar al Alcalde Municipal o su delegado, representantes de la UMATA o Secretarías Municipales que atienden los temas de Animales, Secretario de Gobierno o su delegado, Secretario de Salud o su delegado (Municipios Categoría I – II – III), Comandante de Policía Municipal o su delegado, Inspectores de Policía, Miembros de la Junta  Defensora de Animales y el Personero o su delegado, además de la comunidad en general. Durante estas capacitaciones se han sensibilizado dos mil ciento cuarenta y dos (2142) personas en los temas relacionados a la Protección y el Bienestar Animal, que deben actuar como multiplicadores de la información. Cabe resaltar que se realizó el Primer Simposio de Protección Ante la Crueldad Animal el pasado mes de Agosto, el pasado 29 de noviembre inicio el Primer Diplomado en Medicina Veterinaria Legal y Forense donde se están capacitando 30 medicos veterinarios que trabajan con las alcaldías del Departamento para fortalecer la protección ante la crueldad animal y en Diciembre tendremos el Primer Curso de Capacitación en Atención en Primeros Auxilios y Atención de Desastres para fortalecer estos servicios desde la Junta Defensora de Animales y el ente territorial.</v>
      </c>
      <c r="T292" s="11">
        <v>0</v>
      </c>
      <c r="U292" s="11">
        <v>0</v>
      </c>
      <c r="V292" s="11">
        <v>0</v>
      </c>
      <c r="W292" s="11">
        <v>0</v>
      </c>
      <c r="X292" s="11">
        <v>0</v>
      </c>
      <c r="Y292" s="11">
        <v>0</v>
      </c>
      <c r="Z292" s="11">
        <v>0</v>
      </c>
      <c r="AA292" s="11"/>
      <c r="AB292" s="11"/>
      <c r="AC292" s="11"/>
      <c r="AD292" s="11">
        <v>30</v>
      </c>
      <c r="AE292" s="11">
        <v>0</v>
      </c>
      <c r="AF292" s="11">
        <f>VLOOKUP(K292,'1203 IPYBAC'!$K$13:$AK$27,22,0)</f>
        <v>23</v>
      </c>
      <c r="AG292" s="11">
        <f>VLOOKUP(K292,'1203 IPYBAC'!$K$13:$AK$27,23,0)</f>
        <v>0</v>
      </c>
      <c r="AH292" s="11">
        <f t="shared" si="468"/>
        <v>23</v>
      </c>
      <c r="AI292" s="11" t="str">
        <f>VLOOKUP(K292,'1203 IPYBAC'!$K$13:$AK$27,25,0)</f>
        <v xml:space="preserve">Se han atendido 377 casos de presunto maltrato animal, se han realizado 23 Jornadas de Bienestar Animal donde se han atendido 1144 animales para consulta médica veterinaria prioritaria y se han realizado 3545 cirugías para el control de poblaciones. Además, se realizó la entrega de 15.760 kilogramos de concentrado a los 116 municipios del Departamento. Se han entregado 116 kits de medicamentos veterinarios a las UMATAS y/o las Secretarias del Departamento. Se han realizado 2 charlas virtuales a los 116 municipios del Departamento sobre la necesidad de la atención articulada en los temas de Protección y Bienestar Animal, las competencias del Instituto de Protección y Bienestar Animal de Cundinamarca – IPYBAC y las competencias de los diferentes actores del municipio. De igual manera se han realizado 48 capacitaciones a 36 municipios del Departamento sobre la ruta de atención de casos por presunto maltrato animal, tenencia responsable desde el concepto de “Un Solo Bienestar”, Bienestar Animal en las Cabalgatas, entre otros temas; buscando sensibilizar al Alcalde Municipal o su delegado, representantes de la UMATA o Secretarías Municipales que atienden los temas de Animales, Secretario de Gobierno o su delegado, Secretario de Salud o su delegado (Municipios Categoría I – II – III), Comandante de Policía Municipal o su delegado, Inspectores de Policía, Miembros de la Junta  Defensora de Animales y el Personero o su delegado, además de la comunidad en general. Durante estas capacitaciones se han sensibilizado dos mil ciento cuarenta y dos (2142) personas en los temas relacionados a la Protección y el Bienestar Animal, que deben actuar como multiplicadores de la información. Se realizó el Primer Simposio de Protección Ante la Crueldad Animal el pasado mes de Agosto, el pasado 29 de noviembre inicio el Primer Diplomado en Medicina Veterinaria Legal y Forense donde se están capacitando 30 médicos veterinarios que trabajan con las alcaldías del Departamento para fortalecer la protección ante la crueldad animal y en Diciembre tendremos el Primer Curso de Capacitación en Atención en Primeros Auxilios y Atención de Desastres para fortalecer estos servicios desde la Junta Defensora de Animales y el ente territorial.
</v>
      </c>
      <c r="AJ292" s="11" t="str">
        <f>VLOOKUP(K292,'1203 IPYBAC'!$K$13:$AK$27,26,0)</f>
        <v>Para cumplir esta meta se han diseñado 5 líneas de acción: Desde la Línea de Acción de Manejo Humanitario de Poblaciones se han atiendido solicitudes de los municipios en cuanto a estimativos poblacionales de animales en condición de vulnerabilidad, generación de los programas de Capturas – Esterilizar – Soltar (CES), Animal Comunitario, Red de Hogares de Paso, y programa de adopciones. Además, se ha apoyado desde la medicina de albergues las asesorías en la instauración de Centros de Bienestar Animal y las valoraciones de comportamiento de animales bajo la custodia del albergue municipal. Para la Línea de Acción de Protección Ante la Crueldad Animal se ha venido realizando un consultorio jurídico, abierto a la comunidad en especial para la denuncia de presuntos casos de maltrato animal, así como para los diferentes actores que desde el municipio necesitan conocer la forma técnica y jurídica de atender las diferentes problemáticas asociadas a los animales. Desde el 15 de marzo del presente años al 31 de octubre se han atendido 377 casos. Desde la Línea de Gestión del Bienestar Animal, se han realizado 23 Jornadas de Bienestar Animal donde se han atendido 1144 animales para consulta médica veterinaria prioritaria y se han realizado 3545 cirugías para el control de poblaciones. Además, se realizó la entrega de alimentos balanceados en el marco de la Ruta Huella Animal 2021 con un total de 15.760 kilogramos entregados a los 116 municipios del Departamento. A partir del 4 de octubre se han entregado kits de medicamentos veterinarios a las UMATAS y/o las Secretarias que tengan sus competencias, para fortalecer la atención de los animales en estado de vulnerabilidad de cada uno de  los 116 municipios del Departamento. Para la Línea de Acción de Fortalecimiento del Vínculo Humano – Animal, se han realizado 2 charlas virtuales a los 116 municipios del Departamento sobre la necesidad de la atención articulada en los temas de Protección y Bienestar Animal, las competencias del Instituto de Protección y Bienestar Animal de Cundinamarca – IPYBAC y las competencias de los diferentes actores del municipio. De igual manera se han realizado 48 capacitaciones a 36 municipios del Departamento sobre la ruta de atención de casos por presunto maltrato animal, tenencia responsable desde el concepto de “Un Solo Bienestar”, Bienestar Animal en las Cabalgatas, entre otros temas; buscando sensibilizar al Alcalde Municipal o su delegado, representantes de la UMATA o Secretarías Municipales que atienden los temas de Animales, Secretario de Gobierno o su delegado, Secretario de Salud o su delegado (Municipios Categoría I – II – III), Comandante de Policía Municipal o su delegado, Inspectores de Policía, Miembros de la Junta  Defensora de Animales y el Personero o su delegado, además de la comunidad en general. Durante estas capacitaciones se han sensibilizado dos mil ciento cuarenta y dos (2142) personas en los temas relacionados a la Protección y el Bienestar Animal, que deben actuar como multiplicadores de la información. Cabe resaltar que se realizó el Primer Simposio de Protección Ante la Crueldad Animal el pasado mes de Agosto, el pasado 29 de noviembre inicio el Primer Diplomado en Medicina Veterinaria Legal y Forense donde se están capacitando 30 medicos veterinarios que trabajan con las alcaldías del Departamento para fortalecer la protección ante la crueldad animal y en Diciembre tendremos el Primer Curso de Capacitación en Atención en Primeros Auxilios y Atención de Desastres para fortalecer estos servicios desde la Junta Defensora de Animales y el ente territorial.</v>
      </c>
      <c r="AK292" s="11" t="str">
        <f>VLOOKUP(K292,'1203 IPYBAC'!$K$13:$AK$27,27,0)</f>
        <v>La puesta en marcha del IPYBAC, su alistamiento institucional y conformación de la planta de personal han retrasado la consecucion de actividades que permiten el cumpmienmto de la totalidad de la meta</v>
      </c>
      <c r="AL292" s="11">
        <v>50</v>
      </c>
      <c r="AM292" s="11">
        <v>0</v>
      </c>
      <c r="AN292" s="11">
        <v>36</v>
      </c>
      <c r="AO292" s="11">
        <v>0</v>
      </c>
      <c r="AP292" s="11">
        <v>0</v>
      </c>
      <c r="AQ292" s="11">
        <v>0</v>
      </c>
      <c r="AR292" s="52"/>
      <c r="AS292" s="54">
        <v>0</v>
      </c>
      <c r="AT292" s="54">
        <f t="shared" si="434"/>
        <v>0</v>
      </c>
      <c r="AU292" s="52"/>
      <c r="AV292" s="243">
        <v>2293115741</v>
      </c>
      <c r="AW292" s="244"/>
      <c r="AX292" s="244"/>
      <c r="AY292" s="243">
        <v>2193929611</v>
      </c>
      <c r="AZ292" s="44">
        <f t="shared" si="469"/>
        <v>0.19827586206896552</v>
      </c>
      <c r="BA292" s="44">
        <v>0</v>
      </c>
      <c r="BB292" s="44" t="s">
        <v>115</v>
      </c>
      <c r="BC292" s="44">
        <f t="shared" si="470"/>
        <v>0.25862068965517243</v>
      </c>
      <c r="BD292" s="44" cm="1">
        <f t="array" ref="BD292">_xlfn.IFS(AD292=0,"NA",AD292&gt;0,AH292/AD292)</f>
        <v>0.76666666666666672</v>
      </c>
      <c r="BE292" s="44">
        <f t="shared" si="471"/>
        <v>0.43103448275862066</v>
      </c>
      <c r="BF292" s="44">
        <v>0</v>
      </c>
      <c r="BG292" s="44">
        <f t="shared" si="472"/>
        <v>0.31034482758620691</v>
      </c>
      <c r="BH292" s="44">
        <v>0</v>
      </c>
      <c r="BI292" s="44">
        <f t="shared" si="473"/>
        <v>0</v>
      </c>
      <c r="BJ292" s="44" t="s">
        <v>115</v>
      </c>
      <c r="BK292" s="44">
        <f t="shared" si="435"/>
        <v>0.19827586206896552</v>
      </c>
      <c r="BL292" s="44" t="s">
        <v>115</v>
      </c>
      <c r="BM292" s="44" cm="1">
        <f t="array" ref="BM292">_xlfn.IFS(BD292="NA","NA",BD292&gt;100%,"100%",BD292&lt;100,BD292)</f>
        <v>0.76666666666666672</v>
      </c>
      <c r="BN292" s="44" cm="1">
        <f t="array" ref="BN292">_xlfn.IFS(BF292="NA","NA",BF292&gt;100%,"100%",BF292&lt;100,BF292)</f>
        <v>0</v>
      </c>
      <c r="BO292" s="44" cm="1">
        <f t="array" ref="BO292">_xlfn.IFS(BH292="NA","NA",BH292&gt;100%,"100%",BH292&lt;100,BH292)</f>
        <v>0</v>
      </c>
      <c r="BP292" s="44" t="str" cm="1">
        <f t="array" ref="BP292">_xlfn.IFS(BJ292="NA","NA",BJ292&gt;100%,"100%",BJ292&lt;100,BJ292)</f>
        <v>NA</v>
      </c>
      <c r="BQ292" s="45">
        <v>0.22500000000000001</v>
      </c>
      <c r="BR292" s="45">
        <f t="shared" si="436"/>
        <v>4.4612068965517247E-2</v>
      </c>
      <c r="BS292" s="45">
        <v>0</v>
      </c>
      <c r="BT292" s="45" t="s">
        <v>115</v>
      </c>
      <c r="BU292" s="45">
        <v>0</v>
      </c>
      <c r="BV292" s="45">
        <f t="shared" si="474"/>
        <v>5.8189655172413791E-2</v>
      </c>
      <c r="BW292" s="45">
        <f t="shared" si="448"/>
        <v>4.461206896551724E-2</v>
      </c>
      <c r="BX292" s="45">
        <f t="shared" si="449"/>
        <v>4.4612068965517247E-2</v>
      </c>
      <c r="BY292" s="45">
        <f t="shared" si="475"/>
        <v>9.6982758620689655E-2</v>
      </c>
      <c r="BZ292" s="45">
        <f t="shared" si="476"/>
        <v>0</v>
      </c>
      <c r="CA292" s="45">
        <f t="shared" si="439"/>
        <v>0</v>
      </c>
      <c r="CB292" s="45">
        <f t="shared" si="477"/>
        <v>6.9827586206896552E-2</v>
      </c>
      <c r="CC292" s="45">
        <f t="shared" si="478"/>
        <v>0</v>
      </c>
      <c r="CD292" s="45">
        <v>0</v>
      </c>
      <c r="CE292" s="45">
        <f t="shared" si="479"/>
        <v>0</v>
      </c>
      <c r="CF292" s="45" t="str">
        <f t="shared" si="480"/>
        <v>NA</v>
      </c>
      <c r="CG292" s="45">
        <v>0</v>
      </c>
      <c r="CH292" s="244"/>
      <c r="CI292" s="244"/>
      <c r="CJ292" s="244"/>
      <c r="CK292" s="244"/>
      <c r="CM292" s="63">
        <v>0</v>
      </c>
    </row>
    <row r="293" spans="1:91" ht="18" hidden="1" customHeight="1">
      <c r="A293" s="260" t="s">
        <v>1937</v>
      </c>
      <c r="B293" s="260" t="s">
        <v>1938</v>
      </c>
      <c r="C293" s="260" t="s">
        <v>1828</v>
      </c>
      <c r="D293" s="260" t="s">
        <v>1829</v>
      </c>
      <c r="E293" s="260" t="s">
        <v>1939</v>
      </c>
      <c r="F293" s="260" t="s">
        <v>1940</v>
      </c>
      <c r="G293" s="260" t="s">
        <v>1941</v>
      </c>
      <c r="H293" s="260" t="s">
        <v>1946</v>
      </c>
      <c r="I293" s="260"/>
      <c r="J293" s="260"/>
      <c r="K293" s="260" t="s">
        <v>1947</v>
      </c>
      <c r="L293" s="260" t="s">
        <v>1948</v>
      </c>
      <c r="M293" s="260" t="s">
        <v>1949</v>
      </c>
      <c r="N293" s="260" t="s">
        <v>111</v>
      </c>
      <c r="O293" s="260" t="s">
        <v>112</v>
      </c>
      <c r="P293" s="10">
        <v>0</v>
      </c>
      <c r="Q293" s="11">
        <v>1</v>
      </c>
      <c r="R293" s="11">
        <f t="shared" si="467"/>
        <v>0.3</v>
      </c>
      <c r="S293" s="11" t="str">
        <f>VLOOKUP(K293,'1203 IPYBAC'!$K$13:$AK$25,9,0)</f>
        <v>Frente a la formulación de la Política Pública de Bienestar Animal y su diferentes fases se dio cumplimiento  a la Fase 1 de la Agenda Pública donde se realizó el documento de justificación de la política, se socializó la decisión de la formulación frente al CODEPS y así mismo esta instancia la validó y aprobaron la continuidad del proceso de formulación. Se generó el decreto de creación de las instancias de participación institucional y técnica el cual se socializará a la comunidad a inicios de la vigencia 2021 para que los mismos hagan los aportes que estimen necesarios y de esa manera lograr la aprobación final del mismo por parte de la Secretaria Jurídica de la Gobernación y su expedición final, así mismo se generó el plan de trabajo de la formulación de la política con la matriz PPPYBA (Política Pública de Protección y Bienestar Animal) el cual está pendiente por revisión por parte del nuevo gerente que se designara para el Instituto.
Vigencia futuras aprobadas por $270.000.000 para el año 2022 y 2023 por medio de la Ordenanza 069 de 2021.  
Así mismo se han convocado a las Entidades Sin Ánimo de Lucro ESAL que se encuentren interesadas en presentar propuestas para la suscripción de un convenio de asociación para continuar con el proceso de formulación de esta Política Pública.
Actualmente se encuentra recibiendo propuestas de  ESAL, para celebrar un Convenio de Asociación para la formulación de la Política Pública de Protección y Bienestar Animal del Departamento de Cundinamarca, por lo que el día 03 de noviembre de 2021 publicó la invitación para la presentación de manifestación de interés mediante el proceso No. IPYBAC-COT-015-2021. Cargado en la plataforma electrónica SECOP II. El proceso en mención cuenta con fecha de presentación de ofertas para el día 8 de noviembre de 2021 y con fecha estimada de firma del convenio del 12 de noviembre de 2021.</v>
      </c>
      <c r="T293" s="11">
        <v>0</v>
      </c>
      <c r="U293" s="11">
        <v>0</v>
      </c>
      <c r="V293" s="11">
        <v>0.35</v>
      </c>
      <c r="W293" s="11">
        <v>0</v>
      </c>
      <c r="X293" s="11">
        <v>0.3</v>
      </c>
      <c r="Y293" s="11">
        <v>0</v>
      </c>
      <c r="Z293" s="11">
        <v>0.3</v>
      </c>
      <c r="AA293" s="11" t="s">
        <v>1950</v>
      </c>
      <c r="AB293" s="11" t="s">
        <v>1951</v>
      </c>
      <c r="AC293" s="11">
        <v>0</v>
      </c>
      <c r="AD293" s="11">
        <v>0.2</v>
      </c>
      <c r="AE293" s="11">
        <v>0</v>
      </c>
      <c r="AF293" s="11">
        <f>VLOOKUP(K293,'1203 IPYBAC'!$K$13:$AK$27,22,0)</f>
        <v>0</v>
      </c>
      <c r="AG293" s="11">
        <f>VLOOKUP(K293,'1203 IPYBAC'!$K$13:$AK$27,23,0)</f>
        <v>0</v>
      </c>
      <c r="AH293" s="11">
        <f t="shared" si="468"/>
        <v>0</v>
      </c>
      <c r="AI293" s="11">
        <f>VLOOKUP(K293,'1203 IPYBAC'!$K$13:$AK$27,25,0)</f>
        <v>0</v>
      </c>
      <c r="AJ293" s="11" t="str">
        <f>VLOOKUP(K293,'1203 IPYBAC'!$K$13:$AK$27,26,0)</f>
        <v>Para el cumplimiento de la meta No. 298 Formular la Política Pública en Protección y Bienestar Animal, la Subgerencia de Bienestar Animal ha trabajado en la estructuración del proceso contractual para la etapa de formulación de la política pública. De igual manera se recibieron los aportes y observaciones de la ciudadanía del proyecto de decreto de creación de las instancias de participación de protección y bienestar animal en el Departamento, las cuales fueron remitidas al área jurídica para evaluarlas y adoptarlas si así se consideran. 
Así mismo ante la Secretaría de Hacienda se tramitó autorización para vigencia futuras, la cual se encuentra incluida en el proyecto de ordenanza 069 de 2021 por la cual se pretende autorizar al sr. Gobernador asumir obligaciones que afectan el presupuesto de vigencias futuras ordinarias y excepcionales, el cual fue aprobado en primer debate el pasado 20 de septiembre de 2021. El IPYBAC ha sustentado la justificación de la necesidad de acogernos a este trámite en razón a que se hace necesario que la contratación para la formulación de política pública sea continua e ininterrumpida por la naturaleza de las acciones que verticalmente no pueden ser fraccionadas y ejecutadas por contratistas diferentes. Vale la pena mencionar que el pasado mes este mismo consejo fue convocado de manera extraordinaria para pedir autorización para adelantar este trámite, sesión en la cual cada uno de ustedes recibió un minucioso informe de lo que se pretende ejecutar y una exposición de la necesidad de la justificación.</v>
      </c>
      <c r="AK293" s="11" t="str">
        <f>VLOOKUP(K293,'1203 IPYBAC'!$K$13:$AK$27,27,0)</f>
        <v>La puesta en marcha del IPYBAC, su alistamiento institucional y conformación de la planta de personal han retrasado la consecucion de actividades que permiten el cumpmiento de las actividades que continuan en el poceso de formulación de la PP.</v>
      </c>
      <c r="AL293" s="11">
        <v>0.5</v>
      </c>
      <c r="AM293" s="11">
        <v>0</v>
      </c>
      <c r="AN293" s="11">
        <v>0</v>
      </c>
      <c r="AO293" s="11">
        <v>0</v>
      </c>
      <c r="AP293" s="11">
        <v>0</v>
      </c>
      <c r="AQ293" s="11">
        <v>0</v>
      </c>
      <c r="AR293" s="52"/>
      <c r="AS293" s="54">
        <v>47296266</v>
      </c>
      <c r="AT293" s="54">
        <f t="shared" si="434"/>
        <v>47296266</v>
      </c>
      <c r="AU293" s="52"/>
      <c r="AV293" s="243">
        <v>100000000</v>
      </c>
      <c r="AW293" s="244"/>
      <c r="AX293" s="244"/>
      <c r="AY293" s="243"/>
      <c r="AZ293" s="44">
        <f t="shared" si="469"/>
        <v>0.3</v>
      </c>
      <c r="BA293" s="44">
        <v>0.35</v>
      </c>
      <c r="BB293" s="44">
        <v>0.85709999999999997</v>
      </c>
      <c r="BC293" s="44">
        <f t="shared" si="470"/>
        <v>0.2</v>
      </c>
      <c r="BD293" s="44" cm="1">
        <f t="array" ref="BD293">_xlfn.IFS(AD293=0,"NA",AD293&gt;0,AH293/AD293)</f>
        <v>0</v>
      </c>
      <c r="BE293" s="44">
        <f t="shared" si="471"/>
        <v>0.5</v>
      </c>
      <c r="BF293" s="44">
        <v>0</v>
      </c>
      <c r="BG293" s="44">
        <f t="shared" si="472"/>
        <v>0</v>
      </c>
      <c r="BH293" s="44">
        <v>0</v>
      </c>
      <c r="BI293" s="44">
        <f t="shared" si="473"/>
        <v>0</v>
      </c>
      <c r="BJ293" s="44" t="s">
        <v>115</v>
      </c>
      <c r="BK293" s="44">
        <f t="shared" si="435"/>
        <v>0.3</v>
      </c>
      <c r="BL293" s="44">
        <v>0.85709999999999997</v>
      </c>
      <c r="BM293" s="44" cm="1">
        <f t="array" ref="BM293">_xlfn.IFS(BD293="NA","NA",BD293&gt;100%,"100%",BD293&lt;100,BD293)</f>
        <v>0</v>
      </c>
      <c r="BN293" s="44" cm="1">
        <f t="array" ref="BN293">_xlfn.IFS(BF293="NA","NA",BF293&gt;100%,"100%",BF293&lt;100,BF293)</f>
        <v>0</v>
      </c>
      <c r="BO293" s="44" cm="1">
        <f t="array" ref="BO293">_xlfn.IFS(BH293="NA","NA",BH293&gt;100%,"100%",BH293&lt;100,BH293)</f>
        <v>0</v>
      </c>
      <c r="BP293" s="44" t="str" cm="1">
        <f t="array" ref="BP293">_xlfn.IFS(BJ293="NA","NA",BJ293&gt;100%,"100%",BJ293&lt;100,BJ293)</f>
        <v>NA</v>
      </c>
      <c r="BQ293" s="45">
        <v>0.22500000000000001</v>
      </c>
      <c r="BR293" s="45">
        <f t="shared" si="436"/>
        <v>6.7500000000000004E-2</v>
      </c>
      <c r="BS293" s="45">
        <v>7.8799999999999995E-2</v>
      </c>
      <c r="BT293" s="45">
        <v>6.7500000000000004E-2</v>
      </c>
      <c r="BU293" s="45">
        <v>6.7500000000000004E-2</v>
      </c>
      <c r="BV293" s="45">
        <f t="shared" si="474"/>
        <v>4.5000000000000005E-2</v>
      </c>
      <c r="BW293" s="45">
        <f t="shared" si="448"/>
        <v>0</v>
      </c>
      <c r="BX293" s="45">
        <f t="shared" si="449"/>
        <v>0</v>
      </c>
      <c r="BY293" s="45">
        <f t="shared" si="475"/>
        <v>0.1125</v>
      </c>
      <c r="BZ293" s="45">
        <f t="shared" si="476"/>
        <v>0</v>
      </c>
      <c r="CA293" s="45">
        <f t="shared" si="439"/>
        <v>0</v>
      </c>
      <c r="CB293" s="45">
        <f t="shared" si="477"/>
        <v>0</v>
      </c>
      <c r="CC293" s="45">
        <f t="shared" si="478"/>
        <v>0</v>
      </c>
      <c r="CD293" s="45">
        <v>0</v>
      </c>
      <c r="CE293" s="45">
        <f t="shared" si="479"/>
        <v>0</v>
      </c>
      <c r="CF293" s="45" t="str">
        <f t="shared" si="480"/>
        <v>NA</v>
      </c>
      <c r="CG293" s="45">
        <v>0</v>
      </c>
      <c r="CH293" s="244"/>
      <c r="CI293" s="244"/>
      <c r="CJ293" s="244"/>
      <c r="CK293" s="244"/>
      <c r="CM293" s="63">
        <v>0.3</v>
      </c>
    </row>
    <row r="294" spans="1:91" ht="18" hidden="1" customHeight="1">
      <c r="A294" s="260" t="s">
        <v>98</v>
      </c>
      <c r="B294" s="260" t="s">
        <v>99</v>
      </c>
      <c r="C294" s="260" t="s">
        <v>1828</v>
      </c>
      <c r="D294" s="260" t="s">
        <v>1829</v>
      </c>
      <c r="E294" s="260" t="s">
        <v>1939</v>
      </c>
      <c r="F294" s="260" t="s">
        <v>1869</v>
      </c>
      <c r="G294" s="260" t="s">
        <v>1870</v>
      </c>
      <c r="H294" s="260" t="s">
        <v>1952</v>
      </c>
      <c r="I294" s="260"/>
      <c r="J294" s="12" t="s">
        <v>393</v>
      </c>
      <c r="K294" s="260" t="s">
        <v>1953</v>
      </c>
      <c r="L294" s="260" t="s">
        <v>1954</v>
      </c>
      <c r="M294" s="260" t="s">
        <v>1955</v>
      </c>
      <c r="N294" s="260" t="s">
        <v>123</v>
      </c>
      <c r="O294" s="260" t="s">
        <v>112</v>
      </c>
      <c r="P294" s="10">
        <v>80</v>
      </c>
      <c r="Q294" s="11">
        <v>10</v>
      </c>
      <c r="R294" s="11">
        <f t="shared" si="467"/>
        <v>3</v>
      </c>
      <c r="S294" s="11" t="str">
        <f>VLOOKUP(K294,'1197 Salud'!$K$13:$AK$54,9,0)</f>
        <v xml:space="preserve">Acualmente nos encontramos trabajando artículadamente con el componente de ETV con el fin de llegar a los municipios con la implementacion de la Estrategia Integral  Zoonosis, de acuerdo a   la modificacion de la legislación departamental con el fin de incluir los dos temas y potencializar las intervenciones de los profesionales en los dos  saberes. Se va a interractuar con las ESEs para la custodia y red de frio del biologico antirrabico canino y felino ,  cobertura de vacunación felina y canina en el departamento en los 116 municipios : durante el 2020 se vacunaron 156.293 caninos y 68.894 felinos , y para el 2021 se han vacunado caninos y felinos  32556  </v>
      </c>
      <c r="T294" s="11">
        <v>1</v>
      </c>
      <c r="U294" s="11">
        <v>0</v>
      </c>
      <c r="V294" s="11">
        <v>1</v>
      </c>
      <c r="W294" s="11">
        <v>0</v>
      </c>
      <c r="X294" s="11">
        <v>1</v>
      </c>
      <c r="Y294" s="11">
        <v>0</v>
      </c>
      <c r="Z294" s="11">
        <v>1</v>
      </c>
      <c r="AA294" s="11" t="s">
        <v>1956</v>
      </c>
      <c r="AB294" s="11" t="s">
        <v>1957</v>
      </c>
      <c r="AC294" s="11" t="s">
        <v>1958</v>
      </c>
      <c r="AD294" s="11">
        <v>4</v>
      </c>
      <c r="AE294" s="11">
        <v>0</v>
      </c>
      <c r="AF294" s="11">
        <f>VLOOKUP(K294,'1197 Salud'!$K$13:$AK$54,22,0)</f>
        <v>2</v>
      </c>
      <c r="AG294" s="11">
        <f>VLOOKUP(K294,'1197 Salud'!$K$13:$AK$54,23,0)</f>
        <v>0</v>
      </c>
      <c r="AH294" s="11">
        <f t="shared" si="468"/>
        <v>2</v>
      </c>
      <c r="AI294" s="11" t="str">
        <f>VLOOKUP(K294,'1197 Salud'!$K$13:$AK$54,25,0)</f>
        <v>Coberturas de vacunación de la población canina y felina del departamento</v>
      </c>
      <c r="AJ294" s="11" t="str">
        <f>VLOOKUP(K294,'1197 Salud'!$K$13:$AK$54,26,0)</f>
        <v xml:space="preserve">Se ha intervenido los animales de compañía en los municipios 116 municipios incentivando la tenencia responsable de los mismos, realizando seguimiento a las coberturas vacunales consistentes en la poblacion proyectada. Se encuentra trabajando diariamente en los diferentes Municipios del Departamento con jornadas y recorridos casa a casa. al igual en el mes de septiembre se realizara una intensifiacion de acciones con el fin de cumplir . </v>
      </c>
      <c r="AK294" s="11" t="str">
        <f>VLOOKUP(K294,'1197 Salud'!$K$13:$AK$54,27,0)</f>
        <v>Se ha tenido cambio en la estructura organica organizacional del componente de zoonosis donde el ingreso de nuevo personal posee competencias en Enfermedades trasmitidas por vectores pero en menor proporcion en zoonosis.  las intervenciones  con el mismo Aumento de la población en el año 2021  dada por el Ministerio de Salud y Protección Social. En el año  2020 se proyecto una poblacion total de  de 504,022  animales; con relacion al año 2021 con una poblacion total de 675,788  con un  incremento de 25,4 % . De está poblacion tendriamos que vacunar el 85 % lo que corresponderia a 574.420 del total de animales.</v>
      </c>
      <c r="AL294" s="11">
        <v>4</v>
      </c>
      <c r="AM294" s="11">
        <v>0</v>
      </c>
      <c r="AN294" s="11">
        <v>1</v>
      </c>
      <c r="AO294" s="11">
        <v>0</v>
      </c>
      <c r="AP294" s="11">
        <v>0</v>
      </c>
      <c r="AQ294" s="11">
        <v>0</v>
      </c>
      <c r="AR294" s="51">
        <v>160233215</v>
      </c>
      <c r="AS294" s="54">
        <v>0</v>
      </c>
      <c r="AT294" s="54">
        <f t="shared" si="434"/>
        <v>160233215</v>
      </c>
      <c r="AU294" s="51">
        <v>19881333</v>
      </c>
      <c r="AV294" s="243">
        <v>858448430</v>
      </c>
      <c r="AW294" s="244"/>
      <c r="AX294" s="244"/>
      <c r="AY294" s="243">
        <v>508763060</v>
      </c>
      <c r="AZ294" s="44">
        <f t="shared" si="469"/>
        <v>0.3</v>
      </c>
      <c r="BA294" s="44">
        <v>0.1</v>
      </c>
      <c r="BB294" s="44">
        <v>1</v>
      </c>
      <c r="BC294" s="44">
        <f t="shared" si="470"/>
        <v>0.4</v>
      </c>
      <c r="BD294" s="44" cm="1">
        <f t="array" ref="BD294">_xlfn.IFS(AD294=0,"NA",AD294&gt;0,AH294/AD294)</f>
        <v>0.5</v>
      </c>
      <c r="BE294" s="44">
        <f t="shared" si="471"/>
        <v>0.4</v>
      </c>
      <c r="BF294" s="44">
        <v>0</v>
      </c>
      <c r="BG294" s="44">
        <f t="shared" si="472"/>
        <v>0.1</v>
      </c>
      <c r="BH294" s="44">
        <v>0</v>
      </c>
      <c r="BI294" s="44">
        <f t="shared" si="473"/>
        <v>0</v>
      </c>
      <c r="BJ294" s="44" t="s">
        <v>115</v>
      </c>
      <c r="BK294" s="44">
        <f t="shared" si="435"/>
        <v>0.3</v>
      </c>
      <c r="BL294" s="44">
        <v>1</v>
      </c>
      <c r="BM294" s="44" cm="1">
        <f t="array" ref="BM294">_xlfn.IFS(BD294="NA","NA",BD294&gt;100%,"100%",BD294&lt;100,BD294)</f>
        <v>0.5</v>
      </c>
      <c r="BN294" s="44" cm="1">
        <f t="array" ref="BN294">_xlfn.IFS(BF294="NA","NA",BF294&gt;100%,"100%",BF294&lt;100,BF294)</f>
        <v>0</v>
      </c>
      <c r="BO294" s="44" cm="1">
        <f t="array" ref="BO294">_xlfn.IFS(BH294="NA","NA",BH294&gt;100%,"100%",BH294&lt;100,BH294)</f>
        <v>0</v>
      </c>
      <c r="BP294" s="44" t="str" cm="1">
        <f t="array" ref="BP294">_xlfn.IFS(BJ294="NA","NA",BJ294&gt;100%,"100%",BJ294&lt;100,BJ294)</f>
        <v>NA</v>
      </c>
      <c r="BQ294" s="45">
        <v>0.22500000000000001</v>
      </c>
      <c r="BR294" s="45">
        <f t="shared" si="436"/>
        <v>6.7500000000000004E-2</v>
      </c>
      <c r="BS294" s="45">
        <v>2.2499999999999999E-2</v>
      </c>
      <c r="BT294" s="45">
        <v>2.2499999999999999E-2</v>
      </c>
      <c r="BU294" s="45">
        <v>2.2499999999999999E-2</v>
      </c>
      <c r="BV294" s="45">
        <f t="shared" si="474"/>
        <v>0.09</v>
      </c>
      <c r="BW294" s="45">
        <f t="shared" si="448"/>
        <v>4.4999999999999998E-2</v>
      </c>
      <c r="BX294" s="45">
        <f t="shared" si="449"/>
        <v>4.5000000000000005E-2</v>
      </c>
      <c r="BY294" s="45">
        <f t="shared" si="475"/>
        <v>0.09</v>
      </c>
      <c r="BZ294" s="45">
        <f t="shared" si="476"/>
        <v>0</v>
      </c>
      <c r="CA294" s="45">
        <f t="shared" si="439"/>
        <v>0</v>
      </c>
      <c r="CB294" s="45">
        <f t="shared" si="477"/>
        <v>2.2499999999999999E-2</v>
      </c>
      <c r="CC294" s="45">
        <f t="shared" si="478"/>
        <v>0</v>
      </c>
      <c r="CD294" s="45">
        <v>0</v>
      </c>
      <c r="CE294" s="45">
        <f t="shared" si="479"/>
        <v>0</v>
      </c>
      <c r="CF294" s="45" t="str">
        <f t="shared" si="480"/>
        <v>NA</v>
      </c>
      <c r="CG294" s="45">
        <v>0</v>
      </c>
      <c r="CH294" s="244"/>
      <c r="CI294" s="244"/>
      <c r="CJ294" s="244"/>
      <c r="CK294" s="244"/>
      <c r="CM294" s="63">
        <v>2.7</v>
      </c>
    </row>
    <row r="295" spans="1:91" ht="30.75" hidden="1" customHeight="1">
      <c r="A295" s="260" t="s">
        <v>1387</v>
      </c>
      <c r="B295" s="260" t="s">
        <v>1388</v>
      </c>
      <c r="C295" s="260" t="s">
        <v>1828</v>
      </c>
      <c r="D295" s="260" t="s">
        <v>1829</v>
      </c>
      <c r="E295" s="260" t="s">
        <v>1959</v>
      </c>
      <c r="F295" s="260" t="s">
        <v>1960</v>
      </c>
      <c r="G295" s="260" t="s">
        <v>1961</v>
      </c>
      <c r="H295" s="260" t="s">
        <v>1962</v>
      </c>
      <c r="I295" s="260"/>
      <c r="J295" s="260"/>
      <c r="K295" s="260" t="s">
        <v>1963</v>
      </c>
      <c r="L295" s="12" t="s">
        <v>1964</v>
      </c>
      <c r="M295" s="260" t="s">
        <v>1965</v>
      </c>
      <c r="N295" s="260" t="s">
        <v>111</v>
      </c>
      <c r="O295" s="260" t="s">
        <v>112</v>
      </c>
      <c r="P295" s="10">
        <v>20</v>
      </c>
      <c r="Q295" s="11">
        <v>3</v>
      </c>
      <c r="R295" s="11">
        <f t="shared" si="467"/>
        <v>0.09</v>
      </c>
      <c r="S295" s="11">
        <f>VLOOKUP(K295,'1285 EPC'!$K$13:$AK$35,9,0)</f>
        <v>0</v>
      </c>
      <c r="T295" s="11">
        <v>0</v>
      </c>
      <c r="U295" s="11">
        <v>0</v>
      </c>
      <c r="V295" s="11">
        <v>0</v>
      </c>
      <c r="W295" s="11">
        <v>0</v>
      </c>
      <c r="X295" s="11">
        <v>0</v>
      </c>
      <c r="Y295" s="11">
        <v>0</v>
      </c>
      <c r="Z295" s="11">
        <v>0</v>
      </c>
      <c r="AA295" s="11"/>
      <c r="AB295" s="11"/>
      <c r="AC295" s="11"/>
      <c r="AD295" s="11">
        <v>1</v>
      </c>
      <c r="AE295" s="11">
        <v>0</v>
      </c>
      <c r="AF295" s="11">
        <f>VLOOKUP(K295,'1285 EPC'!$K$13:$AK$35,22,0)</f>
        <v>0.09</v>
      </c>
      <c r="AG295" s="11" t="str">
        <f>VLOOKUP(K295,'1285 EPC'!$K$13:$AK$35,23,0)</f>
        <v> </v>
      </c>
      <c r="AH295" s="11">
        <f t="shared" si="468"/>
        <v>0.09</v>
      </c>
      <c r="AI295" s="11" t="str">
        <f>VLOOKUP(K295,'1285 EPC'!$K$13:$AK$35,25,0)</f>
        <v> </v>
      </c>
      <c r="AJ295" s="11" t="str">
        <f>VLOOKUP(K295,'1285 EPC'!$K$13:$AK$35,26,0)</f>
        <v>Se revisó con Secretaria de Ambiente los posibles municipios a intervenir con proyectos de PARSO.
Reuniones internas en la dirección de asuntos ambientales para la estructuración del proceso.
Diagnóstico para la estructuración del proyecto a partir de información secundaria (CAR).
Se encuentra radicada la solicitud de contratación para la actualización del modelo de gestión regional de residuos sólidos ante la Dirección de Contratación
Se priorizaron municipios objeto de estudio para Construir, optimizar y/o poner en funcionamiento  estaciones de transferencia y/o sistemas de aprovechamiento de residuos sólidos
Se realizo visita a los municipios de El Colegio y Zipacón el 11 de junio de 2021, y el 24 de junio a Pacho.
Se inicio la ejecución del contrato de obra PARSO San Juan de Rioseco el 06 de abril de 2021
Se encuentra en ejecución el contrato de obra pública de la PARSO San Juan Rio Seco Avance de obra 20% y se encuentra en trámite la  cuenta de cobro del anticipo por parte del municipio.
El 11 de agosto de 2021 se realizó visita al municipio de San Antonio del Tequendama a los dos posibles predios para la ubicación de la PARSO los cuales presentan dificultad técnicas referente a la distancia mínima requerida y a vías de acceso.</v>
      </c>
      <c r="AK295" s="11" t="str">
        <f>VLOOKUP(K295,'1285 EPC'!$K$13:$AK$35,27,0)</f>
        <v>Falta de equipo técnico para revisisón de la documentación técnica.
Recopilar la información.</v>
      </c>
      <c r="AL295" s="11">
        <v>0.09</v>
      </c>
      <c r="AM295" s="11">
        <v>0</v>
      </c>
      <c r="AN295" s="11">
        <v>1.91</v>
      </c>
      <c r="AO295" s="11">
        <v>0</v>
      </c>
      <c r="AP295" s="11">
        <v>0</v>
      </c>
      <c r="AQ295" s="11">
        <v>0</v>
      </c>
      <c r="AR295" s="52"/>
      <c r="AS295" s="54">
        <v>1825283855</v>
      </c>
      <c r="AT295" s="54">
        <f t="shared" si="434"/>
        <v>1825283855</v>
      </c>
      <c r="AU295" s="52"/>
      <c r="AV295" s="243">
        <v>1152887089</v>
      </c>
      <c r="AW295" s="244"/>
      <c r="AX295" s="244"/>
      <c r="AY295" s="243">
        <v>205968675</v>
      </c>
      <c r="AZ295" s="44">
        <f t="shared" si="469"/>
        <v>0.03</v>
      </c>
      <c r="BA295" s="44">
        <v>0</v>
      </c>
      <c r="BB295" s="44" t="s">
        <v>115</v>
      </c>
      <c r="BC295" s="44">
        <f t="shared" si="470"/>
        <v>0.33333333333333331</v>
      </c>
      <c r="BD295" s="44" cm="1">
        <f t="array" ref="BD295">_xlfn.IFS(AD295=0,"NA",AD295&gt;0,AH295/AD295)</f>
        <v>0.09</v>
      </c>
      <c r="BE295" s="44">
        <f t="shared" si="471"/>
        <v>0.03</v>
      </c>
      <c r="BF295" s="44">
        <v>0</v>
      </c>
      <c r="BG295" s="44">
        <f t="shared" si="472"/>
        <v>0.6366666666666666</v>
      </c>
      <c r="BH295" s="44">
        <v>0</v>
      </c>
      <c r="BI295" s="44">
        <f t="shared" si="473"/>
        <v>0</v>
      </c>
      <c r="BJ295" s="44" t="s">
        <v>115</v>
      </c>
      <c r="BK295" s="44">
        <f t="shared" si="435"/>
        <v>0.03</v>
      </c>
      <c r="BL295" s="44" t="s">
        <v>115</v>
      </c>
      <c r="BM295" s="44" cm="1">
        <f t="array" ref="BM295">_xlfn.IFS(BD295="NA","NA",BD295&gt;100%,"100%",BD295&lt;100,BD295)</f>
        <v>0.09</v>
      </c>
      <c r="BN295" s="44" cm="1">
        <f t="array" ref="BN295">_xlfn.IFS(BF295="NA","NA",BF295&gt;100%,"100%",BF295&lt;100,BF295)</f>
        <v>0</v>
      </c>
      <c r="BO295" s="44" cm="1">
        <f t="array" ref="BO295">_xlfn.IFS(BH295="NA","NA",BH295&gt;100%,"100%",BH295&lt;100,BH295)</f>
        <v>0</v>
      </c>
      <c r="BP295" s="44" t="str" cm="1">
        <f t="array" ref="BP295">_xlfn.IFS(BJ295="NA","NA",BJ295&gt;100%,"100%",BJ295&lt;100,BJ295)</f>
        <v>NA</v>
      </c>
      <c r="BQ295" s="45">
        <v>0.22500000000000001</v>
      </c>
      <c r="BR295" s="45">
        <f t="shared" si="436"/>
        <v>6.7499999999999999E-3</v>
      </c>
      <c r="BS295" s="45">
        <v>0</v>
      </c>
      <c r="BT295" s="45" t="s">
        <v>115</v>
      </c>
      <c r="BU295" s="45">
        <v>0</v>
      </c>
      <c r="BV295" s="45">
        <f t="shared" si="474"/>
        <v>7.4999999999999997E-2</v>
      </c>
      <c r="BW295" s="45">
        <f t="shared" si="448"/>
        <v>6.7499999999999999E-3</v>
      </c>
      <c r="BX295" s="45">
        <f t="shared" si="449"/>
        <v>6.7499999999999999E-3</v>
      </c>
      <c r="BY295" s="45">
        <f t="shared" si="475"/>
        <v>6.7499999999999999E-3</v>
      </c>
      <c r="BZ295" s="45">
        <f t="shared" si="476"/>
        <v>0</v>
      </c>
      <c r="CA295" s="45">
        <f t="shared" si="439"/>
        <v>0</v>
      </c>
      <c r="CB295" s="45">
        <f t="shared" si="477"/>
        <v>0.14324999999999999</v>
      </c>
      <c r="CC295" s="45">
        <f t="shared" si="478"/>
        <v>0</v>
      </c>
      <c r="CD295" s="45">
        <v>0</v>
      </c>
      <c r="CE295" s="45">
        <f t="shared" si="479"/>
        <v>0</v>
      </c>
      <c r="CF295" s="45" t="str">
        <f t="shared" si="480"/>
        <v>NA</v>
      </c>
      <c r="CG295" s="45">
        <v>0</v>
      </c>
      <c r="CH295" s="244"/>
      <c r="CI295" s="244"/>
      <c r="CJ295" s="244"/>
      <c r="CK295" s="244"/>
      <c r="CM295" s="63">
        <v>0</v>
      </c>
    </row>
    <row r="296" spans="1:91" ht="18" hidden="1" customHeight="1">
      <c r="A296" s="260" t="s">
        <v>1826</v>
      </c>
      <c r="B296" s="260" t="s">
        <v>1827</v>
      </c>
      <c r="C296" s="260" t="s">
        <v>1828</v>
      </c>
      <c r="D296" s="260" t="s">
        <v>1829</v>
      </c>
      <c r="E296" s="260" t="s">
        <v>1959</v>
      </c>
      <c r="F296" s="260" t="s">
        <v>1960</v>
      </c>
      <c r="G296" s="260" t="s">
        <v>1961</v>
      </c>
      <c r="H296" s="260" t="s">
        <v>1966</v>
      </c>
      <c r="I296" s="260"/>
      <c r="J296" s="260"/>
      <c r="K296" s="260" t="s">
        <v>1967</v>
      </c>
      <c r="L296" s="260" t="s">
        <v>1968</v>
      </c>
      <c r="M296" s="260" t="s">
        <v>1969</v>
      </c>
      <c r="N296" s="260" t="s">
        <v>111</v>
      </c>
      <c r="O296" s="260" t="s">
        <v>112</v>
      </c>
      <c r="P296" s="10">
        <v>5</v>
      </c>
      <c r="Q296" s="11">
        <v>2</v>
      </c>
      <c r="R296" s="11">
        <f t="shared" si="467"/>
        <v>1</v>
      </c>
      <c r="S296" s="11" t="str">
        <f>VLOOKUP(K296,'1121 Ambiente'!$K$13:$AK$38,9,0)</f>
        <v xml:space="preserve">Se dio cumplimiento al producto Socialización alternativas de disposición final de Residuos sólidos. 
Así mismo, se realiza estudio del análisis del estado actual del contrato de concesión del RSNM. 80 municipios que disponen en el RSNM
</v>
      </c>
      <c r="T296" s="11">
        <v>0.2</v>
      </c>
      <c r="U296" s="11">
        <v>0</v>
      </c>
      <c r="V296" s="11">
        <v>0.2</v>
      </c>
      <c r="W296" s="11">
        <v>0</v>
      </c>
      <c r="X296" s="11">
        <v>0.2</v>
      </c>
      <c r="Y296" s="11">
        <v>0</v>
      </c>
      <c r="Z296" s="11">
        <v>0.2</v>
      </c>
      <c r="AA296" s="11">
        <v>0</v>
      </c>
      <c r="AB296" s="11"/>
      <c r="AC296" s="11">
        <v>0</v>
      </c>
      <c r="AD296" s="11">
        <v>0.8</v>
      </c>
      <c r="AE296" s="11">
        <v>0</v>
      </c>
      <c r="AF296" s="11">
        <f>VLOOKUP(K296,'1121 Ambiente'!$K$13:$AK$38,22,0)</f>
        <v>0.8</v>
      </c>
      <c r="AG296" s="11">
        <f>VLOOKUP(K296,'1121 Ambiente'!$K$13:$AK$38,23,0)</f>
        <v>0</v>
      </c>
      <c r="AH296" s="11">
        <f t="shared" si="468"/>
        <v>0.8</v>
      </c>
      <c r="AI296" s="11" t="str">
        <f>VLOOKUP(K296,'1121 Ambiente'!$K$13:$AK$38,25,0)</f>
        <v>1 Alternativa de disposición final de Residuos sólidos</v>
      </c>
      <c r="AJ296" s="11" t="str">
        <f>VLOOKUP(K296,'1121 Ambiente'!$K$13:$AK$38,26,0)</f>
        <v xml:space="preserve"> Para el mes de mayo de 2021 se da cumplimiento al producto Socialización alternativas con Gobernador y Secretaria del Ambiente que corresponde a un 15% del 80%.
Se realiza estudio del análisis del estado actual del contrato de concesión del RSNM. 80 municipios que disponen en el RSNM. Se esta realizando proceso contractual para consultoria con el Relleno Sanitario Nuevo Mondoñedo</v>
      </c>
      <c r="AK296" s="11">
        <f>VLOOKUP(K296,'1121 Ambiente'!$K$13:$AK$38,27,0)</f>
        <v>0</v>
      </c>
      <c r="AL296" s="11">
        <v>1</v>
      </c>
      <c r="AM296" s="11">
        <v>0</v>
      </c>
      <c r="AN296" s="11">
        <v>0</v>
      </c>
      <c r="AO296" s="11">
        <v>0</v>
      </c>
      <c r="AP296" s="11">
        <v>0</v>
      </c>
      <c r="AQ296" s="11">
        <v>0</v>
      </c>
      <c r="AR296" s="51">
        <v>100000000</v>
      </c>
      <c r="AS296" s="54">
        <v>0</v>
      </c>
      <c r="AT296" s="54">
        <f t="shared" si="434"/>
        <v>100000000</v>
      </c>
      <c r="AU296" s="51">
        <v>75303200</v>
      </c>
      <c r="AV296" s="243">
        <v>300000000</v>
      </c>
      <c r="AW296" s="244"/>
      <c r="AX296" s="244"/>
      <c r="AY296" s="243">
        <v>290591156</v>
      </c>
      <c r="AZ296" s="44">
        <f t="shared" si="469"/>
        <v>0.5</v>
      </c>
      <c r="BA296" s="44">
        <v>0.1</v>
      </c>
      <c r="BB296" s="44">
        <v>1</v>
      </c>
      <c r="BC296" s="44">
        <f t="shared" si="470"/>
        <v>0.4</v>
      </c>
      <c r="BD296" s="44" cm="1">
        <f t="array" ref="BD296">_xlfn.IFS(AD296=0,"NA",AD296&gt;0,AH296/AD296)</f>
        <v>1</v>
      </c>
      <c r="BE296" s="44">
        <f t="shared" si="471"/>
        <v>0.5</v>
      </c>
      <c r="BF296" s="44">
        <v>0</v>
      </c>
      <c r="BG296" s="44">
        <f t="shared" si="472"/>
        <v>0</v>
      </c>
      <c r="BH296" s="44">
        <v>0</v>
      </c>
      <c r="BI296" s="44">
        <f t="shared" si="473"/>
        <v>0</v>
      </c>
      <c r="BJ296" s="44" t="s">
        <v>115</v>
      </c>
      <c r="BK296" s="44">
        <f t="shared" si="435"/>
        <v>0.5</v>
      </c>
      <c r="BL296" s="44">
        <v>1</v>
      </c>
      <c r="BM296" s="44" cm="1">
        <f t="array" ref="BM296">_xlfn.IFS(BD296="NA","NA",BD296&gt;100%,"100%",BD296&lt;100,BD296)</f>
        <v>1</v>
      </c>
      <c r="BN296" s="44" cm="1">
        <f t="array" ref="BN296">_xlfn.IFS(BF296="NA","NA",BF296&gt;100%,"100%",BF296&lt;100,BF296)</f>
        <v>0</v>
      </c>
      <c r="BO296" s="44" cm="1">
        <f t="array" ref="BO296">_xlfn.IFS(BH296="NA","NA",BH296&gt;100%,"100%",BH296&lt;100,BH296)</f>
        <v>0</v>
      </c>
      <c r="BP296" s="44" t="str" cm="1">
        <f t="array" ref="BP296">_xlfn.IFS(BJ296="NA","NA",BJ296&gt;100%,"100%",BJ296&lt;100,BJ296)</f>
        <v>NA</v>
      </c>
      <c r="BQ296" s="45">
        <v>0.22500000000000001</v>
      </c>
      <c r="BR296" s="45">
        <f t="shared" si="436"/>
        <v>0.1125</v>
      </c>
      <c r="BS296" s="45">
        <v>2.2499999999999999E-2</v>
      </c>
      <c r="BT296" s="45">
        <v>2.2499999999999999E-2</v>
      </c>
      <c r="BU296" s="45">
        <v>2.2499999999999999E-2</v>
      </c>
      <c r="BV296" s="45">
        <f t="shared" si="474"/>
        <v>9.0000000000000011E-2</v>
      </c>
      <c r="BW296" s="45">
        <f t="shared" si="448"/>
        <v>9.0000000000000011E-2</v>
      </c>
      <c r="BX296" s="45">
        <f t="shared" si="449"/>
        <v>0.09</v>
      </c>
      <c r="BY296" s="45">
        <f t="shared" si="475"/>
        <v>0.1125</v>
      </c>
      <c r="BZ296" s="45">
        <f t="shared" si="476"/>
        <v>0</v>
      </c>
      <c r="CA296" s="45">
        <f t="shared" si="439"/>
        <v>0</v>
      </c>
      <c r="CB296" s="45">
        <f t="shared" si="477"/>
        <v>0</v>
      </c>
      <c r="CC296" s="45">
        <f t="shared" si="478"/>
        <v>0</v>
      </c>
      <c r="CD296" s="45">
        <v>0</v>
      </c>
      <c r="CE296" s="45">
        <f t="shared" si="479"/>
        <v>0</v>
      </c>
      <c r="CF296" s="45" t="str">
        <f t="shared" si="480"/>
        <v>NA</v>
      </c>
      <c r="CG296" s="45">
        <v>0</v>
      </c>
      <c r="CH296" s="244"/>
      <c r="CI296" s="244"/>
      <c r="CJ296" s="244"/>
      <c r="CK296" s="244"/>
      <c r="CM296" s="63">
        <v>1</v>
      </c>
    </row>
    <row r="297" spans="1:91" ht="18" hidden="1" customHeight="1">
      <c r="A297" s="260" t="s">
        <v>1826</v>
      </c>
      <c r="B297" s="260" t="s">
        <v>1827</v>
      </c>
      <c r="C297" s="260" t="s">
        <v>1828</v>
      </c>
      <c r="D297" s="260" t="s">
        <v>1829</v>
      </c>
      <c r="E297" s="260" t="s">
        <v>1959</v>
      </c>
      <c r="F297" s="260" t="s">
        <v>1960</v>
      </c>
      <c r="G297" s="260" t="s">
        <v>1961</v>
      </c>
      <c r="H297" s="260" t="s">
        <v>1970</v>
      </c>
      <c r="I297" s="260"/>
      <c r="J297" s="260"/>
      <c r="K297" s="260" t="s">
        <v>1971</v>
      </c>
      <c r="L297" s="260" t="s">
        <v>1972</v>
      </c>
      <c r="M297" s="260" t="s">
        <v>1973</v>
      </c>
      <c r="N297" s="260" t="s">
        <v>111</v>
      </c>
      <c r="O297" s="260" t="s">
        <v>112</v>
      </c>
      <c r="P297" s="10">
        <v>22</v>
      </c>
      <c r="Q297" s="11">
        <v>15</v>
      </c>
      <c r="R297" s="11">
        <f t="shared" si="467"/>
        <v>11</v>
      </c>
      <c r="S297" s="11" t="str">
        <f>VLOOKUP(K297,'1121 Ambiente'!$K$13:$AK$38,9,0)</f>
        <v xml:space="preserve">Durante el año 2020 se potencializaron 3 asociaciones provinciales de recuperadores ambientales, mediante convenios bipartitas y tripartitas en el fortalecimiento a municipios del Departamento como son Cajicá, Fusagasugá, y Madrid, y para la vigencia 2021  Se han reportado 2 asociaciones beneficiadas con la entrega de bienes y servicios en los municipios de Cáqueza (equipo de seguridad industrial, 1 compactadora) y Nimaima (equipo de seguridad industrial, 1 compactadora y una chipiadora).
</v>
      </c>
      <c r="T297" s="11">
        <v>3</v>
      </c>
      <c r="U297" s="11">
        <v>0</v>
      </c>
      <c r="V297" s="11">
        <v>3</v>
      </c>
      <c r="W297" s="11">
        <v>0</v>
      </c>
      <c r="X297" s="11">
        <v>3</v>
      </c>
      <c r="Y297" s="11">
        <v>0</v>
      </c>
      <c r="Z297" s="11">
        <v>3</v>
      </c>
      <c r="AA297" s="11">
        <v>0</v>
      </c>
      <c r="AB297" s="11"/>
      <c r="AC297" s="11">
        <v>0</v>
      </c>
      <c r="AD297" s="11">
        <v>4</v>
      </c>
      <c r="AE297" s="11">
        <v>0</v>
      </c>
      <c r="AF297" s="11">
        <f>VLOOKUP(K297,'1121 Ambiente'!$K$13:$AK$38,22,0)</f>
        <v>8</v>
      </c>
      <c r="AG297" s="11">
        <f>VLOOKUP(K297,'1121 Ambiente'!$K$13:$AK$38,23,0)</f>
        <v>0</v>
      </c>
      <c r="AH297" s="11">
        <f t="shared" si="468"/>
        <v>8</v>
      </c>
      <c r="AI297" s="11" t="str">
        <f>VLOOKUP(K297,'1121 Ambiente'!$K$13:$AK$38,25,0)</f>
        <v>8 Asociaciones potencializadas con la entrega de insumos y equipos</v>
      </c>
      <c r="AJ297" s="11" t="str">
        <f>VLOOKUP(K297,'1121 Ambiente'!$K$13:$AK$38,26,0)</f>
        <v>Se logró potencializar 8 Asociaciones con la entrega de equipos e insumos:
Cáqueza: equipo de seguridad industrial y compactadora. 
Nimaima: equipo de seguridad industrial, 1 compactadora y una chipiadora.
Bituima (12 contenedores de residuos solidos, una picadora de desechos, 10 lonas de fibra sintética, 1 guadaña de combustión, 4 palas, 12 contenedores de polietileno).,  Nimaima (13 equipos de seguridad industrial y una computadora vertical), 
San Bernardo (un medidor Multiparametros, 4 extractores de aire multiaxial), 
Chaguaní (395 ECOTANK y 366 Kg de ECOTEK), 
Albán (motocargueros de 300 Kg y elementos de Seguridad industrial: (07 Jeans de dotación, 07 chaquetas de protección, 07 zapatos industriales,  07 guantes de carnaza y 07 cachuchas) ,  
Villapinzón  Caneca de 30 litros doble fondo con rejilla separadora, salida y tapón para extracción de lixiviado y tapa ajuste hermético y sustrato enriquecido con bacterias degradadoras de residuos sólidos Orgánicos
Fusagasugá, por medio del cual se realizó la entrega  de 164 Overoles Industriales de Manga Larga en Gabardina de alto gramaje, 164 Tapa bocas tres capas, 164 Guantes y 164 Gorra en drill, todos con marcación Logo</v>
      </c>
      <c r="AK297" s="11">
        <f>VLOOKUP(K297,'1121 Ambiente'!$K$13:$AK$38,27,0)</f>
        <v>0</v>
      </c>
      <c r="AL297" s="11">
        <v>4</v>
      </c>
      <c r="AM297" s="11">
        <v>0</v>
      </c>
      <c r="AN297" s="11">
        <v>4</v>
      </c>
      <c r="AO297" s="11">
        <v>0</v>
      </c>
      <c r="AP297" s="11">
        <v>0</v>
      </c>
      <c r="AQ297" s="11">
        <v>0</v>
      </c>
      <c r="AR297" s="51">
        <v>100000000</v>
      </c>
      <c r="AS297" s="54">
        <v>10000000</v>
      </c>
      <c r="AT297" s="54">
        <f t="shared" si="434"/>
        <v>110000000</v>
      </c>
      <c r="AU297" s="51">
        <v>60075357</v>
      </c>
      <c r="AV297" s="243">
        <v>723400000</v>
      </c>
      <c r="AW297" s="244"/>
      <c r="AX297" s="244"/>
      <c r="AY297" s="243">
        <v>181498332</v>
      </c>
      <c r="AZ297" s="44">
        <f t="shared" si="469"/>
        <v>0.73333333333333328</v>
      </c>
      <c r="BA297" s="44">
        <v>0.2</v>
      </c>
      <c r="BB297" s="44">
        <v>1</v>
      </c>
      <c r="BC297" s="44">
        <f t="shared" si="470"/>
        <v>0.26666666666666666</v>
      </c>
      <c r="BD297" s="44" cm="1">
        <f t="array" ref="BD297">_xlfn.IFS(AD297=0,"NA",AD297&gt;0,AH297/AD297)</f>
        <v>2</v>
      </c>
      <c r="BE297" s="44">
        <f t="shared" si="471"/>
        <v>0.26666666666666666</v>
      </c>
      <c r="BF297" s="44">
        <v>0</v>
      </c>
      <c r="BG297" s="44">
        <f t="shared" si="472"/>
        <v>0.26666666666666666</v>
      </c>
      <c r="BH297" s="44">
        <v>0</v>
      </c>
      <c r="BI297" s="44">
        <f t="shared" si="473"/>
        <v>0</v>
      </c>
      <c r="BJ297" s="44" t="s">
        <v>115</v>
      </c>
      <c r="BK297" s="44">
        <f t="shared" si="435"/>
        <v>0.73333333333333328</v>
      </c>
      <c r="BL297" s="44">
        <v>1</v>
      </c>
      <c r="BM297" s="44" t="str" cm="1">
        <f t="array" ref="BM297">_xlfn.IFS(BD297="NA","NA",BD297&gt;100%,"100%",BD297&lt;100,BD297)</f>
        <v>100%</v>
      </c>
      <c r="BN297" s="44" cm="1">
        <f t="array" ref="BN297">_xlfn.IFS(BF297="NA","NA",BF297&gt;100%,"100%",BF297&lt;100,BF297)</f>
        <v>0</v>
      </c>
      <c r="BO297" s="44" cm="1">
        <f t="array" ref="BO297">_xlfn.IFS(BH297="NA","NA",BH297&gt;100%,"100%",BH297&lt;100,BH297)</f>
        <v>0</v>
      </c>
      <c r="BP297" s="44" t="str" cm="1">
        <f t="array" ref="BP297">_xlfn.IFS(BJ297="NA","NA",BJ297&gt;100%,"100%",BJ297&lt;100,BJ297)</f>
        <v>NA</v>
      </c>
      <c r="BQ297" s="45">
        <v>0.22500000000000001</v>
      </c>
      <c r="BR297" s="45">
        <f t="shared" si="436"/>
        <v>0.16499999999999998</v>
      </c>
      <c r="BS297" s="45">
        <v>4.4999999999999998E-2</v>
      </c>
      <c r="BT297" s="45">
        <v>4.4999999999999998E-2</v>
      </c>
      <c r="BU297" s="45">
        <v>4.4999999999999998E-2</v>
      </c>
      <c r="BV297" s="45">
        <f t="shared" si="474"/>
        <v>6.0000000000000005E-2</v>
      </c>
      <c r="BW297" s="45">
        <f t="shared" si="448"/>
        <v>6.0000000000000005E-2</v>
      </c>
      <c r="BX297" s="45">
        <f t="shared" si="449"/>
        <v>0.11999999999999998</v>
      </c>
      <c r="BY297" s="45">
        <f t="shared" si="475"/>
        <v>6.0000000000000005E-2</v>
      </c>
      <c r="BZ297" s="45">
        <f t="shared" si="476"/>
        <v>0</v>
      </c>
      <c r="CA297" s="45">
        <f t="shared" si="439"/>
        <v>0</v>
      </c>
      <c r="CB297" s="45">
        <f t="shared" si="477"/>
        <v>6.0000000000000005E-2</v>
      </c>
      <c r="CC297" s="45">
        <f t="shared" si="478"/>
        <v>0</v>
      </c>
      <c r="CD297" s="45">
        <v>0</v>
      </c>
      <c r="CE297" s="45">
        <f t="shared" si="479"/>
        <v>0</v>
      </c>
      <c r="CF297" s="45" t="str">
        <f t="shared" si="480"/>
        <v>NA</v>
      </c>
      <c r="CG297" s="45">
        <v>0</v>
      </c>
      <c r="CH297" s="244"/>
      <c r="CI297" s="244"/>
      <c r="CJ297" s="244"/>
      <c r="CK297" s="244"/>
      <c r="CM297" s="63">
        <v>5</v>
      </c>
    </row>
    <row r="298" spans="1:91" ht="42.6" hidden="1" customHeight="1">
      <c r="A298" s="260" t="s">
        <v>1826</v>
      </c>
      <c r="B298" s="260" t="s">
        <v>1827</v>
      </c>
      <c r="C298" s="260" t="s">
        <v>1828</v>
      </c>
      <c r="D298" s="260" t="s">
        <v>1829</v>
      </c>
      <c r="E298" s="260" t="s">
        <v>1959</v>
      </c>
      <c r="F298" s="260" t="s">
        <v>1960</v>
      </c>
      <c r="G298" s="260" t="s">
        <v>1961</v>
      </c>
      <c r="H298" s="260" t="s">
        <v>1974</v>
      </c>
      <c r="I298" s="260"/>
      <c r="J298" s="260"/>
      <c r="K298" s="260" t="s">
        <v>1975</v>
      </c>
      <c r="L298" s="260" t="s">
        <v>1976</v>
      </c>
      <c r="M298" s="260" t="s">
        <v>1977</v>
      </c>
      <c r="N298" s="260" t="s">
        <v>111</v>
      </c>
      <c r="O298" s="260" t="s">
        <v>124</v>
      </c>
      <c r="P298" s="10">
        <v>1</v>
      </c>
      <c r="Q298" s="11">
        <v>1</v>
      </c>
      <c r="R298" s="11">
        <f>(Z298+AH298)/CL298</f>
        <v>0.25</v>
      </c>
      <c r="S298" s="247" t="str">
        <f>VLOOKUP(K298,'1121 Ambiente'!$K$13:$AK$38,9,0)</f>
        <v xml:space="preserve">Durante la vigencia 2020 se realizó la interventoria, sin embargo, existe una dificultad con el reporte debido a que no se ve reflejado. Para esta vigencia 2021 se tiene contratada la interventoría hasta el 31/12/2021 y se realizó el pago 5/5  la Fiduciaria Bogotá por valor de $60.720.346 mediante factura de pago No. 3300021473.
</v>
      </c>
      <c r="T298" s="11">
        <v>0</v>
      </c>
      <c r="U298" s="11">
        <v>1</v>
      </c>
      <c r="V298" s="11">
        <v>0</v>
      </c>
      <c r="W298" s="11">
        <v>1</v>
      </c>
      <c r="X298" s="11" t="s">
        <v>115</v>
      </c>
      <c r="Y298" s="11">
        <v>0</v>
      </c>
      <c r="Z298" s="11">
        <v>0</v>
      </c>
      <c r="AA298" s="11"/>
      <c r="AB298" s="11" t="s">
        <v>1978</v>
      </c>
      <c r="AC298" s="11"/>
      <c r="AD298" s="11">
        <v>0</v>
      </c>
      <c r="AE298" s="11">
        <v>1</v>
      </c>
      <c r="AF298" s="11">
        <f>VLOOKUP(K298,'1121 Ambiente'!$K$13:$AK$38,22,0)</f>
        <v>0</v>
      </c>
      <c r="AG298" s="11">
        <f>VLOOKUP(K298,'1121 Ambiente'!$K$13:$AK$38,23,0)</f>
        <v>1</v>
      </c>
      <c r="AH298" s="11">
        <f>AG298</f>
        <v>1</v>
      </c>
      <c r="AI298" s="11" t="str">
        <f>VLOOKUP(K298,'1121 Ambiente'!$K$13:$AK$38,25,0)</f>
        <v>Interventoria 2021 garantizada</v>
      </c>
      <c r="AJ298" s="11" t="str">
        <f>VLOOKUP(K298,'1121 Ambiente'!$K$13:$AK$38,26,0)</f>
        <v>Para esta vigencia se tiene contratada la interventoría hasta el 31/12/2021 y se realizó el pago 5/5  la Fiduciaria Bogotá por valor de $60.720.346 mediante factura de pago No. 3300021473
Meta cumplida vigencia 2021. A la fecha el Contrato de interventoria esta vigente y con los recursos asignados y trasnferidos para la Interventoria hasta el 31 de diciembre de 2021.</v>
      </c>
      <c r="AK298" s="11">
        <f>VLOOKUP(K298,'1121 Ambiente'!$K$13:$AK$38,27,0)</f>
        <v>0</v>
      </c>
      <c r="AL298" s="11">
        <v>0</v>
      </c>
      <c r="AM298" s="11">
        <v>1</v>
      </c>
      <c r="AN298" s="11">
        <v>0</v>
      </c>
      <c r="AO298" s="11">
        <v>1</v>
      </c>
      <c r="AP298" s="11">
        <v>0</v>
      </c>
      <c r="AQ298" s="11">
        <v>0</v>
      </c>
      <c r="AR298" s="52"/>
      <c r="AS298" s="54">
        <v>190000000</v>
      </c>
      <c r="AT298" s="54">
        <f t="shared" si="434"/>
        <v>190000000</v>
      </c>
      <c r="AU298" s="52"/>
      <c r="AV298" s="243">
        <v>280867760</v>
      </c>
      <c r="AW298" s="244"/>
      <c r="AX298" s="244"/>
      <c r="AY298" s="243">
        <v>280867759</v>
      </c>
      <c r="AZ298" s="44" cm="1">
        <f t="array" ref="AZ298">_xlfn.IFS((BA298=0),(BD298/CL298),(BA298&gt;0),((BB298+BD298)/CL298),(BE298&gt;0),((BB298+BD298+BE298)/CL298),(BG298&gt;0),((BB298+BD298+BE298+G298)/CL298))</f>
        <v>0.25</v>
      </c>
      <c r="BA298" s="44">
        <v>0.25</v>
      </c>
      <c r="BB298" s="44">
        <v>0</v>
      </c>
      <c r="BC298" s="44">
        <f>IF(AE298&gt;0,(1/CL298),0)</f>
        <v>0.25</v>
      </c>
      <c r="BD298" s="44" cm="1">
        <f t="array" ref="BD298">_xlfn.IFS(AE298=0,"NA",AE298&gt;0,AH298/AE298)</f>
        <v>1</v>
      </c>
      <c r="BE298" s="44">
        <f>IF(AM298&gt;0,(1/CL298),0)</f>
        <v>0.25</v>
      </c>
      <c r="BF298" s="44">
        <v>0</v>
      </c>
      <c r="BG298" s="44">
        <f>IF(AO298&gt;0,(1/CL298),0)</f>
        <v>0.25</v>
      </c>
      <c r="BH298" s="44">
        <v>0</v>
      </c>
      <c r="BI298" s="44">
        <v>0</v>
      </c>
      <c r="BJ298" s="44" t="s">
        <v>115</v>
      </c>
      <c r="BK298" s="44">
        <f t="shared" si="435"/>
        <v>0.25</v>
      </c>
      <c r="BL298" s="44">
        <v>0</v>
      </c>
      <c r="BM298" s="44" cm="1">
        <f t="array" ref="BM298">_xlfn.IFS(BD298="NA","NA",BD298&gt;100%,"100%",BD298&lt;100,BD298)</f>
        <v>1</v>
      </c>
      <c r="BN298" s="44">
        <v>0</v>
      </c>
      <c r="BO298" s="44">
        <v>0</v>
      </c>
      <c r="BP298" s="44" t="s">
        <v>115</v>
      </c>
      <c r="BQ298" s="45">
        <v>0.22500000000000001</v>
      </c>
      <c r="BR298" s="45">
        <f t="shared" si="436"/>
        <v>5.6250000000000001E-2</v>
      </c>
      <c r="BS298" s="45">
        <v>5.6300000000000003E-2</v>
      </c>
      <c r="BT298" s="45">
        <v>0</v>
      </c>
      <c r="BU298" s="45">
        <v>0</v>
      </c>
      <c r="BV298" s="45">
        <v>5.6300000000000003E-2</v>
      </c>
      <c r="BW298" s="45">
        <f t="shared" si="448"/>
        <v>5.6300000000000003E-2</v>
      </c>
      <c r="BX298" s="45">
        <f t="shared" si="449"/>
        <v>5.6250000000000001E-2</v>
      </c>
      <c r="BY298" s="45">
        <v>5.6300000000000003E-2</v>
      </c>
      <c r="BZ298" s="45">
        <v>0</v>
      </c>
      <c r="CA298" s="45">
        <f t="shared" si="439"/>
        <v>0</v>
      </c>
      <c r="CB298" s="45">
        <v>5.6300000000000003E-2</v>
      </c>
      <c r="CC298" s="45">
        <v>0</v>
      </c>
      <c r="CD298" s="45">
        <v>0</v>
      </c>
      <c r="CE298" s="45">
        <v>0</v>
      </c>
      <c r="CF298" s="45" t="s">
        <v>115</v>
      </c>
      <c r="CG298" s="45">
        <v>0</v>
      </c>
      <c r="CH298" s="244">
        <f>IF(W298&gt;0,1,0)</f>
        <v>1</v>
      </c>
      <c r="CI298" s="244">
        <f>IF(AE298&gt;0,1,0)</f>
        <v>1</v>
      </c>
      <c r="CJ298" s="244">
        <f>IF(AM298&gt;0,1,0)</f>
        <v>1</v>
      </c>
      <c r="CK298" s="244">
        <f>IF(AO298&gt;0,1,0)</f>
        <v>1</v>
      </c>
      <c r="CL298">
        <f>CH298+CI298+CJ298+CK298</f>
        <v>4</v>
      </c>
      <c r="CM298" s="63">
        <f>AVERAGE(Z298,AH298)</f>
        <v>0.5</v>
      </c>
    </row>
    <row r="299" spans="1:91" ht="18" hidden="1" customHeight="1">
      <c r="A299" s="260" t="s">
        <v>1826</v>
      </c>
      <c r="B299" s="260" t="s">
        <v>1827</v>
      </c>
      <c r="C299" s="260" t="s">
        <v>1828</v>
      </c>
      <c r="D299" s="260" t="s">
        <v>1829</v>
      </c>
      <c r="E299" s="260" t="s">
        <v>1959</v>
      </c>
      <c r="F299" s="260" t="s">
        <v>1960</v>
      </c>
      <c r="G299" s="260" t="s">
        <v>1961</v>
      </c>
      <c r="H299" s="260" t="s">
        <v>1979</v>
      </c>
      <c r="I299" s="260"/>
      <c r="J299" s="260"/>
      <c r="K299" s="260" t="s">
        <v>1980</v>
      </c>
      <c r="L299" s="260" t="s">
        <v>1981</v>
      </c>
      <c r="M299" s="260" t="s">
        <v>1982</v>
      </c>
      <c r="N299" s="260" t="s">
        <v>111</v>
      </c>
      <c r="O299" s="260" t="s">
        <v>112</v>
      </c>
      <c r="P299" s="10">
        <v>17</v>
      </c>
      <c r="Q299" s="11">
        <v>30</v>
      </c>
      <c r="R299" s="11">
        <f t="shared" ref="R299:R303" si="481">Z299+AH299</f>
        <v>13</v>
      </c>
      <c r="S299" s="11" t="str">
        <f>VLOOKUP(K299,'1121 Ambiente'!$K$13:$AK$38,9,0)</f>
        <v xml:space="preserve">Durante la vigencia 2021 se han terminado 8 convenios de manejo y aprovechamiento de Residuos sólidos, Bituima (12 contenedores de residuos sólidos, una picadora, 10 lonas, 1 guadaña, 4 palas, 12 contenedores de polietileno)., Cáqueza (elementos de seguridad industrial y una computadora para 100Kg.), Nimaima (13 equipos de seguridad industrial y una computadora vertical), San Bernardo (un medidor Multiparametros, 4 extractores de aire multiaxial), Chaguaní (395 ECOTANK y 366 Kg de ECOTEK), Albán (motocargueros de 300 Kg y elementos de Seguridad industrial), Villapinzón  (Caneca de 30 litros y sustrato enriquecido con bacterias degradadoras de residuos sólidos Orgánicos) y Fusagasugá (elementos de seguridad industrial).
</v>
      </c>
      <c r="T299" s="11">
        <v>3</v>
      </c>
      <c r="U299" s="11">
        <v>0</v>
      </c>
      <c r="V299" s="11">
        <v>3</v>
      </c>
      <c r="W299" s="11">
        <v>0</v>
      </c>
      <c r="X299" s="11">
        <v>3</v>
      </c>
      <c r="Y299" s="11">
        <v>0</v>
      </c>
      <c r="Z299" s="11">
        <v>3</v>
      </c>
      <c r="AA299" s="11">
        <v>0</v>
      </c>
      <c r="AB299" s="11" t="s">
        <v>1983</v>
      </c>
      <c r="AC299" s="11">
        <v>0</v>
      </c>
      <c r="AD299" s="11">
        <v>13</v>
      </c>
      <c r="AE299" s="11">
        <v>0</v>
      </c>
      <c r="AF299" s="11">
        <f>VLOOKUP(K299,'1121 Ambiente'!$K$13:$AK$38,22,0)</f>
        <v>10</v>
      </c>
      <c r="AG299" s="11">
        <f>VLOOKUP(K299,'1121 Ambiente'!$K$13:$AK$38,23,0)</f>
        <v>0</v>
      </c>
      <c r="AH299" s="11">
        <f t="shared" ref="AH299:AH303" si="482">AF299</f>
        <v>10</v>
      </c>
      <c r="AI299" s="11" t="str">
        <f>VLOOKUP(K299,'1121 Ambiente'!$K$13:$AK$38,25,0)</f>
        <v>10 convenios de manejo y aprovechamiento residuos sólidos terminados
Se terminaron dos convenios de residuos sólidos a satisfacción con la entrega de:
1. Madrid: 2 moto cargueros, 100 elementos de seguridad industrial y 1 compactadora
2. Cajicá: 500 canecas verdes, 500 aceleradores bacterianos, 2 moto cargueros, 50 Elementos de seguridad industrial y 4 triciclos.</v>
      </c>
      <c r="AJ299" s="11" t="str">
        <f>VLOOKUP(K299,'1121 Ambiente'!$K$13:$AK$38,26,0)</f>
        <v>se han terminado 10 convenios de manejo y aprovechamiento de Residuos sólidos, realizando la entrega de equipos e insumos en los municipios de Bituima (12 contenedores de residuos solidos, una picadora de desechos, 10 lonas de fibra sintética, 1 guadaña de combustión, 4 palas, 12 contenedores de polietileno)., Cáqueza (elementos de seguridad industrial y una computadora para 100Kg.), Nimaima (13 equipos de seguridad industrial y una computadora vertical), San Bernardo (un medidor Multiparametros, 4 extractores de aire multiaxial), Chaguaní (395 ECOTANK y 366 Kg de ECOTEK), Albán (motocargueros de 300 Kg y elementos de Seguridad industrial: (07 Jeans de dotación, 07 chaquetas de protección, 07 zapatos industriales,  07 guantes de carnaza y 07 cachuchas) ,  Villapinzón  Caneca de 30 litros doble fondo con rejilla separadora, salida y tapón para extracción de lixiviado y tapa ajuste hermético y sustrato enriquecido con bacterias degradadoras de residuos sólidos Orgánicos y  Fusagasugá, por medio del cual se realizó la entrega  de 164 Overoles Industriales de Manga Larga en
Gabardina de alto gramaje, 164 Tapa bocas tres capas, 164 Guantes y 164 Gorra en drill, todos con marcación Logo</v>
      </c>
      <c r="AK299" s="11">
        <f>VLOOKUP(K299,'1121 Ambiente'!$K$13:$AK$38,27,0)</f>
        <v>0</v>
      </c>
      <c r="AL299" s="11">
        <v>12</v>
      </c>
      <c r="AM299" s="11">
        <v>0</v>
      </c>
      <c r="AN299" s="11">
        <v>2</v>
      </c>
      <c r="AO299" s="11">
        <v>0</v>
      </c>
      <c r="AP299" s="11">
        <v>0</v>
      </c>
      <c r="AQ299" s="11">
        <v>0</v>
      </c>
      <c r="AR299" s="51">
        <v>110000000</v>
      </c>
      <c r="AS299" s="54">
        <v>40000000</v>
      </c>
      <c r="AT299" s="54">
        <f t="shared" si="434"/>
        <v>150000000</v>
      </c>
      <c r="AU299" s="51">
        <v>108544611</v>
      </c>
      <c r="AV299" s="243">
        <v>626704528</v>
      </c>
      <c r="AW299" s="244"/>
      <c r="AX299" s="244"/>
      <c r="AY299" s="243">
        <v>143508332</v>
      </c>
      <c r="AZ299" s="44">
        <f>R299/Q299</f>
        <v>0.43333333333333335</v>
      </c>
      <c r="BA299" s="44">
        <v>0.1</v>
      </c>
      <c r="BB299" s="44">
        <v>1</v>
      </c>
      <c r="BC299" s="44">
        <f t="shared" ref="BC299:BC302" si="483">AD299/Q299</f>
        <v>0.43333333333333335</v>
      </c>
      <c r="BD299" s="44" cm="1">
        <f t="array" ref="BD299">_xlfn.IFS(AD299=0,"NA",AD299&gt;0,AH299/AD299)</f>
        <v>0.76923076923076927</v>
      </c>
      <c r="BE299" s="44">
        <f t="shared" ref="BE299:BE302" si="484">AL299/Q299</f>
        <v>0.4</v>
      </c>
      <c r="BF299" s="44">
        <v>0</v>
      </c>
      <c r="BG299" s="44">
        <f t="shared" ref="BG299:BG302" si="485">AN299/Q299</f>
        <v>6.6666666666666666E-2</v>
      </c>
      <c r="BH299" s="44">
        <v>0</v>
      </c>
      <c r="BI299" s="44">
        <f>AP299/Q299</f>
        <v>0</v>
      </c>
      <c r="BJ299" s="44" t="s">
        <v>115</v>
      </c>
      <c r="BK299" s="44">
        <f t="shared" si="435"/>
        <v>0.43333333333333335</v>
      </c>
      <c r="BL299" s="44">
        <v>1</v>
      </c>
      <c r="BM299" s="44" cm="1">
        <f t="array" ref="BM299">_xlfn.IFS(BD299="NA","NA",BD299&gt;100%,"100%",BD299&lt;100,BD299)</f>
        <v>0.76923076923076927</v>
      </c>
      <c r="BN299" s="44" cm="1">
        <f t="array" ref="BN299">_xlfn.IFS(BF299="NA","NA",BF299&gt;100%,"100%",BF299&lt;100,BF299)</f>
        <v>0</v>
      </c>
      <c r="BO299" s="44" cm="1">
        <f t="array" ref="BO299">_xlfn.IFS(BH299="NA","NA",BH299&gt;100%,"100%",BH299&lt;100,BH299)</f>
        <v>0</v>
      </c>
      <c r="BP299" s="44" t="str" cm="1">
        <f t="array" ref="BP299">_xlfn.IFS(BJ299="NA","NA",BJ299&gt;100%,"100%",BJ299&lt;100,BJ299)</f>
        <v>NA</v>
      </c>
      <c r="BQ299" s="45">
        <v>0.22500000000000001</v>
      </c>
      <c r="BR299" s="45">
        <f t="shared" si="436"/>
        <v>9.7500000000000003E-2</v>
      </c>
      <c r="BS299" s="45">
        <v>2.2499999999999999E-2</v>
      </c>
      <c r="BT299" s="45">
        <v>2.2499999999999999E-2</v>
      </c>
      <c r="BU299" s="45">
        <v>2.2499999999999999E-2</v>
      </c>
      <c r="BV299" s="45">
        <f t="shared" ref="BV299:BV303" si="486">(AD299*BQ299)/Q299</f>
        <v>9.7500000000000003E-2</v>
      </c>
      <c r="BW299" s="45">
        <f t="shared" si="448"/>
        <v>7.5000000000000011E-2</v>
      </c>
      <c r="BX299" s="45">
        <f t="shared" si="449"/>
        <v>7.5000000000000011E-2</v>
      </c>
      <c r="BY299" s="45">
        <f t="shared" ref="BY299:BY303" si="487">(AL299*BQ299)/Q299</f>
        <v>9.0000000000000011E-2</v>
      </c>
      <c r="BZ299" s="45">
        <f t="shared" ref="BZ299:BZ303" si="488">IF(BN299="NA","NA",BN299*BY299)</f>
        <v>0</v>
      </c>
      <c r="CA299" s="45">
        <f t="shared" si="439"/>
        <v>0</v>
      </c>
      <c r="CB299" s="45">
        <f t="shared" ref="CB299:CB303" si="489">(AN299*BQ299)/Q299</f>
        <v>1.5000000000000001E-2</v>
      </c>
      <c r="CC299" s="45">
        <f t="shared" ref="CC299:CC303" si="490">IF(BO299="NA","NA",BO299*CB299)</f>
        <v>0</v>
      </c>
      <c r="CD299" s="45">
        <v>0</v>
      </c>
      <c r="CE299" s="45">
        <f>(AP299*BQ299)/Q299</f>
        <v>0</v>
      </c>
      <c r="CF299" s="45" t="str">
        <f>IF(BP299="NA","NA",BP299*CE299)</f>
        <v>NA</v>
      </c>
      <c r="CG299" s="45">
        <v>0</v>
      </c>
      <c r="CH299" s="244"/>
      <c r="CI299" s="244"/>
      <c r="CJ299" s="244"/>
      <c r="CK299" s="244"/>
      <c r="CM299" s="63">
        <v>11</v>
      </c>
    </row>
    <row r="300" spans="1:91" ht="18" hidden="1" customHeight="1">
      <c r="A300" s="260" t="s">
        <v>1826</v>
      </c>
      <c r="B300" s="260" t="s">
        <v>1827</v>
      </c>
      <c r="C300" s="260" t="s">
        <v>1828</v>
      </c>
      <c r="D300" s="260" t="s">
        <v>1829</v>
      </c>
      <c r="E300" s="260" t="s">
        <v>1959</v>
      </c>
      <c r="F300" s="260" t="s">
        <v>1960</v>
      </c>
      <c r="G300" s="260" t="s">
        <v>1961</v>
      </c>
      <c r="H300" s="260" t="s">
        <v>1984</v>
      </c>
      <c r="I300" s="260"/>
      <c r="J300" s="260"/>
      <c r="K300" s="260" t="s">
        <v>1985</v>
      </c>
      <c r="L300" s="260" t="s">
        <v>1986</v>
      </c>
      <c r="M300" s="260" t="s">
        <v>1987</v>
      </c>
      <c r="N300" s="260" t="s">
        <v>111</v>
      </c>
      <c r="O300" s="260" t="s">
        <v>112</v>
      </c>
      <c r="P300" s="10">
        <v>0</v>
      </c>
      <c r="Q300" s="11">
        <v>3</v>
      </c>
      <c r="R300" s="11">
        <f t="shared" si="481"/>
        <v>1.6</v>
      </c>
      <c r="S300" s="11" t="str">
        <f>VLOOKUP(K300,'1121 Ambiente'!$K$13:$AK$38,9,0)</f>
        <v>Se desarrolló el Primer Concurso virtual de educación ambiental en el Departamento de Cundinamarca, donde se reconocieron 7 proyectos de los municipios de Granada, Medina, Sasaima, Sibaté, Anolaima, Tabio y Junín, en estos se desarrollaron actividades de educación ambiental, que fueron avalados por los CIDEAS municipales, en temáticas de Ahorro y uso eficiente del agua, manejo de residuos sólidos, siembra de árboles, viveros, compostaje, sustitución de empaques, cambio climático, ECOTIENDAS, entre otros</v>
      </c>
      <c r="T300" s="11">
        <v>1</v>
      </c>
      <c r="U300" s="11">
        <v>0</v>
      </c>
      <c r="V300" s="11">
        <v>1</v>
      </c>
      <c r="W300" s="11">
        <v>0</v>
      </c>
      <c r="X300" s="11">
        <v>0.6</v>
      </c>
      <c r="Y300" s="11">
        <v>0</v>
      </c>
      <c r="Z300" s="11">
        <v>0.6</v>
      </c>
      <c r="AA300" s="11">
        <v>0</v>
      </c>
      <c r="AB300" s="11"/>
      <c r="AC300" s="11">
        <v>0</v>
      </c>
      <c r="AD300" s="11">
        <v>1</v>
      </c>
      <c r="AE300" s="11">
        <v>0</v>
      </c>
      <c r="AF300" s="11">
        <f>VLOOKUP(K300,'1121 Ambiente'!$K$13:$AK$38,22,0)</f>
        <v>1</v>
      </c>
      <c r="AG300" s="11">
        <f>VLOOKUP(K300,'1121 Ambiente'!$K$13:$AK$38,23,0)</f>
        <v>0</v>
      </c>
      <c r="AH300" s="11">
        <f t="shared" si="482"/>
        <v>1</v>
      </c>
      <c r="AI300" s="11">
        <f>VLOOKUP(K300,'1121 Ambiente'!$K$13:$AK$38,25,0)</f>
        <v>0</v>
      </c>
      <c r="AJ300" s="11" t="str">
        <f>VLOOKUP(K300,'1121 Ambiente'!$K$13:$AK$38,26,0)</f>
        <v xml:space="preserve">Se estudia la posibilidad de ejecutar un proyecto de innovción con el uso de la Guadua y/o la implmentación de bolsas ecologicas. Se adelanta el proceso precontractual para la IMPLEMENTACION DE UNA ESTRATEGIA DE FORTALECIMIENTO DE LA CADENA DE LA GUADUA </v>
      </c>
      <c r="AK300" s="11">
        <f>VLOOKUP(K300,'1121 Ambiente'!$K$13:$AK$38,27,0)</f>
        <v>0</v>
      </c>
      <c r="AL300" s="11">
        <v>1</v>
      </c>
      <c r="AM300" s="11">
        <v>0</v>
      </c>
      <c r="AN300" s="11">
        <v>0</v>
      </c>
      <c r="AO300" s="11">
        <v>0</v>
      </c>
      <c r="AP300" s="11">
        <v>0</v>
      </c>
      <c r="AQ300" s="11">
        <v>0</v>
      </c>
      <c r="AR300" s="51">
        <v>70000000</v>
      </c>
      <c r="AS300" s="54">
        <v>0</v>
      </c>
      <c r="AT300" s="54">
        <f t="shared" si="434"/>
        <v>70000000</v>
      </c>
      <c r="AU300" s="51">
        <v>40296000</v>
      </c>
      <c r="AV300" s="243">
        <v>150000000</v>
      </c>
      <c r="AW300" s="244"/>
      <c r="AX300" s="244"/>
      <c r="AY300" s="243">
        <v>137000000</v>
      </c>
      <c r="AZ300" s="44">
        <f>R300/Q300</f>
        <v>0.53333333333333333</v>
      </c>
      <c r="BA300" s="44">
        <v>0.33329999999999999</v>
      </c>
      <c r="BB300" s="44">
        <v>0.6</v>
      </c>
      <c r="BC300" s="44">
        <f t="shared" si="483"/>
        <v>0.33333333333333331</v>
      </c>
      <c r="BD300" s="44" cm="1">
        <f t="array" ref="BD300">_xlfn.IFS(AD300=0,"NA",AD300&gt;0,AH300/AD300)</f>
        <v>1</v>
      </c>
      <c r="BE300" s="44">
        <f t="shared" si="484"/>
        <v>0.33333333333333331</v>
      </c>
      <c r="BF300" s="44">
        <v>0</v>
      </c>
      <c r="BG300" s="44">
        <f t="shared" si="485"/>
        <v>0</v>
      </c>
      <c r="BH300" s="44">
        <v>0</v>
      </c>
      <c r="BI300" s="44">
        <f>AP300/Q300</f>
        <v>0</v>
      </c>
      <c r="BJ300" s="44" t="s">
        <v>115</v>
      </c>
      <c r="BK300" s="44">
        <f t="shared" si="435"/>
        <v>0.53333333333333333</v>
      </c>
      <c r="BL300" s="44">
        <v>0.6</v>
      </c>
      <c r="BM300" s="44" cm="1">
        <f t="array" ref="BM300">_xlfn.IFS(BD300="NA","NA",BD300&gt;100%,"100%",BD300&lt;100,BD300)</f>
        <v>1</v>
      </c>
      <c r="BN300" s="44" cm="1">
        <f t="array" ref="BN300">_xlfn.IFS(BF300="NA","NA",BF300&gt;100%,"100%",BF300&lt;100,BF300)</f>
        <v>0</v>
      </c>
      <c r="BO300" s="44" cm="1">
        <f t="array" ref="BO300">_xlfn.IFS(BH300="NA","NA",BH300&gt;100%,"100%",BH300&lt;100,BH300)</f>
        <v>0</v>
      </c>
      <c r="BP300" s="44" t="str" cm="1">
        <f t="array" ref="BP300">_xlfn.IFS(BJ300="NA","NA",BJ300&gt;100%,"100%",BJ300&lt;100,BJ300)</f>
        <v>NA</v>
      </c>
      <c r="BQ300" s="45">
        <v>0.22500000000000001</v>
      </c>
      <c r="BR300" s="45">
        <f t="shared" si="436"/>
        <v>0.12</v>
      </c>
      <c r="BS300" s="45">
        <v>7.4999999999999997E-2</v>
      </c>
      <c r="BT300" s="45">
        <v>4.4999999999999998E-2</v>
      </c>
      <c r="BU300" s="45">
        <v>4.4999999999999998E-2</v>
      </c>
      <c r="BV300" s="45">
        <f t="shared" si="486"/>
        <v>7.4999999999999997E-2</v>
      </c>
      <c r="BW300" s="45">
        <f t="shared" si="448"/>
        <v>7.4999999999999997E-2</v>
      </c>
      <c r="BX300" s="45">
        <f t="shared" si="449"/>
        <v>7.4999999999999997E-2</v>
      </c>
      <c r="BY300" s="45">
        <f t="shared" si="487"/>
        <v>7.4999999999999997E-2</v>
      </c>
      <c r="BZ300" s="45">
        <f t="shared" si="488"/>
        <v>0</v>
      </c>
      <c r="CA300" s="45">
        <f t="shared" si="439"/>
        <v>0</v>
      </c>
      <c r="CB300" s="45">
        <f t="shared" si="489"/>
        <v>0</v>
      </c>
      <c r="CC300" s="45">
        <f t="shared" si="490"/>
        <v>0</v>
      </c>
      <c r="CD300" s="45">
        <v>0</v>
      </c>
      <c r="CE300" s="45">
        <f>(AP300*BQ300)/Q300</f>
        <v>0</v>
      </c>
      <c r="CF300" s="45" t="str">
        <f>IF(BP300="NA","NA",BP300*CE300)</f>
        <v>NA</v>
      </c>
      <c r="CG300" s="45">
        <v>0</v>
      </c>
      <c r="CH300" s="244"/>
      <c r="CI300" s="244"/>
      <c r="CJ300" s="244"/>
      <c r="CK300" s="244"/>
      <c r="CM300" s="63">
        <v>1.6</v>
      </c>
    </row>
    <row r="301" spans="1:91" ht="30.75" hidden="1" customHeight="1">
      <c r="A301" s="260" t="s">
        <v>1387</v>
      </c>
      <c r="B301" s="260" t="s">
        <v>1388</v>
      </c>
      <c r="C301" s="260" t="s">
        <v>1828</v>
      </c>
      <c r="D301" s="260" t="s">
        <v>1988</v>
      </c>
      <c r="E301" s="260" t="s">
        <v>1989</v>
      </c>
      <c r="F301" s="260" t="s">
        <v>1990</v>
      </c>
      <c r="G301" s="260" t="s">
        <v>1991</v>
      </c>
      <c r="H301" s="260" t="s">
        <v>1992</v>
      </c>
      <c r="I301" s="260"/>
      <c r="J301" s="260"/>
      <c r="K301" s="260" t="s">
        <v>1993</v>
      </c>
      <c r="L301" s="12" t="s">
        <v>1994</v>
      </c>
      <c r="M301" s="260" t="s">
        <v>1995</v>
      </c>
      <c r="N301" s="260" t="s">
        <v>111</v>
      </c>
      <c r="O301" s="260" t="s">
        <v>112</v>
      </c>
      <c r="P301" s="10">
        <v>0</v>
      </c>
      <c r="Q301" s="11">
        <v>300</v>
      </c>
      <c r="R301" s="11">
        <f t="shared" si="481"/>
        <v>21</v>
      </c>
      <c r="S301" s="11">
        <f>VLOOKUP(K301,'1285 EPC'!$K$13:$AK$35,9,0)</f>
        <v>0</v>
      </c>
      <c r="T301" s="11">
        <v>30</v>
      </c>
      <c r="U301" s="11">
        <v>0</v>
      </c>
      <c r="V301" s="11">
        <v>0</v>
      </c>
      <c r="W301" s="11">
        <v>0</v>
      </c>
      <c r="X301" s="11">
        <v>0</v>
      </c>
      <c r="Y301" s="11">
        <v>0</v>
      </c>
      <c r="Z301" s="11">
        <v>0</v>
      </c>
      <c r="AA301" s="11"/>
      <c r="AB301" s="11"/>
      <c r="AC301" s="11"/>
      <c r="AD301" s="11">
        <v>100</v>
      </c>
      <c r="AE301" s="11">
        <v>0</v>
      </c>
      <c r="AF301" s="11">
        <f>VLOOKUP(K301,'1285 EPC'!$K$13:$AK$35,22,0)</f>
        <v>21</v>
      </c>
      <c r="AG301" s="11" t="str">
        <f>VLOOKUP(K301,'1285 EPC'!$K$13:$AK$35,23,0)</f>
        <v> </v>
      </c>
      <c r="AH301" s="11">
        <f t="shared" si="482"/>
        <v>21</v>
      </c>
      <c r="AI301" s="11" t="str">
        <f>VLOOKUP(K301,'1285 EPC'!$K$13:$AK$35,25,0)</f>
        <v xml:space="preserve">Planes de emergencia y contingencia Formulados: Por parte de los municipios se tienen formulados 10 documentos, en los siguientes prestadores:
La Mesa: Junta De Acción Comunal De Inspección San Joaquín, Asociación De Usuarios Del Acueducto Rural Colectivo De Las Veredas Doima La Esperanza
San Antonio Del Tequendama:  Asociación De Usuarios Del Acueducto Rural Los Naranjos Vereda Las Angustias
Subachoque: Asociación De Usuarios Del Acueducto Regional De La Vereda Rincón Santo
Villeta: Asociación De Usuarios Del Acueducto Fernando Salazar De La Vereda De Rio Dulce
Zipacón: Asociación De Usuarios Del Servicio De Acueducto De La Parte Alta Y Baja De La Vereda Paloquemao Del Municipio De Zipacón, Asociación De Usuarios De Acueducto Y Saneamiento Básico Vereda Pueblo Viejo Sector La Joya Sabanalarga, Asociación De Usuarios Del Servicio De Acueducto De La Vereda El Chuscal
Anolaima: Asociación De Usuarios Del Acueducto De Las Veredas La Esmeralda, Montelargo, San Jerónimo, Milán Y Limonal Del Municipio De Anolaima - Acuamili. 
La Mesa - Tena: ASUARTELAM
Ricaurte: Aguas Marakata S.A. Empresa De Servicios Públicos
Agua De Dios, Tocaima: Central Colombiana De Aseo S.A ESP
Anapoima, El Colegio: Asociación De Usuarios Del Acueducto Regional El Triunfo La Paz
Anolaima: Asociación De Usuarios Del Acueducto De Mesitas De Caballero
Arbeláez: Asociación De Acueducto Regional Veredas San Miguel, Santa Rosa, San José
Cota, Facatativá: Iglesia Cristiana De Los Testigos De Jehová
Cota, Funza, Girardot, Madrid, Mosquera, Soacha, Tocancipá: Ekoplanet S.A.S. E.S.P.
El Colegio: Asociación Acueducto Los Ocobos
Fusagasugá: Asociación De Usuarios Del Acueducto Leonardo Hoyos De Fusagasugá
Gachancipá: Asociación De Usuarios Del Acueducto De La Vereda San Martin De Gachancipá
Granada: Asociación De Afiliados Del Acueducto Regional De Granada Cundinamarca
Contrato EPC-PS-330-2021 firmado y con acta de inicio. En ejecución
Durante el mes de noviembre se avanzó en los procesos de capacitación a los prestadores de los municipios de El Colegio, Guasca, Tabio, Cota, Nemocón, Subachoque, Pacho, Zipacón y La Calera, logrando un alcance de 20 prestadores de los 37 invitados. En ejecución el contrato EPC-PS-330-2021. El avance total del año es de 39.
</v>
      </c>
      <c r="AJ301" s="11" t="str">
        <f>VLOOKUP(K301,'1285 EPC'!$K$13:$AK$35,26,0)</f>
        <v>Planes de emergencia y contingencia Formulados: Por parte de los municipios se tienen formulados 9 documentos en los municipios de La Mesa, San Antonio del Tequendama, Subachoque, Villeta, Zipacón.
ASUARTELAM - Tena / La Mesa, AGUAS MARAKATA S.A. Empresa de servicios públicos - Ricaurte.
El proceso de contratación del programa de capacitación y formulación de los planes se encuentra en el área de gestión contractual. Se realizó inventario de prestadores, para establecer la población objeto del presente año. Se está recolectando información de los Planes de emergencia y contingencia adelantados en el año 2020.
Contrato EPC-PS-330-2021 firmado y con acta de inicio. En ejecución</v>
      </c>
      <c r="AK301" s="11" t="str">
        <f>VLOOKUP(K301,'1285 EPC'!$K$13:$AK$35,27,0)</f>
        <v> </v>
      </c>
      <c r="AL301" s="11">
        <v>100</v>
      </c>
      <c r="AM301" s="11">
        <v>0</v>
      </c>
      <c r="AN301" s="11">
        <v>100</v>
      </c>
      <c r="AO301" s="11">
        <v>0</v>
      </c>
      <c r="AP301" s="11">
        <v>0</v>
      </c>
      <c r="AQ301" s="11">
        <v>0</v>
      </c>
      <c r="AR301" s="52"/>
      <c r="AS301" s="54">
        <v>283904862</v>
      </c>
      <c r="AT301" s="54">
        <f t="shared" si="434"/>
        <v>283904862</v>
      </c>
      <c r="AU301" s="52"/>
      <c r="AV301" s="243">
        <v>355700000</v>
      </c>
      <c r="AW301" s="244"/>
      <c r="AX301" s="244"/>
      <c r="AY301" s="243">
        <v>155469400</v>
      </c>
      <c r="AZ301" s="44">
        <f>R301/Q301</f>
        <v>7.0000000000000007E-2</v>
      </c>
      <c r="BA301" s="44">
        <v>0</v>
      </c>
      <c r="BB301" s="44" t="s">
        <v>115</v>
      </c>
      <c r="BC301" s="44">
        <f t="shared" si="483"/>
        <v>0.33333333333333331</v>
      </c>
      <c r="BD301" s="44" cm="1">
        <f t="array" ref="BD301">_xlfn.IFS(AD301=0,"NA",AD301&gt;0,AH301/AD301)</f>
        <v>0.21</v>
      </c>
      <c r="BE301" s="44">
        <f t="shared" si="484"/>
        <v>0.33333333333333331</v>
      </c>
      <c r="BF301" s="44">
        <v>0</v>
      </c>
      <c r="BG301" s="44">
        <f t="shared" si="485"/>
        <v>0.33333333333333331</v>
      </c>
      <c r="BH301" s="44">
        <v>0</v>
      </c>
      <c r="BI301" s="44">
        <f>AP301/Q301</f>
        <v>0</v>
      </c>
      <c r="BJ301" s="44" t="s">
        <v>115</v>
      </c>
      <c r="BK301" s="44">
        <f t="shared" si="435"/>
        <v>7.0000000000000007E-2</v>
      </c>
      <c r="BL301" s="44" t="s">
        <v>115</v>
      </c>
      <c r="BM301" s="44" cm="1">
        <f t="array" ref="BM301">_xlfn.IFS(BD301="NA","NA",BD301&gt;100%,"100%",BD301&lt;100,BD301)</f>
        <v>0.21</v>
      </c>
      <c r="BN301" s="44" cm="1">
        <f t="array" ref="BN301">_xlfn.IFS(BF301="NA","NA",BF301&gt;100%,"100%",BF301&lt;100,BF301)</f>
        <v>0</v>
      </c>
      <c r="BO301" s="44" cm="1">
        <f t="array" ref="BO301">_xlfn.IFS(BH301="NA","NA",BH301&gt;100%,"100%",BH301&lt;100,BH301)</f>
        <v>0</v>
      </c>
      <c r="BP301" s="44" t="str" cm="1">
        <f t="array" ref="BP301">_xlfn.IFS(BJ301="NA","NA",BJ301&gt;100%,"100%",BJ301&lt;100,BJ301)</f>
        <v>NA</v>
      </c>
      <c r="BQ301" s="45">
        <v>0.22500000000000001</v>
      </c>
      <c r="BR301" s="45">
        <f t="shared" si="436"/>
        <v>1.5750000000000004E-2</v>
      </c>
      <c r="BS301" s="45">
        <v>0</v>
      </c>
      <c r="BT301" s="45" t="s">
        <v>115</v>
      </c>
      <c r="BU301" s="45">
        <v>0</v>
      </c>
      <c r="BV301" s="45">
        <f t="shared" si="486"/>
        <v>7.4999999999999997E-2</v>
      </c>
      <c r="BW301" s="45">
        <f t="shared" si="448"/>
        <v>1.575E-2</v>
      </c>
      <c r="BX301" s="45">
        <f t="shared" si="449"/>
        <v>1.5750000000000004E-2</v>
      </c>
      <c r="BY301" s="45">
        <f t="shared" si="487"/>
        <v>7.4999999999999997E-2</v>
      </c>
      <c r="BZ301" s="45">
        <f t="shared" si="488"/>
        <v>0</v>
      </c>
      <c r="CA301" s="45">
        <f t="shared" si="439"/>
        <v>0</v>
      </c>
      <c r="CB301" s="45">
        <f t="shared" si="489"/>
        <v>7.4999999999999997E-2</v>
      </c>
      <c r="CC301" s="45">
        <f t="shared" si="490"/>
        <v>0</v>
      </c>
      <c r="CD301" s="45">
        <v>0</v>
      </c>
      <c r="CE301" s="45">
        <f>(AP301*BQ301)/Q301</f>
        <v>0</v>
      </c>
      <c r="CF301" s="45" t="str">
        <f>IF(BP301="NA","NA",BP301*CE301)</f>
        <v>NA</v>
      </c>
      <c r="CG301" s="45">
        <v>0</v>
      </c>
      <c r="CH301" s="244"/>
      <c r="CI301" s="244"/>
      <c r="CJ301" s="244"/>
      <c r="CK301" s="244"/>
      <c r="CM301" s="63">
        <v>11</v>
      </c>
    </row>
    <row r="302" spans="1:91" ht="18" hidden="1" customHeight="1">
      <c r="A302" s="260" t="s">
        <v>1996</v>
      </c>
      <c r="B302" s="260" t="s">
        <v>1997</v>
      </c>
      <c r="C302" s="260" t="s">
        <v>1828</v>
      </c>
      <c r="D302" s="260" t="s">
        <v>1988</v>
      </c>
      <c r="E302" s="260" t="s">
        <v>1989</v>
      </c>
      <c r="F302" s="260" t="s">
        <v>1990</v>
      </c>
      <c r="G302" s="260" t="s">
        <v>1991</v>
      </c>
      <c r="H302" s="260" t="s">
        <v>1998</v>
      </c>
      <c r="I302" s="260"/>
      <c r="J302" s="260"/>
      <c r="K302" s="260" t="s">
        <v>1999</v>
      </c>
      <c r="L302" s="260" t="s">
        <v>2000</v>
      </c>
      <c r="M302" s="260" t="s">
        <v>2001</v>
      </c>
      <c r="N302" s="260" t="s">
        <v>111</v>
      </c>
      <c r="O302" s="260" t="s">
        <v>112</v>
      </c>
      <c r="P302" s="10">
        <v>0</v>
      </c>
      <c r="Q302" s="11">
        <v>1</v>
      </c>
      <c r="R302" s="11">
        <f t="shared" si="481"/>
        <v>0.2</v>
      </c>
      <c r="S302" s="11" t="str">
        <f>VLOOKUP(K302,'1152 UAEGRD'!$K$13:$AK$21,9,0)</f>
        <v>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de igual manera, se ha realizado acompañamiento y asesoría a los municipios mediante las asistencias técnicas con el fin de fomentar el conocimiento del riesgo, la reducción del riesgo y el manejo de desastres en aras de lograr la implementación de la política pública lo que ha permitido fortalecer las acciones mediante las capacitaciones a más de 3.000 personas sobre la política publica, el plan departamental para la gestión del riesgo y la estrategia de respuesta. Asimismo, se cuenta a la fecha con la instalación del 100% de los comités provinciales para la gestión del riesgo de acuerdo a la ordenanza 066 de 2018. Por otra parte, se ha implementado el plan padrino por parte de la UAEGRD con el fin de poder realizar asesoría y seguimiento a las necesidades y acciones de los municipios en el marco de la implementación de la política publica. Se logró llevar a cabo el reporte a la Unidad Nacional para la Gestión del Riesgo del 100% de los municipios del departamento frente a la implementación de la política pública mediante los planes municipales para la gestión del riesgo y las estrategias municipales de respuesta. Se cuenta con plan operativo de la política publica para validación y ejecución.</v>
      </c>
      <c r="T302" s="11">
        <v>0</v>
      </c>
      <c r="U302" s="11">
        <v>0</v>
      </c>
      <c r="V302" s="11">
        <v>0</v>
      </c>
      <c r="W302" s="11">
        <v>0</v>
      </c>
      <c r="X302" s="11">
        <v>0</v>
      </c>
      <c r="Y302" s="11">
        <v>0</v>
      </c>
      <c r="Z302" s="11">
        <v>0</v>
      </c>
      <c r="AA302" s="11"/>
      <c r="AB302" s="11"/>
      <c r="AC302" s="11"/>
      <c r="AD302" s="11">
        <v>0.2</v>
      </c>
      <c r="AE302" s="11">
        <v>0</v>
      </c>
      <c r="AF302" s="11">
        <f>VLOOKUP(K302,'1152 UAEGRD'!$K$13:$AK$21,22,0)</f>
        <v>0.2</v>
      </c>
      <c r="AG302" s="11">
        <f>VLOOKUP(K302,'1152 UAEGRD'!$K$13:$AK$21,23,0)</f>
        <v>0</v>
      </c>
      <c r="AH302" s="11">
        <f t="shared" si="482"/>
        <v>0.2</v>
      </c>
      <c r="AI302" s="11" t="str">
        <f>VLOOKUP(K302,'1152 UAEGRD'!$K$13:$AK$21,25,0)</f>
        <v xml:space="preserve">* Se realizaron 6 asistencias técnicas para un total de 58 personas asistidas de los consejos municipales para la gestión del riesgo y alcaldias con el fin de Fortalecer la gobernanza con el fin de formentar acciones que propendan al adecuado manejo de la gestión del riesgo, de las cuales cuatro fueron mediante acompañamiento para un total de 46 personas asistidas y dos mediantes asistencia para un total de 12 personas asistidas. 
* Se llevó a cabo la actualización de soportes de la política publica de acuerdo con la gestión del año 2021. 
* Mediante circular 10 se llevo a cabo requerimiento a los 116 municipios del departamento para la revisión y actualización de la estrategia de respuesta dada la calamidad pública por la emergencia del nevado del Ruiz con el fin de que se proyecten acciones ante los eventos que se puedan presentar en el mes de diciembre.
* Se formulo la circular 11 dado el reporte del servicio meteorológico colombiano articulando el sistema nacional con el sistema departamental y municipal para la gestión del riesgo y desastres. Bajo dicha circular se llevo a cabo articulación con los municipios de San Juan de Rio Seco, Puerto Salgar, Girardot, Guataquí, Nariño, Beltran, Pulí, Chaguaní y Jerusalén. 
* Se llevaron a cabo 10 mesas de trabajo virtual con el fin de realizar seguimiento a las circulares 5 y 6 del año 2020 mediante la cual se solicita reporte de los instrumentos de planificación de los municipios y seguimiento a la circular 6 de 2021 mediante la cual se solicita la inclusión de los comunales en los comités y procesos para al gestión del riesgo.
* Se gestiono mediante circular 12 del 17 de noviembre se fortaleció la gestión de seguimiento de la circular 6, reafirmando a los municipios la necesidad de incorporar a los presidentes de las juntas de acción comunal y veedurías en los procesos para la gestión del riesgo. Se logro el avance de 40 municipios que llevaron a cabo la inclusión comunal en los procesos.
* Mediante circular 13 se llevo a cabo la solicitud para formulación del plan de contingencia dirigida al sistema departamental de riesgos y desastres con motivo de la contingencia por la alerta del nevado del Ruíz llevando a cabo la articulación respectiva con el sistema nacional para la gestión del riesgo. 
* Se elaboró circular 14 mediante la cual se llevo a cabo la consolidación del diagnostico de los instrumentos de planificación territorial, logrando a la fecha que 94 municipios de los 166 cuenten con plan municipal para la gestión del riesgo, y 43 municipios cuenten con la estrategia municipal de respuesta, 86 municipios cuentan con fondo municipal para la gestión del riesgo, 97 municipios cuentan con acuerdo para la tasa bomberil y 35 municipios tienen convenio con bomberos. Asimismo, se llevo a cabo asistencia telefónica a cada municipio para el cumplimiento de los instrumentos de planificación en el marco de la política departamental para la gestión del riesgo. 
* Se llevo a cabo dos capacitaciones en el municipio de Fusagasugá, una capacitación responde al tema de planes comunitarios con 37 personas capacitadas, la segunda capacitación se desarrollo el tema de planes escolares con 37 personas capacitadas. 
* Se llevo a cabo la organización de la gestión documental de las actuaciones de la UAEGRD entorno al sistema nacional y departamental para requerimientos de la procuraduría. 
* Se realizó seguimiento y asesoría para todas las secretarias con el fin de dar cumplimiento a las acciones de reporte del plan nacional para la gestión del riesgo. 
* Se logro llevar a cabo la consolidación de los 116 municipios del departamento de acuerdo con las acciones realizadas en cumplimiento de la política publica departamental para la gestión del riesgo. 
* Se llevo a cabo acompañamiento para la instalación del PMU nacional para el plan de vacunación, la contingencia del nevado del Ruiz y se acompaño el proceso de elaboración del plan de contingencia para juegos comunales. 
* Se realizo asistencia telefónica a los 166 municipios del departamento para la incorporación comunal en los procesos para la gestión el riesgo. </v>
      </c>
      <c r="AJ302" s="11" t="str">
        <f>VLOOKUP(K302,'1152 UAEGRD'!$K$13:$AK$21,26,0)</f>
        <v xml:space="preserve">Se ha logrado mediante el acompañamiento y la asistencia a los municipios, que el 50% de los mismos cumplan con los requerimientos realizados por la UAEGRD en cumplimiento de la política publica, los cuales se orientan a los instrumentos de planificación como planes municipales para la gestión del riesgo y estrategias municipales de respuesta. 
Fortalecimiento del plan padrino mediante acciones de conocimiento, reducción y manejo de desastres a partir de las asistencias técnicas a los consejos municipales y capacitaciones en el marco de la implementación de la política pública en planes comunitarios de gestión del riesgo, planes escolares de gestión del riesgo, evidenciados en actas y listado de asistencias con firmas. Consolidación del 100% de los comités provinciales para la gestión del riesgo. Ejecución del plan de comunicaciones para la divulgación de la política publica y sus instrumentos de planificación. asistencia técnica a 116 municipios frente a la política pública y sus instrumentos de planificación, proceso que se ha llevado a cabo mediante la articulación de acciones entre la subdirección de conocimiento y la subdirección de manejo de la UAEGRD. Se logró llevar a cabo el reporte a la Unidad Nacional para la Gestión del Riesgo del 100% de los municipios del departamento frente a la implementación de la política pública mediante los planes municipales para la gestión del riesgo y las estrategias municipales de respuesta. </v>
      </c>
      <c r="AK302" s="11" t="str">
        <f>VLOOKUP(K302,'1152 UAEGRD'!$K$13:$AK$21,27,0)</f>
        <v xml:space="preserve">Durante el primer semestre del año : Pese a que existe la formulación del plan de capacitación para los colegios  frente a la implementación de la política publica para la gestión del riesgo y sus instrumentos de planificación, no se ha logrado llevar a cabo las capacitaciones planteadas dada la emergencia por COVID-19
Durante el segundo semestre del año la dificultad que se presenta se relaciona a la disponibilidad de vehículos o transporte para llevar a cabo la movilización a los municipios por parte de la subdirección de conocimiento. </v>
      </c>
      <c r="AL302" s="11">
        <v>0.4</v>
      </c>
      <c r="AM302" s="11">
        <v>0</v>
      </c>
      <c r="AN302" s="11">
        <v>0.4</v>
      </c>
      <c r="AO302" s="11">
        <v>0</v>
      </c>
      <c r="AP302" s="11">
        <v>0</v>
      </c>
      <c r="AQ302" s="11">
        <v>0</v>
      </c>
      <c r="AR302" s="52"/>
      <c r="AS302" s="54">
        <v>693750000</v>
      </c>
      <c r="AT302" s="54">
        <f t="shared" si="434"/>
        <v>693750000</v>
      </c>
      <c r="AU302" s="52"/>
      <c r="AV302" s="243">
        <v>763875850</v>
      </c>
      <c r="AW302" s="244"/>
      <c r="AX302" s="244"/>
      <c r="AY302" s="243">
        <v>752737396</v>
      </c>
      <c r="AZ302" s="44">
        <f>R302/Q302</f>
        <v>0.2</v>
      </c>
      <c r="BA302" s="44">
        <v>0</v>
      </c>
      <c r="BB302" s="44" t="s">
        <v>115</v>
      </c>
      <c r="BC302" s="44">
        <f t="shared" si="483"/>
        <v>0.2</v>
      </c>
      <c r="BD302" s="44" cm="1">
        <f t="array" ref="BD302">_xlfn.IFS(AD302=0,"NA",AD302&gt;0,AH302/AD302)</f>
        <v>1</v>
      </c>
      <c r="BE302" s="44">
        <f t="shared" si="484"/>
        <v>0.4</v>
      </c>
      <c r="BF302" s="44">
        <v>0</v>
      </c>
      <c r="BG302" s="44">
        <f t="shared" si="485"/>
        <v>0.4</v>
      </c>
      <c r="BH302" s="44">
        <v>0</v>
      </c>
      <c r="BI302" s="44">
        <f>AP302/Q302</f>
        <v>0</v>
      </c>
      <c r="BJ302" s="44" t="s">
        <v>115</v>
      </c>
      <c r="BK302" s="44">
        <f t="shared" si="435"/>
        <v>0.2</v>
      </c>
      <c r="BL302" s="44" t="s">
        <v>115</v>
      </c>
      <c r="BM302" s="44" cm="1">
        <f t="array" ref="BM302">_xlfn.IFS(BD302="NA","NA",BD302&gt;100%,"100%",BD302&lt;100,BD302)</f>
        <v>1</v>
      </c>
      <c r="BN302" s="44" cm="1">
        <f t="array" ref="BN302">_xlfn.IFS(BF302="NA","NA",BF302&gt;100%,"100%",BF302&lt;100,BF302)</f>
        <v>0</v>
      </c>
      <c r="BO302" s="44" cm="1">
        <f t="array" ref="BO302">_xlfn.IFS(BH302="NA","NA",BH302&gt;100%,"100%",BH302&lt;100,BH302)</f>
        <v>0</v>
      </c>
      <c r="BP302" s="44" t="str" cm="1">
        <f t="array" ref="BP302">_xlfn.IFS(BJ302="NA","NA",BJ302&gt;100%,"100%",BJ302&lt;100,BJ302)</f>
        <v>NA</v>
      </c>
      <c r="BQ302" s="45">
        <v>0.22500000000000001</v>
      </c>
      <c r="BR302" s="45">
        <f t="shared" si="436"/>
        <v>4.5000000000000005E-2</v>
      </c>
      <c r="BS302" s="45">
        <v>0</v>
      </c>
      <c r="BT302" s="45" t="s">
        <v>115</v>
      </c>
      <c r="BU302" s="45">
        <v>0</v>
      </c>
      <c r="BV302" s="45">
        <f t="shared" si="486"/>
        <v>4.5000000000000005E-2</v>
      </c>
      <c r="BW302" s="45">
        <f t="shared" si="448"/>
        <v>4.5000000000000005E-2</v>
      </c>
      <c r="BX302" s="45">
        <f t="shared" si="449"/>
        <v>4.5000000000000005E-2</v>
      </c>
      <c r="BY302" s="45">
        <f t="shared" si="487"/>
        <v>9.0000000000000011E-2</v>
      </c>
      <c r="BZ302" s="45">
        <f t="shared" si="488"/>
        <v>0</v>
      </c>
      <c r="CA302" s="45">
        <f t="shared" si="439"/>
        <v>0</v>
      </c>
      <c r="CB302" s="45">
        <f t="shared" si="489"/>
        <v>9.0000000000000011E-2</v>
      </c>
      <c r="CC302" s="45">
        <f t="shared" si="490"/>
        <v>0</v>
      </c>
      <c r="CD302" s="45">
        <v>0</v>
      </c>
      <c r="CE302" s="45">
        <f>(AP302*BQ302)/Q302</f>
        <v>0</v>
      </c>
      <c r="CF302" s="45" t="str">
        <f>IF(BP302="NA","NA",BP302*CE302)</f>
        <v>NA</v>
      </c>
      <c r="CG302" s="45">
        <v>0</v>
      </c>
      <c r="CH302" s="244"/>
      <c r="CI302" s="244"/>
      <c r="CJ302" s="244"/>
      <c r="CK302" s="244"/>
      <c r="CM302" s="63">
        <v>0.16</v>
      </c>
    </row>
    <row r="303" spans="1:91" ht="18" hidden="1" customHeight="1">
      <c r="A303" s="260" t="s">
        <v>1996</v>
      </c>
      <c r="B303" s="260" t="s">
        <v>1997</v>
      </c>
      <c r="C303" s="260" t="s">
        <v>1828</v>
      </c>
      <c r="D303" s="260" t="s">
        <v>1988</v>
      </c>
      <c r="E303" s="260" t="s">
        <v>1989</v>
      </c>
      <c r="F303" s="260" t="s">
        <v>1990</v>
      </c>
      <c r="G303" s="260" t="s">
        <v>1991</v>
      </c>
      <c r="H303" s="260" t="s">
        <v>2002</v>
      </c>
      <c r="I303" s="260"/>
      <c r="J303" s="260"/>
      <c r="K303" s="260" t="s">
        <v>2003</v>
      </c>
      <c r="L303" s="260" t="s">
        <v>2004</v>
      </c>
      <c r="M303" s="260" t="s">
        <v>2005</v>
      </c>
      <c r="N303" s="260" t="s">
        <v>111</v>
      </c>
      <c r="O303" s="260" t="s">
        <v>112</v>
      </c>
      <c r="P303" s="10">
        <v>0</v>
      </c>
      <c r="Q303" s="11">
        <v>80</v>
      </c>
      <c r="R303" s="11">
        <f t="shared" si="481"/>
        <v>11</v>
      </c>
      <c r="S303" s="11" t="str">
        <f>VLOOKUP(K303,'1152 UAEGRD'!$K$13:$AK$21,9,0)</f>
        <v>Definición de agendas y rutas para el desarrollo de las primeras 60 jornadas de fortalecimiento de las capacidades de gestión de riesgo.
8 Mesas de trabajo llevadas a cabo con los directivos de la corporación Maloka para la planeación del evento. 
Comités técnicos y directivos para el cumplimiento de meta 
Asistencia y socialización de proyecto con los integrantes del consejo municipal de gestión de riesgo de desastres del proyecto “unidad móvil para la gestión del riesgo”, verificación del lugar de instalación y plan de trabajo. 
Visitas técnicas a seis municipios de la avanzada con un total de 106 personas relacionadas con el plan de trabajo en los municipios de Paratebueno, Medina, Ubalá, Guatavita, Guasca, Gachetá.
Se cuenta con cronograma de ejecución establecido para el cuarto trimestre del año 2021 y para la ejecución de toda la vigencia 2022. A la fecha se cuenta con un avance del 30% de la meta establecida para el actual año y pese a que no se pudo dar inicio a la ejecución desde el primer trimestre del año, si se programa cumplimiento total de la meta. 
Fortalecimiento de las capacidades para la gestión del riesgo mediante la unidad móvil con un total de 8.311 personas entre estudiantes, docentes, servidores públicos y comunidad en general, logrando llevar la unidad móvil a los municipios de Ubaté, Zipaquirá, Sopo, Tausa, Medina, Guatavita , Cajicá, Gobernación de Cundinamarca, Paratebueno, Gacheta y Guasca.</v>
      </c>
      <c r="T303" s="11">
        <v>0</v>
      </c>
      <c r="U303" s="11">
        <v>0</v>
      </c>
      <c r="V303" s="11">
        <v>0</v>
      </c>
      <c r="W303" s="11">
        <v>0</v>
      </c>
      <c r="X303" s="11">
        <v>0</v>
      </c>
      <c r="Y303" s="11">
        <v>0</v>
      </c>
      <c r="Z303" s="11">
        <v>0</v>
      </c>
      <c r="AA303" s="11"/>
      <c r="AB303" s="11"/>
      <c r="AC303" s="11"/>
      <c r="AD303" s="11">
        <v>0</v>
      </c>
      <c r="AE303" s="11">
        <v>0</v>
      </c>
      <c r="AF303" s="11">
        <f>VLOOKUP(K303,'1152 UAEGRD'!$K$13:$AK$21,22,0)</f>
        <v>11</v>
      </c>
      <c r="AG303" s="11">
        <f>VLOOKUP(K303,'1152 UAEGRD'!$K$13:$AK$21,23,0)</f>
        <v>0</v>
      </c>
      <c r="AH303" s="11">
        <f t="shared" si="482"/>
        <v>11</v>
      </c>
      <c r="AI303" s="11" t="str">
        <f>VLOOKUP(K303,'1152 UAEGRD'!$K$13:$AK$21,25,0)</f>
        <v xml:space="preserve">Para el mes de noviembre se llevaron a cabo 4 jornadas para el fortalecimiento de las capacidades de gestión de riesgo en los municipios de Ubate, Zipaquirá, Sopo y Tausa para un total de 2.675 personas capacitadas mediante las jornadas con la unidad móvil. De acuerdo con la gestión las jornadas se ejecutaron de la siguiente manera:
Municipio de Ubaté con 801 participantes
3 de noviembre - 215 personas
4 de noviembre - 494 personas
5 de noviembre - 92 personas
Municipio de Zipaquirá con 1.121 personas
9 de noviembre - 38 personas
10 de noviembre - 124 personas
11 de noviembre - 605 personas
12 de noviembre - 354 personas
Municipio de Sopo con 451 personas
17 de noviembre - 248 personas
18 de noviembre - 74 personas
19 de noviembre - 129 personas
Municipio de Tausa con 302 personas
24 de noviembre - 43 personas
25 de noviembre - 212 personas
26 de noviembre - 47 personas
</v>
      </c>
      <c r="AJ303" s="11" t="str">
        <f>VLOOKUP(K303,'1152 UAEGRD'!$K$13:$AK$21,26,0)</f>
        <v>Se ha logrado llevar a cabo las agendas de avanzada con los municipios que hacen parte de la primera fase de ejecución de capacitaciones para el fortalecimiento de las capacidades de gestión del riesgo. Se cuenta con cronograma de ejecución establecido para el cuarto trimestre del año 2021 y para la ejecución de toda la vigencia 2022. A la fecha se cuenta con un avance del 110%, se ha llevado a cabo el fortalecimiento de las capacidades para la gestión del riesgo mediante la unidad móvil con un total de 8.311 personas entre estudiantes, docentes, servidores públicos y comunidad en general, logrando llevar la unidad móvil a los municipios de Ubaté, Zipaquirá, Sopo, Tausa, Medina, Guatavita , Cajicá, Gobernación de Cundinamarca, Paratebueno, Gacheta y Guasca.</v>
      </c>
      <c r="AK303" s="11">
        <f>VLOOKUP(K303,'1152 UAEGRD'!$K$13:$AK$21,27,0)</f>
        <v>0</v>
      </c>
      <c r="AL303" s="11">
        <v>40</v>
      </c>
      <c r="AM303" s="11">
        <v>0</v>
      </c>
      <c r="AN303" s="11">
        <v>40</v>
      </c>
      <c r="AO303" s="11">
        <v>0</v>
      </c>
      <c r="AP303" s="11">
        <v>0</v>
      </c>
      <c r="AQ303" s="11">
        <v>0</v>
      </c>
      <c r="AR303" s="52"/>
      <c r="AS303" s="54">
        <v>0</v>
      </c>
      <c r="AT303" s="54">
        <f t="shared" si="434"/>
        <v>0</v>
      </c>
      <c r="AU303" s="52"/>
      <c r="AV303" s="243">
        <v>90000000</v>
      </c>
      <c r="AW303" s="244"/>
      <c r="AX303" s="244"/>
      <c r="AY303" s="243">
        <v>90000000</v>
      </c>
      <c r="AZ303" s="44">
        <f>R303/Q303</f>
        <v>0.13750000000000001</v>
      </c>
      <c r="BA303" s="44">
        <v>0</v>
      </c>
      <c r="BB303" s="44" t="s">
        <v>115</v>
      </c>
      <c r="BC303" s="306">
        <v>10</v>
      </c>
      <c r="BD303" s="44" t="str" cm="1">
        <f t="array" ref="BD303">_xlfn.IFS(AD303=0,"NA",AD303&gt;0,AH303/AD303)</f>
        <v>NA</v>
      </c>
      <c r="BE303" s="306">
        <v>40</v>
      </c>
      <c r="BF303" s="44">
        <v>0</v>
      </c>
      <c r="BG303" s="306">
        <v>30</v>
      </c>
      <c r="BH303" s="44">
        <v>0</v>
      </c>
      <c r="BI303" s="44">
        <f>AP303/Q303</f>
        <v>0</v>
      </c>
      <c r="BJ303" s="44" t="s">
        <v>115</v>
      </c>
      <c r="BK303" s="44">
        <f t="shared" si="435"/>
        <v>0.13750000000000001</v>
      </c>
      <c r="BL303" s="44" t="s">
        <v>115</v>
      </c>
      <c r="BM303" s="44" t="str" cm="1">
        <f t="array" ref="BM303">_xlfn.IFS(BD303="NA","NA",BD303&gt;100%,"100%",BD303&lt;100,BD303)</f>
        <v>NA</v>
      </c>
      <c r="BN303" s="44" cm="1">
        <f t="array" ref="BN303">_xlfn.IFS(BF303="NA","NA",BF303&gt;100%,"100%",BF303&lt;100,BF303)</f>
        <v>0</v>
      </c>
      <c r="BO303" s="44" cm="1">
        <f t="array" ref="BO303">_xlfn.IFS(BH303="NA","NA",BH303&gt;100%,"100%",BH303&lt;100,BH303)</f>
        <v>0</v>
      </c>
      <c r="BP303" s="44" t="str" cm="1">
        <f t="array" ref="BP303">_xlfn.IFS(BJ303="NA","NA",BJ303&gt;100%,"100%",BJ303&lt;100,BJ303)</f>
        <v>NA</v>
      </c>
      <c r="BQ303" s="45">
        <v>0.22500000000000001</v>
      </c>
      <c r="BR303" s="45">
        <f t="shared" si="436"/>
        <v>3.0937500000000003E-2</v>
      </c>
      <c r="BS303" s="45">
        <v>0</v>
      </c>
      <c r="BT303" s="45" t="s">
        <v>115</v>
      </c>
      <c r="BU303" s="45">
        <v>0</v>
      </c>
      <c r="BV303" s="45">
        <f t="shared" si="486"/>
        <v>0</v>
      </c>
      <c r="BW303" s="45" t="str">
        <f t="shared" si="448"/>
        <v>NA</v>
      </c>
      <c r="BX303" s="45">
        <f t="shared" si="449"/>
        <v>3.0937500000000003E-2</v>
      </c>
      <c r="BY303" s="45">
        <f t="shared" si="487"/>
        <v>0.1125</v>
      </c>
      <c r="BZ303" s="45">
        <f t="shared" si="488"/>
        <v>0</v>
      </c>
      <c r="CA303" s="45">
        <f t="shared" si="439"/>
        <v>0</v>
      </c>
      <c r="CB303" s="45">
        <f t="shared" si="489"/>
        <v>0.1125</v>
      </c>
      <c r="CC303" s="45">
        <f t="shared" si="490"/>
        <v>0</v>
      </c>
      <c r="CD303" s="45">
        <v>0</v>
      </c>
      <c r="CE303" s="45">
        <f>(AP303*BQ303)/Q303</f>
        <v>0</v>
      </c>
      <c r="CF303" s="45" t="str">
        <f>IF(BP303="NA","NA",BP303*CE303)</f>
        <v>NA</v>
      </c>
      <c r="CG303" s="45">
        <v>0</v>
      </c>
      <c r="CH303" s="244"/>
      <c r="CI303" s="244"/>
      <c r="CJ303" s="244"/>
      <c r="CK303" s="244"/>
      <c r="CM303" s="63">
        <v>0</v>
      </c>
    </row>
    <row r="304" spans="1:91" ht="18" hidden="1" customHeight="1">
      <c r="A304" s="260" t="s">
        <v>1996</v>
      </c>
      <c r="B304" s="260" t="s">
        <v>1997</v>
      </c>
      <c r="C304" s="260" t="s">
        <v>1828</v>
      </c>
      <c r="D304" s="260" t="s">
        <v>1988</v>
      </c>
      <c r="E304" s="260" t="s">
        <v>1989</v>
      </c>
      <c r="F304" s="260" t="s">
        <v>1990</v>
      </c>
      <c r="G304" s="260" t="s">
        <v>1991</v>
      </c>
      <c r="H304" s="260" t="s">
        <v>2006</v>
      </c>
      <c r="I304" s="260"/>
      <c r="J304" s="260"/>
      <c r="K304" s="260" t="s">
        <v>2007</v>
      </c>
      <c r="L304" s="260" t="s">
        <v>2008</v>
      </c>
      <c r="M304" s="260" t="s">
        <v>2009</v>
      </c>
      <c r="N304" s="260" t="s">
        <v>111</v>
      </c>
      <c r="O304" s="260" t="s">
        <v>124</v>
      </c>
      <c r="P304" s="10">
        <v>1</v>
      </c>
      <c r="Q304" s="11">
        <v>1</v>
      </c>
      <c r="R304" s="11">
        <f>(Z304+AH304)/CL304</f>
        <v>0.5</v>
      </c>
      <c r="S304" s="11" t="str">
        <f>VLOOKUP(K304,'1152 UAEGRD'!$K$13:$AK$21,9,0)</f>
        <v>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de igual manera, se ha realizado acompañamiento y asesoría a los municipios mediante las asistencias técnicas con el fin de fomentar el diseño e implementación de los planes municipales para la gestión del riesgo; asimismo, a la fecha se cuenta con la instalación del 100% de los comités provinciales para la gestión del riesgo.  Por otra parte, se ha implementado el plan padrino por parte de la UAEGRD con el fin de poder realizar asesoría y seguimiento a las necesidades y acciones de los municipios en el marco de la implementación de la política publica, el plan departamental y la estrategia departamental de respuesta. Finalmente, se cuenta con el plan de capacitación y plan de divulgación el cuals e ha ejecutado a partir de las asistencias técnicas mediante la implementación del plan padrino; asimismo, se ha logrado contar con el diagnostico de los instrumentos de planificación de los 116 municipios mediante la articulación entre la subdirección de conocimiento y manejo.</v>
      </c>
      <c r="T304" s="11">
        <v>0</v>
      </c>
      <c r="U304" s="11">
        <v>1</v>
      </c>
      <c r="V304" s="11">
        <v>0</v>
      </c>
      <c r="W304" s="11">
        <v>1</v>
      </c>
      <c r="X304" s="11" t="s">
        <v>115</v>
      </c>
      <c r="Y304" s="11">
        <v>1</v>
      </c>
      <c r="Z304" s="11">
        <v>1</v>
      </c>
      <c r="AA304" s="11" t="s">
        <v>2010</v>
      </c>
      <c r="AB304" s="11" t="s">
        <v>2011</v>
      </c>
      <c r="AC304" s="11" t="s">
        <v>2012</v>
      </c>
      <c r="AD304" s="11">
        <v>0</v>
      </c>
      <c r="AE304" s="11">
        <v>1</v>
      </c>
      <c r="AF304" s="11">
        <f>VLOOKUP(K304,'1152 UAEGRD'!$K$13:$AK$21,22,0)</f>
        <v>0</v>
      </c>
      <c r="AG304" s="11">
        <f>VLOOKUP(K304,'1152 UAEGRD'!$K$13:$AK$21,23,0)</f>
        <v>1</v>
      </c>
      <c r="AH304" s="11">
        <f>AG304</f>
        <v>1</v>
      </c>
      <c r="AI304" s="11" t="str">
        <f>VLOOKUP(K304,'1152 UAEGRD'!$K$13:$AK$21,25,0)</f>
        <v xml:space="preserve">* Se llevó a cabo contrato con EDURED con el fin de llevar a cabo la verificación de la implementación y cumplimiento del plan departamental y la politica publica en aras de formular la ruta requerida para la actaulización del plan departamental yla estrategia de respuesta. 
* Se realizó la formulación para llevar a cabo el encuentro de departamental de bomberos, defensa civil, cruz roja y los 116 coordinadores de gestión del riesgo de los municipios del departamento.
* Se realizaron 7 asistencias tecnicas para un total de 152 personas asistidas mediante 3 asistencias para un total de 24 personas asistidas de las alcaldias y consejos municipales para la gestión del riesgo; 3 capacitaciones para un total de 105 personas asistidas y un acompañamiento para un total de 23 personas. Los temas en los cuales se brindo asistencia cumplieron el objetivo de  Fortalecer los conceptos básicos de la gestión del riesgo mediante los instrumentos de planificaciòn de la politica pública; Orientar a los municipios frente al reconocimiento de las capacidades reales en factores de bioseguridad, psicosociales, logisticos, fisicos y preventivos e
Implementar el conocimiento frente al plan departamental y planes municipales  para la gestión del riesgo a partir de la socialización del marco normativo y legal.  </v>
      </c>
      <c r="AJ304" s="11" t="str">
        <f>VLOOKUP(K304,'1152 UAEGRD'!$K$13:$AK$21,26,0)</f>
        <v>Se ha fortalecido el conocimiento e implementación del plan departamental para la gestión del riesgo al igual que se ha promovido con los municipios mediante las asistencias, para que diseñen e implementen  sus planes municipales en el marco de la ejecución de la ordenanza 066 de 2018. Se cuenta con el plan de divulgación y respectivo cronograma el cual se ejecuta a través de las asistencias técnicas que realizan los funcionarios y contratistas. Se cuenta con la instalación del 100% de los comités provinciales para la gestión del riesgo; de igual manera, se cuenta con la elaboración de la ruta para la actualización del plan departamental para la gestión del riesgo.
Se cuenta con las matrices actualizadas de enlaces para la gestión del riesgo y los cuerpos oeprativos de los 116 municipios, asi mismo se cuenta con la matriz de inventario de planes municipales y estrategias municipales. finalmete, se ha logrado la articulación del sistema departamanetal para la gestión del riesgo a partir del eje de gobernanza el cual contara con un plan de capacitación y divulgaciób que se ejecutara en el mes de diciembre mediante 4 eventos macro con los coordinadores municipales y los cuerpos operativos.</v>
      </c>
      <c r="AK304" s="11" t="str">
        <f>VLOOKUP(K304,'1152 UAEGRD'!$K$13:$AK$21,27,0)</f>
        <v>En el primer semestre del año temas como el paro nacional y las emergencias por temporada de lluvias así como la emergencia por COVID-19 generaron que las acciones de capacitación y divulgación se vieran retrasadas.</v>
      </c>
      <c r="AL304" s="11">
        <v>0</v>
      </c>
      <c r="AM304" s="11">
        <v>1</v>
      </c>
      <c r="AN304" s="11">
        <v>0</v>
      </c>
      <c r="AO304" s="11">
        <v>1</v>
      </c>
      <c r="AP304" s="11">
        <v>0</v>
      </c>
      <c r="AQ304" s="11">
        <v>0</v>
      </c>
      <c r="AR304" s="52"/>
      <c r="AS304" s="54">
        <v>25000000</v>
      </c>
      <c r="AT304" s="54">
        <f t="shared" si="434"/>
        <v>25000000</v>
      </c>
      <c r="AU304" s="52"/>
      <c r="AV304" s="243">
        <v>207367933</v>
      </c>
      <c r="AW304" s="244"/>
      <c r="AX304" s="244"/>
      <c r="AY304" s="243">
        <v>204307942</v>
      </c>
      <c r="AZ304" s="44" cm="1">
        <f t="array" ref="AZ304">_xlfn.IFS((BA304=0),(BD304/CL304),(BA304&gt;0),((BB304+BD304)/CL304),(BE304&gt;0),((BB304+BD304+BE304)/CL304),(BG304&gt;0),((BB304+BD304+BE304+G304)/CL304))</f>
        <v>0.5</v>
      </c>
      <c r="BA304" s="44">
        <v>0.25</v>
      </c>
      <c r="BB304" s="44">
        <v>1</v>
      </c>
      <c r="BC304" s="44">
        <f>IF(AE304&gt;0,(1/CL304),0)</f>
        <v>0.25</v>
      </c>
      <c r="BD304" s="44" cm="1">
        <f t="array" ref="BD304">_xlfn.IFS(AE304=0,"NA",AE304&gt;0,AH304/AE304)</f>
        <v>1</v>
      </c>
      <c r="BE304" s="44">
        <f>IF(AM304&gt;0,(1/CL304),0)</f>
        <v>0.25</v>
      </c>
      <c r="BF304" s="44">
        <v>0</v>
      </c>
      <c r="BG304" s="44">
        <f>IF(AO304&gt;0,(1/CL304),0)</f>
        <v>0.25</v>
      </c>
      <c r="BH304" s="44">
        <v>0</v>
      </c>
      <c r="BI304" s="44">
        <v>0</v>
      </c>
      <c r="BJ304" s="44" t="s">
        <v>115</v>
      </c>
      <c r="BK304" s="44">
        <f t="shared" si="435"/>
        <v>0.5</v>
      </c>
      <c r="BL304" s="44">
        <v>1</v>
      </c>
      <c r="BM304" s="44" cm="1">
        <f t="array" ref="BM304">_xlfn.IFS(BD304="NA","NA",BD304&gt;100%,"100%",BD304&lt;100,BD304)</f>
        <v>1</v>
      </c>
      <c r="BN304" s="44">
        <v>0</v>
      </c>
      <c r="BO304" s="44">
        <v>0</v>
      </c>
      <c r="BP304" s="44" t="s">
        <v>115</v>
      </c>
      <c r="BQ304" s="45">
        <v>0.22500000000000001</v>
      </c>
      <c r="BR304" s="45">
        <f t="shared" si="436"/>
        <v>0.1125</v>
      </c>
      <c r="BS304" s="45">
        <v>5.6300000000000003E-2</v>
      </c>
      <c r="BT304" s="45">
        <v>5.6300000000000003E-2</v>
      </c>
      <c r="BU304" s="45">
        <v>5.6300000000000003E-2</v>
      </c>
      <c r="BV304" s="45">
        <v>5.6300000000000003E-2</v>
      </c>
      <c r="BW304" s="45">
        <f t="shared" si="448"/>
        <v>5.6300000000000003E-2</v>
      </c>
      <c r="BX304" s="45">
        <f t="shared" si="449"/>
        <v>5.62E-2</v>
      </c>
      <c r="BY304" s="45">
        <v>5.6300000000000003E-2</v>
      </c>
      <c r="BZ304" s="45">
        <v>0</v>
      </c>
      <c r="CA304" s="45">
        <f t="shared" si="439"/>
        <v>0</v>
      </c>
      <c r="CB304" s="45">
        <v>5.6300000000000003E-2</v>
      </c>
      <c r="CC304" s="45">
        <v>0</v>
      </c>
      <c r="CD304" s="45">
        <v>0</v>
      </c>
      <c r="CE304" s="45">
        <v>0</v>
      </c>
      <c r="CF304" s="45" t="s">
        <v>115</v>
      </c>
      <c r="CG304" s="45">
        <v>0</v>
      </c>
      <c r="CH304" s="244">
        <f>IF(W304&gt;0,1,0)</f>
        <v>1</v>
      </c>
      <c r="CI304" s="244">
        <f>IF(AE304&gt;0,1,0)</f>
        <v>1</v>
      </c>
      <c r="CJ304" s="244">
        <f>IF(AM304&gt;0,1,0)</f>
        <v>1</v>
      </c>
      <c r="CK304" s="244">
        <f>IF(AO304&gt;0,1,0)</f>
        <v>1</v>
      </c>
      <c r="CL304">
        <f>CH304+CI304+CJ304+CK304</f>
        <v>4</v>
      </c>
      <c r="CM304" s="63">
        <f>AVERAGE(Z304,AH304)</f>
        <v>1</v>
      </c>
    </row>
    <row r="305" spans="1:91" ht="18" hidden="1" customHeight="1">
      <c r="A305" s="260" t="s">
        <v>1302</v>
      </c>
      <c r="B305" s="260" t="s">
        <v>1303</v>
      </c>
      <c r="C305" s="260" t="s">
        <v>1828</v>
      </c>
      <c r="D305" s="260" t="s">
        <v>1988</v>
      </c>
      <c r="E305" s="260" t="s">
        <v>2013</v>
      </c>
      <c r="F305" s="260" t="s">
        <v>2014</v>
      </c>
      <c r="G305" s="260" t="s">
        <v>2015</v>
      </c>
      <c r="H305" s="260" t="s">
        <v>2016</v>
      </c>
      <c r="I305" s="260"/>
      <c r="J305" s="260"/>
      <c r="K305" s="260" t="s">
        <v>2017</v>
      </c>
      <c r="L305" s="260" t="s">
        <v>2018</v>
      </c>
      <c r="M305" s="260" t="s">
        <v>2019</v>
      </c>
      <c r="N305" s="260" t="s">
        <v>111</v>
      </c>
      <c r="O305" s="260" t="s">
        <v>112</v>
      </c>
      <c r="P305" s="10">
        <v>9467</v>
      </c>
      <c r="Q305" s="11">
        <v>14000</v>
      </c>
      <c r="R305" s="11">
        <f t="shared" ref="R305:R306" si="491">Z305+AH305</f>
        <v>13954</v>
      </c>
      <c r="S305" s="11" t="str">
        <f>VLOOKUP(K305,'1124 Agricultura'!$K$13:$AK$25,9,0)</f>
        <v>Se han beneficiado un total de 12.962 productores de los cuales en la vigencia 2020 se atendieron 7.562 productores que presentaron afectaciones agroclimáticas (sequias y heladas) de los cuales 7.162 de 60 municipios fueron con insumos y semillas para el fortalecimiento de los sistemas productivos agroalimentarios y 400 pequeños productores ganaderos de 4 municipios se beneficiaron con miel pura de caña. así mismo en la vigencia 2021 se han atendido 6.037 productores de 50 municipios que reportaron tambien afectaciones agroclimáticas y frente al seguro agropecuario se han podido beneficiar a 310 productores rurales</v>
      </c>
      <c r="T305" s="11">
        <v>1100</v>
      </c>
      <c r="U305" s="11">
        <v>0</v>
      </c>
      <c r="V305" s="11">
        <v>2500</v>
      </c>
      <c r="W305" s="11">
        <v>0</v>
      </c>
      <c r="X305" s="11">
        <v>7562</v>
      </c>
      <c r="Y305" s="11">
        <v>0</v>
      </c>
      <c r="Z305" s="11">
        <v>7562</v>
      </c>
      <c r="AA305" s="11" t="s">
        <v>2020</v>
      </c>
      <c r="AB305" s="11" t="s">
        <v>2021</v>
      </c>
      <c r="AC305" s="11">
        <v>0</v>
      </c>
      <c r="AD305" s="11">
        <v>5100</v>
      </c>
      <c r="AE305" s="11">
        <v>0</v>
      </c>
      <c r="AF305" s="11">
        <f>VLOOKUP(K305,'1124 Agricultura'!$K$13:$AK$25,22,0)</f>
        <v>6392</v>
      </c>
      <c r="AG305" s="11">
        <f>VLOOKUP(K305,'1124 Agricultura'!$K$13:$AK$25,23,0)</f>
        <v>0</v>
      </c>
      <c r="AH305" s="11">
        <f t="shared" ref="AH305:AH306" si="492">AF305</f>
        <v>6392</v>
      </c>
      <c r="AI305" s="11" t="str">
        <f>VLOOKUP(K305,'1124 Agricultura'!$K$13:$AK$25,25,0)</f>
        <v>Productores beneficiados con insumos y semillas frente afectaciones agroclimáticas</v>
      </c>
      <c r="AJ305" s="11" t="str">
        <f>VLOOKUP(K305,'1124 Agricultura'!$K$13:$AK$25,26,0)</f>
        <v xml:space="preserve">El Proceso de insumos y semillas se adjudicó el 2 de julio sin embargo el acta de inicio comenzó a partir del 23 de julio. A la fecha se han atendido a 6.082 productores que reportaron afectaciones agroclimáticas 51 municipios y se intervino  10 cadenas productivas (Papa, maíz, arveja, frijol, pastos para clima cálido y frio, nutrición ganadera, frutales  y hortalizas). 
Con respecto al tema de aseguramiento A la fecha se han beneficiado 310 productores rurales con un valor asegurado por la suma de $1.329.216.532, cuyo costo de la prima de seguro asciende a $272.376.404, de los cuales, a través del ISACUND se cubrieron $58.327.371. HDI y Proagro son las compañías aseguradoras con mayor participación en la cobertura del seguro agropecuario, otorgando estas pólizas a 191 hombres, 117 mujeres y 2 personas jurídicas. De esta población 301 fueron pequeños productores con una inversión de $50.623.191 con un valor asegurado de $1.203.701.532 y 9 medianos productores con una inversión de $7.704.180 con un valor asegurado de $125.515.000.
</v>
      </c>
      <c r="AK305" s="11">
        <f>VLOOKUP(K305,'1124 Agricultura'!$K$13:$AK$25,27,0)</f>
        <v>0</v>
      </c>
      <c r="AL305" s="11">
        <v>1000</v>
      </c>
      <c r="AM305" s="11">
        <v>0</v>
      </c>
      <c r="AN305" s="11">
        <v>338</v>
      </c>
      <c r="AO305" s="11">
        <v>0</v>
      </c>
      <c r="AP305" s="11">
        <v>0</v>
      </c>
      <c r="AQ305" s="11">
        <v>0</v>
      </c>
      <c r="AR305" s="51">
        <v>1537999918</v>
      </c>
      <c r="AS305" s="54">
        <v>0</v>
      </c>
      <c r="AT305" s="54">
        <f t="shared" si="434"/>
        <v>1537999918</v>
      </c>
      <c r="AU305" s="51">
        <v>1537999918</v>
      </c>
      <c r="AV305" s="243">
        <v>4120000000</v>
      </c>
      <c r="AW305" s="244"/>
      <c r="AX305" s="244"/>
      <c r="AY305" s="243">
        <v>3119999532</v>
      </c>
      <c r="AZ305" s="44">
        <f>R305/Q305</f>
        <v>0.99671428571428566</v>
      </c>
      <c r="BA305" s="44">
        <v>0.5</v>
      </c>
      <c r="BB305" s="44">
        <v>3.0247999999999999</v>
      </c>
      <c r="BC305" s="44">
        <f t="shared" ref="BC305:BC306" si="493">AD305/Q305</f>
        <v>0.36428571428571427</v>
      </c>
      <c r="BD305" s="44" cm="1">
        <f t="array" ref="BD305">_xlfn.IFS(AD305=0,"NA",AD305&gt;0,AH305/AD305)</f>
        <v>1.2533333333333334</v>
      </c>
      <c r="BE305" s="44">
        <f t="shared" ref="BE305:BE306" si="494">AL305/Q305</f>
        <v>7.1428571428571425E-2</v>
      </c>
      <c r="BF305" s="44">
        <v>0</v>
      </c>
      <c r="BG305" s="44">
        <f t="shared" ref="BG305:BG306" si="495">AN305/Q305</f>
        <v>2.4142857142857143E-2</v>
      </c>
      <c r="BH305" s="44">
        <v>0</v>
      </c>
      <c r="BI305" s="44">
        <f>AP305/Q305</f>
        <v>0</v>
      </c>
      <c r="BJ305" s="44" t="s">
        <v>115</v>
      </c>
      <c r="BK305" s="44">
        <f>IF(AZ305&gt;100%,"100%",AZ305)</f>
        <v>0.99671428571428566</v>
      </c>
      <c r="BL305" s="44">
        <v>1</v>
      </c>
      <c r="BM305" s="44" t="str" cm="1">
        <f t="array" ref="BM305">_xlfn.IFS(BD305="NA","NA",BD305&gt;100%,"100%",BD305&lt;100,BD305)</f>
        <v>100%</v>
      </c>
      <c r="BN305" s="44" cm="1">
        <f t="array" ref="BN305">_xlfn.IFS(BF305="NA","NA",BF305&gt;100%,"100%",BF305&lt;100,BF305)</f>
        <v>0</v>
      </c>
      <c r="BO305" s="44" cm="1">
        <f t="array" ref="BO305">_xlfn.IFS(BH305="NA","NA",BH305&gt;100%,"100%",BH305&lt;100,BH305)</f>
        <v>0</v>
      </c>
      <c r="BP305" s="44" t="str" cm="1">
        <f t="array" ref="BP305">_xlfn.IFS(BJ305="NA","NA",BJ305&gt;100%,"100%",BJ305&lt;100,BJ305)</f>
        <v>NA</v>
      </c>
      <c r="BQ305" s="45">
        <v>0.22500000000000001</v>
      </c>
      <c r="BR305" s="45">
        <f t="shared" si="436"/>
        <v>0.22426071428571429</v>
      </c>
      <c r="BS305" s="45">
        <v>0.1125</v>
      </c>
      <c r="BT305" s="45">
        <v>0.1125</v>
      </c>
      <c r="BU305" s="262">
        <v>0.1215</v>
      </c>
      <c r="BV305" s="45">
        <f t="shared" ref="BV305:BV306" si="496">(AD305*BQ305)/Q305</f>
        <v>8.1964285714285712E-2</v>
      </c>
      <c r="BW305" s="45">
        <f t="shared" si="448"/>
        <v>8.1964285714285712E-2</v>
      </c>
      <c r="BX305" s="45">
        <f t="shared" si="449"/>
        <v>0.10276071428571429</v>
      </c>
      <c r="BY305" s="45">
        <f t="shared" ref="BY305:BY306" si="497">(AL305*BQ305)/Q305</f>
        <v>1.607142857142857E-2</v>
      </c>
      <c r="BZ305" s="45">
        <f t="shared" ref="BZ305:BZ306" si="498">IF(BN305="NA","NA",BN305*BY305)</f>
        <v>0</v>
      </c>
      <c r="CA305" s="45">
        <f t="shared" si="439"/>
        <v>0</v>
      </c>
      <c r="CB305" s="45">
        <f t="shared" ref="CB305:CB306" si="499">(AN305*BQ305)/Q305</f>
        <v>5.4321428571428567E-3</v>
      </c>
      <c r="CC305" s="45">
        <f t="shared" ref="CC305:CC306" si="500">IF(BO305="NA","NA",BO305*CB305)</f>
        <v>0</v>
      </c>
      <c r="CD305" s="45">
        <v>0</v>
      </c>
      <c r="CE305" s="45">
        <f>(AP305*BQ305)/Q305</f>
        <v>0</v>
      </c>
      <c r="CF305" s="45" t="str">
        <f>IF(BP305="NA","NA",BP305*CE305)</f>
        <v>NA</v>
      </c>
      <c r="CG305" s="45">
        <v>0</v>
      </c>
      <c r="CH305" s="244"/>
      <c r="CI305" s="244"/>
      <c r="CJ305" s="244"/>
      <c r="CK305" s="244"/>
      <c r="CM305" s="63">
        <v>12631</v>
      </c>
    </row>
    <row r="306" spans="1:91" ht="18" hidden="1" customHeight="1">
      <c r="A306" s="260" t="s">
        <v>1996</v>
      </c>
      <c r="B306" s="260" t="s">
        <v>1997</v>
      </c>
      <c r="C306" s="260" t="s">
        <v>1828</v>
      </c>
      <c r="D306" s="260" t="s">
        <v>1988</v>
      </c>
      <c r="E306" s="260" t="s">
        <v>2013</v>
      </c>
      <c r="F306" s="260" t="s">
        <v>2014</v>
      </c>
      <c r="G306" s="260" t="s">
        <v>2015</v>
      </c>
      <c r="H306" s="260" t="s">
        <v>2022</v>
      </c>
      <c r="I306" s="260"/>
      <c r="J306" s="260"/>
      <c r="K306" s="260" t="s">
        <v>2023</v>
      </c>
      <c r="L306" s="260" t="s">
        <v>2024</v>
      </c>
      <c r="M306" s="260" t="s">
        <v>2025</v>
      </c>
      <c r="N306" s="260" t="s">
        <v>111</v>
      </c>
      <c r="O306" s="260" t="s">
        <v>112</v>
      </c>
      <c r="P306" s="10">
        <v>1</v>
      </c>
      <c r="Q306" s="11">
        <v>1</v>
      </c>
      <c r="R306" s="11">
        <f t="shared" si="491"/>
        <v>0.48</v>
      </c>
      <c r="S306" s="11" t="str">
        <f>VLOOKUP(K306,'1152 UAEGRD'!$K$13:$AK$21,9,0)</f>
        <v xml:space="preserve">* 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 Se ha realizado acompañamiento y asesoría a los municipios mediante las asistencias técnicas con el fin de fomentar el diseño e implementación de la estrategia municipal para larespuesta aemergencias. 
*Se formularon protocolos para orientar a los municipios frente a la ruta para declarar emergencias y fortalecer el sistema de alertas tempranas. 
* Se ha implementado el plan padrino por parte de la UAEGRD con el fin de poder realizar asesoría y seguimiento a las necesidades y acciones de los municipios en el marco de la implementación de la política publica, el plan departamental y la estrategia departamental de respuesta. 
*Se cuenta con el plan de capacitación y plan de divulgación de la estrategia departamental de respuesta a emergencias. </v>
      </c>
      <c r="T306" s="11">
        <v>0.25</v>
      </c>
      <c r="U306" s="11">
        <v>0</v>
      </c>
      <c r="V306" s="11">
        <v>0.25</v>
      </c>
      <c r="W306" s="11">
        <v>0</v>
      </c>
      <c r="X306" s="11">
        <v>0.25</v>
      </c>
      <c r="Y306" s="11">
        <v>0</v>
      </c>
      <c r="Z306" s="11">
        <v>0.25</v>
      </c>
      <c r="AA306" s="11" t="s">
        <v>2026</v>
      </c>
      <c r="AB306" s="11" t="s">
        <v>2027</v>
      </c>
      <c r="AC306" s="11" t="s">
        <v>2012</v>
      </c>
      <c r="AD306" s="11">
        <v>0.25</v>
      </c>
      <c r="AE306" s="11">
        <v>0</v>
      </c>
      <c r="AF306" s="11">
        <f>VLOOKUP(K306,'1152 UAEGRD'!$K$13:$AK$21,22,0)</f>
        <v>0.23</v>
      </c>
      <c r="AG306" s="11">
        <f>VLOOKUP(K306,'1152 UAEGRD'!$K$13:$AK$21,23,0)</f>
        <v>0</v>
      </c>
      <c r="AH306" s="11">
        <f t="shared" si="492"/>
        <v>0.23</v>
      </c>
      <c r="AI306" s="11" t="str">
        <f>VLOOKUP(K306,'1152 UAEGRD'!$K$13:$AK$21,25,0)</f>
        <v xml:space="preserve">Para el mes de noviembre se realizaron 10 asistencias técnicas en los municipios de  Fusagasugá, Soacha, Arbelaez,Tibacuy, Cabrera, Venecia, Gacheta, Simijaca, Fúquene, Cucunuba, Ubaté, Beltrán, Zipaquirá, Caparrapí, Cáqueza, Tocancipá, Cajicá y Guaduas, mediante cuatro capacitaciones, cinco asesorías y dos acompañamientos para un total de 635 personas asistidas de los consejos municipales para la gestión del riesgo, funcionarios de las alcaldías, instituciones educativas, empresas de servicios públicos, juntas de acción comunal y población en general en relación con:
* Niveles de emergencia  1 asesorías para un total de 10 personas asistidas.
* Instrumentos legales y normativos de la estrategia departamental y estrategia municipal de respuesta a emergencias. 1 capacitación y una asesoría para un total de 13 personas.
* Articulación de los planes comunitarios. 2 capacitaciones y 1 asesoría para un total de 305 personas. 
3. Protocolos de acción para eventos de emergencia. 2 asesorías, 1 capacitación, 1 acompañamiento para un total de 37 personas
De igual manera se llevo a cabo diagnostico de los municipios frente a la formulación de la estrategia municipal de respuesta la cual a la fecha presenta un avance de 43 municipios con estrategia. De igual manera, se ha brindado acompañamiento a todos los municipios frente a la implementación de la política, el plan y la estrategia municipal de respuesta con el fin de llevar a cabo la articulación del sistema departamental.
Se llevó a cabo un convenio con FONDECUN con el fin de formular la ejecución de los eventos de divulgación y capacitación de los cuerpos operativos del departamento y los coordinadores municipales para la gestión del riesgo. De igual manera se formulo estrategia para la temporada de diciembre con el fin de disminuir los riesgos por majeo de pólvora. 
</v>
      </c>
      <c r="AJ306" s="11" t="str">
        <f>VLOOKUP(K306,'1152 UAEGRD'!$K$13:$AK$21,26,0)</f>
        <v>Fortalecimiento a los municipios frente a la implementación de la estrategia departamental de respuesta mediante las asistencias técnicas a los miembros que conforman el sistema municipal para la gestión del riesgo. Acompañamiento a los municipios que han decretado alertas con motivo a emergencias naturales y/o antrópicos, así como a los que requieren asesoría frente a la implementación de la estrategia de respuesta lo cual se ha fortalecido mediante la implementación del plan padrino por parte de la UAEGRD y la actualización del plan de asistencia técnica.</v>
      </c>
      <c r="AK306" s="11" t="str">
        <f>VLOOKUP(K306,'1152 UAEGRD'!$K$13:$AK$21,27,0)</f>
        <v>La temporada de lluvias genero el incremento de emergencias y activo en mayor medida las solicitudes por ayudas humanitarias, lo cual conlleva a que se deban atender muchas solicitudes de asesoría y asistencia por parte de los municipios con el fin llevar a cabo el debido proceso estipulado en la política y  la estrategia, esto genera a su vez la modificación en el cronograma del plan de capacitación y divulgación, tema que también es afectado por la emergencia que aún se presenta por COVID-19. Para el mes de agosto se vio afectada la gestión dada la emergencia en el municipio de Guayabetal que genero que el recurso humano de la unidad se concentrara en las acciones de acompañamiento al municipio tanto en la entrega de ayuda humanitarias como en el apoyo psicosocial de la población afectada.</v>
      </c>
      <c r="AL306" s="11">
        <v>0.25</v>
      </c>
      <c r="AM306" s="11">
        <v>0</v>
      </c>
      <c r="AN306" s="11">
        <v>0.25</v>
      </c>
      <c r="AO306" s="11">
        <v>0</v>
      </c>
      <c r="AP306" s="11">
        <v>0</v>
      </c>
      <c r="AQ306" s="11">
        <v>0</v>
      </c>
      <c r="AR306" s="52"/>
      <c r="AS306" s="54">
        <v>25000000</v>
      </c>
      <c r="AT306" s="54">
        <f t="shared" si="434"/>
        <v>25000000</v>
      </c>
      <c r="AU306" s="52"/>
      <c r="AV306" s="243">
        <v>3987253664</v>
      </c>
      <c r="AW306" s="244"/>
      <c r="AX306" s="244"/>
      <c r="AY306" s="243">
        <v>321929846</v>
      </c>
      <c r="AZ306" s="44">
        <f>R306/Q306</f>
        <v>0.48</v>
      </c>
      <c r="BA306" s="44">
        <v>0.25</v>
      </c>
      <c r="BB306" s="44">
        <v>1</v>
      </c>
      <c r="BC306" s="44">
        <f t="shared" si="493"/>
        <v>0.25</v>
      </c>
      <c r="BD306" s="44" cm="1">
        <f t="array" ref="BD306">_xlfn.IFS(AD306=0,"NA",AD306&gt;0,AH306/AD306)</f>
        <v>0.92</v>
      </c>
      <c r="BE306" s="44">
        <f t="shared" si="494"/>
        <v>0.25</v>
      </c>
      <c r="BF306" s="44">
        <v>0</v>
      </c>
      <c r="BG306" s="44">
        <f t="shared" si="495"/>
        <v>0.25</v>
      </c>
      <c r="BH306" s="44">
        <v>0</v>
      </c>
      <c r="BI306" s="44">
        <f>AP306/Q306</f>
        <v>0</v>
      </c>
      <c r="BJ306" s="44" t="s">
        <v>115</v>
      </c>
      <c r="BK306" s="44">
        <f t="shared" si="435"/>
        <v>0.48</v>
      </c>
      <c r="BL306" s="44">
        <v>1</v>
      </c>
      <c r="BM306" s="44" cm="1">
        <f t="array" ref="BM306">_xlfn.IFS(BD306="NA","NA",BD306&gt;100%,"100%",BD306&lt;100,BD306)</f>
        <v>0.92</v>
      </c>
      <c r="BN306" s="44" cm="1">
        <f t="array" ref="BN306">_xlfn.IFS(BF306="NA","NA",BF306&gt;100%,"100%",BF306&lt;100,BF306)</f>
        <v>0</v>
      </c>
      <c r="BO306" s="44" cm="1">
        <f t="array" ref="BO306">_xlfn.IFS(BH306="NA","NA",BH306&gt;100%,"100%",BH306&lt;100,BH306)</f>
        <v>0</v>
      </c>
      <c r="BP306" s="44" t="str" cm="1">
        <f t="array" ref="BP306">_xlfn.IFS(BJ306="NA","NA",BJ306&gt;100%,"100%",BJ306&lt;100,BJ306)</f>
        <v>NA</v>
      </c>
      <c r="BQ306" s="45">
        <v>0.22500000000000001</v>
      </c>
      <c r="BR306" s="45">
        <f t="shared" si="436"/>
        <v>0.108</v>
      </c>
      <c r="BS306" s="45">
        <v>5.6300000000000003E-2</v>
      </c>
      <c r="BT306" s="45">
        <v>5.6300000000000003E-2</v>
      </c>
      <c r="BU306" s="45">
        <v>5.6300000000000003E-2</v>
      </c>
      <c r="BV306" s="45">
        <f t="shared" si="496"/>
        <v>5.6250000000000001E-2</v>
      </c>
      <c r="BW306" s="45">
        <f t="shared" si="448"/>
        <v>5.1750000000000004E-2</v>
      </c>
      <c r="BX306" s="45">
        <f t="shared" si="449"/>
        <v>5.1699999999999996E-2</v>
      </c>
      <c r="BY306" s="45">
        <f t="shared" si="497"/>
        <v>5.6250000000000001E-2</v>
      </c>
      <c r="BZ306" s="45">
        <f t="shared" si="498"/>
        <v>0</v>
      </c>
      <c r="CA306" s="45">
        <f t="shared" si="439"/>
        <v>0</v>
      </c>
      <c r="CB306" s="45">
        <f t="shared" si="499"/>
        <v>5.6250000000000001E-2</v>
      </c>
      <c r="CC306" s="45">
        <f t="shared" si="500"/>
        <v>0</v>
      </c>
      <c r="CD306" s="45">
        <v>0</v>
      </c>
      <c r="CE306" s="45">
        <f>(AP306*BQ306)/Q306</f>
        <v>0</v>
      </c>
      <c r="CF306" s="45" t="str">
        <f>IF(BP306="NA","NA",BP306*CE306)</f>
        <v>NA</v>
      </c>
      <c r="CG306" s="45">
        <v>0</v>
      </c>
      <c r="CH306" s="244"/>
      <c r="CI306" s="244"/>
      <c r="CJ306" s="244"/>
      <c r="CK306" s="244"/>
      <c r="CM306" s="63">
        <v>0.43</v>
      </c>
    </row>
    <row r="307" spans="1:91" ht="18" hidden="1" customHeight="1">
      <c r="A307" s="260" t="s">
        <v>1996</v>
      </c>
      <c r="B307" s="260" t="s">
        <v>1997</v>
      </c>
      <c r="C307" s="260" t="s">
        <v>1828</v>
      </c>
      <c r="D307" s="260" t="s">
        <v>1988</v>
      </c>
      <c r="E307" s="260" t="s">
        <v>2013</v>
      </c>
      <c r="F307" s="260" t="s">
        <v>2014</v>
      </c>
      <c r="G307" s="260" t="s">
        <v>2015</v>
      </c>
      <c r="H307" s="260" t="s">
        <v>2028</v>
      </c>
      <c r="I307" s="260"/>
      <c r="J307" s="260"/>
      <c r="K307" s="260" t="s">
        <v>2029</v>
      </c>
      <c r="L307" s="260" t="s">
        <v>2030</v>
      </c>
      <c r="M307" s="260" t="s">
        <v>2031</v>
      </c>
      <c r="N307" s="260" t="s">
        <v>123</v>
      </c>
      <c r="O307" s="260" t="s">
        <v>124</v>
      </c>
      <c r="P307" s="10">
        <v>50</v>
      </c>
      <c r="Q307" s="11">
        <v>100</v>
      </c>
      <c r="R307" s="99">
        <f>(100+AH307)/CL307</f>
        <v>50</v>
      </c>
      <c r="S307" s="11" t="str">
        <f>VLOOKUP(K307,'1152 UAEGRD'!$K$13:$AK$21,9,0)</f>
        <v xml:space="preserve">Se ha logrado atender el 100% de las solicitudes que realizan los municipios con el fin de llevar a cabo mediante las visitas y asistencias oculares, la formulación de acciones correctivas y prospectivas que permitan la disminución del riesgo y la incorporación de los escenarios identificados  en los instrumentos de planificación en el municipio. Actualmente se viene ejecutando el proyecto de obras de construcción para quebradanegra con el fin de disminuir el riesgo al que se expone la comunidad; proyecto que, se formula bajo la implementación del eje estratégico de gobernanza estipulado en la política pública departamental para la gestión del riesgo. </v>
      </c>
      <c r="T307" s="11">
        <v>0</v>
      </c>
      <c r="U307" s="11">
        <v>0</v>
      </c>
      <c r="V307" s="11">
        <v>2</v>
      </c>
      <c r="W307" s="11">
        <v>0</v>
      </c>
      <c r="X307" s="11">
        <v>2</v>
      </c>
      <c r="Y307" s="11">
        <v>0</v>
      </c>
      <c r="Z307" s="11">
        <v>2</v>
      </c>
      <c r="AA307" s="11" t="s">
        <v>2032</v>
      </c>
      <c r="AB307" s="11" t="s">
        <v>2033</v>
      </c>
      <c r="AC307" s="11">
        <v>0</v>
      </c>
      <c r="AD307" s="11">
        <v>0</v>
      </c>
      <c r="AE307" s="99">
        <v>8</v>
      </c>
      <c r="AF307" s="11">
        <f>VLOOKUP(K307,'1152 UAEGRD'!$K$13:$AK$21,22,0)</f>
        <v>0</v>
      </c>
      <c r="AG307" s="11">
        <f>VLOOKUP(K307,'1152 UAEGRD'!$K$13:$AK$21,23,0)</f>
        <v>100</v>
      </c>
      <c r="AH307" s="11">
        <f>AG307</f>
        <v>100</v>
      </c>
      <c r="AI307" s="11" t="str">
        <f>VLOOKUP(K307,'1152 UAEGRD'!$K$13:$AK$21,25,0)</f>
        <v>Se realizó visita técnica e inspección ocular en 22 escenarios de riesgo identificados en 22 municipios por solicitud de los mismos (Albán, Bituima, Cabrera, Caparrapí, Choachí, Guayabetal, La mesa, la palma, Madrid, Nilo, Puerto Salgar, San Juan de Rioseco, Supatá, Susa, Tena, Topaipi, Ubalá, Venecia, Vergara,  Villa Gomez, Villa Pinzon y Villeta ), con el fin de formular las recomendaciones respectivas para las acciones de mitigación por parte de los municipios y entidades competentes.</v>
      </c>
      <c r="AJ307" s="11" t="str">
        <f>VLOOKUP(K307,'1152 UAEGRD'!$K$13:$AK$21,26,0)</f>
        <v>Se llevó a cabo informe técnico con las respectivas recomendaciones para los consejos municipales para la gestión del riesgo de acuerdo con la ejecución de 150 asistencias por parte del equipo de reducción del riesgo, atendiendo el 100% de solicitudes de los municipios del Departamento. Se realizó la respectiva recomendación para la incorporación de los escenarios de riesgo en los instrumentos de planificación de los municipios lo cual permite a su vez consolidar la base de datos de los escenarios de riesgo y amenazas del departamento conforme los estipula las metas de Bienestar del programa ruta de la gestión del riesgo.</v>
      </c>
      <c r="AK307" s="11">
        <f>VLOOKUP(K307,'1152 UAEGRD'!$K$13:$AK$21,27,0)</f>
        <v>0</v>
      </c>
      <c r="AL307" s="11">
        <v>0</v>
      </c>
      <c r="AM307" s="99">
        <v>30</v>
      </c>
      <c r="AN307" s="11">
        <v>0</v>
      </c>
      <c r="AO307" s="99">
        <v>40</v>
      </c>
      <c r="AP307" s="11">
        <v>0</v>
      </c>
      <c r="AQ307" s="11">
        <v>0</v>
      </c>
      <c r="AR307" s="51">
        <v>32000000</v>
      </c>
      <c r="AS307" s="54">
        <v>0</v>
      </c>
      <c r="AT307" s="54">
        <f t="shared" si="434"/>
        <v>32000000</v>
      </c>
      <c r="AU307" s="51">
        <v>29503333</v>
      </c>
      <c r="AV307" s="243">
        <v>36859336194</v>
      </c>
      <c r="AW307" s="244"/>
      <c r="AX307" s="244"/>
      <c r="AY307" s="243">
        <v>29552722426</v>
      </c>
      <c r="AZ307" s="44" cm="1">
        <f t="array" ref="AZ307">_xlfn.IFS((BA307=0),(BD307/CL307),(BA307&gt;0),((BB307+BD307)/CL307),(BE307&gt;0),((BB307+BD307+BE307)/CL307),(BG307&gt;0),((BB307+BD307+BE307+G307)/CL307))</f>
        <v>3.375</v>
      </c>
      <c r="BA307" s="102">
        <v>0.25</v>
      </c>
      <c r="BB307" s="44">
        <v>1</v>
      </c>
      <c r="BC307" s="44">
        <v>1</v>
      </c>
      <c r="BD307" s="44" cm="1">
        <f t="array" ref="BD307">_xlfn.IFS(AE307=0,"NA",AE307&gt;0,AH307/AE307)</f>
        <v>12.5</v>
      </c>
      <c r="BE307" s="44">
        <v>1</v>
      </c>
      <c r="BF307" s="44">
        <v>0</v>
      </c>
      <c r="BG307" s="44">
        <v>1</v>
      </c>
      <c r="BH307" s="44">
        <v>0</v>
      </c>
      <c r="BI307" s="44">
        <f>AP307/Q307</f>
        <v>0</v>
      </c>
      <c r="BJ307" s="44" t="s">
        <v>115</v>
      </c>
      <c r="BK307" s="44" t="str">
        <f t="shared" si="435"/>
        <v>100%</v>
      </c>
      <c r="BL307" s="44">
        <v>1</v>
      </c>
      <c r="BM307" s="44" t="str" cm="1">
        <f t="array" ref="BM307">_xlfn.IFS(BD307="NA","NA",BD307&gt;100%,"100%",BD307&lt;100,BD307)</f>
        <v>100%</v>
      </c>
      <c r="BN307" s="44" cm="1">
        <f t="array" ref="BN307">_xlfn.IFS(BF307="NA","NA",BF307&gt;100%,"100%",BF307&lt;100,BF307)</f>
        <v>0</v>
      </c>
      <c r="BO307" s="44" cm="1">
        <f t="array" ref="BO307">_xlfn.IFS(BH307="NA","NA",BH307&gt;100%,"100%",BH307&lt;100,BH307)</f>
        <v>0</v>
      </c>
      <c r="BP307" s="44" t="str" cm="1">
        <f t="array" ref="BP307">_xlfn.IFS(BJ307="NA","NA",BJ307&gt;100%,"100%",BJ307&lt;100,BJ307)</f>
        <v>NA</v>
      </c>
      <c r="BQ307" s="45">
        <v>0.22500000000000001</v>
      </c>
      <c r="BR307" s="45">
        <f t="shared" si="436"/>
        <v>0.22500000000000001</v>
      </c>
      <c r="BS307" s="256">
        <v>5.5999999999999999E-3</v>
      </c>
      <c r="BT307" s="45">
        <v>5.5999999999999999E-3</v>
      </c>
      <c r="BU307" s="45">
        <v>5.5999999999999999E-3</v>
      </c>
      <c r="BV307" s="256">
        <v>7.3200000000000001E-2</v>
      </c>
      <c r="BW307" s="45">
        <f t="shared" si="448"/>
        <v>7.3200000000000001E-2</v>
      </c>
      <c r="BX307" s="45">
        <f t="shared" si="449"/>
        <v>0.21940000000000001</v>
      </c>
      <c r="BY307" s="256">
        <v>7.3099999999999998E-2</v>
      </c>
      <c r="BZ307" s="45">
        <f>IF(BN307="NA","NA",BN307*BY307)</f>
        <v>0</v>
      </c>
      <c r="CA307" s="45">
        <f t="shared" si="439"/>
        <v>0</v>
      </c>
      <c r="CB307" s="256">
        <v>7.3099999999999998E-2</v>
      </c>
      <c r="CC307" s="45">
        <f>IF(BO307="NA","NA",BO307*CB307)</f>
        <v>0</v>
      </c>
      <c r="CD307" s="45">
        <v>0</v>
      </c>
      <c r="CE307" s="45">
        <f>(AP307*BQ307)/Q307</f>
        <v>0</v>
      </c>
      <c r="CF307" s="45" t="str">
        <f>IF(BP307="NA","NA",BP307*CE307)</f>
        <v>NA</v>
      </c>
      <c r="CG307" s="45">
        <v>0</v>
      </c>
      <c r="CH307" s="244">
        <v>1</v>
      </c>
      <c r="CI307" s="244">
        <f t="shared" ref="CI307:CI308" si="501">IF(AE307&gt;0,1,0)</f>
        <v>1</v>
      </c>
      <c r="CJ307" s="244">
        <f t="shared" ref="CJ307:CJ308" si="502">IF(AM307&gt;0,1,0)</f>
        <v>1</v>
      </c>
      <c r="CK307" s="244">
        <f t="shared" ref="CK307:CK308" si="503">IF(AO307&gt;0,1,0)</f>
        <v>1</v>
      </c>
      <c r="CL307">
        <f t="shared" ref="CL307:CL308" si="504">CH307+CI307+CJ307+CK307</f>
        <v>4</v>
      </c>
      <c r="CM307" s="63">
        <f t="shared" ref="CM307:CM308" si="505">AVERAGE(Z307,AH307)</f>
        <v>51</v>
      </c>
    </row>
    <row r="308" spans="1:91" ht="30.75" hidden="1" customHeight="1">
      <c r="A308" s="260" t="s">
        <v>1387</v>
      </c>
      <c r="B308" s="260" t="s">
        <v>1388</v>
      </c>
      <c r="C308" s="260" t="s">
        <v>1828</v>
      </c>
      <c r="D308" s="260" t="s">
        <v>1988</v>
      </c>
      <c r="E308" s="260" t="s">
        <v>2034</v>
      </c>
      <c r="F308" s="260" t="s">
        <v>2035</v>
      </c>
      <c r="G308" s="260" t="s">
        <v>2036</v>
      </c>
      <c r="H308" s="260" t="s">
        <v>2037</v>
      </c>
      <c r="I308" s="260"/>
      <c r="J308" s="260"/>
      <c r="K308" s="260" t="s">
        <v>2038</v>
      </c>
      <c r="L308" s="12" t="s">
        <v>2039</v>
      </c>
      <c r="M308" s="260" t="s">
        <v>2040</v>
      </c>
      <c r="N308" s="260" t="s">
        <v>123</v>
      </c>
      <c r="O308" s="260" t="s">
        <v>124</v>
      </c>
      <c r="P308" s="10">
        <v>100</v>
      </c>
      <c r="Q308" s="11">
        <v>100</v>
      </c>
      <c r="R308" s="11">
        <f>(Z308+AH308)/CL308</f>
        <v>50</v>
      </c>
      <c r="S308" s="11">
        <f>VLOOKUP(K308,'1285 EPC'!$K$13:$AK$35,9,0)</f>
        <v>0</v>
      </c>
      <c r="T308" s="11">
        <v>0</v>
      </c>
      <c r="U308" s="11">
        <v>100</v>
      </c>
      <c r="V308" s="11">
        <v>0</v>
      </c>
      <c r="W308" s="11">
        <v>100</v>
      </c>
      <c r="X308" s="11" t="s">
        <v>115</v>
      </c>
      <c r="Y308" s="11">
        <v>100</v>
      </c>
      <c r="Z308" s="11">
        <v>100</v>
      </c>
      <c r="AA308" s="11" t="s">
        <v>2041</v>
      </c>
      <c r="AB308" s="11" t="s">
        <v>2042</v>
      </c>
      <c r="AC308" s="11">
        <v>0</v>
      </c>
      <c r="AD308" s="11">
        <v>0</v>
      </c>
      <c r="AE308" s="11">
        <v>100</v>
      </c>
      <c r="AF308" s="11">
        <f>VLOOKUP(K308,'1285 EPC'!$K$13:$AK$35,22,0)</f>
        <v>0</v>
      </c>
      <c r="AG308" s="11">
        <f>VLOOKUP(K308,'1285 EPC'!$K$13:$AK$35,23,0)</f>
        <v>100</v>
      </c>
      <c r="AH308" s="11">
        <f t="shared" ref="AH308" si="506">AG308</f>
        <v>100</v>
      </c>
      <c r="AI308" s="11" t="str">
        <f>VLOOKUP(K308,'1285 EPC'!$K$13:$AK$35,25,0)</f>
        <v>Servicio de atención de emergencias con carrotanque y con equipo presión succión</v>
      </c>
      <c r="AJ308" s="11" t="str">
        <f>VLOOKUP(K308,'1285 EPC'!$K$13:$AK$35,26,0)</f>
        <v>Se realizó 214 atenciones con carrotanque por desabastecimiento de agua potable, para un total de 648 días de operación; 182 atenciones con equipos succión presión por taponamientos y colmataciones en las redes de alcantarillado, para un total de 502 días de operación. Se entregaron 37 obras de rehabilitación de infraestructura en 23 municipios: Granada, Sasaima, Manta, Cachipay, Ubaque, Alban, Villeta, y Viotá, Sibaté, San Antonio del Tequendama, Yacopí, Vergara, Caparrapí y Chocontá, Tibirita, Guataquí, Beltrán El Peñón y Chipaque, Ubalá, Subachoque, Suesca, Nariño. y 2 inspecciones de redes en los municipios de Nocaima y Villapinzón</v>
      </c>
      <c r="AK308" s="11" t="str">
        <f>VLOOKUP(K308,'1285 EPC'!$K$13:$AK$35,27,0)</f>
        <v> </v>
      </c>
      <c r="AL308" s="11">
        <v>0</v>
      </c>
      <c r="AM308" s="11">
        <v>100</v>
      </c>
      <c r="AN308" s="11">
        <v>0</v>
      </c>
      <c r="AO308" s="11">
        <v>100</v>
      </c>
      <c r="AP308" s="11">
        <v>0</v>
      </c>
      <c r="AQ308" s="11">
        <v>0</v>
      </c>
      <c r="AR308" s="52"/>
      <c r="AS308" s="54">
        <v>5371670592</v>
      </c>
      <c r="AT308" s="54">
        <f t="shared" si="434"/>
        <v>5371670592</v>
      </c>
      <c r="AU308" s="52"/>
      <c r="AV308" s="243">
        <v>6267292352</v>
      </c>
      <c r="AW308" s="244"/>
      <c r="AX308" s="244"/>
      <c r="AY308" s="243">
        <v>2973866504</v>
      </c>
      <c r="AZ308" s="44" cm="1">
        <f t="array" ref="AZ308">_xlfn.IFS((BA308=0),(BD308/CL308),(BA308&gt;0),((BB308+BD308)/CL308),(BE308&gt;0),((BB308+BD308+BE308)/CL308),(BG308&gt;0),((BB308+BD308+BE308+G308)/CL308))</f>
        <v>0.5</v>
      </c>
      <c r="BA308" s="44">
        <v>0.25</v>
      </c>
      <c r="BB308" s="44">
        <v>1</v>
      </c>
      <c r="BC308" s="44">
        <f t="shared" ref="BC308" si="507">IF(AE308&gt;0,(1/CL308),0)</f>
        <v>0.25</v>
      </c>
      <c r="BD308" s="44" cm="1">
        <f t="array" ref="BD308">_xlfn.IFS(AE308=0,"NA",AE308&gt;0,AH308/AE308)</f>
        <v>1</v>
      </c>
      <c r="BE308" s="44">
        <f t="shared" ref="BE308" si="508">IF(AM308&gt;0,(1/CL308),0)</f>
        <v>0.25</v>
      </c>
      <c r="BF308" s="44">
        <v>0</v>
      </c>
      <c r="BG308" s="44">
        <f t="shared" ref="BG308" si="509">IF(AO308&gt;0,(1/CL308),0)</f>
        <v>0.25</v>
      </c>
      <c r="BH308" s="44">
        <v>0</v>
      </c>
      <c r="BI308" s="44">
        <v>0</v>
      </c>
      <c r="BJ308" s="44" t="s">
        <v>115</v>
      </c>
      <c r="BK308" s="44">
        <f t="shared" si="435"/>
        <v>0.5</v>
      </c>
      <c r="BL308" s="44">
        <v>1</v>
      </c>
      <c r="BM308" s="44" cm="1">
        <f t="array" ref="BM308">_xlfn.IFS(BD308="NA","NA",BD308&gt;100%,"100%",BD308&lt;100,BD308)</f>
        <v>1</v>
      </c>
      <c r="BN308" s="44">
        <v>0</v>
      </c>
      <c r="BO308" s="44">
        <v>0</v>
      </c>
      <c r="BP308" s="44" t="s">
        <v>115</v>
      </c>
      <c r="BQ308" s="45">
        <v>0.22500000000000001</v>
      </c>
      <c r="BR308" s="45">
        <f t="shared" si="436"/>
        <v>0.1125</v>
      </c>
      <c r="BS308" s="45">
        <v>5.6300000000000003E-2</v>
      </c>
      <c r="BT308" s="45">
        <v>5.6300000000000003E-2</v>
      </c>
      <c r="BU308" s="45">
        <v>5.6300000000000003E-2</v>
      </c>
      <c r="BV308" s="45">
        <v>5.6300000000000003E-2</v>
      </c>
      <c r="BW308" s="45">
        <f t="shared" si="448"/>
        <v>5.6300000000000003E-2</v>
      </c>
      <c r="BX308" s="45">
        <f t="shared" si="449"/>
        <v>5.62E-2</v>
      </c>
      <c r="BY308" s="45">
        <v>5.6300000000000003E-2</v>
      </c>
      <c r="BZ308" s="45">
        <v>0</v>
      </c>
      <c r="CA308" s="45">
        <f t="shared" si="439"/>
        <v>0</v>
      </c>
      <c r="CB308" s="45">
        <v>5.6300000000000003E-2</v>
      </c>
      <c r="CC308" s="45">
        <v>0</v>
      </c>
      <c r="CD308" s="45">
        <v>0</v>
      </c>
      <c r="CE308" s="45">
        <v>0</v>
      </c>
      <c r="CF308" s="45" t="s">
        <v>115</v>
      </c>
      <c r="CG308" s="45">
        <v>0</v>
      </c>
      <c r="CH308" s="244">
        <f t="shared" ref="CH308" si="510">IF(W308&gt;0,1,0)</f>
        <v>1</v>
      </c>
      <c r="CI308" s="244">
        <f t="shared" si="501"/>
        <v>1</v>
      </c>
      <c r="CJ308" s="244">
        <f t="shared" si="502"/>
        <v>1</v>
      </c>
      <c r="CK308" s="244">
        <f t="shared" si="503"/>
        <v>1</v>
      </c>
      <c r="CL308">
        <f t="shared" si="504"/>
        <v>4</v>
      </c>
      <c r="CM308" s="63">
        <f t="shared" si="505"/>
        <v>100</v>
      </c>
    </row>
    <row r="309" spans="1:91" ht="18" hidden="1" customHeight="1">
      <c r="A309" s="260" t="s">
        <v>1996</v>
      </c>
      <c r="B309" s="260" t="s">
        <v>1997</v>
      </c>
      <c r="C309" s="260" t="s">
        <v>1828</v>
      </c>
      <c r="D309" s="260" t="s">
        <v>1988</v>
      </c>
      <c r="E309" s="260" t="s">
        <v>2034</v>
      </c>
      <c r="F309" s="260" t="s">
        <v>2035</v>
      </c>
      <c r="G309" s="260" t="s">
        <v>2036</v>
      </c>
      <c r="H309" s="260" t="s">
        <v>2043</v>
      </c>
      <c r="I309" s="260"/>
      <c r="J309" s="260"/>
      <c r="K309" s="260" t="s">
        <v>2044</v>
      </c>
      <c r="L309" s="260" t="s">
        <v>2045</v>
      </c>
      <c r="M309" s="260" t="s">
        <v>2046</v>
      </c>
      <c r="N309" s="260" t="s">
        <v>111</v>
      </c>
      <c r="O309" s="260" t="s">
        <v>112</v>
      </c>
      <c r="P309" s="10">
        <v>2</v>
      </c>
      <c r="Q309" s="11">
        <v>2</v>
      </c>
      <c r="R309" s="11">
        <f t="shared" ref="R309:R311" si="511">Z309+AH309</f>
        <v>1.8</v>
      </c>
      <c r="S309" s="11" t="str">
        <f>VLOOKUP(K309,'1152 UAEGRD'!$K$13:$AK$21,9,0)</f>
        <v>En el mes de agosto se llevó a cabo la inauguración del CRIR de Tocaima el cual realizó apertura y se encuentra al servicio de la comunidad. Se firmo convenio interadministrativo  con el objeto de aunar esfuerzos técnicos y administrativos entre el Departamento UAEGRD Secretaria General y el Municipio de Tocaima para la operación y puesta en funcionamiento. Se adelantaron acciones con la Universidad de Cundinamarca para la firma de un convenio con el propósito de prestar asistencia técnica a los municipios de la jurisdicción del CRIR, mediante el apoyo de docentes, pasantes y practicantes.</v>
      </c>
      <c r="T309" s="11">
        <v>2</v>
      </c>
      <c r="U309" s="11">
        <v>0</v>
      </c>
      <c r="V309" s="11">
        <v>1</v>
      </c>
      <c r="W309" s="11">
        <v>0</v>
      </c>
      <c r="X309" s="11">
        <v>0.8</v>
      </c>
      <c r="Y309" s="11">
        <v>0</v>
      </c>
      <c r="Z309" s="11">
        <v>0.8</v>
      </c>
      <c r="AA309" s="11">
        <v>0</v>
      </c>
      <c r="AB309" s="11" t="s">
        <v>2047</v>
      </c>
      <c r="AC309" s="11">
        <v>0</v>
      </c>
      <c r="AD309" s="11">
        <v>4</v>
      </c>
      <c r="AE309" s="11">
        <v>0</v>
      </c>
      <c r="AF309" s="11">
        <f>VLOOKUP(K309,'1152 UAEGRD'!$K$13:$AK$21,22,0)</f>
        <v>1</v>
      </c>
      <c r="AG309" s="11">
        <f>VLOOKUP(K309,'1152 UAEGRD'!$K$13:$AK$21,23,0)</f>
        <v>0</v>
      </c>
      <c r="AH309" s="11">
        <f>AF309</f>
        <v>1</v>
      </c>
      <c r="AI309" s="11">
        <f>VLOOKUP(K309,'1152 UAEGRD'!$K$13:$AK$21,25,0)</f>
        <v>0</v>
      </c>
      <c r="AJ309" s="11" t="str">
        <f>VLOOKUP(K309,'1152 UAEGRD'!$K$13:$AK$21,26,0)</f>
        <v xml:space="preserve">Se garantizó la puesta en marcha y funcionamiento del CRIR de Tocaima a partir del 28 de agosto. </v>
      </c>
      <c r="AK309" s="11" t="str">
        <f>VLOOKUP(K309,'1152 UAEGRD'!$K$13:$AK$21,27,0)</f>
        <v>Para garantizar el funcionamiento del CRIR de Tocancipá, se requiere llevar adecuación en tema de infraestructura, proceso que se realizará mediante la inversión del municipio en aras de garantizar la entrega del CRIR e iniciar la puesta en funcionamiento.</v>
      </c>
      <c r="AL309" s="11">
        <v>5</v>
      </c>
      <c r="AM309" s="11">
        <v>0</v>
      </c>
      <c r="AN309" s="11">
        <v>5</v>
      </c>
      <c r="AO309" s="11">
        <v>0</v>
      </c>
      <c r="AP309" s="11">
        <v>0</v>
      </c>
      <c r="AQ309" s="11">
        <v>0</v>
      </c>
      <c r="AR309" s="52"/>
      <c r="AS309" s="54">
        <v>20400000</v>
      </c>
      <c r="AT309" s="54">
        <f t="shared" si="434"/>
        <v>20400000</v>
      </c>
      <c r="AU309" s="52"/>
      <c r="AV309" s="243">
        <v>265330358</v>
      </c>
      <c r="AW309" s="244"/>
      <c r="AX309" s="244"/>
      <c r="AY309" s="243">
        <v>259330358</v>
      </c>
      <c r="AZ309" s="44">
        <f>R309/Q309</f>
        <v>0.9</v>
      </c>
      <c r="BA309" s="44">
        <v>6.6699999999999995E-2</v>
      </c>
      <c r="BB309" s="44">
        <v>0.8</v>
      </c>
      <c r="BC309" s="306">
        <v>1</v>
      </c>
      <c r="BD309" s="44" cm="1">
        <f t="array" ref="BD309">_xlfn.IFS(AD309=0,"NA",AD309&gt;0,AH309/AD309)</f>
        <v>0.25</v>
      </c>
      <c r="BE309" s="306">
        <v>1</v>
      </c>
      <c r="BF309" s="44">
        <v>0</v>
      </c>
      <c r="BG309" s="44">
        <v>0</v>
      </c>
      <c r="BH309" s="44">
        <v>0</v>
      </c>
      <c r="BI309" s="44">
        <f>AP309/Q309</f>
        <v>0</v>
      </c>
      <c r="BJ309" s="44" t="s">
        <v>115</v>
      </c>
      <c r="BK309" s="44">
        <f t="shared" si="435"/>
        <v>0.9</v>
      </c>
      <c r="BL309" s="44">
        <v>0.8</v>
      </c>
      <c r="BM309" s="44" cm="1">
        <f t="array" ref="BM309">_xlfn.IFS(BD309="NA","NA",BD309&gt;100%,"100%",BD309&lt;100,BD309)</f>
        <v>0.25</v>
      </c>
      <c r="BN309" s="44" cm="1">
        <f t="array" ref="BN309">_xlfn.IFS(BF309="NA","NA",BF309&gt;100%,"100%",BF309&lt;100,BF309)</f>
        <v>0</v>
      </c>
      <c r="BO309" s="44" cm="1">
        <f t="array" ref="BO309">_xlfn.IFS(BH309="NA","NA",BH309&gt;100%,"100%",BH309&lt;100,BH309)</f>
        <v>0</v>
      </c>
      <c r="BP309" s="44" t="str" cm="1">
        <f t="array" ref="BP309">_xlfn.IFS(BJ309="NA","NA",BJ309&gt;100%,"100%",BJ309&lt;100,BJ309)</f>
        <v>NA</v>
      </c>
      <c r="BQ309" s="45">
        <v>0.22500000000000001</v>
      </c>
      <c r="BR309" s="45">
        <f t="shared" si="436"/>
        <v>0.20250000000000001</v>
      </c>
      <c r="BS309" s="45">
        <v>1.4999999999999999E-2</v>
      </c>
      <c r="BT309" s="45">
        <v>1.2E-2</v>
      </c>
      <c r="BU309" s="45">
        <v>1.2E-2</v>
      </c>
      <c r="BV309" s="45">
        <f t="shared" ref="BV309:BV311" si="512">(AD309*BQ309)/Q309</f>
        <v>0.45</v>
      </c>
      <c r="BW309" s="45">
        <f t="shared" si="448"/>
        <v>0.1125</v>
      </c>
      <c r="BX309" s="45">
        <f t="shared" si="449"/>
        <v>0.1905</v>
      </c>
      <c r="BY309" s="45">
        <f t="shared" ref="BY309:BY311" si="513">(AL309*BQ309)/Q309</f>
        <v>0.5625</v>
      </c>
      <c r="BZ309" s="45">
        <f t="shared" ref="BZ309:BZ311" si="514">IF(BN309="NA","NA",BN309*BY309)</f>
        <v>0</v>
      </c>
      <c r="CA309" s="45">
        <f t="shared" si="439"/>
        <v>0</v>
      </c>
      <c r="CB309" s="45">
        <f t="shared" ref="CB309:CB311" si="515">(AN309*BQ309)/Q309</f>
        <v>0.5625</v>
      </c>
      <c r="CC309" s="45">
        <f t="shared" ref="CC309:CC311" si="516">IF(BO309="NA","NA",BO309*CB309)</f>
        <v>0</v>
      </c>
      <c r="CD309" s="45">
        <v>0</v>
      </c>
      <c r="CE309" s="45">
        <f>(AP309*BQ309)/Q309</f>
        <v>0</v>
      </c>
      <c r="CF309" s="45" t="str">
        <f>IF(BP309="NA","NA",BP309*CE309)</f>
        <v>NA</v>
      </c>
      <c r="CG309" s="45">
        <v>0</v>
      </c>
      <c r="CH309" s="244"/>
      <c r="CI309" s="244"/>
      <c r="CJ309" s="244"/>
      <c r="CK309" s="244"/>
      <c r="CM309" s="63">
        <v>1.8</v>
      </c>
    </row>
    <row r="310" spans="1:91" ht="18" hidden="1" customHeight="1">
      <c r="A310" s="260" t="s">
        <v>1996</v>
      </c>
      <c r="B310" s="260" t="s">
        <v>1997</v>
      </c>
      <c r="C310" s="260" t="s">
        <v>1828</v>
      </c>
      <c r="D310" s="260" t="s">
        <v>1988</v>
      </c>
      <c r="E310" s="260" t="s">
        <v>2034</v>
      </c>
      <c r="F310" s="260" t="s">
        <v>2035</v>
      </c>
      <c r="G310" s="260" t="s">
        <v>2036</v>
      </c>
      <c r="H310" s="260" t="s">
        <v>2048</v>
      </c>
      <c r="I310" s="260"/>
      <c r="J310" s="260"/>
      <c r="K310" s="260" t="s">
        <v>2049</v>
      </c>
      <c r="L310" s="260" t="s">
        <v>2050</v>
      </c>
      <c r="M310" s="260" t="s">
        <v>2051</v>
      </c>
      <c r="N310" s="260" t="s">
        <v>111</v>
      </c>
      <c r="O310" s="260" t="s">
        <v>112</v>
      </c>
      <c r="P310" s="10">
        <v>1</v>
      </c>
      <c r="Q310" s="11">
        <v>3</v>
      </c>
      <c r="R310" s="11">
        <f t="shared" si="511"/>
        <v>0.9</v>
      </c>
      <c r="S310" s="11" t="str">
        <f>VLOOKUP(K310,'1152 UAEGRD'!$K$13:$AK$21,9,0)</f>
        <v>Se logro dar cumplimiento a la creación e implementación del Centro de Información y Telecomunicaciones de la UAEGRD con el fin de integrar las acciones requeridas para atender las emergencias y realizar los respectivos reportes que permiten la formulación de acciones para la mitigación del riesgo como acción y funcion del sistema de información de gestión del riesgo y de alertas tempranas. Consolidación de base de información que permitirá identificar las provincias y municipios con mayor frecuencia de riesgo con el fin de llevar a cabo la identificación de las alertas tempranas implementadas y articular la creación del modulo con base en la priorización de las alertas identificadas  por la unidad nacional.</v>
      </c>
      <c r="T310" s="11">
        <v>0</v>
      </c>
      <c r="U310" s="11">
        <v>0</v>
      </c>
      <c r="V310" s="11">
        <v>0</v>
      </c>
      <c r="W310" s="11">
        <v>0</v>
      </c>
      <c r="X310" s="11">
        <v>0</v>
      </c>
      <c r="Y310" s="11">
        <v>0</v>
      </c>
      <c r="Z310" s="11">
        <v>0</v>
      </c>
      <c r="AA310" s="11"/>
      <c r="AB310" s="11"/>
      <c r="AC310" s="11"/>
      <c r="AD310" s="11">
        <v>1</v>
      </c>
      <c r="AE310" s="11">
        <v>0</v>
      </c>
      <c r="AF310" s="11">
        <f>VLOOKUP(K310,'1152 UAEGRD'!$K$13:$AK$21,22,0)</f>
        <v>0.9</v>
      </c>
      <c r="AG310" s="11">
        <f>VLOOKUP(K310,'1152 UAEGRD'!$K$13:$AK$21,23,0)</f>
        <v>0</v>
      </c>
      <c r="AH310" s="11">
        <f t="shared" ref="AH310:AH311" si="517">AF310</f>
        <v>0.9</v>
      </c>
      <c r="AI310" s="11" t="str">
        <f>VLOOKUP(K310,'1152 UAEGRD'!$K$13:$AK$21,25,0)</f>
        <v xml:space="preserve">Se realizo la asistencia técnica a los municipios que reportaron emergencias y/o desastres mediante CITEL, se llevó a cabo la consolidación del boletín mensual de octubre y la consolidación anual  con el fin de contar con las bases de información que serán insumo para la creación de un modulo que permita reportar información en tiempo real. 
Se lleva a cabo la consolidación de informe anual con corte al mes de noviembre, ejecutando de esta manera las acciones del proyecto de CITEL como funcionalidad del sistema de alertas tempranas. </v>
      </c>
      <c r="AJ310" s="11" t="str">
        <f>VLOOKUP(K310,'1152 UAEGRD'!$K$13:$AK$21,26,0)</f>
        <v>Consolidación de base de información que permitirá identificar las provincias y municipios con mayor frecuencia de riesgo y consolidación de la información de emergencias naturales y antrópicas del departamento, formulación de boletines semanales y mensuales frente a emergencias para la creación e base de datos de información para el modulo SAGA.
Se logro dar cumplimiento a la creación e implementación del Centro de Información y Telecomunicaciones de la UAEGRD con el fin de integrar las acciones requeridas para atender las emergencias y realizar los respectivos reportes que permiten la formulación de acciones para la mitigación del riesgo.</v>
      </c>
      <c r="AK310" s="11" t="str">
        <f>VLOOKUP(K310,'1152 UAEGRD'!$K$13:$AK$21,27,0)</f>
        <v>Pese a los requerimientos realizados a la Secretaría de Tics, a la fecha no se ha logrado concretar plan de trabajo para definir las acciones requeridas para la nueva funcionalidad del sistema de SAGA</v>
      </c>
      <c r="AL310" s="11">
        <v>1</v>
      </c>
      <c r="AM310" s="11">
        <v>0</v>
      </c>
      <c r="AN310" s="11">
        <v>1</v>
      </c>
      <c r="AO310" s="11">
        <v>0</v>
      </c>
      <c r="AP310" s="11">
        <v>0</v>
      </c>
      <c r="AQ310" s="11">
        <v>0</v>
      </c>
      <c r="AR310" s="52"/>
      <c r="AS310" s="54">
        <v>0</v>
      </c>
      <c r="AT310" s="54">
        <f t="shared" si="434"/>
        <v>0</v>
      </c>
      <c r="AU310" s="52"/>
      <c r="AV310" s="243">
        <v>449000000</v>
      </c>
      <c r="AW310" s="244"/>
      <c r="AX310" s="244"/>
      <c r="AY310" s="243">
        <v>438056650</v>
      </c>
      <c r="AZ310" s="44">
        <f>R310/Q310</f>
        <v>0.3</v>
      </c>
      <c r="BA310" s="44">
        <v>0</v>
      </c>
      <c r="BB310" s="44" t="s">
        <v>115</v>
      </c>
      <c r="BC310" s="44">
        <f t="shared" ref="BC310:BC311" si="518">AD310/Q310</f>
        <v>0.33333333333333331</v>
      </c>
      <c r="BD310" s="44" cm="1">
        <f t="array" ref="BD310">_xlfn.IFS(AD310=0,"NA",AD310&gt;0,AH310/AD310)</f>
        <v>0.9</v>
      </c>
      <c r="BE310" s="44">
        <f t="shared" ref="BE310:BE311" si="519">AL310/Q310</f>
        <v>0.33333333333333331</v>
      </c>
      <c r="BF310" s="44">
        <v>0</v>
      </c>
      <c r="BG310" s="44">
        <f t="shared" ref="BG310:BG311" si="520">AN310/Q310</f>
        <v>0.33333333333333331</v>
      </c>
      <c r="BH310" s="44">
        <v>0</v>
      </c>
      <c r="BI310" s="44">
        <f>AP310/Q310</f>
        <v>0</v>
      </c>
      <c r="BJ310" s="44" t="s">
        <v>115</v>
      </c>
      <c r="BK310" s="44">
        <f t="shared" si="435"/>
        <v>0.3</v>
      </c>
      <c r="BL310" s="44" t="s">
        <v>115</v>
      </c>
      <c r="BM310" s="44" cm="1">
        <f t="array" ref="BM310">_xlfn.IFS(BD310="NA","NA",BD310&gt;100%,"100%",BD310&lt;100,BD310)</f>
        <v>0.9</v>
      </c>
      <c r="BN310" s="44" cm="1">
        <f t="array" ref="BN310">_xlfn.IFS(BF310="NA","NA",BF310&gt;100%,"100%",BF310&lt;100,BF310)</f>
        <v>0</v>
      </c>
      <c r="BO310" s="44" cm="1">
        <f t="array" ref="BO310">_xlfn.IFS(BH310="NA","NA",BH310&gt;100%,"100%",BH310&lt;100,BH310)</f>
        <v>0</v>
      </c>
      <c r="BP310" s="44" t="str" cm="1">
        <f t="array" ref="BP310">_xlfn.IFS(BJ310="NA","NA",BJ310&gt;100%,"100%",BJ310&lt;100,BJ310)</f>
        <v>NA</v>
      </c>
      <c r="BQ310" s="45">
        <v>0.22500000000000001</v>
      </c>
      <c r="BR310" s="45">
        <f t="shared" si="436"/>
        <v>6.7500000000000004E-2</v>
      </c>
      <c r="BS310" s="45">
        <v>0</v>
      </c>
      <c r="BT310" s="45" t="s">
        <v>115</v>
      </c>
      <c r="BU310" s="45">
        <v>0</v>
      </c>
      <c r="BV310" s="45">
        <f t="shared" si="512"/>
        <v>7.4999999999999997E-2</v>
      </c>
      <c r="BW310" s="45">
        <f t="shared" si="448"/>
        <v>6.7500000000000004E-2</v>
      </c>
      <c r="BX310" s="45">
        <f t="shared" si="449"/>
        <v>6.7500000000000004E-2</v>
      </c>
      <c r="BY310" s="45">
        <f t="shared" si="513"/>
        <v>7.4999999999999997E-2</v>
      </c>
      <c r="BZ310" s="45">
        <f t="shared" si="514"/>
        <v>0</v>
      </c>
      <c r="CA310" s="45">
        <f t="shared" si="439"/>
        <v>0</v>
      </c>
      <c r="CB310" s="45">
        <f t="shared" si="515"/>
        <v>7.4999999999999997E-2</v>
      </c>
      <c r="CC310" s="45">
        <f t="shared" si="516"/>
        <v>0</v>
      </c>
      <c r="CD310" s="45">
        <v>0</v>
      </c>
      <c r="CE310" s="45">
        <f>(AP310*BQ310)/Q310</f>
        <v>0</v>
      </c>
      <c r="CF310" s="45" t="str">
        <f>IF(BP310="NA","NA",BP310*CE310)</f>
        <v>NA</v>
      </c>
      <c r="CG310" s="45">
        <v>0</v>
      </c>
      <c r="CH310" s="244"/>
      <c r="CI310" s="244"/>
      <c r="CJ310" s="244"/>
      <c r="CK310" s="244"/>
      <c r="CM310" s="63">
        <v>0.55000000000000004</v>
      </c>
    </row>
    <row r="311" spans="1:91" ht="18" hidden="1" customHeight="1">
      <c r="A311" s="260" t="s">
        <v>1996</v>
      </c>
      <c r="B311" s="260" t="s">
        <v>1997</v>
      </c>
      <c r="C311" s="260" t="s">
        <v>1828</v>
      </c>
      <c r="D311" s="260" t="s">
        <v>1988</v>
      </c>
      <c r="E311" s="260" t="s">
        <v>2034</v>
      </c>
      <c r="F311" s="260" t="s">
        <v>2035</v>
      </c>
      <c r="G311" s="260" t="s">
        <v>2036</v>
      </c>
      <c r="H311" s="260" t="s">
        <v>2052</v>
      </c>
      <c r="I311" s="260"/>
      <c r="J311" s="260"/>
      <c r="K311" s="260" t="s">
        <v>2053</v>
      </c>
      <c r="L311" s="260" t="s">
        <v>2054</v>
      </c>
      <c r="M311" s="260" t="s">
        <v>2055</v>
      </c>
      <c r="N311" s="260" t="s">
        <v>111</v>
      </c>
      <c r="O311" s="260" t="s">
        <v>112</v>
      </c>
      <c r="P311" s="10">
        <v>0</v>
      </c>
      <c r="Q311" s="11">
        <v>1</v>
      </c>
      <c r="R311" s="11">
        <f t="shared" si="511"/>
        <v>0.4</v>
      </c>
      <c r="S311" s="11" t="str">
        <f>VLOOKUP(K311,'1152 UAEGRD'!$K$13:$AK$21,9,0)</f>
        <v>ESBOCUN cuenta a la fecha con licencia de funcionamiento y se le otorgo el registro de los programas de formación laboral, cuenta también con aprobación dos carreras técnicas, cursos libres y diplomados todo incluyentes en el tema de gestión del riesgo, se ha ejecutado proceso de capacitación de técnico con las unidades de bomberos Tabio, personal invitado PONALSAR, ejército nacional y bomberos de otras instituciones. Se vienen realizando mesas de trabajo para el  acompañamiento al municipio de acuerdo con las necesidades requeridas para el proceso de adquisición del predio y posteriormente estudios de diseño donde se llevaría a cabo la construcción.</v>
      </c>
      <c r="T311" s="11">
        <v>0</v>
      </c>
      <c r="U311" s="11">
        <v>0</v>
      </c>
      <c r="V311" s="11">
        <v>0</v>
      </c>
      <c r="W311" s="11">
        <v>0</v>
      </c>
      <c r="X311" s="11">
        <v>0</v>
      </c>
      <c r="Y311" s="11">
        <v>0</v>
      </c>
      <c r="Z311" s="11">
        <v>0</v>
      </c>
      <c r="AA311" s="11"/>
      <c r="AB311" s="11"/>
      <c r="AC311" s="11"/>
      <c r="AD311" s="11">
        <v>0.5</v>
      </c>
      <c r="AE311" s="11">
        <v>0</v>
      </c>
      <c r="AF311" s="11">
        <f>VLOOKUP(K311,'1152 UAEGRD'!$K$13:$AK$21,22,0)</f>
        <v>0.4</v>
      </c>
      <c r="AG311" s="11">
        <f>VLOOKUP(K311,'1152 UAEGRD'!$K$13:$AK$21,23,0)</f>
        <v>0</v>
      </c>
      <c r="AH311" s="11">
        <f t="shared" si="517"/>
        <v>0.4</v>
      </c>
      <c r="AI311" s="11" t="str">
        <f>VLOOKUP(K311,'1152 UAEGRD'!$K$13:$AK$21,25,0)</f>
        <v>* Se llevó cabo la operación de donación para pistas de entrenamiento para rescate en alturas, rescate en espacios confinados y rescate industrial. 
* los equipos de entrenamiento donados estan en el orden de los Cuatrocientos Setenta Millones de pesos ($470.000.000)
* los costos de desmonte, transporte, re-instalación y mantenimiento y pintura esta estimado en Cien Millones de Pesos ($100.000.000)
* Se logro contar con la licencia de funcionamiento a la Institución de Educación Para El Trabajo y El Desarrollo Humano a La Escuela De Bomberos De Cundinamarca “ESBOCUN” Del Municipio De Tabio – Cundinamarca
* Mediante Resolución número 103 se expidio la licencia de Subdivisión de un predio ubicado en la zona rural del municipio de Tabio expedida por la secretaria de planeación.
* Mediante resolución 003738  se otorgo el registro de los programas de FORMACION LABORAL a la Institución de Educación para el Trabajo y el Desarrollo Humano a la ESCUELA DE BOMBEROS DE CUNDINAMARCA “ESBOCUN” del municipios de Tabio – Cundinamarca
* Aprobación dos carreras técnicas, cursos libres y diplomados todo incluyentes en el tema de gestión del riesgo.
*Actualmente se inició proceso de capacitación de técnico con las unidades de bomberos Tabio, personal invitado ponalsar, ejército nacional y bomberos de otras instituciones. Un total de 30 personas.
* mediante escritura publica No. 2.002 se cuenta con donación predio “Las Brisas”
* Mediante contrato con FONDECUN se formulo evento para la socialización y divulgación de la estrategia de la escuela de bomberos con todo el sistema departamental de bomberos el cuals e llevara a cabo en el mes de diciembre.</v>
      </c>
      <c r="AJ311" s="11" t="str">
        <f>VLOOKUP(K311,'1152 UAEGRD'!$K$13:$AK$21,26,0)</f>
        <v>ESBOCUN cuenta a la fecha con licencia de funcionamiento y se le otorgo el registro de los programas de formación laboral, cuenta también con aprobación dos carreras técnicas, cursos libres y diplomados todo incluyentes en el tema de gestión del riesgo y  a la fecha ya se inició proceso de capacitación de técnico con las unidades de bomberos Tabio, personal invitado ponalsar, ejército nacional y bomberos de otras instituciones para un total de 30 personas.</v>
      </c>
      <c r="AK311" s="11">
        <f>VLOOKUP(K311,'1152 UAEGRD'!$K$13:$AK$21,27,0)</f>
        <v>0</v>
      </c>
      <c r="AL311" s="11">
        <v>0.5</v>
      </c>
      <c r="AM311" s="11">
        <v>0</v>
      </c>
      <c r="AN311" s="11">
        <v>0</v>
      </c>
      <c r="AO311" s="11">
        <v>0</v>
      </c>
      <c r="AP311" s="11">
        <v>0</v>
      </c>
      <c r="AQ311" s="11">
        <v>0</v>
      </c>
      <c r="AR311" s="52"/>
      <c r="AS311" s="54">
        <v>75000000</v>
      </c>
      <c r="AT311" s="54">
        <f t="shared" si="434"/>
        <v>75000000</v>
      </c>
      <c r="AU311" s="52"/>
      <c r="AV311" s="243">
        <v>90000000</v>
      </c>
      <c r="AW311" s="244"/>
      <c r="AX311" s="244"/>
      <c r="AY311" s="243">
        <v>27951097</v>
      </c>
      <c r="AZ311" s="44">
        <f>R311/Q311</f>
        <v>0.4</v>
      </c>
      <c r="BA311" s="44">
        <v>0</v>
      </c>
      <c r="BB311" s="44" t="s">
        <v>115</v>
      </c>
      <c r="BC311" s="44">
        <f t="shared" si="518"/>
        <v>0.5</v>
      </c>
      <c r="BD311" s="44" cm="1">
        <f t="array" ref="BD311">_xlfn.IFS(AD311=0,"NA",AD311&gt;0,AH311/AD311)</f>
        <v>0.8</v>
      </c>
      <c r="BE311" s="44">
        <f t="shared" si="519"/>
        <v>0.5</v>
      </c>
      <c r="BF311" s="44">
        <v>0</v>
      </c>
      <c r="BG311" s="44">
        <f t="shared" si="520"/>
        <v>0</v>
      </c>
      <c r="BH311" s="44">
        <v>0</v>
      </c>
      <c r="BI311" s="44">
        <f>AP311/Q311</f>
        <v>0</v>
      </c>
      <c r="BJ311" s="44" t="s">
        <v>115</v>
      </c>
      <c r="BK311" s="44">
        <f t="shared" si="435"/>
        <v>0.4</v>
      </c>
      <c r="BL311" s="44" t="s">
        <v>115</v>
      </c>
      <c r="BM311" s="44" cm="1">
        <f t="array" ref="BM311">_xlfn.IFS(BD311="NA","NA",BD311&gt;100%,"100%",BD311&lt;100,BD311)</f>
        <v>0.8</v>
      </c>
      <c r="BN311" s="44" cm="1">
        <f t="array" ref="BN311">_xlfn.IFS(BF311="NA","NA",BF311&gt;100%,"100%",BF311&lt;100,BF311)</f>
        <v>0</v>
      </c>
      <c r="BO311" s="44" cm="1">
        <f t="array" ref="BO311">_xlfn.IFS(BH311="NA","NA",BH311&gt;100%,"100%",BH311&lt;100,BH311)</f>
        <v>0</v>
      </c>
      <c r="BP311" s="44" t="str" cm="1">
        <f t="array" ref="BP311">_xlfn.IFS(BJ311="NA","NA",BJ311&gt;100%,"100%",BJ311&lt;100,BJ311)</f>
        <v>NA</v>
      </c>
      <c r="BQ311" s="45">
        <v>0.22500000000000001</v>
      </c>
      <c r="BR311" s="45">
        <f t="shared" si="436"/>
        <v>9.0000000000000011E-2</v>
      </c>
      <c r="BS311" s="45">
        <v>0</v>
      </c>
      <c r="BT311" s="45" t="s">
        <v>115</v>
      </c>
      <c r="BU311" s="45">
        <v>0</v>
      </c>
      <c r="BV311" s="45">
        <f t="shared" si="512"/>
        <v>0.1125</v>
      </c>
      <c r="BW311" s="45">
        <f t="shared" si="448"/>
        <v>9.0000000000000011E-2</v>
      </c>
      <c r="BX311" s="45">
        <f t="shared" si="449"/>
        <v>9.0000000000000011E-2</v>
      </c>
      <c r="BY311" s="45">
        <f t="shared" si="513"/>
        <v>0.1125</v>
      </c>
      <c r="BZ311" s="45">
        <f t="shared" si="514"/>
        <v>0</v>
      </c>
      <c r="CA311" s="45">
        <f t="shared" si="439"/>
        <v>0</v>
      </c>
      <c r="CB311" s="45">
        <f t="shared" si="515"/>
        <v>0</v>
      </c>
      <c r="CC311" s="45">
        <f t="shared" si="516"/>
        <v>0</v>
      </c>
      <c r="CD311" s="45">
        <v>0</v>
      </c>
      <c r="CE311" s="45">
        <f>(AP311*BQ311)/Q311</f>
        <v>0</v>
      </c>
      <c r="CF311" s="45" t="str">
        <f>IF(BP311="NA","NA",BP311*CE311)</f>
        <v>NA</v>
      </c>
      <c r="CG311" s="45">
        <v>0</v>
      </c>
      <c r="CH311" s="244"/>
      <c r="CI311" s="244"/>
      <c r="CJ311" s="244"/>
      <c r="CK311" s="244"/>
      <c r="CM311" s="63">
        <v>0</v>
      </c>
    </row>
    <row r="312" spans="1:91" ht="18" hidden="1" customHeight="1">
      <c r="A312" s="260" t="s">
        <v>1996</v>
      </c>
      <c r="B312" s="260" t="s">
        <v>1997</v>
      </c>
      <c r="C312" s="260" t="s">
        <v>1828</v>
      </c>
      <c r="D312" s="260" t="s">
        <v>1988</v>
      </c>
      <c r="E312" s="260" t="s">
        <v>2034</v>
      </c>
      <c r="F312" s="260" t="s">
        <v>2035</v>
      </c>
      <c r="G312" s="260" t="s">
        <v>2036</v>
      </c>
      <c r="H312" s="260" t="s">
        <v>2056</v>
      </c>
      <c r="I312" s="260"/>
      <c r="J312" s="260"/>
      <c r="K312" s="260" t="s">
        <v>2057</v>
      </c>
      <c r="L312" s="260" t="s">
        <v>2058</v>
      </c>
      <c r="M312" s="260" t="s">
        <v>122</v>
      </c>
      <c r="N312" s="260" t="s">
        <v>123</v>
      </c>
      <c r="O312" s="260" t="s">
        <v>124</v>
      </c>
      <c r="P312" s="10">
        <v>100</v>
      </c>
      <c r="Q312" s="11">
        <v>100</v>
      </c>
      <c r="R312" s="11">
        <f>(Z312+AH312)/CL312</f>
        <v>50</v>
      </c>
      <c r="S312" s="11" t="str">
        <f>VLOOKUP(K312,'1152 UAEGRD'!$K$13:$AK$21,9,0)</f>
        <v>Como consecuencia de eventos de ola invernal, incendio forestal y desabastecimiento de agua se han atendido un total de 90 ayudas humanitarias mediante la entrega de bonos de alimentos, mercados, insumos y herramientas como kit de cocina, kit de aseso, tanques de agua, colchonetas, colchas entre otros, ayudando a un total de 10.059 familias</v>
      </c>
      <c r="T312" s="11">
        <v>0</v>
      </c>
      <c r="U312" s="11">
        <v>100</v>
      </c>
      <c r="V312" s="11">
        <v>0</v>
      </c>
      <c r="W312" s="11">
        <v>100</v>
      </c>
      <c r="X312" s="11" t="s">
        <v>115</v>
      </c>
      <c r="Y312" s="11">
        <v>100</v>
      </c>
      <c r="Z312" s="11">
        <v>100</v>
      </c>
      <c r="AA312" s="11" t="s">
        <v>2059</v>
      </c>
      <c r="AB312" s="11" t="s">
        <v>2060</v>
      </c>
      <c r="AC312" s="11" t="s">
        <v>2061</v>
      </c>
      <c r="AD312" s="11">
        <v>0</v>
      </c>
      <c r="AE312" s="11">
        <v>100</v>
      </c>
      <c r="AF312" s="11">
        <f>VLOOKUP(K312,'1152 UAEGRD'!$K$13:$AK$21,22,0)</f>
        <v>0</v>
      </c>
      <c r="AG312" s="11">
        <f>VLOOKUP(K312,'1152 UAEGRD'!$K$13:$AK$21,23,0)</f>
        <v>100</v>
      </c>
      <c r="AH312" s="11">
        <f>AG312</f>
        <v>100</v>
      </c>
      <c r="AI312" s="11" t="str">
        <f>VLOOKUP(K312,'1152 UAEGRD'!$K$13:$AK$21,25,0)</f>
        <v>Se atendio la solicitud de ayuda humanitaria de los municipios de Girardot, La peña, Villeta, Nocaima, Guacheta, Fuquene, Tiribitá, Machetá, Puli, Bituima, El Rosal, Zipacón y Subachoque, dada la emergencia por la segunda temporada de lluevias  mediante la cual se vieron beneficiadas 811 familias a quienes se les entregaron 1.421 tejas de zinc, 8 tejas eternit, 44 tanques de agua de 500 litros, 500 kit de cocina, 556 kit de aseo, 831 kit de mercado, 258 colchonetas y 333 frazadas.</v>
      </c>
      <c r="AJ312" s="11" t="str">
        <f>VLOOKUP(K312,'1152 UAEGRD'!$K$13:$AK$21,26,0)</f>
        <v>Se han atendido durante la vigencia del año 78 solicitudes de ayudas humanitarias por parte de los municipios afectados por eventos de ola invernal, incendio forestal y desabastecimiento de agua, entre otros, lo cual ha permitido beneficiar mediante las ayudas a un total de 10.059 familias. Se ha fortalecido el conocimiento de los sistemas municipales para la gestión del riesgo frente a la ruta de emergencias y la atención a solicitudes de ayudas humanitarias mediante las capacitaciones que se brinda a la comunidad en los momentos en que se atiende la emergencia.</v>
      </c>
      <c r="AK312" s="11" t="str">
        <f>VLOOKUP(K312,'1152 UAEGRD'!$K$13:$AK$21,27,0)</f>
        <v>Se presenta incremento de emergencias y requerimientos de ayuda humanitaria como consecuencia de la primera y segunda ola invernal, temporada seca y otras emergencias y desastres de origen natural. Así mismo el Departamento se encuentra bajo alerta roja y varios municipios se enfrentan a la necesidad de declarar calamidad pública si las lluvias continuan en incremento.</v>
      </c>
      <c r="AL312" s="11">
        <v>0</v>
      </c>
      <c r="AM312" s="11">
        <v>100</v>
      </c>
      <c r="AN312" s="11">
        <v>0</v>
      </c>
      <c r="AO312" s="11">
        <v>100</v>
      </c>
      <c r="AP312" s="11">
        <v>0</v>
      </c>
      <c r="AQ312" s="11">
        <v>0</v>
      </c>
      <c r="AR312" s="51">
        <v>5998675521</v>
      </c>
      <c r="AS312" s="54">
        <v>0</v>
      </c>
      <c r="AT312" s="54">
        <f t="shared" si="434"/>
        <v>5998675521</v>
      </c>
      <c r="AU312" s="51">
        <v>3952072679</v>
      </c>
      <c r="AV312" s="243">
        <v>2819174407</v>
      </c>
      <c r="AW312" s="244"/>
      <c r="AX312" s="244"/>
      <c r="AY312" s="243">
        <v>2048860654</v>
      </c>
      <c r="AZ312" s="44" cm="1">
        <f t="array" ref="AZ312">_xlfn.IFS((BA312=0),(BD312/CL312),(BA312&gt;0),((BB312+BD312)/CL312),(BE312&gt;0),((BB312+BD312+BE312)/CL312),(BG312&gt;0),((BB312+BD312+BE312+G312)/CL312))</f>
        <v>0.5</v>
      </c>
      <c r="BA312" s="44">
        <v>0.25</v>
      </c>
      <c r="BB312" s="44">
        <v>1</v>
      </c>
      <c r="BC312" s="44">
        <f>IF(AE312&gt;0,(1/CL312),0)</f>
        <v>0.25</v>
      </c>
      <c r="BD312" s="44" cm="1">
        <f t="array" ref="BD312">_xlfn.IFS(AE312=0,"NA",AE312&gt;0,AH312/AE312)</f>
        <v>1</v>
      </c>
      <c r="BE312" s="44">
        <f>IF(AM312&gt;0,(1/CL312),0)</f>
        <v>0.25</v>
      </c>
      <c r="BF312" s="44">
        <v>0</v>
      </c>
      <c r="BG312" s="44">
        <f>IF(AO312&gt;0,(1/CL312),0)</f>
        <v>0.25</v>
      </c>
      <c r="BH312" s="44">
        <v>0</v>
      </c>
      <c r="BI312" s="44">
        <v>0</v>
      </c>
      <c r="BJ312" s="44" t="s">
        <v>115</v>
      </c>
      <c r="BK312" s="44">
        <f t="shared" si="435"/>
        <v>0.5</v>
      </c>
      <c r="BL312" s="44">
        <v>1</v>
      </c>
      <c r="BM312" s="44" cm="1">
        <f t="array" ref="BM312">_xlfn.IFS(BD312="NA","NA",BD312&gt;100%,"100%",BD312&lt;100,BD312)</f>
        <v>1</v>
      </c>
      <c r="BN312" s="44">
        <v>0</v>
      </c>
      <c r="BO312" s="44">
        <v>0</v>
      </c>
      <c r="BP312" s="44" t="s">
        <v>115</v>
      </c>
      <c r="BQ312" s="45">
        <v>0.22500000000000001</v>
      </c>
      <c r="BR312" s="45">
        <f t="shared" si="436"/>
        <v>0.1125</v>
      </c>
      <c r="BS312" s="45">
        <v>5.6300000000000003E-2</v>
      </c>
      <c r="BT312" s="45">
        <v>5.6300000000000003E-2</v>
      </c>
      <c r="BU312" s="45">
        <v>5.6300000000000003E-2</v>
      </c>
      <c r="BV312" s="45">
        <v>5.6300000000000003E-2</v>
      </c>
      <c r="BW312" s="45">
        <f t="shared" si="448"/>
        <v>5.6300000000000003E-2</v>
      </c>
      <c r="BX312" s="45">
        <f t="shared" si="449"/>
        <v>5.62E-2</v>
      </c>
      <c r="BY312" s="45">
        <v>5.6300000000000003E-2</v>
      </c>
      <c r="BZ312" s="45">
        <v>0</v>
      </c>
      <c r="CA312" s="45">
        <f t="shared" si="439"/>
        <v>0</v>
      </c>
      <c r="CB312" s="45">
        <v>5.6300000000000003E-2</v>
      </c>
      <c r="CC312" s="45">
        <v>0</v>
      </c>
      <c r="CD312" s="45">
        <v>0</v>
      </c>
      <c r="CE312" s="45">
        <v>0</v>
      </c>
      <c r="CF312" s="45" t="s">
        <v>115</v>
      </c>
      <c r="CG312" s="45">
        <v>0</v>
      </c>
      <c r="CH312" s="244">
        <f>IF(W312&gt;0,1,0)</f>
        <v>1</v>
      </c>
      <c r="CI312" s="244">
        <f>IF(AE312&gt;0,1,0)</f>
        <v>1</v>
      </c>
      <c r="CJ312" s="244">
        <f>IF(AM312&gt;0,1,0)</f>
        <v>1</v>
      </c>
      <c r="CK312" s="244">
        <f>IF(AO312&gt;0,1,0)</f>
        <v>1</v>
      </c>
      <c r="CL312">
        <f>CH312+CI312+CJ312+CK312</f>
        <v>4</v>
      </c>
      <c r="CM312" s="63">
        <f>AVERAGE(Z312,AH312)</f>
        <v>100</v>
      </c>
    </row>
    <row r="313" spans="1:91" ht="18" hidden="1" customHeight="1">
      <c r="A313" s="260" t="s">
        <v>1826</v>
      </c>
      <c r="B313" s="260" t="s">
        <v>1827</v>
      </c>
      <c r="C313" s="260" t="s">
        <v>1828</v>
      </c>
      <c r="D313" s="260" t="s">
        <v>2062</v>
      </c>
      <c r="E313" s="260" t="s">
        <v>2063</v>
      </c>
      <c r="F313" s="260" t="s">
        <v>2064</v>
      </c>
      <c r="G313" s="260" t="s">
        <v>2065</v>
      </c>
      <c r="H313" s="260" t="s">
        <v>2066</v>
      </c>
      <c r="I313" s="260"/>
      <c r="J313" s="260"/>
      <c r="K313" s="260" t="s">
        <v>2067</v>
      </c>
      <c r="L313" s="260" t="s">
        <v>2068</v>
      </c>
      <c r="M313" s="260" t="s">
        <v>2069</v>
      </c>
      <c r="N313" s="260" t="s">
        <v>111</v>
      </c>
      <c r="O313" s="260" t="s">
        <v>112</v>
      </c>
      <c r="P313" s="10">
        <v>2</v>
      </c>
      <c r="Q313" s="11">
        <v>3</v>
      </c>
      <c r="R313" s="11">
        <f t="shared" ref="R313:R347" si="521">Z313+AH313</f>
        <v>2.5</v>
      </c>
      <c r="S313" s="11" t="str">
        <f>VLOOKUP(K313,'1121 Ambiente'!$K$13:$AK$38,9,0)</f>
        <v xml:space="preserve">Se realizó asistencia técnica de 30 Empresas para apoyarse en la conformación de Negocios Verdes en asocio con CAEM, generando planes de acción y determinación de estrategias de Responsabilidad Ambiental.
La Dirección de ecosistemas lidera un proyecto de fincas sostenibles (estructura de recolección de aguas, electrobomba, siembra de  árboles y Ecomil) con el cual se espera beneficiar 6 fincas (cacao, café y panela) en los municipios de Villeta, Nilo y Arbeláez, de las cuales se han entregado 4 (Villeta y Nilo). 
</v>
      </c>
      <c r="T313" s="11">
        <v>0.5</v>
      </c>
      <c r="U313" s="11">
        <v>0</v>
      </c>
      <c r="V313" s="11">
        <v>0.5</v>
      </c>
      <c r="W313" s="11">
        <v>0</v>
      </c>
      <c r="X313" s="11">
        <v>0.5</v>
      </c>
      <c r="Y313" s="11">
        <v>0</v>
      </c>
      <c r="Z313" s="11">
        <v>0.5</v>
      </c>
      <c r="AA313" s="11">
        <v>0</v>
      </c>
      <c r="AB313" s="11" t="s">
        <v>2070</v>
      </c>
      <c r="AC313" s="11">
        <v>0</v>
      </c>
      <c r="AD313" s="11">
        <v>1.5</v>
      </c>
      <c r="AE313" s="11">
        <v>0</v>
      </c>
      <c r="AF313" s="11">
        <f>VLOOKUP(K313,'1121 Ambiente'!$K$13:$AK$38,22,0)</f>
        <v>2</v>
      </c>
      <c r="AG313" s="11">
        <f>VLOOKUP(K313,'1121 Ambiente'!$K$13:$AK$38,23,0)</f>
        <v>0</v>
      </c>
      <c r="AH313" s="11">
        <f t="shared" ref="AH313:AH347" si="522">AF313</f>
        <v>2</v>
      </c>
      <c r="AI313" s="11" t="str">
        <f>VLOOKUP(K313,'1121 Ambiente'!$K$13:$AK$38,25,0)</f>
        <v>Implementación de 2 sistemas de producción sostenible</v>
      </c>
      <c r="AJ313" s="11" t="str">
        <f>VLOOKUP(K313,'1121 Ambiente'!$K$13:$AK$38,26,0)</f>
        <v>- Constitución del Nodo Departamental de Negocios Verdes. Decreto 133 de 2021 
 - Definición de 30 Negocios verdes. 
- Asistencia técnica de 30 Empresas para apoyarse en la conformación de Negocios Verdes que desarrolla la Secretaria del Ambiente en asocio con CAEM</v>
      </c>
      <c r="AK313" s="11" t="str">
        <f>VLOOKUP(K313,'1121 Ambiente'!$K$13:$AK$38,27,0)</f>
        <v>Se han tenido que postergar visitas de campo, debido a los temas de salud pública y las manifestaciones de ordén público</v>
      </c>
      <c r="AL313" s="11">
        <v>1</v>
      </c>
      <c r="AM313" s="11">
        <v>0</v>
      </c>
      <c r="AN313" s="11">
        <v>0</v>
      </c>
      <c r="AO313" s="11">
        <v>0</v>
      </c>
      <c r="AP313" s="11">
        <v>0</v>
      </c>
      <c r="AQ313" s="11">
        <v>0</v>
      </c>
      <c r="AR313" s="51">
        <v>104900000</v>
      </c>
      <c r="AS313" s="54">
        <v>0</v>
      </c>
      <c r="AT313" s="54">
        <f t="shared" si="434"/>
        <v>104900000</v>
      </c>
      <c r="AU313" s="51">
        <v>99093000</v>
      </c>
      <c r="AV313" s="243">
        <v>250000000</v>
      </c>
      <c r="AW313" s="244"/>
      <c r="AX313" s="244"/>
      <c r="AY313" s="243">
        <v>190133331</v>
      </c>
      <c r="AZ313" s="44">
        <f t="shared" ref="AZ313:AZ347" si="523">R313/Q313</f>
        <v>0.83333333333333337</v>
      </c>
      <c r="BA313" s="44">
        <v>0.16669999999999999</v>
      </c>
      <c r="BB313" s="44">
        <v>1</v>
      </c>
      <c r="BC313" s="44">
        <f t="shared" ref="BC313:BC347" si="524">AD313/Q313</f>
        <v>0.5</v>
      </c>
      <c r="BD313" s="44" cm="1">
        <f t="array" ref="BD313">_xlfn.IFS(AD313=0,"NA",AD313&gt;0,AH313/AD313)</f>
        <v>1.3333333333333333</v>
      </c>
      <c r="BE313" s="44">
        <f t="shared" ref="BE313:BE347" si="525">AL313/Q313</f>
        <v>0.33333333333333331</v>
      </c>
      <c r="BF313" s="44">
        <v>0</v>
      </c>
      <c r="BG313" s="44">
        <f t="shared" ref="BG313:BG347" si="526">AN313/Q313</f>
        <v>0</v>
      </c>
      <c r="BH313" s="44">
        <v>0</v>
      </c>
      <c r="BI313" s="44">
        <f t="shared" ref="BI313:BI347" si="527">AP313/Q313</f>
        <v>0</v>
      </c>
      <c r="BJ313" s="44" t="s">
        <v>115</v>
      </c>
      <c r="BK313" s="44">
        <f t="shared" si="435"/>
        <v>0.83333333333333337</v>
      </c>
      <c r="BL313" s="44">
        <v>1</v>
      </c>
      <c r="BM313" s="44" t="str" cm="1">
        <f t="array" ref="BM313">_xlfn.IFS(BD313="NA","NA",BD313&gt;100%,"100%",BD313&lt;100,BD313)</f>
        <v>100%</v>
      </c>
      <c r="BN313" s="44" cm="1">
        <f t="array" ref="BN313">_xlfn.IFS(BF313="NA","NA",BF313&gt;100%,"100%",BF313&lt;100,BF313)</f>
        <v>0</v>
      </c>
      <c r="BO313" s="44" cm="1">
        <f t="array" ref="BO313">_xlfn.IFS(BH313="NA","NA",BH313&gt;100%,"100%",BH313&lt;100,BH313)</f>
        <v>0</v>
      </c>
      <c r="BP313" s="44" t="str" cm="1">
        <f t="array" ref="BP313">_xlfn.IFS(BJ313="NA","NA",BJ313&gt;100%,"100%",BJ313&lt;100,BJ313)</f>
        <v>NA</v>
      </c>
      <c r="BQ313" s="45">
        <v>0.22500000000000001</v>
      </c>
      <c r="BR313" s="45">
        <f t="shared" si="436"/>
        <v>0.1875</v>
      </c>
      <c r="BS313" s="45">
        <v>3.7499999999999999E-2</v>
      </c>
      <c r="BT313" s="45">
        <v>3.7499999999999999E-2</v>
      </c>
      <c r="BU313" s="45">
        <v>3.7499999999999999E-2</v>
      </c>
      <c r="BV313" s="45">
        <f t="shared" ref="BV313:BV347" si="528">(AD313*BQ313)/Q313</f>
        <v>0.1125</v>
      </c>
      <c r="BW313" s="45">
        <f t="shared" si="448"/>
        <v>0.1125</v>
      </c>
      <c r="BX313" s="45">
        <f t="shared" si="449"/>
        <v>0.15</v>
      </c>
      <c r="BY313" s="45">
        <f t="shared" ref="BY313:BY347" si="529">(AL313*BQ313)/Q313</f>
        <v>7.4999999999999997E-2</v>
      </c>
      <c r="BZ313" s="45">
        <f t="shared" ref="BZ313:BZ347" si="530">IF(BN313="NA","NA",BN313*BY313)</f>
        <v>0</v>
      </c>
      <c r="CA313" s="45">
        <f t="shared" si="439"/>
        <v>0</v>
      </c>
      <c r="CB313" s="45">
        <f t="shared" ref="CB313:CB347" si="531">(AN313*BQ313)/Q313</f>
        <v>0</v>
      </c>
      <c r="CC313" s="45">
        <f t="shared" ref="CC313:CC347" si="532">IF(BO313="NA","NA",BO313*CB313)</f>
        <v>0</v>
      </c>
      <c r="CD313" s="45">
        <v>0</v>
      </c>
      <c r="CE313" s="45">
        <f t="shared" ref="CE313:CE347" si="533">(AP313*BQ313)/Q313</f>
        <v>0</v>
      </c>
      <c r="CF313" s="45" t="str">
        <f t="shared" ref="CF313:CF347" si="534">IF(BP313="NA","NA",BP313*CE313)</f>
        <v>NA</v>
      </c>
      <c r="CG313" s="45">
        <v>0</v>
      </c>
      <c r="CH313" s="244"/>
      <c r="CI313" s="244"/>
      <c r="CJ313" s="244"/>
      <c r="CK313" s="244"/>
      <c r="CM313" s="63">
        <v>1.25</v>
      </c>
    </row>
    <row r="314" spans="1:91" ht="18" hidden="1" customHeight="1">
      <c r="A314" s="260" t="s">
        <v>1826</v>
      </c>
      <c r="B314" s="260" t="s">
        <v>1827</v>
      </c>
      <c r="C314" s="260" t="s">
        <v>1828</v>
      </c>
      <c r="D314" s="260" t="s">
        <v>2062</v>
      </c>
      <c r="E314" s="260" t="s">
        <v>2063</v>
      </c>
      <c r="F314" s="260" t="s">
        <v>2064</v>
      </c>
      <c r="G314" s="260" t="s">
        <v>2065</v>
      </c>
      <c r="H314" s="260" t="s">
        <v>2071</v>
      </c>
      <c r="I314" s="260"/>
      <c r="J314" s="260"/>
      <c r="K314" s="260" t="s">
        <v>2072</v>
      </c>
      <c r="L314" s="260" t="s">
        <v>2073</v>
      </c>
      <c r="M314" s="260" t="s">
        <v>2074</v>
      </c>
      <c r="N314" s="260" t="s">
        <v>111</v>
      </c>
      <c r="O314" s="260" t="s">
        <v>112</v>
      </c>
      <c r="P314" s="10">
        <v>0</v>
      </c>
      <c r="Q314" s="11">
        <v>1</v>
      </c>
      <c r="R314" s="11">
        <f t="shared" si="521"/>
        <v>1</v>
      </c>
      <c r="S314" s="11" t="str">
        <f>VLOOKUP(K314,'1121 Ambiente'!$K$13:$AK$38,9,0)</f>
        <v xml:space="preserve">Se realizó reporte de autodiagnósticos ambientales para la  promoción de la responsabilidad  ambientales empresarial y entrega de resultados de implementación de las  estrategias de responsabilidad ambiental  empresarial en las 30 empresas  seleccionadas: Estrategia Construida/diagnostico situacional de la Estrategia (Sutatausa, Quetame, Gachancipá, Cota, Puerto Salgar, Madrid, Subachoque, Cucunubá, la Palma, la Peña, Cajicá, Agua de Dios, Tenjo, Funza, Mosquera, Suesca y Cogua en temas de Responsabilidad Ambiental Empresarial.
</v>
      </c>
      <c r="T314" s="11">
        <v>0.2</v>
      </c>
      <c r="U314" s="11">
        <v>0</v>
      </c>
      <c r="V314" s="11">
        <v>0.2</v>
      </c>
      <c r="W314" s="11">
        <v>0</v>
      </c>
      <c r="X314" s="11">
        <v>0.2</v>
      </c>
      <c r="Y314" s="11">
        <v>0</v>
      </c>
      <c r="Z314" s="11">
        <v>0.2</v>
      </c>
      <c r="AA314" s="11">
        <v>0</v>
      </c>
      <c r="AB314" s="11" t="s">
        <v>2075</v>
      </c>
      <c r="AC314" s="11">
        <v>0</v>
      </c>
      <c r="AD314" s="11">
        <v>0.8</v>
      </c>
      <c r="AE314" s="11">
        <v>0</v>
      </c>
      <c r="AF314" s="11">
        <f>VLOOKUP(K314,'1121 Ambiente'!$K$13:$AK$38,22,0)</f>
        <v>0.8</v>
      </c>
      <c r="AG314" s="11">
        <f>VLOOKUP(K314,'1121 Ambiente'!$K$13:$AK$38,23,0)</f>
        <v>0</v>
      </c>
      <c r="AH314" s="11">
        <f t="shared" si="522"/>
        <v>0.8</v>
      </c>
      <c r="AI314" s="11" t="str">
        <f>VLOOKUP(K314,'1121 Ambiente'!$K$13:$AK$38,25,0)</f>
        <v>Estrategia de Responsabilidad Ambiental articulada</v>
      </c>
      <c r="AJ314" s="11" t="str">
        <f>VLOOKUP(K314,'1121 Ambiente'!$K$13:$AK$38,26,0)</f>
        <v>Definición de 30 Negocios verdes y asistencia técnica a 30 empresas (diagnostico empresarial y Formulación de un Plan Asistencial) a través del convenio 070-2020 con CAEM: Estrategia Construida/diagnostico situacional de la Estrategia (Sutatausa, Quetame, Gachancipá, Cota, Puerto Salgar, Madrid, Subachoque, Cucunubá, la Palma, la Peña, Cajicá, Agua de Dios, Tenjo, Funza, Mosquera, Suesca y Cogua) en temas de Responsabilidad Ambiental Empresarial.</v>
      </c>
      <c r="AK314" s="11" t="str">
        <f>VLOOKUP(K314,'1121 Ambiente'!$K$13:$AK$38,27,0)</f>
        <v>Se han presentado retrasos y demoras en el avance de actividades debido a los problemas de orden público y salud pública</v>
      </c>
      <c r="AL314" s="11">
        <v>0</v>
      </c>
      <c r="AM314" s="11">
        <v>1</v>
      </c>
      <c r="AN314" s="11">
        <v>0</v>
      </c>
      <c r="AO314" s="11">
        <v>0</v>
      </c>
      <c r="AP314" s="11">
        <v>0</v>
      </c>
      <c r="AQ314" s="11">
        <v>0</v>
      </c>
      <c r="AR314" s="51">
        <v>80000000</v>
      </c>
      <c r="AS314" s="54">
        <v>0</v>
      </c>
      <c r="AT314" s="54">
        <f t="shared" si="434"/>
        <v>80000000</v>
      </c>
      <c r="AU314" s="51">
        <v>71649700</v>
      </c>
      <c r="AV314" s="243">
        <v>600000000</v>
      </c>
      <c r="AW314" s="244"/>
      <c r="AX314" s="244"/>
      <c r="AY314" s="243">
        <v>458127173</v>
      </c>
      <c r="AZ314" s="44">
        <f t="shared" si="523"/>
        <v>1</v>
      </c>
      <c r="BA314" s="44">
        <v>0.2</v>
      </c>
      <c r="BB314" s="44">
        <v>1</v>
      </c>
      <c r="BC314" s="44">
        <f t="shared" si="524"/>
        <v>0.8</v>
      </c>
      <c r="BD314" s="44" cm="1">
        <f t="array" ref="BD314">_xlfn.IFS(AD314=0,"NA",AD314&gt;0,AH314/AD314)</f>
        <v>1</v>
      </c>
      <c r="BE314" s="44">
        <f t="shared" si="525"/>
        <v>0</v>
      </c>
      <c r="BF314" s="44">
        <v>0</v>
      </c>
      <c r="BG314" s="44">
        <f t="shared" si="526"/>
        <v>0</v>
      </c>
      <c r="BH314" s="44">
        <v>0</v>
      </c>
      <c r="BI314" s="44">
        <f t="shared" si="527"/>
        <v>0</v>
      </c>
      <c r="BJ314" s="44" t="s">
        <v>115</v>
      </c>
      <c r="BK314" s="44">
        <f t="shared" si="435"/>
        <v>1</v>
      </c>
      <c r="BL314" s="44">
        <v>1</v>
      </c>
      <c r="BM314" s="44" cm="1">
        <f t="array" ref="BM314">_xlfn.IFS(BD314="NA","NA",BD314&gt;100%,"100%",BD314&lt;100,BD314)</f>
        <v>1</v>
      </c>
      <c r="BN314" s="44" cm="1">
        <f t="array" ref="BN314">_xlfn.IFS(BF314="NA","NA",BF314&gt;100%,"100%",BF314&lt;100,BF314)</f>
        <v>0</v>
      </c>
      <c r="BO314" s="44" cm="1">
        <f t="array" ref="BO314">_xlfn.IFS(BH314="NA","NA",BH314&gt;100%,"100%",BH314&lt;100,BH314)</f>
        <v>0</v>
      </c>
      <c r="BP314" s="44" t="str" cm="1">
        <f t="array" ref="BP314">_xlfn.IFS(BJ314="NA","NA",BJ314&gt;100%,"100%",BJ314&lt;100,BJ314)</f>
        <v>NA</v>
      </c>
      <c r="BQ314" s="45">
        <v>0.22500000000000001</v>
      </c>
      <c r="BR314" s="45">
        <f t="shared" si="436"/>
        <v>0.22500000000000001</v>
      </c>
      <c r="BS314" s="45">
        <v>4.4999999999999998E-2</v>
      </c>
      <c r="BT314" s="45">
        <v>4.4999999999999998E-2</v>
      </c>
      <c r="BU314" s="45">
        <v>4.4999999999999998E-2</v>
      </c>
      <c r="BV314" s="45">
        <f t="shared" si="528"/>
        <v>0.18000000000000002</v>
      </c>
      <c r="BW314" s="45">
        <f t="shared" si="448"/>
        <v>0.18000000000000002</v>
      </c>
      <c r="BX314" s="45">
        <f t="shared" si="449"/>
        <v>0.18</v>
      </c>
      <c r="BY314" s="45">
        <f t="shared" si="529"/>
        <v>0</v>
      </c>
      <c r="BZ314" s="45">
        <f t="shared" si="530"/>
        <v>0</v>
      </c>
      <c r="CA314" s="45">
        <f t="shared" si="439"/>
        <v>0</v>
      </c>
      <c r="CB314" s="45">
        <f t="shared" si="531"/>
        <v>0</v>
      </c>
      <c r="CC314" s="45">
        <f t="shared" si="532"/>
        <v>0</v>
      </c>
      <c r="CD314" s="45">
        <v>0</v>
      </c>
      <c r="CE314" s="45">
        <f t="shared" si="533"/>
        <v>0</v>
      </c>
      <c r="CF314" s="45" t="str">
        <f t="shared" si="534"/>
        <v>NA</v>
      </c>
      <c r="CG314" s="45">
        <v>0</v>
      </c>
      <c r="CH314" s="244"/>
      <c r="CI314" s="244"/>
      <c r="CJ314" s="244"/>
      <c r="CK314" s="244"/>
      <c r="CM314" s="63">
        <v>0.85000000000000009</v>
      </c>
    </row>
    <row r="315" spans="1:91" ht="18" hidden="1" customHeight="1">
      <c r="A315" s="260" t="s">
        <v>1310</v>
      </c>
      <c r="B315" s="260" t="s">
        <v>1311</v>
      </c>
      <c r="C315" s="260" t="s">
        <v>1828</v>
      </c>
      <c r="D315" s="260" t="s">
        <v>2062</v>
      </c>
      <c r="E315" s="260" t="s">
        <v>2063</v>
      </c>
      <c r="F315" s="260" t="s">
        <v>2064</v>
      </c>
      <c r="G315" s="260" t="s">
        <v>2065</v>
      </c>
      <c r="H315" s="260" t="s">
        <v>2076</v>
      </c>
      <c r="I315" s="260"/>
      <c r="J315" s="260"/>
      <c r="K315" s="260" t="s">
        <v>2077</v>
      </c>
      <c r="L315" s="260" t="s">
        <v>2078</v>
      </c>
      <c r="M315" s="260" t="s">
        <v>2079</v>
      </c>
      <c r="N315" s="260" t="s">
        <v>111</v>
      </c>
      <c r="O315" s="260" t="s">
        <v>112</v>
      </c>
      <c r="P315" s="10">
        <v>0</v>
      </c>
      <c r="Q315" s="11">
        <v>100</v>
      </c>
      <c r="R315" s="11">
        <f t="shared" ca="1" si="521"/>
        <v>0</v>
      </c>
      <c r="S315" s="11">
        <f ca="1">VLOOKUP(K315,'1120 Competitividad'!$K$13:$AK$51,9,0)</f>
        <v>0</v>
      </c>
      <c r="T315" s="11">
        <v>0</v>
      </c>
      <c r="U315" s="11">
        <v>0</v>
      </c>
      <c r="V315" s="11">
        <v>0</v>
      </c>
      <c r="W315" s="11">
        <v>0</v>
      </c>
      <c r="X315" s="11">
        <v>0</v>
      </c>
      <c r="Y315" s="11">
        <v>0</v>
      </c>
      <c r="Z315" s="11">
        <v>0</v>
      </c>
      <c r="AA315" s="11"/>
      <c r="AB315" s="11"/>
      <c r="AC315" s="11"/>
      <c r="AD315" s="11">
        <v>70</v>
      </c>
      <c r="AE315" s="11">
        <v>0</v>
      </c>
      <c r="AF315" s="11">
        <f ca="1">VLOOKUP(K315,'1120 Competitividad'!$K$13:$AK$51,22,0)</f>
        <v>0</v>
      </c>
      <c r="AG315" s="11">
        <f ca="1">VLOOKUP(K315,'1120 Competitividad'!$K$13:$AK$51,23,0)</f>
        <v>0</v>
      </c>
      <c r="AH315" s="11">
        <f t="shared" ca="1" si="522"/>
        <v>0</v>
      </c>
      <c r="AI315" s="11" t="str">
        <f ca="1">VLOOKUP(K315,'1120 Competitividad'!$K$13:$AK$51,25,0)</f>
        <v xml:space="preserve">Se entregaran 70 Tanques reservorio tipo australiano con capacidad de almacenamiento de 50000 litros de agua Y 20 Bombas de succión y panel solar ( energia limpia) </v>
      </c>
      <c r="AJ315" s="11" t="str">
        <f ca="1">VLOOKUP(K315,'1120 Competitividad'!$K$13:$AK$51,26,0)</f>
        <v>Se instalara 70 reservorios  para Mipymes  esquemas asociativos o asociados de los esquemas, el objetivo es  contar con el recurso hídrico   en épocas de  sequía por el continuo cambio climático que se vive en el mundo. Se  entregaran 20  reservorios a Asociaciones con el componente  de energías limpias y renovables.</v>
      </c>
      <c r="AK315" s="11">
        <f ca="1">VLOOKUP(K315,'1120 Competitividad'!$K$13:$AK$51,27,0)</f>
        <v>0</v>
      </c>
      <c r="AL315" s="11">
        <v>30</v>
      </c>
      <c r="AM315" s="11">
        <v>0</v>
      </c>
      <c r="AN315" s="11">
        <v>0</v>
      </c>
      <c r="AO315" s="11">
        <v>0</v>
      </c>
      <c r="AP315" s="11">
        <v>0</v>
      </c>
      <c r="AQ315" s="11">
        <v>0</v>
      </c>
      <c r="AR315" s="51">
        <v>3450000000</v>
      </c>
      <c r="AS315" s="54">
        <v>0</v>
      </c>
      <c r="AT315" s="54">
        <f t="shared" si="434"/>
        <v>3450000000</v>
      </c>
      <c r="AU315" s="51">
        <v>0</v>
      </c>
      <c r="AV315" s="243">
        <v>6276000000</v>
      </c>
      <c r="AW315" s="244"/>
      <c r="AX315" s="244"/>
      <c r="AY315" s="243">
        <v>6276000000</v>
      </c>
      <c r="AZ315" s="44">
        <f t="shared" ca="1" si="523"/>
        <v>0</v>
      </c>
      <c r="BA315" s="44">
        <v>0</v>
      </c>
      <c r="BB315" s="44" t="s">
        <v>115</v>
      </c>
      <c r="BC315" s="44">
        <f t="shared" si="524"/>
        <v>0.7</v>
      </c>
      <c r="BD315" s="44" cm="1">
        <f t="array" aca="1" ref="BD315" ca="1">_xlfn.IFS(AD315=0,"NA",AD315&gt;0,AH315/AD315)</f>
        <v>0</v>
      </c>
      <c r="BE315" s="44">
        <f t="shared" si="525"/>
        <v>0.3</v>
      </c>
      <c r="BF315" s="44">
        <v>0</v>
      </c>
      <c r="BG315" s="44">
        <f t="shared" si="526"/>
        <v>0</v>
      </c>
      <c r="BH315" s="44">
        <v>0</v>
      </c>
      <c r="BI315" s="44">
        <f t="shared" si="527"/>
        <v>0</v>
      </c>
      <c r="BJ315" s="44" t="s">
        <v>115</v>
      </c>
      <c r="BK315" s="44">
        <f t="shared" ca="1" si="435"/>
        <v>0</v>
      </c>
      <c r="BL315" s="44" t="s">
        <v>115</v>
      </c>
      <c r="BM315" s="44" cm="1">
        <f t="array" aca="1" ref="BM315" ca="1">_xlfn.IFS(BD315="NA","NA",BD315&gt;100%,"100%",BD315&lt;100,BD315)</f>
        <v>0</v>
      </c>
      <c r="BN315" s="44" cm="1">
        <f t="array" ref="BN315">_xlfn.IFS(BF315="NA","NA",BF315&gt;100%,"100%",BF315&lt;100,BF315)</f>
        <v>0</v>
      </c>
      <c r="BO315" s="44" cm="1">
        <f t="array" ref="BO315">_xlfn.IFS(BH315="NA","NA",BH315&gt;100%,"100%",BH315&lt;100,BH315)</f>
        <v>0</v>
      </c>
      <c r="BP315" s="44" t="str" cm="1">
        <f t="array" ref="BP315">_xlfn.IFS(BJ315="NA","NA",BJ315&gt;100%,"100%",BJ315&lt;100,BJ315)</f>
        <v>NA</v>
      </c>
      <c r="BQ315" s="45">
        <v>0.22500000000000001</v>
      </c>
      <c r="BR315" s="45">
        <f t="shared" ca="1" si="436"/>
        <v>0</v>
      </c>
      <c r="BS315" s="45">
        <v>0</v>
      </c>
      <c r="BT315" s="45" t="s">
        <v>115</v>
      </c>
      <c r="BU315" s="45">
        <v>0</v>
      </c>
      <c r="BV315" s="45">
        <f t="shared" si="528"/>
        <v>0.1575</v>
      </c>
      <c r="BW315" s="45">
        <f t="shared" ca="1" si="448"/>
        <v>0</v>
      </c>
      <c r="BX315" s="45">
        <f t="shared" ca="1" si="449"/>
        <v>0</v>
      </c>
      <c r="BY315" s="45">
        <f t="shared" si="529"/>
        <v>6.7500000000000004E-2</v>
      </c>
      <c r="BZ315" s="45">
        <f t="shared" si="530"/>
        <v>0</v>
      </c>
      <c r="CA315" s="45">
        <f t="shared" ca="1" si="439"/>
        <v>0</v>
      </c>
      <c r="CB315" s="45">
        <f t="shared" si="531"/>
        <v>0</v>
      </c>
      <c r="CC315" s="45">
        <f t="shared" si="532"/>
        <v>0</v>
      </c>
      <c r="CD315" s="45">
        <v>0</v>
      </c>
      <c r="CE315" s="45">
        <f t="shared" si="533"/>
        <v>0</v>
      </c>
      <c r="CF315" s="45" t="str">
        <f t="shared" si="534"/>
        <v>NA</v>
      </c>
      <c r="CG315" s="45">
        <v>0</v>
      </c>
      <c r="CH315" s="244"/>
      <c r="CI315" s="244"/>
      <c r="CJ315" s="244"/>
      <c r="CK315" s="244"/>
      <c r="CM315" s="63">
        <v>0</v>
      </c>
    </row>
    <row r="316" spans="1:91" ht="18" hidden="1" customHeight="1">
      <c r="A316" s="260" t="s">
        <v>1826</v>
      </c>
      <c r="B316" s="260" t="s">
        <v>1827</v>
      </c>
      <c r="C316" s="260" t="s">
        <v>1828</v>
      </c>
      <c r="D316" s="260" t="s">
        <v>2062</v>
      </c>
      <c r="E316" s="260" t="s">
        <v>2080</v>
      </c>
      <c r="F316" s="260" t="s">
        <v>2081</v>
      </c>
      <c r="G316" s="260" t="s">
        <v>2082</v>
      </c>
      <c r="H316" s="260" t="s">
        <v>2083</v>
      </c>
      <c r="I316" s="260"/>
      <c r="J316" s="260"/>
      <c r="K316" s="260" t="s">
        <v>2084</v>
      </c>
      <c r="L316" s="260" t="s">
        <v>2085</v>
      </c>
      <c r="M316" s="260" t="s">
        <v>2086</v>
      </c>
      <c r="N316" s="260" t="s">
        <v>111</v>
      </c>
      <c r="O316" s="260" t="s">
        <v>112</v>
      </c>
      <c r="P316" s="10">
        <v>20</v>
      </c>
      <c r="Q316" s="11">
        <v>30</v>
      </c>
      <c r="R316" s="11">
        <f t="shared" si="521"/>
        <v>15</v>
      </c>
      <c r="S316" s="11" t="str">
        <f>VLOOKUP(K316,'1121 Ambiente'!$K$13:$AK$38,9,0)</f>
        <v>Durante la vigencia 2021 se han realizado 11 jornadas de Capacitación en Gestión Integral De Residuos Sólidos, Reforestación En Conmemoración Al “Día Del Árbol”, Foro Empresarial De Impacto Ambiental, Cambio Climático, Huella De Carbono Formalización De Recuperadores De Oficio, Programa De Uso Eficiente Y Ahorro Del Agua, Implementación De Los PUEAAS , Importancia De Los Sistemas Agroforestales (SAF) Y Silvopastoriles, Conmemoración “Día Mundial De Las Abejas”, Socialización Conceptos Política Publica De Cambio Climático, Uso Eficiente Del Agua Y Manejo De Residuos Sólidos, “ Reconocimiento  A Los Ganadores Del Segundo Concurso Virtual De Educación Ambiental y Charla Sobre La Cultura ambiental</v>
      </c>
      <c r="T316" s="11">
        <v>0</v>
      </c>
      <c r="U316" s="11">
        <v>0</v>
      </c>
      <c r="V316" s="11">
        <v>0</v>
      </c>
      <c r="W316" s="11">
        <v>0</v>
      </c>
      <c r="X316" s="11">
        <v>0</v>
      </c>
      <c r="Y316" s="11">
        <v>0</v>
      </c>
      <c r="Z316" s="11">
        <v>0</v>
      </c>
      <c r="AA316" s="11"/>
      <c r="AB316" s="11"/>
      <c r="AC316" s="11"/>
      <c r="AD316" s="11">
        <v>15</v>
      </c>
      <c r="AE316" s="11">
        <v>0</v>
      </c>
      <c r="AF316" s="11">
        <f>VLOOKUP(K316,'1121 Ambiente'!$K$13:$AK$38,22,0)</f>
        <v>15</v>
      </c>
      <c r="AG316" s="11">
        <f>VLOOKUP(K316,'1121 Ambiente'!$K$13:$AK$38,23,0)</f>
        <v>0</v>
      </c>
      <c r="AH316" s="11">
        <f t="shared" si="522"/>
        <v>15</v>
      </c>
      <c r="AI316" s="11" t="str">
        <f>VLOOKUP(K316,'1121 Ambiente'!$K$13:$AK$38,25,0)</f>
        <v>15 jornadas de educación ambiental</v>
      </c>
      <c r="AJ316" s="11" t="str">
        <f>VLOOKUP(K316,'1121 Ambiente'!$K$13:$AK$38,26,0)</f>
        <v>Jornada De Capacitación Gestión Integral De Residuos Sólidos, Código De Colores Dirigido A Los Funcionarios De Las Dos Administraciones Municipio De Bituima Y Chaguaní, Jornada De Reforestación En Conmemoración Al “Día Del Árbol” Municipio De San Antonio, Nilo, Arbeláez Y San Bernardo - 2300 Árboles, Jornada De Apoyo A La Gestión Municipal En Marcada En El Foro Empresarial De Impacto Ambiental, Cambio Climático, Huella De Carbono Y Código De Colores Municipio De Cota , Jornada De Capacitación Enmarcada En La Formalización De Recuperadores De Oficio Según El Decreto 596 De 2016 Y Socialización Del Nuevo Código De Colores Según Resolución 2184 De 2019 En Los Municipios De Fusagasugá, Ubaté, Quipile, Cota, Funza, Soacha, Silvania, Pasca, La Mesa, Tenjo ,  Jornada De Educación Ambiental Contenido En El Programa De Uso Eficiente Y Ahorro Del Agua, Forma Parte De La Implementación De Los PUEAAS  A Los 116 Municipios, Jornada Importancia De Los Sistemas Agroforestales (SAF) Y Silvopastoriles (SSP) Como Estrategia De Adaptación Y Mitigación Del Cambio Climático Dirigido, Jornada En Conmemoración “Día Mundial De Las Abejas” Municipio De Zipaquirá, Jornada  Taller De Socialización Conceptos Política Publica De Cambio Climático Dirigido A Los 116 Municipios, Jornada Uso Eficiente Del Agua Y Manejo De Residuos Sólidos Dirigida A Los Funcionarios Y Contratistas Del IDECUT y Jornada “ Reconocimiento  A Los Ganadores Del Segundo Concurso Virtual De Educación Ambiental Y Charla Sobre La Cultura Ambiental En El Manejo De Los Residuos Sólidos” Dirigida A Las 57 Organizaciones Que Participaron Del 2do Concurso Y Los Recuperadores Ambientales Del Departamento. 11. Jornada conservartorio “Organizaciones Ambientales, Otra Mirada A La Inclusión De La Población Recicladora En La Región” Dirigida A Las Organizaciones Ecológicas y ambientales del Departamento. 12.Jornada "Dia internacional del aire limpio para un cielo azul" dirijida al personal de la gobernacion de cundinamarca Biciusuarios para incentivar a proteger la calidad del aire, 13. JORNADA FORO EDUCATIVO AMBIENTAL, 14. SEMBRATÓN DÍA DEL ARBOL y 15. JORNADA RECICLATON GACHETA Y UBALÁ</v>
      </c>
      <c r="AK316" s="11">
        <f>VLOOKUP(K316,'1121 Ambiente'!$K$13:$AK$38,27,0)</f>
        <v>0</v>
      </c>
      <c r="AL316" s="11">
        <v>10</v>
      </c>
      <c r="AM316" s="11">
        <v>0</v>
      </c>
      <c r="AN316" s="11">
        <v>5</v>
      </c>
      <c r="AO316" s="11">
        <v>0</v>
      </c>
      <c r="AP316" s="11">
        <v>0</v>
      </c>
      <c r="AQ316" s="11">
        <v>0</v>
      </c>
      <c r="AR316" s="52"/>
      <c r="AS316" s="54">
        <v>0</v>
      </c>
      <c r="AT316" s="54">
        <f t="shared" si="434"/>
        <v>0</v>
      </c>
      <c r="AU316" s="52"/>
      <c r="AV316" s="243">
        <v>400000000</v>
      </c>
      <c r="AW316" s="244"/>
      <c r="AX316" s="244"/>
      <c r="AY316" s="243">
        <v>259474333</v>
      </c>
      <c r="AZ316" s="44">
        <f t="shared" si="523"/>
        <v>0.5</v>
      </c>
      <c r="BA316" s="44">
        <v>0</v>
      </c>
      <c r="BB316" s="44" t="s">
        <v>115</v>
      </c>
      <c r="BC316" s="44">
        <f t="shared" si="524"/>
        <v>0.5</v>
      </c>
      <c r="BD316" s="44" cm="1">
        <f t="array" ref="BD316">_xlfn.IFS(AD316=0,"NA",AD316&gt;0,AH316/AD316)</f>
        <v>1</v>
      </c>
      <c r="BE316" s="44">
        <f t="shared" si="525"/>
        <v>0.33333333333333331</v>
      </c>
      <c r="BF316" s="44">
        <v>0</v>
      </c>
      <c r="BG316" s="44">
        <f t="shared" si="526"/>
        <v>0.16666666666666666</v>
      </c>
      <c r="BH316" s="44">
        <v>0</v>
      </c>
      <c r="BI316" s="44">
        <f t="shared" si="527"/>
        <v>0</v>
      </c>
      <c r="BJ316" s="44" t="s">
        <v>115</v>
      </c>
      <c r="BK316" s="44">
        <f t="shared" si="435"/>
        <v>0.5</v>
      </c>
      <c r="BL316" s="44" t="s">
        <v>115</v>
      </c>
      <c r="BM316" s="44" cm="1">
        <f t="array" ref="BM316">_xlfn.IFS(BD316="NA","NA",BD316&gt;100%,"100%",BD316&lt;100,BD316)</f>
        <v>1</v>
      </c>
      <c r="BN316" s="44" cm="1">
        <f t="array" ref="BN316">_xlfn.IFS(BF316="NA","NA",BF316&gt;100%,"100%",BF316&lt;100,BF316)</f>
        <v>0</v>
      </c>
      <c r="BO316" s="44" cm="1">
        <f t="array" ref="BO316">_xlfn.IFS(BH316="NA","NA",BH316&gt;100%,"100%",BH316&lt;100,BH316)</f>
        <v>0</v>
      </c>
      <c r="BP316" s="44" t="str" cm="1">
        <f t="array" ref="BP316">_xlfn.IFS(BJ316="NA","NA",BJ316&gt;100%,"100%",BJ316&lt;100,BJ316)</f>
        <v>NA</v>
      </c>
      <c r="BQ316" s="45">
        <v>0.224</v>
      </c>
      <c r="BR316" s="45">
        <f t="shared" si="436"/>
        <v>0.112</v>
      </c>
      <c r="BS316" s="45">
        <v>0</v>
      </c>
      <c r="BT316" s="45" t="s">
        <v>115</v>
      </c>
      <c r="BU316" s="45">
        <v>0</v>
      </c>
      <c r="BV316" s="45">
        <f t="shared" si="528"/>
        <v>0.112</v>
      </c>
      <c r="BW316" s="45">
        <f t="shared" si="448"/>
        <v>0.112</v>
      </c>
      <c r="BX316" s="45">
        <f t="shared" si="449"/>
        <v>0.112</v>
      </c>
      <c r="BY316" s="45">
        <f t="shared" si="529"/>
        <v>7.4666666666666673E-2</v>
      </c>
      <c r="BZ316" s="45">
        <f t="shared" si="530"/>
        <v>0</v>
      </c>
      <c r="CA316" s="45">
        <f t="shared" si="439"/>
        <v>0</v>
      </c>
      <c r="CB316" s="45">
        <f t="shared" si="531"/>
        <v>3.7333333333333336E-2</v>
      </c>
      <c r="CC316" s="45">
        <f t="shared" si="532"/>
        <v>0</v>
      </c>
      <c r="CD316" s="45">
        <v>0</v>
      </c>
      <c r="CE316" s="45">
        <f t="shared" si="533"/>
        <v>0</v>
      </c>
      <c r="CF316" s="45" t="str">
        <f t="shared" si="534"/>
        <v>NA</v>
      </c>
      <c r="CG316" s="45">
        <v>0</v>
      </c>
      <c r="CH316" s="244"/>
      <c r="CI316" s="244"/>
      <c r="CJ316" s="244"/>
      <c r="CK316" s="244"/>
      <c r="CM316" s="63">
        <v>11</v>
      </c>
    </row>
    <row r="317" spans="1:91" ht="18" hidden="1" customHeight="1">
      <c r="A317" s="260" t="s">
        <v>1826</v>
      </c>
      <c r="B317" s="260" t="s">
        <v>1827</v>
      </c>
      <c r="C317" s="260" t="s">
        <v>1828</v>
      </c>
      <c r="D317" s="260" t="s">
        <v>2062</v>
      </c>
      <c r="E317" s="260" t="s">
        <v>2080</v>
      </c>
      <c r="F317" s="260" t="s">
        <v>2081</v>
      </c>
      <c r="G317" s="260" t="s">
        <v>2082</v>
      </c>
      <c r="H317" s="260" t="s">
        <v>2087</v>
      </c>
      <c r="I317" s="260"/>
      <c r="J317" s="260"/>
      <c r="K317" s="260" t="s">
        <v>2088</v>
      </c>
      <c r="L317" s="260" t="s">
        <v>2089</v>
      </c>
      <c r="M317" s="260" t="s">
        <v>1848</v>
      </c>
      <c r="N317" s="260" t="s">
        <v>111</v>
      </c>
      <c r="O317" s="260" t="s">
        <v>112</v>
      </c>
      <c r="P317" s="10">
        <v>20</v>
      </c>
      <c r="Q317" s="11">
        <v>20</v>
      </c>
      <c r="R317" s="11">
        <f t="shared" si="521"/>
        <v>20</v>
      </c>
      <c r="S317" s="11" t="str">
        <f>VLOOKUP(K317,'1121 Ambiente'!$K$13:$AK$38,9,0)</f>
        <v xml:space="preserve">Se ha realizado asistencia técnica y capacitación en los municipios de Cajicá, Guayabal de Síquima y Cáqueza  con la implementación de proyectos de educación ambiental  "Sensibilización a la comunidad para el manejo de residuos sólidos (heces de mascotas) en el área urbana del municipio de Cajicá", "Construcción de cultura ambiental mediante el reciclaje en el municipio de Guayabal de Síquima"  y “Comité Interinstitucional de Educación Ambiental para la Generación de Cultura Ambiental en el Manejo Integral de los Residuos Orgánicos en el Municipio de Cáqueza”, beneficiando un total de 18.956 personas.
</v>
      </c>
      <c r="T317" s="11">
        <v>9</v>
      </c>
      <c r="U317" s="11">
        <v>0</v>
      </c>
      <c r="V317" s="11">
        <v>9</v>
      </c>
      <c r="W317" s="11">
        <v>0</v>
      </c>
      <c r="X317" s="11">
        <v>9</v>
      </c>
      <c r="Y317" s="11">
        <v>0</v>
      </c>
      <c r="Z317" s="11">
        <v>9</v>
      </c>
      <c r="AA317" s="11">
        <v>0</v>
      </c>
      <c r="AB317" s="11"/>
      <c r="AC317" s="11">
        <v>0</v>
      </c>
      <c r="AD317" s="11">
        <v>8</v>
      </c>
      <c r="AE317" s="11">
        <v>0</v>
      </c>
      <c r="AF317" s="11">
        <f>VLOOKUP(K317,'1121 Ambiente'!$K$13:$AK$38,22,0)</f>
        <v>11</v>
      </c>
      <c r="AG317" s="11">
        <f>VLOOKUP(K317,'1121 Ambiente'!$K$13:$AK$38,23,0)</f>
        <v>0</v>
      </c>
      <c r="AH317" s="11">
        <f t="shared" si="522"/>
        <v>11</v>
      </c>
      <c r="AI317" s="11" t="str">
        <f>VLOOKUP(K317,'1121 Ambiente'!$K$13:$AK$38,25,0)</f>
        <v>11 proyectos de educación ambiental implementados</v>
      </c>
      <c r="AJ317" s="11" t="str">
        <f>VLOOKUP(K317,'1121 Ambiente'!$K$13:$AK$38,26,0)</f>
        <v>Durante el primer concurso virtual de Educación ambiental realizado el pasado 12/08/2020 se premiaron nueve proyectos, en Ahorro y uso eficiente del agua y/o residuos sólidos" e "Innovación en el manejo de residuos sólidos y cambio climático" beneficiando a los municipios de Medina, Junín, Sasaima, Tabio, Granada, Anolaima, Sibaté y Soacha, y un total de 41.178personas.
Así mismo, para la vigencia 2021 se ha reportó asistencia técnica y capacitación en los municipios de Cajicá, Guayabal de Síquima y Cáqueza  con la implementación de proyectos de educación ambiental  "Sensibilización a la comunidad para el manejo de residuos sólidos (heces de mascotas) en el área urbana del municipio de Cajicá", "Construcción de cultura ambiental mediante el reciclaje en el municipio de Guayabal de Síquima"  y “Comité Interinstitucional de Educación Ambiental para la Generación de Cultura Ambiental en el Manejo Integral de los Residuos Orgánicos en el Municipio de Cáqueza”, beneficiando un total de 18.956 personas.
Se realizo el desembolso de los 10 proyectos ganadores del segundo concruso virtual de educacion ambiental, con fecha de inicio del 30 de agosto del año 2021 para la respectiva ejecucion de cada proyecto y su seguimiento por parte de la direccion de educacion y cultura ambiental.No Beneficiarios:36970</v>
      </c>
      <c r="AK317" s="11">
        <f>VLOOKUP(K317,'1121 Ambiente'!$K$13:$AK$38,27,0)</f>
        <v>0</v>
      </c>
      <c r="AL317" s="11">
        <v>3</v>
      </c>
      <c r="AM317" s="11">
        <v>0</v>
      </c>
      <c r="AN317" s="11">
        <v>0</v>
      </c>
      <c r="AO317" s="11">
        <v>0</v>
      </c>
      <c r="AP317" s="11">
        <v>0</v>
      </c>
      <c r="AQ317" s="11">
        <v>0</v>
      </c>
      <c r="AR317" s="51">
        <v>110383135</v>
      </c>
      <c r="AS317" s="54">
        <v>0</v>
      </c>
      <c r="AT317" s="54">
        <f t="shared" si="434"/>
        <v>110383135</v>
      </c>
      <c r="AU317" s="51">
        <v>109690300</v>
      </c>
      <c r="AV317" s="243">
        <v>150000000</v>
      </c>
      <c r="AW317" s="244"/>
      <c r="AX317" s="244"/>
      <c r="AY317" s="243">
        <v>135332003</v>
      </c>
      <c r="AZ317" s="44">
        <f t="shared" si="523"/>
        <v>1</v>
      </c>
      <c r="BA317" s="44">
        <v>0.45</v>
      </c>
      <c r="BB317" s="44">
        <v>1</v>
      </c>
      <c r="BC317" s="44">
        <f t="shared" si="524"/>
        <v>0.4</v>
      </c>
      <c r="BD317" s="44" cm="1">
        <f t="array" ref="BD317">_xlfn.IFS(AD317=0,"NA",AD317&gt;0,AH317/AD317)</f>
        <v>1.375</v>
      </c>
      <c r="BE317" s="44">
        <f t="shared" si="525"/>
        <v>0.15</v>
      </c>
      <c r="BF317" s="44">
        <v>0</v>
      </c>
      <c r="BG317" s="44">
        <f t="shared" si="526"/>
        <v>0</v>
      </c>
      <c r="BH317" s="44">
        <v>0</v>
      </c>
      <c r="BI317" s="44">
        <f t="shared" si="527"/>
        <v>0</v>
      </c>
      <c r="BJ317" s="44" t="s">
        <v>115</v>
      </c>
      <c r="BK317" s="44">
        <f t="shared" si="435"/>
        <v>1</v>
      </c>
      <c r="BL317" s="44">
        <v>1</v>
      </c>
      <c r="BM317" s="44" t="str" cm="1">
        <f t="array" ref="BM317">_xlfn.IFS(BD317="NA","NA",BD317&gt;100%,"100%",BD317&lt;100,BD317)</f>
        <v>100%</v>
      </c>
      <c r="BN317" s="44" cm="1">
        <f t="array" ref="BN317">_xlfn.IFS(BF317="NA","NA",BF317&gt;100%,"100%",BF317&lt;100,BF317)</f>
        <v>0</v>
      </c>
      <c r="BO317" s="44" cm="1">
        <f t="array" ref="BO317">_xlfn.IFS(BH317="NA","NA",BH317&gt;100%,"100%",BH317&lt;100,BH317)</f>
        <v>0</v>
      </c>
      <c r="BP317" s="44" t="str" cm="1">
        <f t="array" ref="BP317">_xlfn.IFS(BJ317="NA","NA",BJ317&gt;100%,"100%",BJ317&lt;100,BJ317)</f>
        <v>NA</v>
      </c>
      <c r="BQ317" s="45">
        <v>0.224</v>
      </c>
      <c r="BR317" s="45">
        <f t="shared" si="436"/>
        <v>0.224</v>
      </c>
      <c r="BS317" s="45">
        <v>0.1008</v>
      </c>
      <c r="BT317" s="45">
        <v>0.1008</v>
      </c>
      <c r="BU317" s="45">
        <v>0.1008</v>
      </c>
      <c r="BV317" s="45">
        <f t="shared" si="528"/>
        <v>8.9599999999999999E-2</v>
      </c>
      <c r="BW317" s="45">
        <f t="shared" si="448"/>
        <v>8.9599999999999999E-2</v>
      </c>
      <c r="BX317" s="45">
        <f t="shared" si="449"/>
        <v>0.1232</v>
      </c>
      <c r="BY317" s="45">
        <f t="shared" si="529"/>
        <v>3.3600000000000005E-2</v>
      </c>
      <c r="BZ317" s="45">
        <f t="shared" si="530"/>
        <v>0</v>
      </c>
      <c r="CA317" s="45">
        <f t="shared" si="439"/>
        <v>0</v>
      </c>
      <c r="CB317" s="45">
        <f t="shared" si="531"/>
        <v>0</v>
      </c>
      <c r="CC317" s="45">
        <f t="shared" si="532"/>
        <v>0</v>
      </c>
      <c r="CD317" s="45">
        <v>0</v>
      </c>
      <c r="CE317" s="45">
        <f t="shared" si="533"/>
        <v>0</v>
      </c>
      <c r="CF317" s="45" t="str">
        <f t="shared" si="534"/>
        <v>NA</v>
      </c>
      <c r="CG317" s="45">
        <v>0</v>
      </c>
      <c r="CH317" s="244"/>
      <c r="CI317" s="244"/>
      <c r="CJ317" s="244"/>
      <c r="CK317" s="244"/>
      <c r="CM317" s="63">
        <v>13</v>
      </c>
    </row>
    <row r="318" spans="1:91" ht="18" hidden="1" customHeight="1">
      <c r="A318" s="260" t="s">
        <v>2090</v>
      </c>
      <c r="B318" s="260" t="s">
        <v>2091</v>
      </c>
      <c r="C318" s="260" t="s">
        <v>1828</v>
      </c>
      <c r="D318" s="260" t="s">
        <v>2062</v>
      </c>
      <c r="E318" s="260" t="s">
        <v>2080</v>
      </c>
      <c r="F318" s="260" t="s">
        <v>2081</v>
      </c>
      <c r="G318" s="260" t="s">
        <v>2082</v>
      </c>
      <c r="H318" s="260" t="s">
        <v>2092</v>
      </c>
      <c r="I318" s="260"/>
      <c r="J318" s="260"/>
      <c r="K318" s="260" t="s">
        <v>2093</v>
      </c>
      <c r="L318" s="260" t="s">
        <v>2094</v>
      </c>
      <c r="M318" s="260" t="s">
        <v>2095</v>
      </c>
      <c r="N318" s="260" t="s">
        <v>123</v>
      </c>
      <c r="O318" s="260" t="s">
        <v>112</v>
      </c>
      <c r="P318" s="10">
        <v>0</v>
      </c>
      <c r="Q318" s="11">
        <v>100</v>
      </c>
      <c r="R318" s="11">
        <f t="shared" si="521"/>
        <v>49.45</v>
      </c>
      <c r="S318" s="11" t="str">
        <f>VLOOKUP(K318,'1114 Función Pub.'!$K$13:$AK$16,9,0)</f>
        <v>En 2020, para el logro de esta meta se procedió a realizar:
 ·         La adecuación acopio central de almacenamiento central de residuos sólidos en la sede central de la Gobernación de Cundinamarca.
·         La reactivación del convenio de los programas posconsumo articulado con la Secretaría del Ambiente y el Ministerio de Ambiente y Desarrollo Sostenible.
·         La definición del proyecto para el aprovechamiento de  residuos generados en la Gobernación y sus Sedes Externas.
·         La capacitación al personal técnico y operativo de la sede central y sedes externas en el marco de almacenamiento de sustancias químicas y kit de derrames, con apoyo de la ARL Positiva.
·         La socialización de manejo integral de residuos sólidos con los restaurantes de la Gobernación.
En 2021 se ha logrado:
1.       Definir y estructurar el contexto organizacional, así mismo se realizó la definición de partes interesadas del proceso de Gestión Ambiental, tal y como lo define la norma ISO 14001:2015.
2.       Dar inicio a la etapa de entrenamiento teórico – práctico, que es base para los resultados que se pretenden lograr en el reconocimiento de excelencia en la Gestión Ambiental de la Gobernación de Cundinamarca.
3.       Proceder con la publicación y evaluación de las propuestas de la Convocatoria Pública a asociaciones de recicladores de oficio, con el fin de realizar aprovechamiento de residuos. A la fecha se encuentra en trámite el perfeccionamiento del convenio.
4.       Realizar la actualización del alcance del manual del SIGC en el marco ambiental, dando cumplimiento a la NTC ISO 14001:2015.
5.       Crear los procedimientos y formatos de inspecciones ambientales, así mismo, fueron realizadas las visitas técnicas a la Sede Central y las Sedes Externas, en coordinación con el equipo de SST y la Secretaría General.
6.       Socializar con Secretaria General, Inmobiliaria normatividad y ajustes del nuevo código de colores para la separación de residuos.
2021: Conformacion de equipo de meoramiento, definicion de la caracterizacion del proceso Gestion Ambiental, firma de convenio con Asociacion de recicladores y ejecucion de capacitaciones de apropiacion del sistema</v>
      </c>
      <c r="T318" s="11">
        <v>10</v>
      </c>
      <c r="U318" s="11">
        <v>0</v>
      </c>
      <c r="V318" s="11">
        <v>10</v>
      </c>
      <c r="W318" s="11">
        <v>0</v>
      </c>
      <c r="X318" s="11">
        <v>10</v>
      </c>
      <c r="Y318" s="11">
        <v>0</v>
      </c>
      <c r="Z318" s="11">
        <v>10</v>
      </c>
      <c r="AA318" s="11">
        <v>0</v>
      </c>
      <c r="AB318" s="11" t="s">
        <v>2096</v>
      </c>
      <c r="AC318" s="11">
        <v>0</v>
      </c>
      <c r="AD318" s="11">
        <v>40</v>
      </c>
      <c r="AE318" s="11">
        <v>0</v>
      </c>
      <c r="AF318" s="11">
        <f>VLOOKUP(K318,'1114 Función Pub.'!$K$13:$AK$16,22,0)</f>
        <v>39.450000000000003</v>
      </c>
      <c r="AG318" s="11">
        <f>VLOOKUP(K318,'1114 Función Pub.'!$K$13:$AK$16,23,0)</f>
        <v>0</v>
      </c>
      <c r="AH318" s="11">
        <f t="shared" si="522"/>
        <v>39.450000000000003</v>
      </c>
      <c r="AI318" s="11" t="str">
        <f>VLOOKUP(K318,'1114 Función Pub.'!$K$13:$AK$16,25,0)</f>
        <v>1.       El centro acopio de residuos sólidos de acuerdo con la normatividad vigente.
2.       Los manifiestos que certifican la correcta disposición final de los residuos de posconsumo.  
3.       Convenio con la asociación recicladores para el aprovechamiento de residuos reciclables.
4.       Manual del SIGC actualizado de acuerdo con el estándar ISO 14001:2015
5.       Procedimientos y formatos de inspecciones ambientales verificados por la Secretaría General y la Secretaría de Ambiente.
Julio 2021:
precontractuales para la realización de un contrato cuyo objeto es “REALIZAR EL LEVANTAMIENTO DE ALGUNOS PUNTOS DE VERTIMIENTO, IDENTIFICANDO LAS REDES COMBINADAS Y PUNTOS DE DESCARGA AL ALCANTARILLADO PÚBLICO EN EL MARCO DE LA IMPLEMENTACIÓN DEL SISTEMA DE GESTIÓN AMBIENTAL DE LA GOBERNACIÓN DE CUNDINAMARCA”, enviado al área Jurídica para continuar el trámite correspondiente.
Agosto 2021:
Firma del contrato con Ingeniería y Gestión de la Calidad y el medio Ambiente S.A.S. 31/08/2021, pendiente acta de inicio.
Aprobación y socialización de la caracterización del proceso Gestión Ambiental. 31/08/2021
Capacitación sobre separación de residuos en la fuente en el lugar de trabajo. 13.08/2021
Septiembre 2021: Se realizó inicio de contrato de identificación de puntos posibles vertimiento en sede central y almacén de secretaria de salud, ajuste a programas de residuos peligrosos socializado con la secretaria distrital de ambiente, capacitación a sedes externas en separación de residuos convencionales, acompañamiento a la dirección de desarrollo organizacional en presupuesto año 2022, creación de indicadores de gestión ambiental.</v>
      </c>
      <c r="AJ318" s="11" t="str">
        <f>VLOOKUP(K318,'1114 Función Pub.'!$K$13:$AK$16,26,0)</f>
        <v>A marzo de 2021, se ha logrado:
 ·    Conformar el equipo de mejoramiento del Proceso de Gestión Ambiental.
·         La actualización del SIGC, incorporando el Proceso de Gestión Ambiental como un proceso de apoyo.
·         Estandarización de los formatos de visitas e inspecciones a la sede central y las sedes externas, dando cumplimiento a la normatividad ambiental vigente.
·         Inscripción de la Gobernación de Cundinamarca al programa ACERCAR, que busca el sello de excelencia ambiental.
·         Inscripción del convenio con la asociación de recicladores Puerta de Oro, dando cumplimiento al Decreto 596 de 2015.
Junio 2021:
•	Seguimiento al convenio de aprovechamiento de residuos en la Entidad
•	Capacitación a las empresas de servicios generales en separación de residuos sólidos
•	Reunión y actualización  del PIGA con Secretaria del Ambiente
•	Realización de estudios previos para identificación de redes sanitarias susceptibles a generación de vertimientos
•	Participación en el programa ACERCAR sesión 10, 11 y 12
•	Elaboración de Programa de residuos sólidos convencionales.
•	Realización de caracterización de residuos peligrosos según decreto 4741 de 2005
•	Realización de formatos de registro diario de residuos peligrosos y no peligrosos
Agosto 2021: Firma del contrato con Ingeniería y Gestión de la Calidad y el medio Ambiente S.A.S. 31/08/2021, pendiente acta de inicio.
Aprobación y socialización de la caracterización del proceso Gestión Ambiental. 31/08/2021
Capacitación sobre separación de residuos en la fuente en el lugar de trabajo. 13.08/2021
Octubre 2021: Se ajustó y finalizó la matriz de requisitos legales y otros requisitos, se ajustó el plan y el programa de Gestión Integral de Residuos Peligrosos, se realizó seguimiento al contrato de identificación de puntos de descarga de posibles vertimientos (está en proceso de revisión del informe de actividades), seguimiento al convenio de asociación de recicladores (se completaron 10 capacitaciones y un porcentaje de entrega de informes de recolección de 66.66%)
Nov 2021: Se logró el nivel 3: sistema de gestión ambiental en el programa de ACERCAR de Secretaría Distrital de Ambiente con un puntaje de 97,07. Se culminó el contrato de identificación de puntos de descarga de vertimientos. Se inició la etapa de planificación de los programas de uso eficiente y ahorro de agua y energía. Se completaron 12 de las 13 capacitaciones planificadas con la asociación de recicladores de oficio Puerta de Oro. Se dio cumplimiento normativo en la sede central en cuanto a publicidad exterior visual, manejo de residuos peligrosos, gestión de aceite vegetal usado, registro del Departamento de Gestión Ambiental, entre otros. Se finalizó la matriz de aspectos e impactos ambientales del 123 y se ajustó la matriz de la sede central, laboratorio de salud pública y CRUE</v>
      </c>
      <c r="AK318" s="11" t="str">
        <f>VLOOKUP(K318,'1114 Función Pub.'!$K$13:$AK$16,27,0)</f>
        <v>1.       Recursos financieros limitados para el desarrollo de las iniciativas de impacto ambiental.
2.       Falta de tiempo, por parte de los miembros de los equipos de mejoramiento, para la aplicación de los instrumentos definidos.</v>
      </c>
      <c r="AL318" s="11">
        <v>30</v>
      </c>
      <c r="AM318" s="11">
        <v>0</v>
      </c>
      <c r="AN318" s="11">
        <v>20</v>
      </c>
      <c r="AO318" s="11">
        <v>0</v>
      </c>
      <c r="AP318" s="11">
        <v>0</v>
      </c>
      <c r="AQ318" s="11">
        <v>0</v>
      </c>
      <c r="AR318" s="52"/>
      <c r="AS318" s="54">
        <v>41478360</v>
      </c>
      <c r="AT318" s="54">
        <f t="shared" si="434"/>
        <v>41478360</v>
      </c>
      <c r="AU318" s="52"/>
      <c r="AV318" s="243">
        <v>14718465</v>
      </c>
      <c r="AW318" s="244"/>
      <c r="AX318" s="244"/>
      <c r="AY318" s="243">
        <v>13030500</v>
      </c>
      <c r="AZ318" s="44">
        <f t="shared" si="523"/>
        <v>0.49450000000000005</v>
      </c>
      <c r="BA318" s="44">
        <v>0.1</v>
      </c>
      <c r="BB318" s="44">
        <v>1</v>
      </c>
      <c r="BC318" s="44">
        <f t="shared" si="524"/>
        <v>0.4</v>
      </c>
      <c r="BD318" s="44" cm="1">
        <f t="array" ref="BD318">_xlfn.IFS(AD318=0,"NA",AD318&gt;0,AH318/AD318)</f>
        <v>0.98625000000000007</v>
      </c>
      <c r="BE318" s="44">
        <f t="shared" si="525"/>
        <v>0.3</v>
      </c>
      <c r="BF318" s="44">
        <v>0</v>
      </c>
      <c r="BG318" s="44">
        <f t="shared" si="526"/>
        <v>0.2</v>
      </c>
      <c r="BH318" s="44">
        <v>0</v>
      </c>
      <c r="BI318" s="44">
        <f t="shared" si="527"/>
        <v>0</v>
      </c>
      <c r="BJ318" s="44" t="s">
        <v>115</v>
      </c>
      <c r="BK318" s="44">
        <f t="shared" si="435"/>
        <v>0.49450000000000005</v>
      </c>
      <c r="BL318" s="44">
        <v>1</v>
      </c>
      <c r="BM318" s="44" cm="1">
        <f t="array" ref="BM318">_xlfn.IFS(BD318="NA","NA",BD318&gt;100%,"100%",BD318&lt;100,BD318)</f>
        <v>0.98625000000000007</v>
      </c>
      <c r="BN318" s="44" cm="1">
        <f t="array" ref="BN318">_xlfn.IFS(BF318="NA","NA",BF318&gt;100%,"100%",BF318&lt;100,BF318)</f>
        <v>0</v>
      </c>
      <c r="BO318" s="44" cm="1">
        <f t="array" ref="BO318">_xlfn.IFS(BH318="NA","NA",BH318&gt;100%,"100%",BH318&lt;100,BH318)</f>
        <v>0</v>
      </c>
      <c r="BP318" s="44" t="str" cm="1">
        <f t="array" ref="BP318">_xlfn.IFS(BJ318="NA","NA",BJ318&gt;100%,"100%",BJ318&lt;100,BJ318)</f>
        <v>NA</v>
      </c>
      <c r="BQ318" s="45">
        <v>0.224</v>
      </c>
      <c r="BR318" s="45">
        <f t="shared" si="436"/>
        <v>0.11076800000000002</v>
      </c>
      <c r="BS318" s="45">
        <v>2.24E-2</v>
      </c>
      <c r="BT318" s="45">
        <v>2.24E-2</v>
      </c>
      <c r="BU318" s="45">
        <v>2.24E-2</v>
      </c>
      <c r="BV318" s="45">
        <f t="shared" si="528"/>
        <v>8.9600000000000013E-2</v>
      </c>
      <c r="BW318" s="45">
        <f t="shared" si="448"/>
        <v>8.8368000000000016E-2</v>
      </c>
      <c r="BX318" s="45">
        <f t="shared" si="449"/>
        <v>8.8368000000000016E-2</v>
      </c>
      <c r="BY318" s="45">
        <f t="shared" si="529"/>
        <v>6.7199999999999996E-2</v>
      </c>
      <c r="BZ318" s="45">
        <f t="shared" si="530"/>
        <v>0</v>
      </c>
      <c r="CA318" s="45">
        <f t="shared" si="439"/>
        <v>0</v>
      </c>
      <c r="CB318" s="45">
        <f t="shared" si="531"/>
        <v>4.4800000000000006E-2</v>
      </c>
      <c r="CC318" s="45">
        <f t="shared" si="532"/>
        <v>0</v>
      </c>
      <c r="CD318" s="45">
        <v>0</v>
      </c>
      <c r="CE318" s="45">
        <f t="shared" si="533"/>
        <v>0</v>
      </c>
      <c r="CF318" s="45" t="str">
        <f t="shared" si="534"/>
        <v>NA</v>
      </c>
      <c r="CG318" s="45">
        <v>0</v>
      </c>
      <c r="CH318" s="244"/>
      <c r="CI318" s="244"/>
      <c r="CJ318" s="244"/>
      <c r="CK318" s="244"/>
      <c r="CM318" s="63">
        <v>36.299999999999997</v>
      </c>
    </row>
    <row r="319" spans="1:91" ht="18" hidden="1" customHeight="1">
      <c r="A319" s="260" t="s">
        <v>1826</v>
      </c>
      <c r="B319" s="260" t="s">
        <v>1827</v>
      </c>
      <c r="C319" s="260" t="s">
        <v>1828</v>
      </c>
      <c r="D319" s="260" t="s">
        <v>2062</v>
      </c>
      <c r="E319" s="260" t="s">
        <v>2097</v>
      </c>
      <c r="F319" s="260" t="s">
        <v>2098</v>
      </c>
      <c r="G319" s="260" t="s">
        <v>2099</v>
      </c>
      <c r="H319" s="260" t="s">
        <v>2100</v>
      </c>
      <c r="I319" s="260"/>
      <c r="J319" s="260"/>
      <c r="K319" s="260" t="s">
        <v>2101</v>
      </c>
      <c r="L319" s="260" t="s">
        <v>2102</v>
      </c>
      <c r="M319" s="260" t="s">
        <v>2103</v>
      </c>
      <c r="N319" s="260" t="s">
        <v>111</v>
      </c>
      <c r="O319" s="260" t="s">
        <v>112</v>
      </c>
      <c r="P319" s="10">
        <v>1</v>
      </c>
      <c r="Q319" s="11">
        <v>1</v>
      </c>
      <c r="R319" s="11">
        <f t="shared" si="521"/>
        <v>0.5</v>
      </c>
      <c r="S319" s="11" t="str">
        <f>VLOOKUP(K319,'1121 Ambiente'!$K$13:$AK$38,9,0)</f>
        <v xml:space="preserve">Estrategia de huella de carbono Institucional implementada . Se concluyó la medición de huella de carbono y se inician procesos de vinculación. 
Se desarrollo el taller de socialización para el manejo de la huella de carbono en hospitales verdes, con cobertura en  46  municipios.
</v>
      </c>
      <c r="T319" s="11">
        <v>0.25</v>
      </c>
      <c r="U319" s="11">
        <v>0</v>
      </c>
      <c r="V319" s="11">
        <v>0.25</v>
      </c>
      <c r="W319" s="11">
        <v>0</v>
      </c>
      <c r="X319" s="11">
        <v>0.25</v>
      </c>
      <c r="Y319" s="11">
        <v>0</v>
      </c>
      <c r="Z319" s="11">
        <v>0.25</v>
      </c>
      <c r="AA319" s="11">
        <v>0</v>
      </c>
      <c r="AB319" s="11" t="s">
        <v>2104</v>
      </c>
      <c r="AC319" s="11">
        <v>0</v>
      </c>
      <c r="AD319" s="11">
        <v>0.25</v>
      </c>
      <c r="AE319" s="11">
        <v>0</v>
      </c>
      <c r="AF319" s="11">
        <f>VLOOKUP(K319,'1121 Ambiente'!$K$13:$AK$38,22,0)</f>
        <v>0.25</v>
      </c>
      <c r="AG319" s="11">
        <f>VLOOKUP(K319,'1121 Ambiente'!$K$13:$AK$38,23,0)</f>
        <v>0</v>
      </c>
      <c r="AH319" s="11">
        <f t="shared" si="522"/>
        <v>0.25</v>
      </c>
      <c r="AI319" s="11" t="str">
        <f>VLOOKUP(K319,'1121 Ambiente'!$K$13:$AK$38,25,0)</f>
        <v>Entrega de la calculadora huella de carbono</v>
      </c>
      <c r="AJ319" s="11" t="str">
        <f>VLOOKUP(K319,'1121 Ambiente'!$K$13:$AK$38,26,0)</f>
        <v xml:space="preserve">Estrategia de huella de carbono Institucional implementada . Se concluye la medición de huella de carbono y se inician procesos de vinculación para una auditoria ISO 14064-1 que permita la certificación de Empresa de Licores en Huella de Carbono. Compensación 225 Ton Co2/año - 1.349 árboles nativos. Se avanza en la recopilación de información relacionada con la compensación que deben hacer los municipios y hospitales. Se utilizará la calculadora en los municipios seleccionado.
Se desarrollo el taller de socializacion para el manejo de la huella de carbono en hospitales verdes, con cobertura en  46  municipios :  Agua De Dios, Anolaima ,Arbelaez,Cajica , Cáqueza, Chía , Choconta ,El Colegio, Facatativá ,Fomeque , Choachi, Ubaque ,Funza ,Fusagasuga ,Gachetá, Girardot ,Guacheta ,Guatavita ,Junin ,La Mesa ,La Palma ,Madrid ,Medina, Mosquera,Nemocon ,Pacho ,Puerto Salgar ,Ricaurte ,San Francisco De Sales ,San Juan De Rioseco ,Sasaima,Sesquile ,Silvania, Soacha ,Sopo, Suesca ,Tabio, Tausa ,Tenjo ,Tocaima, Ubaté,Une, Vergara ,Viani ,Villeta, Zipaquirá. 
Se socializo y entrego formalmente la calculadora de Huella de Carbono a los 46 Hospitales dentro de la red de hospitales Verdes.  Se realiza la medicion de la huella de carbono de la sede administrativa de la Gobernacion de Cundinamarca. 
Se avanza en la vinculacion  formal de los 46 hospitales verdes del Departamento en el programa de medicion de huella y su corresponsabilidad con Responsabilidad Ambiental Empresarial.  Se Desarrolla la medicion de huella de carbono del Departamento .  Se requiere a los hospitales verdes su certificacion de compensacion de huella de carbono. </v>
      </c>
      <c r="AK319" s="11">
        <f>VLOOKUP(K319,'1121 Ambiente'!$K$13:$AK$38,27,0)</f>
        <v>0</v>
      </c>
      <c r="AL319" s="11">
        <v>0.25</v>
      </c>
      <c r="AM319" s="11">
        <v>0</v>
      </c>
      <c r="AN319" s="11">
        <v>0.25</v>
      </c>
      <c r="AO319" s="11">
        <v>0</v>
      </c>
      <c r="AP319" s="11">
        <v>0</v>
      </c>
      <c r="AQ319" s="11">
        <v>0</v>
      </c>
      <c r="AR319" s="51">
        <v>18330620</v>
      </c>
      <c r="AS319" s="54">
        <v>0</v>
      </c>
      <c r="AT319" s="54">
        <f t="shared" si="434"/>
        <v>18330620</v>
      </c>
      <c r="AU319" s="51">
        <v>18330000</v>
      </c>
      <c r="AV319" s="243">
        <v>200000000</v>
      </c>
      <c r="AW319" s="244"/>
      <c r="AX319" s="244"/>
      <c r="AY319" s="243">
        <v>136597714</v>
      </c>
      <c r="AZ319" s="44">
        <f t="shared" si="523"/>
        <v>0.5</v>
      </c>
      <c r="BA319" s="44">
        <v>0.25</v>
      </c>
      <c r="BB319" s="44">
        <v>1</v>
      </c>
      <c r="BC319" s="44">
        <f t="shared" si="524"/>
        <v>0.25</v>
      </c>
      <c r="BD319" s="44" cm="1">
        <f t="array" ref="BD319">_xlfn.IFS(AD319=0,"NA",AD319&gt;0,AH319/AD319)</f>
        <v>1</v>
      </c>
      <c r="BE319" s="44">
        <f t="shared" si="525"/>
        <v>0.25</v>
      </c>
      <c r="BF319" s="44">
        <v>0</v>
      </c>
      <c r="BG319" s="44">
        <f t="shared" si="526"/>
        <v>0.25</v>
      </c>
      <c r="BH319" s="44">
        <v>0</v>
      </c>
      <c r="BI319" s="44">
        <f t="shared" si="527"/>
        <v>0</v>
      </c>
      <c r="BJ319" s="44" t="s">
        <v>115</v>
      </c>
      <c r="BK319" s="44">
        <f t="shared" si="435"/>
        <v>0.5</v>
      </c>
      <c r="BL319" s="44">
        <v>1</v>
      </c>
      <c r="BM319" s="44" cm="1">
        <f t="array" ref="BM319">_xlfn.IFS(BD319="NA","NA",BD319&gt;100%,"100%",BD319&lt;100,BD319)</f>
        <v>1</v>
      </c>
      <c r="BN319" s="44" cm="1">
        <f t="array" ref="BN319">_xlfn.IFS(BF319="NA","NA",BF319&gt;100%,"100%",BF319&lt;100,BF319)</f>
        <v>0</v>
      </c>
      <c r="BO319" s="44" cm="1">
        <f t="array" ref="BO319">_xlfn.IFS(BH319="NA","NA",BH319&gt;100%,"100%",BH319&lt;100,BH319)</f>
        <v>0</v>
      </c>
      <c r="BP319" s="44" t="str" cm="1">
        <f t="array" ref="BP319">_xlfn.IFS(BJ319="NA","NA",BJ319&gt;100%,"100%",BJ319&lt;100,BJ319)</f>
        <v>NA</v>
      </c>
      <c r="BQ319" s="45">
        <v>0.224</v>
      </c>
      <c r="BR319" s="45">
        <f t="shared" si="436"/>
        <v>0.112</v>
      </c>
      <c r="BS319" s="45">
        <v>5.6000000000000001E-2</v>
      </c>
      <c r="BT319" s="45">
        <v>5.6000000000000001E-2</v>
      </c>
      <c r="BU319" s="45">
        <v>5.6000000000000001E-2</v>
      </c>
      <c r="BV319" s="45">
        <f t="shared" si="528"/>
        <v>5.6000000000000001E-2</v>
      </c>
      <c r="BW319" s="45">
        <f t="shared" si="448"/>
        <v>5.6000000000000001E-2</v>
      </c>
      <c r="BX319" s="45">
        <f t="shared" si="449"/>
        <v>5.6000000000000001E-2</v>
      </c>
      <c r="BY319" s="45">
        <f t="shared" si="529"/>
        <v>5.6000000000000001E-2</v>
      </c>
      <c r="BZ319" s="45">
        <f t="shared" si="530"/>
        <v>0</v>
      </c>
      <c r="CA319" s="45">
        <f t="shared" si="439"/>
        <v>0</v>
      </c>
      <c r="CB319" s="45">
        <f t="shared" si="531"/>
        <v>5.6000000000000001E-2</v>
      </c>
      <c r="CC319" s="45">
        <f t="shared" si="532"/>
        <v>0</v>
      </c>
      <c r="CD319" s="45">
        <v>0</v>
      </c>
      <c r="CE319" s="45">
        <f t="shared" si="533"/>
        <v>0</v>
      </c>
      <c r="CF319" s="45" t="str">
        <f t="shared" si="534"/>
        <v>NA</v>
      </c>
      <c r="CG319" s="45">
        <v>0</v>
      </c>
      <c r="CH319" s="244"/>
      <c r="CI319" s="244"/>
      <c r="CJ319" s="244"/>
      <c r="CK319" s="244"/>
      <c r="CM319" s="63">
        <v>0.49</v>
      </c>
    </row>
    <row r="320" spans="1:91" ht="18" hidden="1" customHeight="1">
      <c r="A320" s="260" t="s">
        <v>1826</v>
      </c>
      <c r="B320" s="260" t="s">
        <v>1827</v>
      </c>
      <c r="C320" s="260" t="s">
        <v>1828</v>
      </c>
      <c r="D320" s="260" t="s">
        <v>2062</v>
      </c>
      <c r="E320" s="260" t="s">
        <v>2097</v>
      </c>
      <c r="F320" s="260" t="s">
        <v>2105</v>
      </c>
      <c r="G320" s="260" t="s">
        <v>2106</v>
      </c>
      <c r="H320" s="260" t="s">
        <v>2107</v>
      </c>
      <c r="I320" s="260"/>
      <c r="J320" s="260"/>
      <c r="K320" s="260" t="s">
        <v>2108</v>
      </c>
      <c r="L320" s="260" t="s">
        <v>2109</v>
      </c>
      <c r="M320" s="260" t="s">
        <v>2110</v>
      </c>
      <c r="N320" s="260" t="s">
        <v>111</v>
      </c>
      <c r="O320" s="260" t="s">
        <v>112</v>
      </c>
      <c r="P320" s="10">
        <v>0</v>
      </c>
      <c r="Q320" s="11">
        <v>500</v>
      </c>
      <c r="R320" s="11">
        <f t="shared" si="521"/>
        <v>14</v>
      </c>
      <c r="S320" s="11" t="str">
        <f>VLOOKUP(K320,'1121 Ambiente'!$K$13:$AK$38,9,0)</f>
        <v xml:space="preserve">A través del convenio 094-2020 con CAR se han realizado visitas de verificación para el proceso de DIAGNÓSTICO, LÍNEA BASE Y SELECCIÓN DE MUNICIPIOS BENEFICIARIOS en 25 municipios de Granada, San Antonio del Tequendama, Arbeláez, Vergara, San Bernardo, Nocaima, Fusagasugá, Nimaima, La Peña, Caparrapí, Villapinzón, Pacho, Sesquilé, Bituima, Machetá, Guayabal de Síquima, Gachancipá, Sasaima y San Francisco.
</v>
      </c>
      <c r="T320" s="11">
        <v>41</v>
      </c>
      <c r="U320" s="11">
        <v>0</v>
      </c>
      <c r="V320" s="11">
        <v>0</v>
      </c>
      <c r="W320" s="11">
        <v>0</v>
      </c>
      <c r="X320" s="11">
        <v>0</v>
      </c>
      <c r="Y320" s="11">
        <v>0</v>
      </c>
      <c r="Z320" s="11">
        <v>0</v>
      </c>
      <c r="AA320" s="11">
        <v>0</v>
      </c>
      <c r="AB320" s="11"/>
      <c r="AC320" s="11">
        <v>0</v>
      </c>
      <c r="AD320" s="11">
        <v>315</v>
      </c>
      <c r="AE320" s="11">
        <v>0</v>
      </c>
      <c r="AF320" s="11">
        <f>VLOOKUP(K320,'1121 Ambiente'!$K$13:$AK$38,22,0)</f>
        <v>14</v>
      </c>
      <c r="AG320" s="11">
        <f>VLOOKUP(K320,'1121 Ambiente'!$K$13:$AK$38,23,0)</f>
        <v>0</v>
      </c>
      <c r="AH320" s="11">
        <f t="shared" si="522"/>
        <v>14</v>
      </c>
      <c r="AI320" s="11" t="str">
        <f>VLOOKUP(K320,'1121 Ambiente'!$K$13:$AK$38,25,0)</f>
        <v>14 familias beneficiadas con la construcción de estufas ecoeficientes</v>
      </c>
      <c r="AJ320" s="11" t="str">
        <f>VLOOKUP(K320,'1121 Ambiente'!$K$13:$AK$38,26,0)</f>
        <v>Se culminó la construcción de 14 estufas ecoeficientes en municipios de la jurisdicción del Guavio (Ubalá, Medina y Gachalá), a través del convenio 068-2020 CORPOGUAVIO, lo que contribuye a la reducción de emisión de gases de efecto invernadero.</v>
      </c>
      <c r="AK320" s="11">
        <f>VLOOKUP(K320,'1121 Ambiente'!$K$13:$AK$38,27,0)</f>
        <v>0</v>
      </c>
      <c r="AL320" s="11">
        <v>93</v>
      </c>
      <c r="AM320" s="11">
        <v>0</v>
      </c>
      <c r="AN320" s="11">
        <v>92</v>
      </c>
      <c r="AO320" s="11">
        <v>0</v>
      </c>
      <c r="AP320" s="11">
        <v>0</v>
      </c>
      <c r="AQ320" s="11">
        <v>0</v>
      </c>
      <c r="AR320" s="51">
        <v>200000000</v>
      </c>
      <c r="AS320" s="54">
        <v>0</v>
      </c>
      <c r="AT320" s="54">
        <f t="shared" si="434"/>
        <v>200000000</v>
      </c>
      <c r="AU320" s="51">
        <v>50000000</v>
      </c>
      <c r="AV320" s="243">
        <v>3111877149</v>
      </c>
      <c r="AW320" s="244"/>
      <c r="AX320" s="244"/>
      <c r="AY320" s="243">
        <v>679446304</v>
      </c>
      <c r="AZ320" s="44">
        <f t="shared" si="523"/>
        <v>2.8000000000000001E-2</v>
      </c>
      <c r="BA320" s="44">
        <v>0</v>
      </c>
      <c r="BB320" s="44" t="s">
        <v>115</v>
      </c>
      <c r="BC320" s="44">
        <f t="shared" si="524"/>
        <v>0.63</v>
      </c>
      <c r="BD320" s="44" cm="1">
        <f t="array" ref="BD320">_xlfn.IFS(AD320=0,"NA",AD320&gt;0,AH320/AD320)</f>
        <v>4.4444444444444446E-2</v>
      </c>
      <c r="BE320" s="44">
        <f t="shared" si="525"/>
        <v>0.186</v>
      </c>
      <c r="BF320" s="44">
        <v>0</v>
      </c>
      <c r="BG320" s="44">
        <f t="shared" si="526"/>
        <v>0.184</v>
      </c>
      <c r="BH320" s="44">
        <v>0</v>
      </c>
      <c r="BI320" s="44">
        <f t="shared" si="527"/>
        <v>0</v>
      </c>
      <c r="BJ320" s="44" t="s">
        <v>115</v>
      </c>
      <c r="BK320" s="44">
        <f t="shared" si="435"/>
        <v>2.8000000000000001E-2</v>
      </c>
      <c r="BL320" s="44" t="s">
        <v>115</v>
      </c>
      <c r="BM320" s="44" cm="1">
        <f t="array" ref="BM320">_xlfn.IFS(BD320="NA","NA",BD320&gt;100%,"100%",BD320&lt;100,BD320)</f>
        <v>4.4444444444444446E-2</v>
      </c>
      <c r="BN320" s="44" cm="1">
        <f t="array" ref="BN320">_xlfn.IFS(BF320="NA","NA",BF320&gt;100%,"100%",BF320&lt;100,BF320)</f>
        <v>0</v>
      </c>
      <c r="BO320" s="44" cm="1">
        <f t="array" ref="BO320">_xlfn.IFS(BH320="NA","NA",BH320&gt;100%,"100%",BH320&lt;100,BH320)</f>
        <v>0</v>
      </c>
      <c r="BP320" s="44" t="str" cm="1">
        <f t="array" ref="BP320">_xlfn.IFS(BJ320="NA","NA",BJ320&gt;100%,"100%",BJ320&lt;100,BJ320)</f>
        <v>NA</v>
      </c>
      <c r="BQ320" s="45">
        <v>0.224</v>
      </c>
      <c r="BR320" s="45">
        <f t="shared" si="436"/>
        <v>6.2720000000000007E-3</v>
      </c>
      <c r="BS320" s="45">
        <v>0</v>
      </c>
      <c r="BT320" s="45" t="s">
        <v>115</v>
      </c>
      <c r="BU320" s="45">
        <v>0</v>
      </c>
      <c r="BV320" s="45">
        <f t="shared" si="528"/>
        <v>0.14112</v>
      </c>
      <c r="BW320" s="45">
        <f t="shared" si="448"/>
        <v>6.2719999999999998E-3</v>
      </c>
      <c r="BX320" s="45">
        <f t="shared" si="449"/>
        <v>6.2720000000000007E-3</v>
      </c>
      <c r="BY320" s="45">
        <f t="shared" si="529"/>
        <v>4.1664E-2</v>
      </c>
      <c r="BZ320" s="45">
        <f t="shared" si="530"/>
        <v>0</v>
      </c>
      <c r="CA320" s="45">
        <f t="shared" si="439"/>
        <v>0</v>
      </c>
      <c r="CB320" s="45">
        <f t="shared" si="531"/>
        <v>4.1216000000000003E-2</v>
      </c>
      <c r="CC320" s="45">
        <f t="shared" si="532"/>
        <v>0</v>
      </c>
      <c r="CD320" s="45">
        <v>0</v>
      </c>
      <c r="CE320" s="45">
        <f t="shared" si="533"/>
        <v>0</v>
      </c>
      <c r="CF320" s="45" t="str">
        <f t="shared" si="534"/>
        <v>NA</v>
      </c>
      <c r="CG320" s="45">
        <v>0</v>
      </c>
      <c r="CH320" s="244"/>
      <c r="CI320" s="244"/>
      <c r="CJ320" s="244"/>
      <c r="CK320" s="244"/>
      <c r="CM320" s="63">
        <v>0</v>
      </c>
    </row>
    <row r="321" spans="1:91" ht="18" hidden="1" customHeight="1">
      <c r="A321" s="260" t="s">
        <v>1826</v>
      </c>
      <c r="B321" s="260" t="s">
        <v>1827</v>
      </c>
      <c r="C321" s="260" t="s">
        <v>1828</v>
      </c>
      <c r="D321" s="260" t="s">
        <v>2062</v>
      </c>
      <c r="E321" s="260" t="s">
        <v>2097</v>
      </c>
      <c r="F321" s="260" t="s">
        <v>2105</v>
      </c>
      <c r="G321" s="260" t="s">
        <v>2106</v>
      </c>
      <c r="H321" s="260" t="s">
        <v>2111</v>
      </c>
      <c r="I321" s="260"/>
      <c r="J321" s="260"/>
      <c r="K321" s="260" t="s">
        <v>2112</v>
      </c>
      <c r="L321" s="260" t="s">
        <v>2113</v>
      </c>
      <c r="M321" s="260" t="s">
        <v>2114</v>
      </c>
      <c r="N321" s="260" t="s">
        <v>111</v>
      </c>
      <c r="O321" s="260" t="s">
        <v>112</v>
      </c>
      <c r="P321" s="10">
        <v>4</v>
      </c>
      <c r="Q321" s="11">
        <v>4</v>
      </c>
      <c r="R321" s="11">
        <f t="shared" si="521"/>
        <v>1</v>
      </c>
      <c r="S321" s="11" t="str">
        <f>VLOOKUP(K321,'1121 Ambiente'!$K$13:$AK$38,9,0)</f>
        <v xml:space="preserve">La Dirección de ecosistemas lidera un proyecto de fincas sostenibles (estructura de recolección de aguas, electrobomba, siembra de  árboles y Ecomil) con el cual se espera beneficiar 6 fincas (cacao, café y panela) en los municipios de Villeta, Nilo y Arbeláez, de las cuales se han entregado 4 (Villeta y Nilo). 
</v>
      </c>
      <c r="T321" s="11">
        <v>0.5</v>
      </c>
      <c r="U321" s="11">
        <v>0</v>
      </c>
      <c r="V321" s="11">
        <v>0.5</v>
      </c>
      <c r="W321" s="11">
        <v>0</v>
      </c>
      <c r="X321" s="11">
        <v>0.5</v>
      </c>
      <c r="Y321" s="11">
        <v>0</v>
      </c>
      <c r="Z321" s="11">
        <v>0.5</v>
      </c>
      <c r="AA321" s="11">
        <v>0</v>
      </c>
      <c r="AB321" s="11"/>
      <c r="AC321" s="11">
        <v>0</v>
      </c>
      <c r="AD321" s="11">
        <v>0.5</v>
      </c>
      <c r="AE321" s="11">
        <v>0</v>
      </c>
      <c r="AF321" s="11">
        <f>VLOOKUP(K321,'1121 Ambiente'!$K$13:$AK$38,22,0)</f>
        <v>0.5</v>
      </c>
      <c r="AG321" s="11">
        <f>VLOOKUP(K321,'1121 Ambiente'!$K$13:$AK$38,23,0)</f>
        <v>0</v>
      </c>
      <c r="AH321" s="11">
        <f t="shared" si="522"/>
        <v>0.5</v>
      </c>
      <c r="AI321" s="11" t="str">
        <f>VLOOKUP(K321,'1121 Ambiente'!$K$13:$AK$38,25,0)</f>
        <v>Se culminó proyecto de fincas sostenibles ganaderas, de café y cacao</v>
      </c>
      <c r="AJ321" s="11" t="str">
        <f>VLOOKUP(K321,'1121 Ambiente'!$K$13:$AK$38,26,0)</f>
        <v xml:space="preserve">Se terminó de ejecutar el Convenio Especial de Cooperación SA-CDCCO-075-2020 con FEDEGAN para el desarrollo de un modelo de Finca Ganadera Sostenible con baja Producción de Gases Efecto Invernadero - GEI en diez (10) municipios en la cuenca del Rio Bogotá y Alto Suarez (Chocontá, Villapinzón, Sesquilé, Suesca, Zipaquirá, Subachoque, Mosquera, Cucunubá, Ubaté y Sibate). Se beneficiaron 100 ganaderos y se entregaron 30.666 arboles y kits de apoyo a la producción a los ganaderos para implementar el modelo.
Se logro implementar  el proyecto de Fincas Sostenibles Agricolas y Adaptacion al clima de acuerdo al marco del plan regional de Cambio climatico en los municipios de Nilo, Villeta y Arbelaes. Se beneficiaron 2 familias en cada municipio con una inversion de $21.500.000 en el Municipio de Nilo con numero de  convenios  079-2020, En el Municipio de Villeta una inversion de $23.351.000 con numero de Convenio  080-2020 y  Arbelaes $20.400.000 con numero de Convenio 078-2020 . Estos 3 convenios ya finalizarón y se realizo la entrega final. </v>
      </c>
      <c r="AK321" s="11">
        <f>VLOOKUP(K321,'1121 Ambiente'!$K$13:$AK$38,27,0)</f>
        <v>0</v>
      </c>
      <c r="AL321" s="11">
        <v>2</v>
      </c>
      <c r="AM321" s="11">
        <v>0</v>
      </c>
      <c r="AN321" s="11">
        <v>1</v>
      </c>
      <c r="AO321" s="11">
        <v>0</v>
      </c>
      <c r="AP321" s="11">
        <v>0</v>
      </c>
      <c r="AQ321" s="11">
        <v>0</v>
      </c>
      <c r="AR321" s="51">
        <v>168000000</v>
      </c>
      <c r="AS321" s="54">
        <v>0</v>
      </c>
      <c r="AT321" s="54">
        <f t="shared" si="434"/>
        <v>168000000</v>
      </c>
      <c r="AU321" s="51">
        <v>168000000</v>
      </c>
      <c r="AV321" s="243">
        <v>210000000</v>
      </c>
      <c r="AW321" s="244"/>
      <c r="AX321" s="244"/>
      <c r="AY321" s="243">
        <v>169999999</v>
      </c>
      <c r="AZ321" s="44">
        <f t="shared" si="523"/>
        <v>0.25</v>
      </c>
      <c r="BA321" s="44">
        <v>0.125</v>
      </c>
      <c r="BB321" s="44">
        <v>1</v>
      </c>
      <c r="BC321" s="44">
        <f t="shared" si="524"/>
        <v>0.125</v>
      </c>
      <c r="BD321" s="44" cm="1">
        <f t="array" ref="BD321">_xlfn.IFS(AD321=0,"NA",AD321&gt;0,AH321/AD321)</f>
        <v>1</v>
      </c>
      <c r="BE321" s="44">
        <f t="shared" si="525"/>
        <v>0.5</v>
      </c>
      <c r="BF321" s="44">
        <v>0</v>
      </c>
      <c r="BG321" s="44">
        <f t="shared" si="526"/>
        <v>0.25</v>
      </c>
      <c r="BH321" s="44">
        <v>0</v>
      </c>
      <c r="BI321" s="44">
        <f t="shared" si="527"/>
        <v>0</v>
      </c>
      <c r="BJ321" s="44" t="s">
        <v>115</v>
      </c>
      <c r="BK321" s="44">
        <f t="shared" si="435"/>
        <v>0.25</v>
      </c>
      <c r="BL321" s="44">
        <v>1</v>
      </c>
      <c r="BM321" s="44" cm="1">
        <f t="array" ref="BM321">_xlfn.IFS(BD321="NA","NA",BD321&gt;100%,"100%",BD321&lt;100,BD321)</f>
        <v>1</v>
      </c>
      <c r="BN321" s="44" cm="1">
        <f t="array" ref="BN321">_xlfn.IFS(BF321="NA","NA",BF321&gt;100%,"100%",BF321&lt;100,BF321)</f>
        <v>0</v>
      </c>
      <c r="BO321" s="44" cm="1">
        <f t="array" ref="BO321">_xlfn.IFS(BH321="NA","NA",BH321&gt;100%,"100%",BH321&lt;100,BH321)</f>
        <v>0</v>
      </c>
      <c r="BP321" s="44" t="str" cm="1">
        <f t="array" ref="BP321">_xlfn.IFS(BJ321="NA","NA",BJ321&gt;100%,"100%",BJ321&lt;100,BJ321)</f>
        <v>NA</v>
      </c>
      <c r="BQ321" s="45">
        <v>0.224</v>
      </c>
      <c r="BR321" s="45">
        <f t="shared" si="436"/>
        <v>5.6000000000000001E-2</v>
      </c>
      <c r="BS321" s="45">
        <v>2.8000000000000001E-2</v>
      </c>
      <c r="BT321" s="45">
        <v>2.8000000000000001E-2</v>
      </c>
      <c r="BU321" s="45">
        <v>2.8000000000000001E-2</v>
      </c>
      <c r="BV321" s="45">
        <f t="shared" si="528"/>
        <v>2.8000000000000001E-2</v>
      </c>
      <c r="BW321" s="45">
        <f t="shared" si="448"/>
        <v>2.8000000000000001E-2</v>
      </c>
      <c r="BX321" s="45">
        <f t="shared" si="449"/>
        <v>2.8000000000000001E-2</v>
      </c>
      <c r="BY321" s="45">
        <f t="shared" si="529"/>
        <v>0.112</v>
      </c>
      <c r="BZ321" s="45">
        <f t="shared" si="530"/>
        <v>0</v>
      </c>
      <c r="CA321" s="45">
        <f t="shared" si="439"/>
        <v>0</v>
      </c>
      <c r="CB321" s="45">
        <f t="shared" si="531"/>
        <v>5.6000000000000001E-2</v>
      </c>
      <c r="CC321" s="45">
        <f t="shared" si="532"/>
        <v>0</v>
      </c>
      <c r="CD321" s="45">
        <v>0</v>
      </c>
      <c r="CE321" s="45">
        <f t="shared" si="533"/>
        <v>0</v>
      </c>
      <c r="CF321" s="45" t="str">
        <f t="shared" si="534"/>
        <v>NA</v>
      </c>
      <c r="CG321" s="45">
        <v>0</v>
      </c>
      <c r="CH321" s="244"/>
      <c r="CI321" s="244"/>
      <c r="CJ321" s="244"/>
      <c r="CK321" s="244"/>
      <c r="CM321" s="63">
        <v>0.9</v>
      </c>
    </row>
    <row r="322" spans="1:91" ht="18" hidden="1" customHeight="1">
      <c r="A322" s="260" t="s">
        <v>1826</v>
      </c>
      <c r="B322" s="260" t="s">
        <v>1827</v>
      </c>
      <c r="C322" s="260" t="s">
        <v>1828</v>
      </c>
      <c r="D322" s="260" t="s">
        <v>2062</v>
      </c>
      <c r="E322" s="260" t="s">
        <v>2097</v>
      </c>
      <c r="F322" s="260" t="s">
        <v>2105</v>
      </c>
      <c r="G322" s="260" t="s">
        <v>2106</v>
      </c>
      <c r="H322" s="260" t="s">
        <v>2115</v>
      </c>
      <c r="I322" s="260"/>
      <c r="J322" s="260"/>
      <c r="K322" s="260" t="s">
        <v>2116</v>
      </c>
      <c r="L322" s="260" t="s">
        <v>2117</v>
      </c>
      <c r="M322" s="260" t="s">
        <v>2118</v>
      </c>
      <c r="N322" s="260" t="s">
        <v>111</v>
      </c>
      <c r="O322" s="260" t="s">
        <v>112</v>
      </c>
      <c r="P322" s="10">
        <v>0</v>
      </c>
      <c r="Q322" s="11">
        <v>100</v>
      </c>
      <c r="R322" s="11">
        <f t="shared" si="521"/>
        <v>6.4</v>
      </c>
      <c r="S322" s="11" t="str">
        <f>VLOOKUP(K322,'1121 Ambiente'!$K$13:$AK$38,9,0)</f>
        <v xml:space="preserve">Actualmente se avanza con la ejecución del convenio 076-2020 de Nilo para la reforestación de 6Ha afectadas por eventos. Para el cumplimiento total de la meta se implementará la  ESTRATEGIA ABEJAS CON LA CONSERVACIÓN que consiste en realizar restauración de los ecosistemas por medio de la polinización que ejercen las abejas, con la cual se busca la restauración de 94 hectáreas, y para lo cual se comprometerán los $200.000.000 disponibles.
climáticos, con un 40% de avance, correspondiente al reconocimiento del terreno y el inicio de la siembra de árboles.
</v>
      </c>
      <c r="T322" s="11">
        <v>8</v>
      </c>
      <c r="U322" s="11">
        <v>0</v>
      </c>
      <c r="V322" s="11">
        <v>8</v>
      </c>
      <c r="W322" s="11">
        <v>0</v>
      </c>
      <c r="X322" s="11">
        <v>0</v>
      </c>
      <c r="Y322" s="11">
        <v>0</v>
      </c>
      <c r="Z322" s="11">
        <v>0</v>
      </c>
      <c r="AA322" s="11">
        <v>0</v>
      </c>
      <c r="AB322" s="11"/>
      <c r="AC322" s="11">
        <v>0</v>
      </c>
      <c r="AD322" s="11">
        <v>31</v>
      </c>
      <c r="AE322" s="11">
        <v>0</v>
      </c>
      <c r="AF322" s="11">
        <f>VLOOKUP(K322,'1121 Ambiente'!$K$13:$AK$38,22,0)</f>
        <v>6.4</v>
      </c>
      <c r="AG322" s="11">
        <f>VLOOKUP(K322,'1121 Ambiente'!$K$13:$AK$38,23,0)</f>
        <v>0</v>
      </c>
      <c r="AH322" s="11">
        <f t="shared" si="522"/>
        <v>6.4</v>
      </c>
      <c r="AI322" s="11" t="str">
        <f>VLOOKUP(K322,'1121 Ambiente'!$K$13:$AK$38,25,0)</f>
        <v>6.4 Ha reforestadas</v>
      </c>
      <c r="AJ322" s="11" t="str">
        <f>VLOOKUP(K322,'1121 Ambiente'!$K$13:$AK$38,26,0)</f>
        <v xml:space="preserve">Se viene ejecutando el convenio SA-CDCVI-076-2020 con NILO, donde ya se sembraron 6.4 has y se estan haciendo los mantenimientos respectivos. Adicionalmente, se viene gestionanado un proyecto de reforestación pasiva por Apicultura en predios afectados por eventos climáticos en los municipios de NIlo y/o San Cayetano. </v>
      </c>
      <c r="AK322" s="11">
        <f>VLOOKUP(K322,'1121 Ambiente'!$K$13:$AK$38,27,0)</f>
        <v>0</v>
      </c>
      <c r="AL322" s="11">
        <v>25</v>
      </c>
      <c r="AM322" s="11">
        <v>0</v>
      </c>
      <c r="AN322" s="11">
        <v>36</v>
      </c>
      <c r="AO322" s="11">
        <v>0</v>
      </c>
      <c r="AP322" s="11">
        <v>0</v>
      </c>
      <c r="AQ322" s="11">
        <v>0</v>
      </c>
      <c r="AR322" s="51">
        <v>100000000</v>
      </c>
      <c r="AS322" s="54">
        <v>0</v>
      </c>
      <c r="AT322" s="54">
        <f t="shared" si="434"/>
        <v>100000000</v>
      </c>
      <c r="AU322" s="51">
        <v>100000000</v>
      </c>
      <c r="AV322" s="243">
        <v>200000000</v>
      </c>
      <c r="AW322" s="244"/>
      <c r="AX322" s="244"/>
      <c r="AY322" s="243">
        <v>200000000</v>
      </c>
      <c r="AZ322" s="44">
        <f t="shared" si="523"/>
        <v>6.4000000000000001E-2</v>
      </c>
      <c r="BA322" s="44">
        <v>0.08</v>
      </c>
      <c r="BB322" s="44">
        <v>0</v>
      </c>
      <c r="BC322" s="44">
        <f t="shared" si="524"/>
        <v>0.31</v>
      </c>
      <c r="BD322" s="44" cm="1">
        <f t="array" ref="BD322">_xlfn.IFS(AD322=0,"NA",AD322&gt;0,AH322/AD322)</f>
        <v>0.20645161290322581</v>
      </c>
      <c r="BE322" s="44">
        <f t="shared" si="525"/>
        <v>0.25</v>
      </c>
      <c r="BF322" s="44">
        <v>0</v>
      </c>
      <c r="BG322" s="44">
        <f t="shared" si="526"/>
        <v>0.36</v>
      </c>
      <c r="BH322" s="44">
        <v>0</v>
      </c>
      <c r="BI322" s="44">
        <f t="shared" si="527"/>
        <v>0</v>
      </c>
      <c r="BJ322" s="44" t="s">
        <v>115</v>
      </c>
      <c r="BK322" s="44">
        <f t="shared" si="435"/>
        <v>6.4000000000000001E-2</v>
      </c>
      <c r="BL322" s="44">
        <v>0</v>
      </c>
      <c r="BM322" s="44" cm="1">
        <f t="array" ref="BM322">_xlfn.IFS(BD322="NA","NA",BD322&gt;100%,"100%",BD322&lt;100,BD322)</f>
        <v>0.20645161290322581</v>
      </c>
      <c r="BN322" s="44" cm="1">
        <f t="array" ref="BN322">_xlfn.IFS(BF322="NA","NA",BF322&gt;100%,"100%",BF322&lt;100,BF322)</f>
        <v>0</v>
      </c>
      <c r="BO322" s="44" cm="1">
        <f t="array" ref="BO322">_xlfn.IFS(BH322="NA","NA",BH322&gt;100%,"100%",BH322&lt;100,BH322)</f>
        <v>0</v>
      </c>
      <c r="BP322" s="44" t="str" cm="1">
        <f t="array" ref="BP322">_xlfn.IFS(BJ322="NA","NA",BJ322&gt;100%,"100%",BJ322&lt;100,BJ322)</f>
        <v>NA</v>
      </c>
      <c r="BQ322" s="45">
        <v>0.224</v>
      </c>
      <c r="BR322" s="45">
        <f t="shared" si="436"/>
        <v>1.4336E-2</v>
      </c>
      <c r="BS322" s="45">
        <v>1.7899999999999999E-2</v>
      </c>
      <c r="BT322" s="45">
        <v>0</v>
      </c>
      <c r="BU322" s="45">
        <v>0</v>
      </c>
      <c r="BV322" s="45">
        <f t="shared" si="528"/>
        <v>6.9440000000000002E-2</v>
      </c>
      <c r="BW322" s="45">
        <f t="shared" si="448"/>
        <v>1.4336E-2</v>
      </c>
      <c r="BX322" s="45">
        <f t="shared" si="449"/>
        <v>1.4336E-2</v>
      </c>
      <c r="BY322" s="45">
        <f t="shared" si="529"/>
        <v>5.6000000000000008E-2</v>
      </c>
      <c r="BZ322" s="45">
        <f t="shared" si="530"/>
        <v>0</v>
      </c>
      <c r="CA322" s="45">
        <f t="shared" si="439"/>
        <v>0</v>
      </c>
      <c r="CB322" s="45">
        <f t="shared" si="531"/>
        <v>8.0640000000000003E-2</v>
      </c>
      <c r="CC322" s="45">
        <f t="shared" si="532"/>
        <v>0</v>
      </c>
      <c r="CD322" s="45">
        <v>0</v>
      </c>
      <c r="CE322" s="45">
        <f t="shared" si="533"/>
        <v>0</v>
      </c>
      <c r="CF322" s="45" t="str">
        <f t="shared" si="534"/>
        <v>NA</v>
      </c>
      <c r="CG322" s="45">
        <v>0</v>
      </c>
      <c r="CH322" s="244"/>
      <c r="CI322" s="244"/>
      <c r="CJ322" s="244"/>
      <c r="CK322" s="244"/>
      <c r="CM322" s="63">
        <v>0</v>
      </c>
    </row>
    <row r="323" spans="1:91" ht="18" hidden="1" customHeight="1">
      <c r="A323" s="260" t="s">
        <v>1361</v>
      </c>
      <c r="B323" s="260" t="s">
        <v>1362</v>
      </c>
      <c r="C323" s="260" t="s">
        <v>1828</v>
      </c>
      <c r="D323" s="260" t="s">
        <v>2062</v>
      </c>
      <c r="E323" s="260" t="s">
        <v>2097</v>
      </c>
      <c r="F323" s="260" t="s">
        <v>2105</v>
      </c>
      <c r="G323" s="260" t="s">
        <v>2106</v>
      </c>
      <c r="H323" s="260" t="s">
        <v>2119</v>
      </c>
      <c r="I323" s="260"/>
      <c r="J323" s="260"/>
      <c r="K323" s="260" t="s">
        <v>2120</v>
      </c>
      <c r="L323" s="260" t="s">
        <v>2121</v>
      </c>
      <c r="M323" s="260" t="s">
        <v>2122</v>
      </c>
      <c r="N323" s="260" t="s">
        <v>111</v>
      </c>
      <c r="O323" s="260" t="s">
        <v>112</v>
      </c>
      <c r="P323" s="10">
        <v>59</v>
      </c>
      <c r="Q323" s="11">
        <v>50</v>
      </c>
      <c r="R323" s="11">
        <f t="shared" si="521"/>
        <v>0</v>
      </c>
      <c r="S323" s="11">
        <f>VLOOKUP(K323,'1132 Minas'!$K$13:$AK$20,9,0)</f>
        <v>0</v>
      </c>
      <c r="T323" s="11">
        <v>0</v>
      </c>
      <c r="U323" s="11">
        <v>0</v>
      </c>
      <c r="V323" s="11">
        <v>0</v>
      </c>
      <c r="W323" s="11">
        <v>0</v>
      </c>
      <c r="X323" s="11">
        <v>0</v>
      </c>
      <c r="Y323" s="11">
        <v>0</v>
      </c>
      <c r="Z323" s="11">
        <v>0</v>
      </c>
      <c r="AA323" s="11"/>
      <c r="AB323" s="11"/>
      <c r="AC323" s="11"/>
      <c r="AD323" s="11">
        <v>27</v>
      </c>
      <c r="AE323" s="11">
        <v>0</v>
      </c>
      <c r="AF323" s="11">
        <f>VLOOKUP(K323,'1132 Minas'!$K$13:$AK$20,22,0)</f>
        <v>0</v>
      </c>
      <c r="AG323" s="11">
        <f>VLOOKUP(K323,'1132 Minas'!$K$13:$AK$20,23,0)</f>
        <v>0</v>
      </c>
      <c r="AH323" s="11">
        <f t="shared" si="522"/>
        <v>0</v>
      </c>
      <c r="AI323" s="11">
        <f>VLOOKUP(K323,'1132 Minas'!$K$13:$AK$20,25,0)</f>
        <v>0</v>
      </c>
      <c r="AJ323" s="11">
        <f>VLOOKUP(K323,'1132 Minas'!$K$13:$AK$20,26,0)</f>
        <v>0</v>
      </c>
      <c r="AK323" s="11">
        <f>VLOOKUP(K323,'1132 Minas'!$K$13:$AK$20,27,0)</f>
        <v>0</v>
      </c>
      <c r="AL323" s="11">
        <v>10</v>
      </c>
      <c r="AM323" s="11">
        <v>0</v>
      </c>
      <c r="AN323" s="11">
        <v>13</v>
      </c>
      <c r="AO323" s="11">
        <v>0</v>
      </c>
      <c r="AP323" s="11">
        <v>0</v>
      </c>
      <c r="AQ323" s="11">
        <v>0</v>
      </c>
      <c r="AR323" s="51">
        <v>30000000</v>
      </c>
      <c r="AS323" s="54">
        <v>0</v>
      </c>
      <c r="AT323" s="54">
        <f t="shared" si="434"/>
        <v>30000000</v>
      </c>
      <c r="AU323" s="51">
        <v>28000000</v>
      </c>
      <c r="AV323" s="243">
        <v>3204403488</v>
      </c>
      <c r="AW323" s="244"/>
      <c r="AX323" s="244"/>
      <c r="AY323" s="243">
        <v>96733333</v>
      </c>
      <c r="AZ323" s="44">
        <f t="shared" si="523"/>
        <v>0</v>
      </c>
      <c r="BA323" s="44">
        <v>0</v>
      </c>
      <c r="BB323" s="44" t="s">
        <v>115</v>
      </c>
      <c r="BC323" s="44">
        <f t="shared" si="524"/>
        <v>0.54</v>
      </c>
      <c r="BD323" s="44" cm="1">
        <f t="array" ref="BD323">_xlfn.IFS(AD323=0,"NA",AD323&gt;0,AH323/AD323)</f>
        <v>0</v>
      </c>
      <c r="BE323" s="44">
        <f t="shared" si="525"/>
        <v>0.2</v>
      </c>
      <c r="BF323" s="44">
        <v>0</v>
      </c>
      <c r="BG323" s="44">
        <f t="shared" si="526"/>
        <v>0.26</v>
      </c>
      <c r="BH323" s="44">
        <v>0</v>
      </c>
      <c r="BI323" s="44">
        <f t="shared" si="527"/>
        <v>0</v>
      </c>
      <c r="BJ323" s="44" t="s">
        <v>115</v>
      </c>
      <c r="BK323" s="44">
        <f t="shared" si="435"/>
        <v>0</v>
      </c>
      <c r="BL323" s="44" t="s">
        <v>115</v>
      </c>
      <c r="BM323" s="44" cm="1">
        <f t="array" ref="BM323">_xlfn.IFS(BD323="NA","NA",BD323&gt;100%,"100%",BD323&lt;100,BD323)</f>
        <v>0</v>
      </c>
      <c r="BN323" s="44" cm="1">
        <f t="array" ref="BN323">_xlfn.IFS(BF323="NA","NA",BF323&gt;100%,"100%",BF323&lt;100,BF323)</f>
        <v>0</v>
      </c>
      <c r="BO323" s="44" cm="1">
        <f t="array" ref="BO323">_xlfn.IFS(BH323="NA","NA",BH323&gt;100%,"100%",BH323&lt;100,BH323)</f>
        <v>0</v>
      </c>
      <c r="BP323" s="44" t="str" cm="1">
        <f t="array" ref="BP323">_xlfn.IFS(BJ323="NA","NA",BJ323&gt;100%,"100%",BJ323&lt;100,BJ323)</f>
        <v>NA</v>
      </c>
      <c r="BQ323" s="45">
        <v>0.224</v>
      </c>
      <c r="BR323" s="45">
        <f t="shared" si="436"/>
        <v>0</v>
      </c>
      <c r="BS323" s="45">
        <v>0</v>
      </c>
      <c r="BT323" s="45" t="s">
        <v>115</v>
      </c>
      <c r="BU323" s="45">
        <v>0</v>
      </c>
      <c r="BV323" s="45">
        <f t="shared" si="528"/>
        <v>0.12096</v>
      </c>
      <c r="BW323" s="45">
        <f t="shared" si="448"/>
        <v>0</v>
      </c>
      <c r="BX323" s="45">
        <f t="shared" si="449"/>
        <v>0</v>
      </c>
      <c r="BY323" s="45">
        <f t="shared" si="529"/>
        <v>4.4800000000000006E-2</v>
      </c>
      <c r="BZ323" s="45">
        <f t="shared" si="530"/>
        <v>0</v>
      </c>
      <c r="CA323" s="45">
        <f t="shared" si="439"/>
        <v>0</v>
      </c>
      <c r="CB323" s="45">
        <f t="shared" si="531"/>
        <v>5.824E-2</v>
      </c>
      <c r="CC323" s="45">
        <f t="shared" si="532"/>
        <v>0</v>
      </c>
      <c r="CD323" s="45">
        <v>0</v>
      </c>
      <c r="CE323" s="45">
        <f t="shared" si="533"/>
        <v>0</v>
      </c>
      <c r="CF323" s="45" t="str">
        <f t="shared" si="534"/>
        <v>NA</v>
      </c>
      <c r="CG323" s="45">
        <v>0</v>
      </c>
      <c r="CH323" s="244"/>
      <c r="CI323" s="244"/>
      <c r="CJ323" s="244"/>
      <c r="CK323" s="244"/>
      <c r="CM323" s="63">
        <v>0</v>
      </c>
    </row>
    <row r="324" spans="1:91" ht="18" hidden="1" customHeight="1">
      <c r="A324" s="260" t="s">
        <v>1434</v>
      </c>
      <c r="B324" s="260" t="s">
        <v>1435</v>
      </c>
      <c r="C324" s="260" t="s">
        <v>1828</v>
      </c>
      <c r="D324" s="260" t="s">
        <v>2062</v>
      </c>
      <c r="E324" s="260" t="s">
        <v>2097</v>
      </c>
      <c r="F324" s="260" t="s">
        <v>2105</v>
      </c>
      <c r="G324" s="260" t="s">
        <v>2106</v>
      </c>
      <c r="H324" s="260" t="s">
        <v>2123</v>
      </c>
      <c r="I324" s="260"/>
      <c r="J324" s="260"/>
      <c r="K324" s="260" t="s">
        <v>2124</v>
      </c>
      <c r="L324" s="260" t="s">
        <v>2125</v>
      </c>
      <c r="M324" s="260" t="s">
        <v>2126</v>
      </c>
      <c r="N324" s="260" t="s">
        <v>111</v>
      </c>
      <c r="O324" s="260" t="s">
        <v>112</v>
      </c>
      <c r="P324" s="10">
        <v>150</v>
      </c>
      <c r="Q324" s="11">
        <v>120</v>
      </c>
      <c r="R324" s="11">
        <f t="shared" si="521"/>
        <v>47.46</v>
      </c>
      <c r="S324" s="11" t="str">
        <f>VLOOKUP(K324,'1128 TICS'!$K$13:$AK$27,9,0)</f>
        <v>Se firmó convenio con un gestor ambiental para el tratamiento adecuado de los RAEE y se han recolectado 35,448 TN</v>
      </c>
      <c r="T324" s="11">
        <v>5</v>
      </c>
      <c r="U324" s="11">
        <v>0</v>
      </c>
      <c r="V324" s="11">
        <v>5</v>
      </c>
      <c r="W324" s="11">
        <v>0</v>
      </c>
      <c r="X324" s="11">
        <v>5.0199999999999996</v>
      </c>
      <c r="Y324" s="11">
        <v>0</v>
      </c>
      <c r="Z324" s="11"/>
      <c r="AA324" s="11" t="s">
        <v>2127</v>
      </c>
      <c r="AB324" s="11" t="s">
        <v>2128</v>
      </c>
      <c r="AC324" s="11">
        <v>0</v>
      </c>
      <c r="AD324" s="11">
        <v>40</v>
      </c>
      <c r="AE324" s="11">
        <v>0</v>
      </c>
      <c r="AF324" s="11">
        <f>VLOOKUP(K324,'1128 TICS'!$K$13:$AK$27,22,0)</f>
        <v>47.46</v>
      </c>
      <c r="AG324" s="11">
        <f>VLOOKUP(K324,'1128 TICS'!$K$13:$AK$27,23,0)</f>
        <v>0</v>
      </c>
      <c r="AH324" s="11">
        <f t="shared" si="522"/>
        <v>47.46</v>
      </c>
      <c r="AI324" s="11" t="str">
        <f>VLOOKUP(K324,'1128 TICS'!$K$13:$AK$27,25,0)</f>
        <v>47,46 Tn se han acumulado mediente brigadas de recolección de residuos de aparatos eléctricos y electrónicos RAEE en entidades del nivel central,  en Municipios y otras entidades públicas. " - 
 - 
-Se realizó la siembra de 600 árboles en el Municipio de Sibaté, 300 en Pacho y 300 más en San Antonio del Tequendama.</v>
      </c>
      <c r="AJ324" s="11" t="str">
        <f>VLOOKUP(K324,'1128 TICS'!$K$13:$AK$27,26,0)</f>
        <v>52,49 Tn se han acumulado mediente brigadas de recolección de residuos de aparatos eléctricos y electrónicos RAEE en entidades del nivel central,  en Municipios y otras entidades públicas. " - En 2020 se firmó convenio a $0, con el gestor ambiental para el tratamiento final de los RAEE, Aportan el transportede los residuos y 100 árboles por cada TN recolectada
 - Se realizó la siembra de 600 árboles en el Municipio de Sibaté, 300 en Pacho y 300 más en San Antonio del Tequendama.</v>
      </c>
      <c r="AK324" s="11">
        <f>VLOOKUP(K324,'1128 TICS'!$K$13:$AK$27,27,0)</f>
        <v>0</v>
      </c>
      <c r="AL324" s="11">
        <v>40</v>
      </c>
      <c r="AM324" s="11">
        <v>0</v>
      </c>
      <c r="AN324" s="11">
        <v>35</v>
      </c>
      <c r="AO324" s="11">
        <v>0</v>
      </c>
      <c r="AP324" s="11">
        <v>0</v>
      </c>
      <c r="AQ324" s="11">
        <v>0</v>
      </c>
      <c r="AR324" s="52"/>
      <c r="AS324" s="54">
        <v>0</v>
      </c>
      <c r="AT324" s="54">
        <f t="shared" si="434"/>
        <v>0</v>
      </c>
      <c r="AU324" s="52"/>
      <c r="AV324" s="243">
        <v>64000000</v>
      </c>
      <c r="AW324" s="244"/>
      <c r="AX324" s="244"/>
      <c r="AY324" s="243">
        <v>51818941</v>
      </c>
      <c r="AZ324" s="44">
        <f t="shared" si="523"/>
        <v>0.39550000000000002</v>
      </c>
      <c r="BA324" s="44">
        <v>4.1700000000000001E-2</v>
      </c>
      <c r="BB324" s="44">
        <v>1.004</v>
      </c>
      <c r="BC324" s="44">
        <f t="shared" si="524"/>
        <v>0.33333333333333331</v>
      </c>
      <c r="BD324" s="44" cm="1">
        <f t="array" ref="BD324">_xlfn.IFS(AD324=0,"NA",AD324&gt;0,AH324/AD324)</f>
        <v>1.1865000000000001</v>
      </c>
      <c r="BE324" s="44">
        <f t="shared" si="525"/>
        <v>0.33333333333333331</v>
      </c>
      <c r="BF324" s="44">
        <v>0</v>
      </c>
      <c r="BG324" s="44">
        <f t="shared" si="526"/>
        <v>0.29166666666666669</v>
      </c>
      <c r="BH324" s="44">
        <v>0</v>
      </c>
      <c r="BI324" s="44">
        <f t="shared" si="527"/>
        <v>0</v>
      </c>
      <c r="BJ324" s="44" t="s">
        <v>115</v>
      </c>
      <c r="BK324" s="44">
        <f t="shared" si="435"/>
        <v>0.39550000000000002</v>
      </c>
      <c r="BL324" s="44">
        <v>1</v>
      </c>
      <c r="BM324" s="44" t="str" cm="1">
        <f t="array" ref="BM324">_xlfn.IFS(BD324="NA","NA",BD324&gt;100%,"100%",BD324&lt;100,BD324)</f>
        <v>100%</v>
      </c>
      <c r="BN324" s="44" cm="1">
        <f t="array" ref="BN324">_xlfn.IFS(BF324="NA","NA",BF324&gt;100%,"100%",BF324&lt;100,BF324)</f>
        <v>0</v>
      </c>
      <c r="BO324" s="44" cm="1">
        <f t="array" ref="BO324">_xlfn.IFS(BH324="NA","NA",BH324&gt;100%,"100%",BH324&lt;100,BH324)</f>
        <v>0</v>
      </c>
      <c r="BP324" s="44" t="str" cm="1">
        <f t="array" ref="BP324">_xlfn.IFS(BJ324="NA","NA",BJ324&gt;100%,"100%",BJ324&lt;100,BJ324)</f>
        <v>NA</v>
      </c>
      <c r="BQ324" s="45">
        <v>0.224</v>
      </c>
      <c r="BR324" s="45">
        <f t="shared" si="436"/>
        <v>8.8592000000000004E-2</v>
      </c>
      <c r="BS324" s="45">
        <v>9.2999999999999992E-3</v>
      </c>
      <c r="BT324" s="45">
        <v>9.2999999999999992E-3</v>
      </c>
      <c r="BU324" s="45">
        <v>9.4000000000000004E-3</v>
      </c>
      <c r="BV324" s="45">
        <f t="shared" si="528"/>
        <v>7.4666666666666673E-2</v>
      </c>
      <c r="BW324" s="45">
        <f t="shared" si="448"/>
        <v>7.4666666666666673E-2</v>
      </c>
      <c r="BX324" s="45">
        <f t="shared" si="449"/>
        <v>7.9191999999999999E-2</v>
      </c>
      <c r="BY324" s="45">
        <f t="shared" si="529"/>
        <v>7.4666666666666673E-2</v>
      </c>
      <c r="BZ324" s="45">
        <f t="shared" si="530"/>
        <v>0</v>
      </c>
      <c r="CA324" s="45">
        <f t="shared" si="439"/>
        <v>0</v>
      </c>
      <c r="CB324" s="45">
        <f t="shared" si="531"/>
        <v>6.5333333333333327E-2</v>
      </c>
      <c r="CC324" s="45">
        <f t="shared" si="532"/>
        <v>0</v>
      </c>
      <c r="CD324" s="45">
        <v>0</v>
      </c>
      <c r="CE324" s="45">
        <f t="shared" si="533"/>
        <v>0</v>
      </c>
      <c r="CF324" s="45" t="str">
        <f t="shared" si="534"/>
        <v>NA</v>
      </c>
      <c r="CG324" s="45">
        <v>0</v>
      </c>
      <c r="CH324" s="244"/>
      <c r="CI324" s="244"/>
      <c r="CJ324" s="244"/>
      <c r="CK324" s="244"/>
      <c r="CM324" s="63">
        <v>35.447999999999993</v>
      </c>
    </row>
    <row r="325" spans="1:91" ht="18" hidden="1" customHeight="1">
      <c r="A325" s="260" t="s">
        <v>1302</v>
      </c>
      <c r="B325" s="260" t="s">
        <v>1303</v>
      </c>
      <c r="C325" s="260" t="s">
        <v>2129</v>
      </c>
      <c r="D325" s="260" t="s">
        <v>2130</v>
      </c>
      <c r="E325" s="260" t="s">
        <v>2131</v>
      </c>
      <c r="F325" s="260" t="s">
        <v>2132</v>
      </c>
      <c r="G325" s="260" t="s">
        <v>2133</v>
      </c>
      <c r="H325" s="260" t="s">
        <v>2134</v>
      </c>
      <c r="I325" s="260"/>
      <c r="J325" s="260"/>
      <c r="K325" s="260" t="s">
        <v>2135</v>
      </c>
      <c r="L325" s="260" t="s">
        <v>2136</v>
      </c>
      <c r="M325" s="260" t="s">
        <v>2137</v>
      </c>
      <c r="N325" s="260" t="s">
        <v>111</v>
      </c>
      <c r="O325" s="260" t="s">
        <v>112</v>
      </c>
      <c r="P325" s="10">
        <v>2709</v>
      </c>
      <c r="Q325" s="11">
        <v>3000</v>
      </c>
      <c r="R325" s="11">
        <f t="shared" si="521"/>
        <v>462</v>
      </c>
      <c r="S325" s="11" t="str">
        <f>VLOOKUP(K325,'1124 Agricultura'!$K$13:$AK$25,9,0)</f>
        <v xml:space="preserve">Se estiman 5 procesos que darán cumplimiento a la meta en esta vigencia los cuales abordaran toda la estrategia ZODAS en diferentes sistemas productivos. Estos procesos son: 
• Pesca Artesanal: Se generó el memorando de entendimiento con la AUNAP (Autoridad Nacional de Acuicultura y Pesca) con el fin de realizar repoblamientos ictiológico (siembra de alevinos). Se han realizado 5 repoblamientos de los 6 proyectados. Así mismo y dando cumplimiento a la estrategia ZODAS se han abordado los diferentes puntos de la estrategia así:
1.	Circuitos cortos de comercialización: Se han capacitado a los pescadores en la comercialización responsable 
2.	Fortalecimiento de la Asociatividad: Se dictó charlas y capacitaciones a los pescadores artesanales, brindándoles herramientas para su desarrollo intelectual y económico.
3.	Acompañamiento Técnico: Se dictó capacitaciones a los beneficiarios y se acompañó técnicamente a los mismos en temas como: Tallas optimas de los animales para su extracción, importancia en el cuidado del recurso hídrico y la sensibilización frente a la problemática en la amenaza actual de la pesca artesanal. Así mismo se han realizado 5 repoblamientos ictiológicos (siembra de alevinos) de los 6 proyectados en 6 municipios del departamento (Puerto Salgar, Guaduas, Ricaurte, Útica, Caparrapí y Yacopí) sembrando un total a la fecha de 1.693.557 especies de peces como Bocachico, Mojarrra Criolla, Dorada y Guabina, Pataló y Capaz en los ríos Negro, Negrito, Guaduero, Sumapaz,  Pagüey, Quebrada Picalá, Caño Corán, Río Terán, Río Pata y Río Cáceres. Como fortalecimiento a los pescadores se les suministro bienes y elementos para fortalecer este sistema productivo como Motor fuera de borda, canoa artesanal, atarraya de 3 puntos, chaleco salvavidas, botiquín de primeros auxilios, neveras insuladas, carrete de pesca nylon, bascula de 60 Kg, congelador horizontal 535 litros, bolsas plásticas, bandas de caucho por kilo, suministro de oxígeno gaseoso / repoblamiento y kit de eviscerado, cofias, peto, cuchillos y guantes. La entrega de los kits pesqueros se hizo a 9 municipios (Beltran, Chaguaní, Girardot, Guaduas, Nariño, Guataquí, Puerto Salgar, Ricaurte y San Juan de Rio Seco) beneficiando a 14 asociaciones con 429 asociados. Se capacitaron a los pescadores artesanales en temas ambientales, asociatividad, seguridad alimentaria, comercialización cosecha y venda a la fija. Se está creando la Federación de Pescadores Artesanales con el fin de garantizar mercados locales, municipales y departamentales.
4.	Agricultura Sostenible: Se les capacitó a los beneficiarios en entregar valor agregado al producto que venden a través de la limpieza del mismo brindando una mejor inocuidad del producto con la cadena de frio por medio de las neveras  insuladas. Se brindó énfasis en el cuidado del recurso hídrico como fuente de trabajo y sostenibilidad del sistema productivo.
5.	Acompañamiento Psicosocial: La Secretaría de Agricultura y Desarrollo Rural participa en el Comité Departamental para la Prevención  y Erradicación del Trabajo Infantil y dentro de su misionalidad de la secretaría está el mejoramiento de la calidad de vida de la población rural y en el trabajo con los pesqueros se detectó las malas prácticas y trabajos infantiles a temprana edad en la exposición agrícola, pecuaria y de pesca y es por eso que por medio del acompañamiento psicosocial se hizo un seguimiento y asesoramiento a los hijos de los pescadores capacitándolos en el tema “Guardianes de la Pesca” abordando la importancia de ser cuidadores  de los recursos hídricos  y de las especies que allí habitan, impartiendo también la importancia  de cumplir con las obligaciones escolares. Esta capacitación se impartió con el apoyo de la AUNAP y se les hizo entrega de material didáctico. 
• Trabajo con Mujeres Fundación Alpina: Se están beneficiando a 300 familias de 10 municipios donde ya se socializo el proyecto, se realizó todas las visitas de verificación técnica en los predios de los beneficiarios, se seleccionaron los lugares donde van a estar los centros de plantulación y siembra de setas los cuales ya se terminó el proceso de su construcción física, se realizó la fase de capacitación en gastronomía, en producción y temas agronómicos. Nos encontramos en la fase de dotación de maquinaria y equipos requerida. Ya se realizó las primeras ventas institucionales de productos en el edificio administrativo de Alpina donde se comercializaron 150 mercados todos de productos provenientes de las huertas de las familias beneficiarias vendidos a los empleados de Alpina en la sede de Sopó. 
AVANCE ALPINA: 300 FAMILIAS
• Trabajo con familias de cafeteros: Se estima atender 269 familias. Se han ejecutado 22 acopios de café pergamino seco (ya listo para moler) de los 30 programados los cuales se hicieron en Guaduas, Viotá (x2), Nilo (x3), Quipile, la Mesa, Medina (x2), San Juan de Rio seco, Guayabetal (x3), Vergara, Sasaima, Quipile, La Vega, Gacheta, Quetame, Fomeque, Manta con la participación de 68 productores y se ha acopiado un volumen promedio de 2.652 kg en cada jornada.  Así mismo se han hecho otros 5 acopios en la micro central de Gacheta, Gachalá, San Cayetano y Nilo (x2) de café cereza (de cómo se toma directo de la planta) donde han participado 86 productores y se han entregado 156 bultos de fertilizante Producafe como contraprestación a la venta de café cereza aportados por la Federación Nacional de Cafeteros.
Así mismo se han inscrito 30 productores cafeteros en el Concurso Nacional de Microlotes quienes han recibido 60 bultos de fertilizante producto de su participación.
Ya se hizo la compra de los 8  kit de maquinaria y 3 sistemas de cargue de café. Esta entrega se prevé realizar entre el 09 y 21 de diciembre.
Se realizó la caracterización de 269 familias pertenecientes a caficultores inscritos en las asociaciones.
Finalmente, una vez se realice la entrega de los kits de maquinaria y sistemas de cargue se planea adelantar las capacitaciones en los siguientes componentes:
•	Circuitos cortos de comercialización
•	Fortalecimiento a la asociatividad y emprendimiento
•	Acompañamiento técnico especializado de acuerdo a cada sistema productivo (Agricultura Sostenible)
•	Componente social (Acompañamiento psicosocial, trabajo infantil)
• Conpes Lechero: Se van atender 180 familias. El convenio comenzó la ejecución a partir del 28 de agosto. Frente a la estrategia se ha realizado:
1.	Circuitos Cortos de Comercialización y Mercados de Proximidad: la comercialización se ha llevado a cabo por medio de circuitos cortos de comercialización y mercados de proximidad, ya que la recolección del producto se realiza en finca o en acopio por lo tanto el fortalecimiento en este proyecto consiste en mejorar a través de los módulos de capacitación y gestión del conocimiento a 180 productores de organizaciones en los municipios de Anolaima, la Calera, Guatavita, Sesquilé, Fúquene y Zipaquirá, en cuanto a calidad de leche fortalecimiento empresarial buenas practicas ganaderas que permitan que el productor pueda ofrecer un mejor producto y así tener mayor capacidad de maniobrabilidad a la hora de acceder a los mercados que tienen en la zona.
2.	Fortalecimiento a la Asociatividad y Emprendimiento: Se realizó 2 capacitaciones y talleres de Marketing digital y talleres de plan de negocios donde se han beneficiado 180 asociados de las seis asociaciones de los municipios beneficiados de Conpes lácteo de Zipaquirá, Guatavita, Sesquilé, La Calera, Fúquene y Anolaima abordando los siguientes temas 
•	Conceptos básicos 
•	Transformación Digital
•	Canales digitales
•	Ecosistemas digitales 
•	Estrategias de comercialización 
•	Gestión empresarial
•	Economía solidaria
•	Importancia de la contabilidad y costos en la ruralidad 
•	Cultura del ahorro
3.	Acompañamiento Técnico Especializado: Los beneficiarios ha venido obteniendo un acompañamiento a través de un profesional del sector agropecuario más el acompañamiento de personal técnico en los diferentes temas que se desarrollan 
4.	Agricultura y Ganadería Sostenible: En el componente denominado transferencia de tecnología en nutrición uno de los ítem consiste en la entrega y siembra de 150 árboles más el aislamiento en los predios de cada uno de los 180 productores. Este sistema mejora la calidad de suelo, disminuye la emisión de gases efecto invernadero, protege las zonas de ronda y ofrece una alternativa nutricional para el ganado bovino. 
5.	Componente Social: Se diseñó un instrumento de caracterización socio organizativo y se implementó en las seis asociaciones capacitaciones y talleres lúdico-pedagógicos sobre habilidades blandas y asociativas a las 180 familias beneficiadas abordando los siguientes temas: 
•	Conceptos básicos
•	Liderazgo
•	Resolución de conflictos
•	Trabajo en equipo 
•	Comunicación asertiva 
• RAP-E Se beneficiaron 162 familias  con:
1.	Circuitos cortos de comercialización y mercados de proximidad: Se realizó una rueda de negocios en la secretaria de desarrollo económico en la plaza de artesanos el 23 de nov
2.	Fortalecimiento a la asociatividad y emprendimiento: Se desarrolló con el Operador Fundases  la metodología de las capacitaciones que se dictaron en los siguientes temas: (1)  Administrativos y  logísticos de las organizaciones, (2) Contabilidad y costos de producción (3) Diagnostico BPA de buenas prácticas agrícolas. 
3.	Acompañamiento técnico: Se les hizo una visita a los predios de los productores beneficiarios del convenio y se les realizo diagnóstico de BPA de acuerdo a cada sistema productivo
4.	Agricultura sostenible: Con el diagnostico de BPA se les practico y capacito sobre la agricultura sostenible haciendo énfasis en la conservación de los recursos naturales, agricultura limpia, capacitaciones en logística de reversa con revisión de desperdicios, manejo de fertilizantes e insumos.
5.	Componente social: Capacitación y acompañamiento con el programa ciudadanía alimentaria donde se enseña y sensibiliza sobre los procesos de producción de alimentación para todos los entornos garantizando una seguridad alimentaria
AVANCE: 162 familias
Como apoyo a los diferentes procesos de la Estrategia Zodas se han realizado entrega de Insumos y Semillas como reactivación económica a 9.405 productores de 70 municipios donde se beneficiaron con fertilizantes orgánicos y químicos, abonos orgánicos, enmiendas y semillas, los cuales ya están caracterizados de acuerdo a solicitudes de Asociaciones, Juntas de Acción Comunal y Alcaldías  buscando seguridad alimentaria  y la generación de excedentes. El contrato se prorrogo hasta el 20 de diciembre dado que se presentaron retrasos logísticos por parte de los beneficiarios al momento de la recogida de los insumos.
</v>
      </c>
      <c r="T325" s="11">
        <v>300</v>
      </c>
      <c r="U325" s="11">
        <v>0</v>
      </c>
      <c r="V325" s="11">
        <v>5</v>
      </c>
      <c r="W325" s="11">
        <v>0</v>
      </c>
      <c r="X325" s="11">
        <v>0</v>
      </c>
      <c r="Y325" s="11">
        <v>0</v>
      </c>
      <c r="Z325" s="11">
        <v>0</v>
      </c>
      <c r="AA325" s="11">
        <v>0</v>
      </c>
      <c r="AB325" s="11" t="s">
        <v>2138</v>
      </c>
      <c r="AC325" s="11">
        <v>0</v>
      </c>
      <c r="AD325" s="11">
        <v>1417</v>
      </c>
      <c r="AE325" s="11">
        <v>0</v>
      </c>
      <c r="AF325" s="11">
        <f>VLOOKUP(K325,'1124 Agricultura'!$K$13:$AK$25,22,0)</f>
        <v>462</v>
      </c>
      <c r="AG325" s="11">
        <f>VLOOKUP(K325,'1124 Agricultura'!$K$13:$AK$25,23,0)</f>
        <v>0</v>
      </c>
      <c r="AH325" s="11">
        <f t="shared" si="522"/>
        <v>462</v>
      </c>
      <c r="AI325" s="11" t="str">
        <f>VLOOKUP(K325,'1124 Agricultura'!$K$13:$AK$25,25,0)</f>
        <v>Familias Beneficiadas con Zonas de Desarrollo Agropecuario</v>
      </c>
      <c r="AJ325" s="11" t="str">
        <f>VLOOKUP(K325,'1124 Agricultura'!$K$13:$AK$25,26,0)</f>
        <v xml:space="preserve">Se estiman 5 procesos que darán cumplimiento a la meta en esta vigencia los cuales abordaran toda la estrategia ZODAS en diferentes sistemas productivos. Estos procesos son: 
• Pesca Artesanal: Se generó el memorando de entendimiento con la AUNAP (Autoridad Nacional de Acuicultura y Pesca) con el fin de realizar repoblamientos ictiológico (siembra de alevinos). Se han realizado 5 repoblamientos de los 6 proyectados. Así mismo y dando cumplimiento a la estrategia ZODAS se han abordado los diferentes puntos de la estrategia así:
1.	Circuitos cortos de comercialización: Se han capacitado a los pescadores en la comercialización responsable 
2.	Fortalecimiento de la Asociatividad: Se dictó charlas y capacitaciones a los pescadores artesanales, brindándoles herramientas para su desarrollo intelectual y económico.
3.	Acompañamiento Técnico: Se dictó capacitaciones a los beneficiarios y se acompañó técnicamente a los mismos en temas como: Tallas optimas de los animales para su extracción, importancia en el cuidado del recurso hídrico y la sensibilización frente a la problemática en la amenaza actual de la pesca artesanal. Así mismo se han realizado 5 repoblamientos ictiológicos (siembra de alevinos) de los 6 proyectados en 6 municipios del departamento (Puerto Salgar, Guaduas, Ricaurte, Útica, Caparrapí y Yacopí) sembrando un total a la fecha de 1.693.557 especies de peces como Bocachico, Mojarrra Criolla, Dorada y Guabina, Pataló y Capaz en los ríos Negro, Negrito, Guaduero, Sumapaz,  Pagüey, Quebrada Picalá, Caño Corán, Río Terán, Río Pata y Río Cáceres. Como fortalecimiento a los pescadores se les suministro bienes y elementos para fortalecer este sistema productivo como Motor fuera de borda, canoa artesanal, atarraya de 3 puntos, chaleco salvavidas, botiquín de primeros auxilios, neveras insuladas, carrete de pesca nylon, bascula de 60 Kg, congelador horizontal 535 litros, bolsas plásticas, bandas de caucho por kilo, suministro de oxígeno gaseoso / repoblamiento y kit de eviscerado, cofias, peto, cuchillos y guantes. La entrega de los kits pesqueros se hizo a 9 municipios (Beltran, Chaguaní, Girardot, Guaduas, Nariño, Guataquí, Puerto Salgar, Ricaurte y San Juan de Rio Seco) beneficiando a 14 asociaciones con 429 asociados. Se capacitaron a los pescadores artesanales en temas ambientales, asociatividad, seguridad alimentaria, comercialización cosecha y venda a la fija. Se está creando la Federación de Pescadores Artesanales con el fin de garantizar mercados locales, municipales y departamentales.
4.	Agricultura Sostenible: Se les capacitó a los beneficiarios en entregar valor agregado al producto que venden a través de la limpieza del mismo brindando una mejor inocuidad del producto con la cadena de frio por medio de las neveras  insuladas. Se brindó énfasis en el cuidado del recurso hídrico como fuente de trabajo y sostenibilidad del sistema productivo.
5.	Acompañamiento Psicosocial: La Secretaría de Agricultura y Desarrollo Rural participa en el Comité Departamental para la Prevención  y Erradicación del Trabajo Infantil y dentro de su misionalidad de la secretaría está el mejoramiento de la calidad de vida de la población rural y en el trabajo con los pesqueros se detectó las malas prácticas y trabajos infantiles a temprana edad en la exposición agrícola, pecuaria y de pesca y es por eso que por medio del acompañamiento psicosocial se hizo un seguimiento y asesoramiento a los hijos de los pescadores capacitándolos en el tema “Guardianes de la Pesca” abordando la importancia de ser cuidadores  de los recursos hídricos  y de las especies que allí habitan, impartiendo también la importancia  de cumplir con las obligaciones escolares. Esta capacitación se impartió con el apoyo de la AUNAP y se les hizo entrega de material didáctico. 
• Trabajo con Mujeres Fundación Alpina: Se están beneficiando a 300 familias de 10 municipios donde ya se socializo el proyecto, se realizó todas las visitas de verificación técnica en los predios de los beneficiarios, se seleccionaron los lugares donde van a estar los centros de plantulación y siembra de setas los cuales ya se terminó el proceso de su construcción física, se realizó la fase de capacitación en gastronomía, en producción y temas agronómicos. Nos encontramos en la fase de dotación de maquinaria y equipos requerida. Ya se realizó las primeras ventas institucionales de productos en el edificio administrativo de Alpina donde se comercializaron 150 mercados todos de productos provenientes de las huertas de las familias beneficiarias vendidos a los empleados de Alpina en la sede de Sopó. 
AVANCE ALPINA: 300 FAMILIAS
• Trabajo con familias de cafeteros: Se estima atender 269 familias. Se han ejecutado 22 acopios de café pergamino seco (ya listo para moler) de los 30 programados los cuales se hicieron en Guaduas, Viotá (x2), Nilo (x3), Quipile, la Mesa, Medina (x2), San Juan de Rio seco, Guayabetal (x3), Vergara, Sasaima, Quipile, La Vega, Gacheta, Quetame, Fomeque, Manta con la participación de 68 productores y se ha acopiado un volumen promedio de 2.652 kg en cada jornada.  Así mismo se han hecho otros 5 acopios en la micro central de Gacheta, Gachalá, San Cayetano y Nilo (x2) de café cereza (de cómo se toma directo de la planta) donde han participado 86 productores y se han entregado 156 bultos de fertilizante Producafe como contraprestación a la venta de café cereza aportados por la Federación Nacional de Cafeteros.
Así mismo se han inscrito 30 productores cafeteros en el Concurso Nacional de Microlotes quienes han recibido 60 bultos de fertilizante producto de su participación.
Ya se hizo la compra de los 8  kit de maquinaria y 3 sistemas de cargue de café. Esta entrega se prevé realizar entre el 09 y 21 de diciembre.
Se realizó la caracterización de 269 familias pertenecientes a caficultores inscritos en las asociaciones.
Finalmente, una vez se realice la entrega de los kits de maquinaria y sistemas de cargue se planea adelantar las capacitaciones en los siguientes componentes:
•	Circuitos cortos de comercialización
•	Fortalecimiento a la asociatividad y emprendimiento
•	Acompañamiento técnico especializado de acuerdo a cada sistema productivo (Agricultura Sostenible)
•	Componente social (Acompañamiento psicosocial, trabajo infantil)
• Conpes Lechero: Se van atender 180 familias. El convenio comenzó la ejecución a partir del 28 de agosto. Frente a la estrategia se ha realizado:
1.	Circuitos Cortos de Comercialización y Mercados de Proximidad: la comercialización se ha llevado a cabo por medio de circuitos cortos de comercialización y mercados de proximidad, ya que la recolección del producto se realiza en finca o en acopio por lo tanto el fortalecimiento en este proyecto consiste en mejorar a través de los módulos de capacitación y gestión del conocimiento a 180 productores de organizaciones en los municipios de Anolaima, la Calera, Guatavita, Sesquilé, Fúquene y Zipaquirá, en cuanto a calidad de leche fortalecimiento empresarial buenas practicas ganaderas que permitan que el productor pueda ofrecer un mejor producto y así tener mayor capacidad de maniobrabilidad a la hora de acceder a los mercados que tienen en la zona.
2.	Fortalecimiento a la Asociatividad y Emprendimiento: Se realizó 2 capacitaciones y talleres de Marketing digital y talleres de plan de negocios donde se han beneficiado 180 asociados de las seis asociaciones de los municipios beneficiados de Conpes lácteo de Zipaquirá, Guatavita, Sesquilé, La Calera, Fúquene y Anolaima abordando los siguientes temas 
•	Conceptos básicos 
•	Transformación Digital
•	Canales digitales
•	Ecosistemas digitales 
•	Estrategias de comercialización 
•	Gestión empresarial
•	Economía solidaria
•	Importancia de la contabilidad y costos en la ruralidad 
•	Cultura del ahorro
3.	Acompañamiento Técnico Especializado: Los beneficiarios ha venido obteniendo un acompañamiento a través de un profesional del sector agropecuario más el acompañamiento de personal técnico en los diferentes temas que se desarrollan 
4.	Agricultura y Ganadería Sostenible: En el componente denominado transferencia de tecnología en nutrición uno de los ítem consiste en la entrega y siembra de 150 árboles más el aislamiento en los predios de cada uno de los 180 productores. Este sistema mejora la calidad de suelo, disminuye la emisión de gases efecto invernadero, protege las zonas de ronda y ofrece una alternativa nutricional para el ganado bovino. 
5.	Componente Social: Se diseñó un instrumento de caracterización socio organizativo y se implementó en las seis asociaciones capacitaciones y talleres lúdico-pedagógicos sobre habilidades blandas y asociativas a las 180 familias beneficiadas abordando los siguientes temas: 
•	Conceptos básicos
•	Liderazgo
•	Resolución de conflictos
•	Trabajo en equipo 
•	Comunicación asertiva 
• RAP-E Se beneficiaron 162 familias  con:
1.	Circuitos cortos de comercialización y mercados de proximidad: Se realizó una rueda de negocios en la secretaria de desarrollo económico en la plaza de artesanos el 23 de nov
2.	Fortalecimiento a la asociatividad y emprendimiento: Se desarrolló con el Operador Fundases  la metodología de las capacitaciones que se dictaron en los siguientes temas: (1)  Administrativos y  logísticos de las organizaciones, (2) Contabilidad y costos de producción (3) Diagnostico BPA de buenas prácticas agrícolas. 
3.	Acompañamiento técnico: Se les hizo una visita a los predios de los productores beneficiarios del convenio y se les realizo diagnóstico de BPA de acuerdo a cada sistema productivo
4.	Agricultura sostenible: Con el diagnostico de BPA se les practico y capacito sobre la agricultura sostenible haciendo énfasis en la conservación de los recursos naturales, agricultura limpia, capacitaciones en logística de reversa con revisión de desperdicios, manejo de fertilizantes e insumos.
5.	Componente social: Capacitación y acompañamiento con el programa ciudadanía alimentaria donde se enseña y sensibiliza sobre los procesos de producción de alimentación para todos los entornos garantizando una seguridad alimentaria
AVANCE: 162 familias
Como apoyo a los diferentes procesos de la Estrategia Zodas se han realizado entrega de Insumos y Semillas como reactivación económica a 9.405 productores de 70 municipios donde se beneficiaron con fertilizantes orgánicos y químicos, abonos orgánicos, enmiendas y semillas, los cuales ya están caracterizados de acuerdo a solicitudes de Asociaciones, Juntas de Acción Comunal y Alcaldías  buscando seguridad alimentaria  y la generación de excedentes. El contrato se prorrogo hasta el 20 de diciembre dado que se presentaron retrasos logísticos por parte de los beneficiarios al momento de la recogida de los insumos.
</v>
      </c>
      <c r="AK325" s="11">
        <f>VLOOKUP(K325,'1124 Agricultura'!$K$13:$AK$25,27,0)</f>
        <v>0</v>
      </c>
      <c r="AL325" s="11">
        <v>1000</v>
      </c>
      <c r="AM325" s="11">
        <v>0</v>
      </c>
      <c r="AN325" s="11">
        <v>583</v>
      </c>
      <c r="AO325" s="11">
        <v>0</v>
      </c>
      <c r="AP325" s="11">
        <v>0</v>
      </c>
      <c r="AQ325" s="11">
        <v>0</v>
      </c>
      <c r="AR325" s="51">
        <v>40000000</v>
      </c>
      <c r="AS325" s="54">
        <v>0</v>
      </c>
      <c r="AT325" s="54">
        <f t="shared" si="434"/>
        <v>40000000</v>
      </c>
      <c r="AU325" s="51">
        <v>40000000</v>
      </c>
      <c r="AV325" s="243">
        <v>3712500000</v>
      </c>
      <c r="AW325" s="244"/>
      <c r="AX325" s="244"/>
      <c r="AY325" s="243">
        <v>3362499860</v>
      </c>
      <c r="AZ325" s="44">
        <f t="shared" si="523"/>
        <v>0.154</v>
      </c>
      <c r="BA325" s="44">
        <v>1.6999999999999999E-3</v>
      </c>
      <c r="BB325" s="44">
        <v>0</v>
      </c>
      <c r="BC325" s="44">
        <f t="shared" si="524"/>
        <v>0.47233333333333333</v>
      </c>
      <c r="BD325" s="44" cm="1">
        <f t="array" ref="BD325">_xlfn.IFS(AD325=0,"NA",AD325&gt;0,AH325/AD325)</f>
        <v>0.32604093154551872</v>
      </c>
      <c r="BE325" s="44">
        <f t="shared" si="525"/>
        <v>0.33333333333333331</v>
      </c>
      <c r="BF325" s="44">
        <v>0</v>
      </c>
      <c r="BG325" s="44">
        <f t="shared" si="526"/>
        <v>0.19433333333333333</v>
      </c>
      <c r="BH325" s="44">
        <v>0</v>
      </c>
      <c r="BI325" s="44">
        <f t="shared" si="527"/>
        <v>0</v>
      </c>
      <c r="BJ325" s="44" t="s">
        <v>115</v>
      </c>
      <c r="BK325" s="44">
        <f t="shared" si="435"/>
        <v>0.154</v>
      </c>
      <c r="BL325" s="44">
        <v>0</v>
      </c>
      <c r="BM325" s="44" cm="1">
        <f t="array" ref="BM325">_xlfn.IFS(BD325="NA","NA",BD325&gt;100%,"100%",BD325&lt;100,BD325)</f>
        <v>0.32604093154551872</v>
      </c>
      <c r="BN325" s="44" cm="1">
        <f t="array" ref="BN325">_xlfn.IFS(BF325="NA","NA",BF325&gt;100%,"100%",BF325&lt;100,BF325)</f>
        <v>0</v>
      </c>
      <c r="BO325" s="44" cm="1">
        <f t="array" ref="BO325">_xlfn.IFS(BH325="NA","NA",BH325&gt;100%,"100%",BH325&lt;100,BH325)</f>
        <v>0</v>
      </c>
      <c r="BP325" s="44" t="str" cm="1">
        <f t="array" ref="BP325">_xlfn.IFS(BJ325="NA","NA",BJ325&gt;100%,"100%",BJ325&lt;100,BJ325)</f>
        <v>NA</v>
      </c>
      <c r="BQ325" s="45">
        <v>0.224</v>
      </c>
      <c r="BR325" s="45">
        <f t="shared" si="436"/>
        <v>3.4495999999999999E-2</v>
      </c>
      <c r="BS325" s="45">
        <v>4.0000000000000002E-4</v>
      </c>
      <c r="BT325" s="45">
        <v>0</v>
      </c>
      <c r="BU325" s="45">
        <v>0</v>
      </c>
      <c r="BV325" s="45">
        <f t="shared" si="528"/>
        <v>0.10580266666666667</v>
      </c>
      <c r="BW325" s="45">
        <f t="shared" si="448"/>
        <v>3.4496000000000006E-2</v>
      </c>
      <c r="BX325" s="45">
        <f t="shared" si="449"/>
        <v>3.4495999999999999E-2</v>
      </c>
      <c r="BY325" s="45">
        <f t="shared" si="529"/>
        <v>7.4666666666666673E-2</v>
      </c>
      <c r="BZ325" s="45">
        <f t="shared" si="530"/>
        <v>0</v>
      </c>
      <c r="CA325" s="45">
        <f t="shared" si="439"/>
        <v>0</v>
      </c>
      <c r="CB325" s="45">
        <f t="shared" si="531"/>
        <v>4.3530666666666669E-2</v>
      </c>
      <c r="CC325" s="45">
        <f t="shared" si="532"/>
        <v>0</v>
      </c>
      <c r="CD325" s="45">
        <v>0</v>
      </c>
      <c r="CE325" s="45">
        <f t="shared" si="533"/>
        <v>0</v>
      </c>
      <c r="CF325" s="45" t="str">
        <f t="shared" si="534"/>
        <v>NA</v>
      </c>
      <c r="CG325" s="45">
        <v>0</v>
      </c>
      <c r="CH325" s="244"/>
      <c r="CI325" s="244"/>
      <c r="CJ325" s="244"/>
      <c r="CK325" s="244"/>
      <c r="CM325" s="63">
        <v>0</v>
      </c>
    </row>
    <row r="326" spans="1:91" ht="18" hidden="1" customHeight="1">
      <c r="A326" s="260" t="s">
        <v>1296</v>
      </c>
      <c r="B326" s="260" t="s">
        <v>1297</v>
      </c>
      <c r="C326" s="260" t="s">
        <v>2129</v>
      </c>
      <c r="D326" s="260" t="s">
        <v>2130</v>
      </c>
      <c r="E326" s="260" t="s">
        <v>2131</v>
      </c>
      <c r="F326" s="260" t="s">
        <v>2132</v>
      </c>
      <c r="G326" s="260" t="s">
        <v>2133</v>
      </c>
      <c r="H326" s="260" t="s">
        <v>2139</v>
      </c>
      <c r="I326" s="260"/>
      <c r="J326" s="260"/>
      <c r="K326" s="260" t="s">
        <v>2140</v>
      </c>
      <c r="L326" s="260" t="s">
        <v>2141</v>
      </c>
      <c r="M326" s="211" t="s">
        <v>2142</v>
      </c>
      <c r="N326" s="260" t="s">
        <v>111</v>
      </c>
      <c r="O326" s="260" t="s">
        <v>112</v>
      </c>
      <c r="P326" s="10">
        <v>0</v>
      </c>
      <c r="Q326" s="11">
        <v>4</v>
      </c>
      <c r="R326" s="11">
        <f t="shared" si="521"/>
        <v>1</v>
      </c>
      <c r="S326" s="11">
        <f>VLOOKUP(K326,'1290 ACIC'!$K$13:$AK$51,9,0)</f>
        <v>0</v>
      </c>
      <c r="T326" s="11">
        <v>0</v>
      </c>
      <c r="U326" s="11">
        <v>0</v>
      </c>
      <c r="V326" s="11">
        <v>0</v>
      </c>
      <c r="W326" s="11">
        <v>0</v>
      </c>
      <c r="X326" s="11">
        <v>0</v>
      </c>
      <c r="Y326" s="11">
        <v>0</v>
      </c>
      <c r="Z326" s="11">
        <v>0</v>
      </c>
      <c r="AA326" s="11"/>
      <c r="AB326" s="11"/>
      <c r="AC326" s="11"/>
      <c r="AD326" s="11">
        <v>42</v>
      </c>
      <c r="AE326" s="11">
        <v>0</v>
      </c>
      <c r="AF326" s="11">
        <f>VLOOKUP(K326,'1290 ACIC'!$K$13:$AK$51,22,0)</f>
        <v>1</v>
      </c>
      <c r="AG326" s="11">
        <f>VLOOKUP(K326,'1290 ACIC'!$K$13:$AK$51,23,0)</f>
        <v>0</v>
      </c>
      <c r="AH326" s="11">
        <f t="shared" si="522"/>
        <v>1</v>
      </c>
      <c r="AI326" s="11" t="str">
        <f>VLOOKUP(K326,'1290 ACIC'!$K$13:$AK$51,25,0)</f>
        <v xml:space="preserve">se firmaron convenios con 16 municipios para dotacion de maquinaria , equipo, insumos herramientas e innovacion con aporte del dpto del 67 % con  1.845.744.800 y 29% municipios. EL PROCESO SE ENCUENTRA EN DESEMBOLSO DE LOS RECURSOS A MUNICIPIOS   </v>
      </c>
      <c r="AJ326" s="11">
        <f>VLOOKUP(K326,'1290 ACIC'!$K$13:$AK$51,26,0)</f>
        <v>0</v>
      </c>
      <c r="AK326" s="11">
        <f>VLOOKUP(K326,'1290 ACIC'!$K$13:$AK$51,27,0)</f>
        <v>0</v>
      </c>
      <c r="AL326" s="11">
        <v>0</v>
      </c>
      <c r="AM326" s="11">
        <v>0</v>
      </c>
      <c r="AN326" s="11">
        <v>0</v>
      </c>
      <c r="AO326" s="11">
        <v>0</v>
      </c>
      <c r="AP326" s="11">
        <v>0</v>
      </c>
      <c r="AQ326" s="11">
        <v>0</v>
      </c>
      <c r="AR326" s="52"/>
      <c r="AS326" s="54">
        <v>0</v>
      </c>
      <c r="AT326" s="54">
        <f t="shared" si="434"/>
        <v>0</v>
      </c>
      <c r="AU326" s="52"/>
      <c r="AV326" s="243">
        <v>1850500000</v>
      </c>
      <c r="AW326" s="244"/>
      <c r="AX326" s="244"/>
      <c r="AY326" s="243">
        <v>1846060192</v>
      </c>
      <c r="AZ326" s="44">
        <f t="shared" si="523"/>
        <v>0.25</v>
      </c>
      <c r="BA326" s="44">
        <v>0</v>
      </c>
      <c r="BB326" s="44" t="s">
        <v>115</v>
      </c>
      <c r="BC326" s="44">
        <f t="shared" si="524"/>
        <v>10.5</v>
      </c>
      <c r="BD326" s="44" cm="1">
        <f t="array" ref="BD326">_xlfn.IFS(AD326=0,"NA",AD326&gt;0,AH326/AD326)</f>
        <v>2.3809523809523808E-2</v>
      </c>
      <c r="BE326" s="44">
        <f t="shared" si="525"/>
        <v>0</v>
      </c>
      <c r="BF326" s="44">
        <v>0</v>
      </c>
      <c r="BG326" s="44">
        <f t="shared" si="526"/>
        <v>0</v>
      </c>
      <c r="BH326" s="44">
        <v>0</v>
      </c>
      <c r="BI326" s="44">
        <f t="shared" si="527"/>
        <v>0</v>
      </c>
      <c r="BJ326" s="44" t="s">
        <v>115</v>
      </c>
      <c r="BK326" s="44">
        <f t="shared" si="435"/>
        <v>0.25</v>
      </c>
      <c r="BL326" s="44" t="s">
        <v>115</v>
      </c>
      <c r="BM326" s="44" cm="1">
        <f t="array" ref="BM326">_xlfn.IFS(BD326="NA","NA",BD326&gt;100%,"100%",BD326&lt;100,BD326)</f>
        <v>2.3809523809523808E-2</v>
      </c>
      <c r="BN326" s="44" cm="1">
        <f t="array" ref="BN326">_xlfn.IFS(BF326="NA","NA",BF326&gt;100%,"100%",BF326&lt;100,BF326)</f>
        <v>0</v>
      </c>
      <c r="BO326" s="44" cm="1">
        <f t="array" ref="BO326">_xlfn.IFS(BH326="NA","NA",BH326&gt;100%,"100%",BH326&lt;100,BH326)</f>
        <v>0</v>
      </c>
      <c r="BP326" s="44" t="str" cm="1">
        <f t="array" ref="BP326">_xlfn.IFS(BJ326="NA","NA",BJ326&gt;100%,"100%",BJ326&lt;100,BJ326)</f>
        <v>NA</v>
      </c>
      <c r="BQ326" s="45">
        <v>0.224</v>
      </c>
      <c r="BR326" s="45">
        <f t="shared" si="436"/>
        <v>5.6000000000000001E-2</v>
      </c>
      <c r="BS326" s="45">
        <v>0</v>
      </c>
      <c r="BT326" s="45" t="s">
        <v>115</v>
      </c>
      <c r="BU326" s="45">
        <v>0</v>
      </c>
      <c r="BV326" s="45">
        <f t="shared" si="528"/>
        <v>2.3519999999999999</v>
      </c>
      <c r="BW326" s="45">
        <f t="shared" si="448"/>
        <v>5.5999999999999994E-2</v>
      </c>
      <c r="BX326" s="45">
        <f t="shared" si="449"/>
        <v>5.6000000000000001E-2</v>
      </c>
      <c r="BY326" s="45">
        <f t="shared" si="529"/>
        <v>0</v>
      </c>
      <c r="BZ326" s="45">
        <f t="shared" si="530"/>
        <v>0</v>
      </c>
      <c r="CA326" s="45">
        <f t="shared" si="439"/>
        <v>0</v>
      </c>
      <c r="CB326" s="45">
        <f t="shared" si="531"/>
        <v>0</v>
      </c>
      <c r="CC326" s="45">
        <f t="shared" si="532"/>
        <v>0</v>
      </c>
      <c r="CD326" s="45">
        <v>0</v>
      </c>
      <c r="CE326" s="45">
        <f t="shared" si="533"/>
        <v>0</v>
      </c>
      <c r="CF326" s="45" t="str">
        <f t="shared" si="534"/>
        <v>NA</v>
      </c>
      <c r="CG326" s="45">
        <v>0</v>
      </c>
      <c r="CH326" s="244"/>
      <c r="CI326" s="244"/>
      <c r="CJ326" s="244"/>
      <c r="CK326" s="244"/>
      <c r="CM326" s="63">
        <v>1</v>
      </c>
    </row>
    <row r="327" spans="1:91" ht="18" hidden="1" customHeight="1">
      <c r="A327" s="260" t="s">
        <v>1310</v>
      </c>
      <c r="B327" s="260" t="s">
        <v>1311</v>
      </c>
      <c r="C327" s="260" t="s">
        <v>2129</v>
      </c>
      <c r="D327" s="260" t="s">
        <v>2130</v>
      </c>
      <c r="E327" s="260" t="s">
        <v>2131</v>
      </c>
      <c r="F327" s="260" t="s">
        <v>2132</v>
      </c>
      <c r="G327" s="260" t="s">
        <v>2133</v>
      </c>
      <c r="H327" s="260" t="s">
        <v>2143</v>
      </c>
      <c r="I327" s="260"/>
      <c r="J327" s="260"/>
      <c r="K327" s="260" t="s">
        <v>2144</v>
      </c>
      <c r="L327" s="260" t="s">
        <v>2145</v>
      </c>
      <c r="M327" s="260" t="s">
        <v>2146</v>
      </c>
      <c r="N327" s="260" t="s">
        <v>111</v>
      </c>
      <c r="O327" s="260" t="s">
        <v>112</v>
      </c>
      <c r="P327" s="10">
        <v>0</v>
      </c>
      <c r="Q327" s="11">
        <v>1</v>
      </c>
      <c r="R327" s="11">
        <f t="shared" ca="1" si="521"/>
        <v>0.15</v>
      </c>
      <c r="S327" s="11" t="str">
        <f ca="1">VLOOKUP(K327,'1120 Competitividad'!$K$13:$AK$51,9,0)</f>
        <v>ESTUDIO DE PREFACTIBILIDAD  DONDE SE IDENTIFICA LA SITUACIÓN  DEL SECTOR ,ESTUDIOS DE MERCADO, TÉCNICO, AMBIENTAL, ADMINISTRATIVO Y FINANCIERO  PARA EL DESARROLLO DE LA PLANTA DE ABONOS .</v>
      </c>
      <c r="T327" s="11">
        <v>0.25</v>
      </c>
      <c r="U327" s="11">
        <v>0</v>
      </c>
      <c r="V327" s="11">
        <v>0.25</v>
      </c>
      <c r="W327" s="11">
        <v>0</v>
      </c>
      <c r="X327" s="11">
        <v>0.15</v>
      </c>
      <c r="Y327" s="11">
        <v>0</v>
      </c>
      <c r="Z327" s="11">
        <v>0.15</v>
      </c>
      <c r="AA327" s="11">
        <v>0</v>
      </c>
      <c r="AB327" s="11" t="s">
        <v>2147</v>
      </c>
      <c r="AC327" s="11">
        <v>0</v>
      </c>
      <c r="AD327" s="11">
        <v>0</v>
      </c>
      <c r="AE327" s="11">
        <v>0</v>
      </c>
      <c r="AF327" s="11">
        <f ca="1">VLOOKUP(K327,'1120 Competitividad'!$K$13:$AK$51,22,0)</f>
        <v>0</v>
      </c>
      <c r="AG327" s="11">
        <f ca="1">VLOOKUP(K327,'1120 Competitividad'!$K$13:$AK$51,23,0)</f>
        <v>0</v>
      </c>
      <c r="AH327" s="11">
        <f t="shared" ca="1" si="522"/>
        <v>0</v>
      </c>
      <c r="AI327" s="11">
        <f ca="1">VLOOKUP(K327,'1120 Competitividad'!$K$13:$AK$51,25,0)</f>
        <v>0</v>
      </c>
      <c r="AJ327" s="11">
        <f ca="1">VLOOKUP(K327,'1120 Competitividad'!$K$13:$AK$51,26,0)</f>
        <v>0</v>
      </c>
      <c r="AK327" s="11">
        <f ca="1">VLOOKUP(K327,'1120 Competitividad'!$K$13:$AK$51,27,0)</f>
        <v>0</v>
      </c>
      <c r="AL327" s="11">
        <v>0.85</v>
      </c>
      <c r="AM327" s="11">
        <v>0</v>
      </c>
      <c r="AN327" s="11">
        <v>0</v>
      </c>
      <c r="AO327" s="11">
        <v>0</v>
      </c>
      <c r="AP327" s="11">
        <v>0</v>
      </c>
      <c r="AQ327" s="11">
        <v>0</v>
      </c>
      <c r="AR327" s="51">
        <v>600000000</v>
      </c>
      <c r="AS327" s="54">
        <v>0</v>
      </c>
      <c r="AT327" s="54">
        <f t="shared" si="434"/>
        <v>600000000</v>
      </c>
      <c r="AU327" s="51">
        <v>600000000</v>
      </c>
      <c r="AV327" s="243">
        <v>3244726700</v>
      </c>
      <c r="AW327" s="244"/>
      <c r="AX327" s="244"/>
      <c r="AY327" s="243">
        <v>0</v>
      </c>
      <c r="AZ327" s="44">
        <f t="shared" ca="1" si="523"/>
        <v>0.15</v>
      </c>
      <c r="BA327" s="44">
        <v>0.25</v>
      </c>
      <c r="BB327" s="44">
        <v>0.6</v>
      </c>
      <c r="BC327" s="44">
        <f t="shared" si="524"/>
        <v>0</v>
      </c>
      <c r="BD327" s="44" t="str" cm="1">
        <f t="array" aca="1" ref="BD327" ca="1">_xlfn.IFS(AD327=0,"NA",AD327&gt;0,AH327/AD327)</f>
        <v>NA</v>
      </c>
      <c r="BE327" s="44">
        <f t="shared" si="525"/>
        <v>0.85</v>
      </c>
      <c r="BF327" s="44">
        <v>0</v>
      </c>
      <c r="BG327" s="44">
        <f t="shared" si="526"/>
        <v>0</v>
      </c>
      <c r="BH327" s="44">
        <v>0</v>
      </c>
      <c r="BI327" s="44">
        <f t="shared" si="527"/>
        <v>0</v>
      </c>
      <c r="BJ327" s="44" t="s">
        <v>115</v>
      </c>
      <c r="BK327" s="44">
        <f t="shared" ca="1" si="435"/>
        <v>0.15</v>
      </c>
      <c r="BL327" s="44">
        <v>0.6</v>
      </c>
      <c r="BM327" s="44" t="str" cm="1">
        <f t="array" aca="1" ref="BM327" ca="1">_xlfn.IFS(BD327="NA","NA",BD327&gt;100%,"100%",BD327&lt;100,BD327)</f>
        <v>NA</v>
      </c>
      <c r="BN327" s="44" cm="1">
        <f t="array" ref="BN327">_xlfn.IFS(BF327="NA","NA",BF327&gt;100%,"100%",BF327&lt;100,BF327)</f>
        <v>0</v>
      </c>
      <c r="BO327" s="44" cm="1">
        <f t="array" ref="BO327">_xlfn.IFS(BH327="NA","NA",BH327&gt;100%,"100%",BH327&lt;100,BH327)</f>
        <v>0</v>
      </c>
      <c r="BP327" s="44" t="str" cm="1">
        <f t="array" ref="BP327">_xlfn.IFS(BJ327="NA","NA",BJ327&gt;100%,"100%",BJ327&lt;100,BJ327)</f>
        <v>NA</v>
      </c>
      <c r="BQ327" s="45">
        <v>0.224</v>
      </c>
      <c r="BR327" s="45">
        <f t="shared" ca="1" si="436"/>
        <v>3.3599999999999998E-2</v>
      </c>
      <c r="BS327" s="45">
        <v>5.6000000000000001E-2</v>
      </c>
      <c r="BT327" s="45">
        <v>3.3599999999999998E-2</v>
      </c>
      <c r="BU327" s="45">
        <v>3.3599999999999998E-2</v>
      </c>
      <c r="BV327" s="45">
        <f t="shared" si="528"/>
        <v>0</v>
      </c>
      <c r="BW327" s="45" t="str">
        <f t="shared" ca="1" si="448"/>
        <v>NA</v>
      </c>
      <c r="BX327" s="45">
        <f t="shared" ca="1" si="449"/>
        <v>0</v>
      </c>
      <c r="BY327" s="45">
        <f t="shared" si="529"/>
        <v>0.19039999999999999</v>
      </c>
      <c r="BZ327" s="45">
        <f t="shared" si="530"/>
        <v>0</v>
      </c>
      <c r="CA327" s="45">
        <f t="shared" ca="1" si="439"/>
        <v>0</v>
      </c>
      <c r="CB327" s="45">
        <f t="shared" si="531"/>
        <v>0</v>
      </c>
      <c r="CC327" s="45">
        <f t="shared" si="532"/>
        <v>0</v>
      </c>
      <c r="CD327" s="45">
        <v>0</v>
      </c>
      <c r="CE327" s="45">
        <f t="shared" si="533"/>
        <v>0</v>
      </c>
      <c r="CF327" s="45" t="str">
        <f t="shared" si="534"/>
        <v>NA</v>
      </c>
      <c r="CG327" s="45">
        <v>0</v>
      </c>
      <c r="CH327" s="244"/>
      <c r="CI327" s="244"/>
      <c r="CJ327" s="244"/>
      <c r="CK327" s="244"/>
      <c r="CM327" s="63">
        <v>0.15</v>
      </c>
    </row>
    <row r="328" spans="1:91" ht="18" customHeight="1">
      <c r="A328" s="260" t="s">
        <v>2148</v>
      </c>
      <c r="B328" s="260" t="s">
        <v>2149</v>
      </c>
      <c r="C328" s="260" t="s">
        <v>2129</v>
      </c>
      <c r="D328" s="260" t="s">
        <v>2130</v>
      </c>
      <c r="E328" s="260" t="s">
        <v>2131</v>
      </c>
      <c r="F328" s="260" t="s">
        <v>2132</v>
      </c>
      <c r="G328" s="260" t="s">
        <v>2133</v>
      </c>
      <c r="H328" s="260" t="s">
        <v>2150</v>
      </c>
      <c r="I328" s="260"/>
      <c r="J328" s="260"/>
      <c r="K328" s="260" t="s">
        <v>2151</v>
      </c>
      <c r="L328" s="260" t="s">
        <v>2152</v>
      </c>
      <c r="M328" s="260" t="s">
        <v>2153</v>
      </c>
      <c r="N328" s="260" t="s">
        <v>111</v>
      </c>
      <c r="O328" s="260" t="s">
        <v>112</v>
      </c>
      <c r="P328" s="10">
        <v>0</v>
      </c>
      <c r="Q328" s="11">
        <v>8</v>
      </c>
      <c r="R328" s="11">
        <f t="shared" si="521"/>
        <v>1.82</v>
      </c>
      <c r="S328" s="11" t="str">
        <f>VLOOKUP(K328,'1129 Integración'!$K$13:$AK$18,9,0)</f>
        <v xml:space="preserve">Se identificaron acciones que permitieron la articulación de esfuerzos para el desarrollo de iniciativas y proyectos de impacto regional. Así mismo, se efectuó un análisis de los programas y metas regionales dentro de los planes de desarrollo de los 46 municipios de la cuenca del río Bogotá y su relación con las metas de la línea estratégica Más Integración.  
Se acompañó el proceso de armonización de los planes de ordenamiento territorial de los 46 municipios de la cuenca del Río Bogotá, en el marco de la metodología acordada por las secretarías de planeación del Departamento y del Distrito; las principales temáticas que se definieron son: Estructura Ecológica Principal, POMCA, población y vivienda, espacio público, sistema de cuidado, servicios públicos, ciudad región, y movilidad y abastecimiento.
Se estructuró una base de proyectos con énfasis en movilidad y hábitat y espacio público. Además, producto de este trabajo se logró la financiación de la CAF con 450 mil euros para la estructuración de la red de ciclovías en torno al Regiotram de Occidente, iniciativa que se ha venido trabajando de la mano con la Empresa Férrea Regional, la Secretaría de Transporte y Movilidad de Cundinamarca y la Secretaría Distrital de Planeación para presentación del proyecto que fue aprobado por la CAF y la posterior elaboración de los términos de referencia para la contratación de los estudios.
En el Comité de Integración Territorial, CIT, se definió un plan de trabajo articulado con la agenda regional Bogotá-Cundinamarca, en el cual se identificaron iniciativas conjuntas entre los 28 municipios que hacen parte de este escenario.
</v>
      </c>
      <c r="T328" s="11">
        <v>0</v>
      </c>
      <c r="U328" s="11">
        <v>0</v>
      </c>
      <c r="V328" s="11">
        <v>0</v>
      </c>
      <c r="W328" s="11">
        <v>0</v>
      </c>
      <c r="X328" s="11">
        <v>0</v>
      </c>
      <c r="Y328" s="11">
        <v>0</v>
      </c>
      <c r="Z328" s="11">
        <v>0</v>
      </c>
      <c r="AA328" s="11">
        <v>0</v>
      </c>
      <c r="AB328" s="11" t="s">
        <v>2154</v>
      </c>
      <c r="AC328" s="11">
        <v>0</v>
      </c>
      <c r="AD328" s="11">
        <v>2</v>
      </c>
      <c r="AE328" s="11">
        <v>0</v>
      </c>
      <c r="AF328" s="11">
        <f>VLOOKUP(K328,'1129 Integración'!$K$13:$AK$18,22,0)</f>
        <v>1.82</v>
      </c>
      <c r="AG328" s="11">
        <f>VLOOKUP(K328,'1129 Integración'!$K$13:$AK$18,23,0)</f>
        <v>0</v>
      </c>
      <c r="AH328" s="11">
        <f t="shared" si="522"/>
        <v>1.82</v>
      </c>
      <c r="AI328" s="11">
        <f>VLOOKUP(K328,'1129 Integración'!$K$13:$AK$18,25,0)</f>
        <v>0</v>
      </c>
      <c r="AJ328" s="11" t="str">
        <f>VLOOKUP(K328,'1129 Integración'!$K$13:$AK$18,26,0)</f>
        <v xml:space="preserve">Dentro del alcance de acompañamiento de la Secretaría de Integración Regional a los proyectos de integración regional previstos tanto en el Plan de Desarrollo “Cundinamarca: Región que Progresa” y el Plan Distrital “Un Nuevo Contrato Social para el siglo XXI”, la entidad participó activamente en la definición del alcance de los convenios entre Bogotá y Cundinamarca sobre los temas de abastecimiento y cultura, así como en la organización de los eventos de lanzamiento de estos programas que se realizó el pasado 20 de marzo. 
Adicionalmente, la Secretaría de Integración ha participado en el proyecto de la Planta de Abonos, a cargo de la Secretaría de Competitividad, con la gestión de relacionamiento de la firma consultora que adelanta el estudio de prefactibilidad con entidades en Bogotá como la Secretaría de Hábitat y la UAESP y la relación con municipios como Chía y Cajicá para conocer proyectos de aprovechamiento de residuos. 
De otro lado, la Secretaría adelanta con las Empresas Públicas de Cundinamarca un trabajo conjunto con Bogotá para el aprovechamiento de la concesión del Sisga para aumentar el suministro de agua a municipios de Cundinamarca y con el Ministerio de Vivienda para el aseguramiento en la prestación del servicio de acueducto.
En relación con los proyectos regionales, se realizó seguimiento a 26 temas identificados
Se acompañó una reunión con la Secretaría de Planeación del municipio de Madrid y la Concesionaria Férrea de Occidente S.A.S. sobre avances del REGIOTRAM.
Se realizó una reunión virtual con la directora de Planificación, Gestión y Ejecución de proyectos de la RAP-E, Magda Paola Núñez, para la conformación de una mesa de seguimiento.
En reunión liderada por la Secretaria de Integración Regional, Patricia González, con el ICCU y la Secretaría de Movilidad, realizada el 22 abril, se  identificó el estado de obras de infraestructura vial de los corredores estratégicos del departamento. 
Las actividades de gestión, los avances y demás información detallada sobre los proyectos se consignan en el informe mensual de seguimiento de los proyectos.
  -	El día 13 de mayo se realizó una reunión con EPC a través de la Dirección de Seguimiento y Evaluación de Planeación de Cundinamarca, donde se socializó el estado actual de los proyectos que se encuentran en liderazgo de EPC y que acompaña la Secretaría de Integración Regional en la línea más integración.
-	Para las metas 361 y 362 Conectar a 68.000 nuevos usuarios el servicio de acueducto y alcantarillado en el municipio de Soacha, se solicitó a EAAB, el plan de incorporación de usuarios para este municipio y se solicitó información actualizada a la Dirección de Seguimiento y Evaluación de Planeación de Cundinamarca el reporte actualizado del primer trimestre 2021 respecto al cumplimiento de las metas. 
En desarrollo de las acciones orientadas a cooperar en la implementación de 8 proyectos regionales estratégicos, se elaboró un documento preliminar con la definición de los criterios de priorización para la selección de dichos  proyectos; así mismo, un documento “Metodología para la selección y priorización de proyectos estratégicos, regionales y de competitividad” con los lineamientos metodológicos para la aplicación de los criterios de priorización; las matrices con criterios de selección y priorización de proyectos, para poder evaluar los proyectos en términos estratégicos, regionales y de competitividad; y se diseñó y aplicó una encuesta de seguimiento a los proyectos preseleccionados en la entidad.
En relación con el seguimiento a los proyectos regionales que fueron identificados en la entidad, se adelantaron reuniones con diferentes entidades para el acompañamiento acordado.
</v>
      </c>
      <c r="AK328" s="11" t="str">
        <f>VLOOKUP(K328,'1129 Integración'!$K$13:$AK$18,27,0)</f>
        <v>Ninguna</v>
      </c>
      <c r="AL328" s="11">
        <v>4</v>
      </c>
      <c r="AM328" s="11">
        <v>0</v>
      </c>
      <c r="AN328" s="11">
        <v>2</v>
      </c>
      <c r="AO328" s="11">
        <v>0</v>
      </c>
      <c r="AP328" s="11">
        <v>0</v>
      </c>
      <c r="AQ328" s="11">
        <v>0</v>
      </c>
      <c r="AR328" s="51">
        <v>98001666</v>
      </c>
      <c r="AS328" s="54">
        <v>0</v>
      </c>
      <c r="AT328" s="54">
        <f t="shared" si="434"/>
        <v>98001666</v>
      </c>
      <c r="AU328" s="51">
        <v>95216666</v>
      </c>
      <c r="AV328" s="243">
        <v>373533244</v>
      </c>
      <c r="AW328" s="244"/>
      <c r="AX328" s="244"/>
      <c r="AY328" s="243">
        <v>366327333</v>
      </c>
      <c r="AZ328" s="44">
        <f t="shared" si="523"/>
        <v>0.22750000000000001</v>
      </c>
      <c r="BA328" s="44">
        <v>0</v>
      </c>
      <c r="BB328" s="44" t="s">
        <v>115</v>
      </c>
      <c r="BC328" s="44">
        <f t="shared" si="524"/>
        <v>0.25</v>
      </c>
      <c r="BD328" s="44" cm="1">
        <f t="array" ref="BD328">_xlfn.IFS(AD328=0,"NA",AD328&gt;0,AH328/AD328)</f>
        <v>0.91</v>
      </c>
      <c r="BE328" s="44">
        <f t="shared" si="525"/>
        <v>0.5</v>
      </c>
      <c r="BF328" s="44">
        <v>0</v>
      </c>
      <c r="BG328" s="44">
        <f t="shared" si="526"/>
        <v>0.25</v>
      </c>
      <c r="BH328" s="44">
        <v>0</v>
      </c>
      <c r="BI328" s="44">
        <f t="shared" si="527"/>
        <v>0</v>
      </c>
      <c r="BJ328" s="44" t="s">
        <v>115</v>
      </c>
      <c r="BK328" s="44">
        <f t="shared" si="435"/>
        <v>0.22750000000000001</v>
      </c>
      <c r="BL328" s="44" t="s">
        <v>115</v>
      </c>
      <c r="BM328" s="44" cm="1">
        <f t="array" ref="BM328">_xlfn.IFS(BD328="NA","NA",BD328&gt;100%,"100%",BD328&lt;100,BD328)</f>
        <v>0.91</v>
      </c>
      <c r="BN328" s="44" cm="1">
        <f t="array" ref="BN328">_xlfn.IFS(BF328="NA","NA",BF328&gt;100%,"100%",BF328&lt;100,BF328)</f>
        <v>0</v>
      </c>
      <c r="BO328" s="44" cm="1">
        <f t="array" ref="BO328">_xlfn.IFS(BH328="NA","NA",BH328&gt;100%,"100%",BH328&lt;100,BH328)</f>
        <v>0</v>
      </c>
      <c r="BP328" s="44" t="str" cm="1">
        <f t="array" ref="BP328">_xlfn.IFS(BJ328="NA","NA",BJ328&gt;100%,"100%",BJ328&lt;100,BJ328)</f>
        <v>NA</v>
      </c>
      <c r="BQ328" s="45">
        <v>0.224</v>
      </c>
      <c r="BR328" s="45">
        <f t="shared" si="436"/>
        <v>5.0960000000000005E-2</v>
      </c>
      <c r="BS328" s="45">
        <v>0</v>
      </c>
      <c r="BT328" s="45" t="s">
        <v>115</v>
      </c>
      <c r="BU328" s="45">
        <v>0</v>
      </c>
      <c r="BV328" s="45">
        <f t="shared" si="528"/>
        <v>5.6000000000000001E-2</v>
      </c>
      <c r="BW328" s="45">
        <f t="shared" si="448"/>
        <v>5.0960000000000005E-2</v>
      </c>
      <c r="BX328" s="45">
        <f t="shared" si="449"/>
        <v>5.0960000000000005E-2</v>
      </c>
      <c r="BY328" s="45">
        <f t="shared" si="529"/>
        <v>0.112</v>
      </c>
      <c r="BZ328" s="45">
        <f t="shared" si="530"/>
        <v>0</v>
      </c>
      <c r="CA328" s="45">
        <f t="shared" si="439"/>
        <v>0</v>
      </c>
      <c r="CB328" s="45">
        <f t="shared" si="531"/>
        <v>5.6000000000000001E-2</v>
      </c>
      <c r="CC328" s="45">
        <f t="shared" si="532"/>
        <v>0</v>
      </c>
      <c r="CD328" s="45">
        <v>0</v>
      </c>
      <c r="CE328" s="45">
        <f t="shared" si="533"/>
        <v>0</v>
      </c>
      <c r="CF328" s="45" t="str">
        <f t="shared" si="534"/>
        <v>NA</v>
      </c>
      <c r="CG328" s="45">
        <v>0</v>
      </c>
      <c r="CH328" s="244"/>
      <c r="CI328" s="244"/>
      <c r="CJ328" s="244"/>
      <c r="CK328" s="244"/>
      <c r="CM328" s="63">
        <v>0.71</v>
      </c>
    </row>
    <row r="329" spans="1:91" ht="18" hidden="1" customHeight="1">
      <c r="A329" s="260" t="s">
        <v>221</v>
      </c>
      <c r="B329" s="260" t="s">
        <v>222</v>
      </c>
      <c r="C329" s="260" t="s">
        <v>2129</v>
      </c>
      <c r="D329" s="260" t="s">
        <v>2130</v>
      </c>
      <c r="E329" s="260" t="s">
        <v>2155</v>
      </c>
      <c r="F329" s="260" t="s">
        <v>2156</v>
      </c>
      <c r="G329" s="260" t="s">
        <v>2157</v>
      </c>
      <c r="H329" s="260" t="s">
        <v>2158</v>
      </c>
      <c r="I329" s="260"/>
      <c r="J329" s="260"/>
      <c r="K329" s="260" t="s">
        <v>2159</v>
      </c>
      <c r="L329" s="260" t="s">
        <v>2160</v>
      </c>
      <c r="M329" s="260" t="s">
        <v>2161</v>
      </c>
      <c r="N329" s="260" t="s">
        <v>111</v>
      </c>
      <c r="O329" s="260" t="s">
        <v>112</v>
      </c>
      <c r="P329" s="10">
        <v>0</v>
      </c>
      <c r="Q329" s="11">
        <v>1</v>
      </c>
      <c r="R329" s="11">
        <f t="shared" ca="1" si="521"/>
        <v>0</v>
      </c>
      <c r="S329" s="11">
        <f ca="1">VLOOKUP(K329,'1220 IDECUT'!$K$13:$AK$48,9,0)</f>
        <v>0</v>
      </c>
      <c r="T329" s="11">
        <v>0</v>
      </c>
      <c r="U329" s="11">
        <v>0</v>
      </c>
      <c r="V329" s="11">
        <v>0</v>
      </c>
      <c r="W329" s="11">
        <v>0</v>
      </c>
      <c r="X329" s="11">
        <v>0</v>
      </c>
      <c r="Y329" s="11">
        <v>0</v>
      </c>
      <c r="Z329" s="11">
        <v>0</v>
      </c>
      <c r="AA329" s="11"/>
      <c r="AB329" s="11"/>
      <c r="AC329" s="11"/>
      <c r="AD329" s="11">
        <v>0.15</v>
      </c>
      <c r="AE329" s="11">
        <v>0</v>
      </c>
      <c r="AF329" s="11">
        <f ca="1">VLOOKUP(K329,'1220 IDECUT'!$K$13:$AK$48,22,0)</f>
        <v>0</v>
      </c>
      <c r="AG329" s="11">
        <f ca="1">VLOOKUP(K329,'1220 IDECUT'!$K$13:$AK$48,23,0)</f>
        <v>0</v>
      </c>
      <c r="AH329" s="11">
        <f t="shared" ca="1" si="522"/>
        <v>0</v>
      </c>
      <c r="AI329" s="11">
        <f ca="1">VLOOKUP(K329,'1220 IDECUT'!$K$13:$AK$48,25,0)</f>
        <v>0</v>
      </c>
      <c r="AJ329" s="11">
        <f ca="1">VLOOKUP(K329,'1220 IDECUT'!$K$13:$AK$48,26,0)</f>
        <v>0</v>
      </c>
      <c r="AK329" s="11">
        <f ca="1">VLOOKUP(K329,'1220 IDECUT'!$K$13:$AK$48,27,0)</f>
        <v>0</v>
      </c>
      <c r="AL329" s="11">
        <v>0.35</v>
      </c>
      <c r="AM329" s="11">
        <v>0</v>
      </c>
      <c r="AN329" s="11">
        <v>0.5</v>
      </c>
      <c r="AO329" s="11">
        <v>0</v>
      </c>
      <c r="AP329" s="11">
        <v>0</v>
      </c>
      <c r="AQ329" s="11">
        <v>0</v>
      </c>
      <c r="AR329" s="52"/>
      <c r="AS329" s="54">
        <v>0</v>
      </c>
      <c r="AT329" s="54">
        <f t="shared" si="434"/>
        <v>0</v>
      </c>
      <c r="AU329" s="52"/>
      <c r="AV329" s="89">
        <v>300000000</v>
      </c>
      <c r="AW329" s="89"/>
      <c r="AX329" s="89"/>
      <c r="AY329" s="89">
        <v>0</v>
      </c>
      <c r="AZ329" s="44">
        <f t="shared" ca="1" si="523"/>
        <v>0</v>
      </c>
      <c r="BA329" s="44">
        <v>0</v>
      </c>
      <c r="BB329" s="44" t="s">
        <v>115</v>
      </c>
      <c r="BC329" s="44">
        <f t="shared" si="524"/>
        <v>0.15</v>
      </c>
      <c r="BD329" s="44" cm="1">
        <f t="array" aca="1" ref="BD329" ca="1">_xlfn.IFS(AD329=0,"NA",AD329&gt;0,AH329/AD329)</f>
        <v>0</v>
      </c>
      <c r="BE329" s="44">
        <f t="shared" si="525"/>
        <v>0.35</v>
      </c>
      <c r="BF329" s="44">
        <v>0</v>
      </c>
      <c r="BG329" s="44">
        <f t="shared" si="526"/>
        <v>0.5</v>
      </c>
      <c r="BH329" s="44">
        <v>0</v>
      </c>
      <c r="BI329" s="44">
        <f t="shared" si="527"/>
        <v>0</v>
      </c>
      <c r="BJ329" s="44" t="s">
        <v>115</v>
      </c>
      <c r="BK329" s="44">
        <f t="shared" ca="1" si="435"/>
        <v>0</v>
      </c>
      <c r="BL329" s="44" t="s">
        <v>115</v>
      </c>
      <c r="BM329" s="44" cm="1">
        <f t="array" aca="1" ref="BM329" ca="1">_xlfn.IFS(BD329="NA","NA",BD329&gt;100%,"100%",BD329&lt;100,BD329)</f>
        <v>0</v>
      </c>
      <c r="BN329" s="44" cm="1">
        <f t="array" ref="BN329">_xlfn.IFS(BF329="NA","NA",BF329&gt;100%,"100%",BF329&lt;100,BF329)</f>
        <v>0</v>
      </c>
      <c r="BO329" s="44" cm="1">
        <f t="array" ref="BO329">_xlfn.IFS(BH329="NA","NA",BH329&gt;100%,"100%",BH329&lt;100,BH329)</f>
        <v>0</v>
      </c>
      <c r="BP329" s="44" t="str" cm="1">
        <f t="array" ref="BP329">_xlfn.IFS(BJ329="NA","NA",BJ329&gt;100%,"100%",BJ329&lt;100,BJ329)</f>
        <v>NA</v>
      </c>
      <c r="BQ329" s="45">
        <v>0.224</v>
      </c>
      <c r="BR329" s="45">
        <f t="shared" ca="1" si="436"/>
        <v>0</v>
      </c>
      <c r="BS329" s="45">
        <v>0</v>
      </c>
      <c r="BT329" s="45" t="s">
        <v>115</v>
      </c>
      <c r="BU329" s="45">
        <v>0</v>
      </c>
      <c r="BV329" s="45">
        <f t="shared" si="528"/>
        <v>3.3599999999999998E-2</v>
      </c>
      <c r="BW329" s="45">
        <f t="shared" ca="1" si="448"/>
        <v>0</v>
      </c>
      <c r="BX329" s="45">
        <f t="shared" ca="1" si="449"/>
        <v>0</v>
      </c>
      <c r="BY329" s="45">
        <f t="shared" si="529"/>
        <v>7.8399999999999997E-2</v>
      </c>
      <c r="BZ329" s="45">
        <f t="shared" si="530"/>
        <v>0</v>
      </c>
      <c r="CA329" s="45">
        <f t="shared" ca="1" si="439"/>
        <v>0</v>
      </c>
      <c r="CB329" s="45">
        <f t="shared" si="531"/>
        <v>0.112</v>
      </c>
      <c r="CC329" s="45">
        <f t="shared" si="532"/>
        <v>0</v>
      </c>
      <c r="CD329" s="45">
        <v>0</v>
      </c>
      <c r="CE329" s="45">
        <f t="shared" si="533"/>
        <v>0</v>
      </c>
      <c r="CF329" s="45" t="str">
        <f t="shared" si="534"/>
        <v>NA</v>
      </c>
      <c r="CG329" s="45">
        <v>0</v>
      </c>
      <c r="CH329" s="244"/>
      <c r="CI329" s="244"/>
      <c r="CJ329" s="244"/>
      <c r="CK329" s="244"/>
      <c r="CM329" s="63">
        <v>0</v>
      </c>
    </row>
    <row r="330" spans="1:91" ht="18" hidden="1" customHeight="1">
      <c r="A330" s="260" t="s">
        <v>221</v>
      </c>
      <c r="B330" s="260" t="s">
        <v>222</v>
      </c>
      <c r="C330" s="260" t="s">
        <v>2129</v>
      </c>
      <c r="D330" s="260" t="s">
        <v>2130</v>
      </c>
      <c r="E330" s="260" t="s">
        <v>2155</v>
      </c>
      <c r="F330" s="260" t="s">
        <v>2156</v>
      </c>
      <c r="G330" s="260" t="s">
        <v>2157</v>
      </c>
      <c r="H330" s="260" t="s">
        <v>2162</v>
      </c>
      <c r="I330" s="260"/>
      <c r="J330" s="260"/>
      <c r="K330" s="260" t="s">
        <v>2163</v>
      </c>
      <c r="L330" s="260" t="s">
        <v>2164</v>
      </c>
      <c r="M330" s="260" t="s">
        <v>2165</v>
      </c>
      <c r="N330" s="260" t="s">
        <v>111</v>
      </c>
      <c r="O330" s="260" t="s">
        <v>112</v>
      </c>
      <c r="P330" s="10">
        <v>0</v>
      </c>
      <c r="Q330" s="11">
        <v>7</v>
      </c>
      <c r="R330" s="11">
        <f t="shared" ca="1" si="521"/>
        <v>4</v>
      </c>
      <c r="S330" s="11" t="str">
        <f ca="1">VLOOKUP(K330,'1220 IDECUT'!$K$13:$AK$48,9,0)</f>
        <v>Durante el 2020 se apoyo para la reactivación económica y turística 3 atractivos turísticos catedral de sal de Zipaquirá,  termales el Zipa del municipio de Tabio y mina de sal de Nemocón con la adquisición de pasaportes de ingreso y pasadías,  los cuales permitirán el acceso de la población cundinamarquesa en condición de vulnerabilidad y adicionalmente, dar flujo de caja a estos sitios de interés con el fin de apoyar su sostenimiento (personal de operación, administración y logística). Durante el 2021 Se logro firmar convenios con seis (6) municipios de:  Ubaté
Chipaque
Facatativá
Guayabal De Síquima
Tibacuy 
Guayabetal con el fin de apoyarlos en la adecuación de un atractivo turístico del municipio.</v>
      </c>
      <c r="T330" s="11">
        <v>0</v>
      </c>
      <c r="U330" s="11">
        <v>0</v>
      </c>
      <c r="V330" s="11">
        <v>3</v>
      </c>
      <c r="W330" s="11">
        <v>0</v>
      </c>
      <c r="X330" s="11">
        <v>3</v>
      </c>
      <c r="Y330" s="11">
        <v>0</v>
      </c>
      <c r="Z330" s="11">
        <v>3</v>
      </c>
      <c r="AA330" s="11" t="e">
        <f ca="1">- Recursos económico apalancado en la Compra de entradas.</f>
        <v>#NAME?</v>
      </c>
      <c r="AB330" s="11" t="s">
        <v>2166</v>
      </c>
      <c r="AC330" s="11" t="e">
        <f ca="1">- Retrasos en trámites administrativos a causa de la emergencia.</f>
        <v>#NAME?</v>
      </c>
      <c r="AD330" s="11">
        <v>1</v>
      </c>
      <c r="AE330" s="11">
        <v>0</v>
      </c>
      <c r="AF330" s="11">
        <f ca="1">VLOOKUP(K330,'1220 IDECUT'!$K$13:$AK$48,22,0)</f>
        <v>1</v>
      </c>
      <c r="AG330" s="11">
        <f ca="1">VLOOKUP(K330,'1220 IDECUT'!$K$13:$AK$48,23,0)</f>
        <v>0</v>
      </c>
      <c r="AH330" s="11">
        <f t="shared" ca="1" si="522"/>
        <v>1</v>
      </c>
      <c r="AI330" s="11" t="str">
        <f ca="1">VLOOKUP(K330,'1220 IDECUT'!$K$13:$AK$48,25,0)</f>
        <v>Informe de caracterizacion</v>
      </c>
      <c r="AJ330" s="11" t="str">
        <f ca="1">VLOOKUP(K330,'1220 IDECUT'!$K$13:$AK$48,26,0)</f>
        <v>Se logro firmar convenios con seis (6) municipios de:  Ubaté
Chipaque
Facatativá
Guayabal De Síquima
Tibacuy 
Guayabetal con el fin de apoyarlos en la adecuación de un atractivo turístico del municipio.</v>
      </c>
      <c r="AK330" s="11">
        <f ca="1">VLOOKUP(K330,'1220 IDECUT'!$K$13:$AK$48,27,0)</f>
        <v>0</v>
      </c>
      <c r="AL330" s="11">
        <v>2</v>
      </c>
      <c r="AM330" s="11">
        <v>0</v>
      </c>
      <c r="AN330" s="11">
        <v>1</v>
      </c>
      <c r="AO330" s="11">
        <v>0</v>
      </c>
      <c r="AP330" s="11">
        <v>0</v>
      </c>
      <c r="AQ330" s="11">
        <v>0</v>
      </c>
      <c r="AR330" s="51">
        <v>1800000000</v>
      </c>
      <c r="AS330" s="54">
        <v>0</v>
      </c>
      <c r="AT330" s="54">
        <f t="shared" si="434"/>
        <v>1800000000</v>
      </c>
      <c r="AU330" s="51">
        <v>1800000000</v>
      </c>
      <c r="AV330" s="89">
        <v>250000000</v>
      </c>
      <c r="AW330" s="89"/>
      <c r="AX330" s="89"/>
      <c r="AY330" s="89">
        <v>246922901.90000001</v>
      </c>
      <c r="AZ330" s="44">
        <f t="shared" ca="1" si="523"/>
        <v>0.5714285714285714</v>
      </c>
      <c r="BA330" s="44">
        <v>0.42859999999999998</v>
      </c>
      <c r="BB330" s="44">
        <v>1</v>
      </c>
      <c r="BC330" s="44">
        <f t="shared" si="524"/>
        <v>0.14285714285714285</v>
      </c>
      <c r="BD330" s="44" cm="1">
        <f t="array" aca="1" ref="BD330" ca="1">_xlfn.IFS(AD330=0,"NA",AD330&gt;0,AH330/AD330)</f>
        <v>1</v>
      </c>
      <c r="BE330" s="44">
        <f t="shared" si="525"/>
        <v>0.2857142857142857</v>
      </c>
      <c r="BF330" s="44">
        <v>0</v>
      </c>
      <c r="BG330" s="44">
        <f t="shared" si="526"/>
        <v>0.14285714285714285</v>
      </c>
      <c r="BH330" s="44">
        <v>0</v>
      </c>
      <c r="BI330" s="44">
        <f t="shared" si="527"/>
        <v>0</v>
      </c>
      <c r="BJ330" s="44" t="s">
        <v>115</v>
      </c>
      <c r="BK330" s="44">
        <f t="shared" ca="1" si="435"/>
        <v>0.5714285714285714</v>
      </c>
      <c r="BL330" s="44">
        <v>1</v>
      </c>
      <c r="BM330" s="44" cm="1">
        <f t="array" aca="1" ref="BM330" ca="1">_xlfn.IFS(BD330="NA","NA",BD330&gt;100%,"100%",BD330&lt;100,BD330)</f>
        <v>1</v>
      </c>
      <c r="BN330" s="44" cm="1">
        <f t="array" ref="BN330">_xlfn.IFS(BF330="NA","NA",BF330&gt;100%,"100%",BF330&lt;100,BF330)</f>
        <v>0</v>
      </c>
      <c r="BO330" s="44" cm="1">
        <f t="array" ref="BO330">_xlfn.IFS(BH330="NA","NA",BH330&gt;100%,"100%",BH330&lt;100,BH330)</f>
        <v>0</v>
      </c>
      <c r="BP330" s="44" t="str" cm="1">
        <f t="array" ref="BP330">_xlfn.IFS(BJ330="NA","NA",BJ330&gt;100%,"100%",BJ330&lt;100,BJ330)</f>
        <v>NA</v>
      </c>
      <c r="BQ330" s="45">
        <v>0.224</v>
      </c>
      <c r="BR330" s="45">
        <f t="shared" ca="1" si="436"/>
        <v>0.128</v>
      </c>
      <c r="BS330" s="45">
        <v>9.6000000000000002E-2</v>
      </c>
      <c r="BT330" s="45">
        <v>9.6000000000000002E-2</v>
      </c>
      <c r="BU330" s="45">
        <v>9.6000000000000002E-2</v>
      </c>
      <c r="BV330" s="45">
        <f t="shared" si="528"/>
        <v>3.2000000000000001E-2</v>
      </c>
      <c r="BW330" s="45">
        <f t="shared" ca="1" si="448"/>
        <v>3.2000000000000001E-2</v>
      </c>
      <c r="BX330" s="45">
        <f t="shared" ca="1" si="449"/>
        <v>3.2000000000000001E-2</v>
      </c>
      <c r="BY330" s="45">
        <f t="shared" si="529"/>
        <v>6.4000000000000001E-2</v>
      </c>
      <c r="BZ330" s="45">
        <f t="shared" si="530"/>
        <v>0</v>
      </c>
      <c r="CA330" s="45">
        <f t="shared" ca="1" si="439"/>
        <v>0</v>
      </c>
      <c r="CB330" s="45">
        <f t="shared" si="531"/>
        <v>3.2000000000000001E-2</v>
      </c>
      <c r="CC330" s="45">
        <f t="shared" si="532"/>
        <v>0</v>
      </c>
      <c r="CD330" s="45">
        <v>0</v>
      </c>
      <c r="CE330" s="45">
        <f t="shared" si="533"/>
        <v>0</v>
      </c>
      <c r="CF330" s="45" t="str">
        <f t="shared" si="534"/>
        <v>NA</v>
      </c>
      <c r="CG330" s="45">
        <v>0</v>
      </c>
      <c r="CH330" s="244"/>
      <c r="CI330" s="244"/>
      <c r="CJ330" s="244"/>
      <c r="CK330" s="244"/>
      <c r="CM330" s="63">
        <v>3</v>
      </c>
    </row>
    <row r="331" spans="1:91" ht="18" hidden="1" customHeight="1">
      <c r="A331" s="260" t="s">
        <v>221</v>
      </c>
      <c r="B331" s="260" t="s">
        <v>222</v>
      </c>
      <c r="C331" s="260" t="s">
        <v>2129</v>
      </c>
      <c r="D331" s="260" t="s">
        <v>2130</v>
      </c>
      <c r="E331" s="260" t="s">
        <v>2155</v>
      </c>
      <c r="F331" s="260" t="s">
        <v>2156</v>
      </c>
      <c r="G331" s="260" t="s">
        <v>2157</v>
      </c>
      <c r="H331" s="260" t="s">
        <v>2167</v>
      </c>
      <c r="I331" s="260"/>
      <c r="J331" s="260"/>
      <c r="K331" s="260" t="s">
        <v>2168</v>
      </c>
      <c r="L331" s="260" t="s">
        <v>2169</v>
      </c>
      <c r="M331" s="260" t="s">
        <v>2170</v>
      </c>
      <c r="N331" s="260" t="s">
        <v>111</v>
      </c>
      <c r="O331" s="260" t="s">
        <v>112</v>
      </c>
      <c r="P331" s="10">
        <v>5</v>
      </c>
      <c r="Q331" s="11">
        <v>20</v>
      </c>
      <c r="R331" s="11">
        <f t="shared" ca="1" si="521"/>
        <v>1</v>
      </c>
      <c r="S331" s="11" t="str">
        <f ca="1">VLOOKUP(K331,'1220 IDECUT'!$K$13:$AK$48,9,0)</f>
        <v>En el 2021 Se da inicio a  la implementación del proyecto de alojamientos rurales "Posadas Turísticas" con la  firma el contrato con la universidad Externado de Colombia para iniciar las capacitaciones dirigidas a los propietarios de las posadas turísticas beneficiadas en 2019 y 2021, los temas a tratar son:
1.       Ética de los negocios.
2.       Buenas prácticas de turismo.
3.       Gestión de alojamientos, de alimentos y bebidas.
4.       Etiqueta y protocolo.
5.       Calidad e inocuidad en los alimentos.
6.       Protocolos de bioseguridad.
7.       La cocina regional y preparación de platos.
8.       Control y costos de alojamiento, de alimentos y bebidas.
9.       Mercadeo y estrategias de marketing digital.
10.   Servicio al cliente.
11.   Primeros auxilios.
12.   Prevención y control de incendios.                            Con esta iniciativa se han beneficiado los municipios de: GACHANCIPA, GUAYABETAL, LA VEGA, SESQUILE, TENA, ANOLAIMA, UBALA, VENECIA, LA PEÑA.
1.Viotá        Posada viota extreme
2.La Vega     ​Portal de las cascadas
3.Gachancipá     Museo campesino
4.Sesquilé        Posada paraiso
5.Sesquilé        Posada Santana
6.Tena                ​El cielo</v>
      </c>
      <c r="T331" s="11">
        <v>0</v>
      </c>
      <c r="U331" s="11">
        <v>0</v>
      </c>
      <c r="V331" s="11">
        <v>0</v>
      </c>
      <c r="W331" s="11">
        <v>0</v>
      </c>
      <c r="X331" s="11">
        <v>0</v>
      </c>
      <c r="Y331" s="11">
        <v>0</v>
      </c>
      <c r="Z331" s="11">
        <v>0</v>
      </c>
      <c r="AA331" s="11"/>
      <c r="AB331" s="11"/>
      <c r="AC331" s="11"/>
      <c r="AD331" s="11">
        <v>7</v>
      </c>
      <c r="AE331" s="11">
        <v>0</v>
      </c>
      <c r="AF331" s="11">
        <f ca="1">VLOOKUP(K331,'1220 IDECUT'!$K$13:$AK$48,22,0)</f>
        <v>1</v>
      </c>
      <c r="AG331" s="11">
        <f ca="1">VLOOKUP(K331,'1220 IDECUT'!$K$13:$AK$48,23,0)</f>
        <v>0</v>
      </c>
      <c r="AH331" s="11">
        <f t="shared" ca="1" si="522"/>
        <v>1</v>
      </c>
      <c r="AI331" s="11" t="str">
        <f ca="1">VLOOKUP(K331,'1220 IDECUT'!$K$13:$AK$48,25,0)</f>
        <v>Formalizacion</v>
      </c>
      <c r="AJ331" s="11" t="str">
        <f ca="1">VLOOKUP(K331,'1220 IDECUT'!$K$13:$AK$48,26,0)</f>
        <v>En el 2021 Se da inicio a  la implementación del proyecto de alojamientos rurales "Posadas Turísticas" con la  firma el contrato con la universidad Externado de Colombia para iniciar las capacitaciones dirigidas a los propietarios de las posadas turísticas beneficiadas en 2019 y 2021, los temas a tratar son:
1.       Ética de los negocios.
2.       Buenas prácticas de turismo.
3.       Gestión de alojamientos, de alimentos y bebidas.
4.       Etiqueta y protocolo.
5.       Calidad e inocuidad en los alimentos.
6.       Protocolos de bioseguridad.
7.       La cocina regional y preparación de platos.
8.       Control y costos de alojamiento, de alimentos y bebidas.
9.       Mercadeo y estrategias de marketing digital.
10.   Servicio al cliente.
11.   Primeros auxilios.
12.   Prevención y control de incendios.                            Con esta iniciativa se han beneficiado los municipios de: GACHANCIPA, GUAYABETAL, LA VEGA, SESQUILE, TENA, ANOLAIMA, UBALA, VENECIA, LA PEÑA.
1.Viotá        Posada viota extreme
2.La Vega     ​Portal de las cascadas
3.Gachancipá     Museo campesino
4.Sesquilé        Posada paraiso
5.Sesquilé        Posada Santana
6.Tena                ​El cielo</v>
      </c>
      <c r="AK331" s="11">
        <f ca="1">VLOOKUP(K331,'1220 IDECUT'!$K$13:$AK$48,27,0)</f>
        <v>0</v>
      </c>
      <c r="AL331" s="11">
        <v>7</v>
      </c>
      <c r="AM331" s="11">
        <v>0</v>
      </c>
      <c r="AN331" s="11">
        <v>6</v>
      </c>
      <c r="AO331" s="11">
        <v>0</v>
      </c>
      <c r="AP331" s="11">
        <v>0</v>
      </c>
      <c r="AQ331" s="11">
        <v>0</v>
      </c>
      <c r="AR331" s="52"/>
      <c r="AS331" s="54">
        <v>0</v>
      </c>
      <c r="AT331" s="54">
        <f t="shared" si="434"/>
        <v>0</v>
      </c>
      <c r="AU331" s="52"/>
      <c r="AV331" s="89">
        <v>372000000</v>
      </c>
      <c r="AW331" s="89"/>
      <c r="AX331" s="89"/>
      <c r="AY331" s="89">
        <v>371225810</v>
      </c>
      <c r="AZ331" s="44">
        <f t="shared" ca="1" si="523"/>
        <v>0.05</v>
      </c>
      <c r="BA331" s="44">
        <v>0</v>
      </c>
      <c r="BB331" s="44" t="s">
        <v>115</v>
      </c>
      <c r="BC331" s="44">
        <f t="shared" si="524"/>
        <v>0.35</v>
      </c>
      <c r="BD331" s="44" cm="1">
        <f t="array" aca="1" ref="BD331" ca="1">_xlfn.IFS(AD331=0,"NA",AD331&gt;0,AH331/AD331)</f>
        <v>0.14285714285714285</v>
      </c>
      <c r="BE331" s="44">
        <f t="shared" si="525"/>
        <v>0.35</v>
      </c>
      <c r="BF331" s="44">
        <v>0</v>
      </c>
      <c r="BG331" s="44">
        <f t="shared" si="526"/>
        <v>0.3</v>
      </c>
      <c r="BH331" s="44">
        <v>0</v>
      </c>
      <c r="BI331" s="44">
        <f t="shared" si="527"/>
        <v>0</v>
      </c>
      <c r="BJ331" s="44" t="s">
        <v>115</v>
      </c>
      <c r="BK331" s="44">
        <f t="shared" ca="1" si="435"/>
        <v>0.05</v>
      </c>
      <c r="BL331" s="44" t="s">
        <v>115</v>
      </c>
      <c r="BM331" s="44" cm="1">
        <f t="array" aca="1" ref="BM331" ca="1">_xlfn.IFS(BD331="NA","NA",BD331&gt;100%,"100%",BD331&lt;100,BD331)</f>
        <v>0.14285714285714285</v>
      </c>
      <c r="BN331" s="44" cm="1">
        <f t="array" ref="BN331">_xlfn.IFS(BF331="NA","NA",BF331&gt;100%,"100%",BF331&lt;100,BF331)</f>
        <v>0</v>
      </c>
      <c r="BO331" s="44" cm="1">
        <f t="array" ref="BO331">_xlfn.IFS(BH331="NA","NA",BH331&gt;100%,"100%",BH331&lt;100,BH331)</f>
        <v>0</v>
      </c>
      <c r="BP331" s="44" t="str" cm="1">
        <f t="array" ref="BP331">_xlfn.IFS(BJ331="NA","NA",BJ331&gt;100%,"100%",BJ331&lt;100,BJ331)</f>
        <v>NA</v>
      </c>
      <c r="BQ331" s="45">
        <v>0.224</v>
      </c>
      <c r="BR331" s="45">
        <f t="shared" ca="1" si="436"/>
        <v>1.1200000000000002E-2</v>
      </c>
      <c r="BS331" s="45">
        <v>0</v>
      </c>
      <c r="BT331" s="45" t="s">
        <v>115</v>
      </c>
      <c r="BU331" s="45">
        <v>0</v>
      </c>
      <c r="BV331" s="45">
        <f t="shared" si="528"/>
        <v>7.8399999999999997E-2</v>
      </c>
      <c r="BW331" s="45">
        <f t="shared" ca="1" si="448"/>
        <v>1.1199999999999998E-2</v>
      </c>
      <c r="BX331" s="45">
        <f t="shared" ca="1" si="449"/>
        <v>1.1200000000000002E-2</v>
      </c>
      <c r="BY331" s="45">
        <f t="shared" si="529"/>
        <v>7.8399999999999997E-2</v>
      </c>
      <c r="BZ331" s="45">
        <f t="shared" si="530"/>
        <v>0</v>
      </c>
      <c r="CA331" s="45">
        <f t="shared" ca="1" si="439"/>
        <v>0</v>
      </c>
      <c r="CB331" s="45">
        <f t="shared" si="531"/>
        <v>6.720000000000001E-2</v>
      </c>
      <c r="CC331" s="45">
        <f t="shared" si="532"/>
        <v>0</v>
      </c>
      <c r="CD331" s="45">
        <v>0</v>
      </c>
      <c r="CE331" s="45">
        <f t="shared" si="533"/>
        <v>0</v>
      </c>
      <c r="CF331" s="45" t="str">
        <f t="shared" si="534"/>
        <v>NA</v>
      </c>
      <c r="CG331" s="45">
        <v>0</v>
      </c>
      <c r="CH331" s="244"/>
      <c r="CI331" s="244"/>
      <c r="CJ331" s="244"/>
      <c r="CK331" s="244"/>
      <c r="CM331" s="63">
        <v>1</v>
      </c>
    </row>
    <row r="332" spans="1:91" ht="18" hidden="1" customHeight="1">
      <c r="A332" s="260" t="s">
        <v>221</v>
      </c>
      <c r="B332" s="260" t="s">
        <v>222</v>
      </c>
      <c r="C332" s="260" t="s">
        <v>2129</v>
      </c>
      <c r="D332" s="260" t="s">
        <v>2130</v>
      </c>
      <c r="E332" s="260" t="s">
        <v>2155</v>
      </c>
      <c r="F332" s="260" t="s">
        <v>2156</v>
      </c>
      <c r="G332" s="260" t="s">
        <v>2157</v>
      </c>
      <c r="H332" s="260" t="s">
        <v>2171</v>
      </c>
      <c r="I332" s="260"/>
      <c r="J332" s="260"/>
      <c r="K332" s="260" t="s">
        <v>2172</v>
      </c>
      <c r="L332" s="260" t="s">
        <v>2173</v>
      </c>
      <c r="M332" s="260" t="s">
        <v>2174</v>
      </c>
      <c r="N332" s="260" t="s">
        <v>111</v>
      </c>
      <c r="O332" s="260" t="s">
        <v>112</v>
      </c>
      <c r="P332" s="10">
        <v>0</v>
      </c>
      <c r="Q332" s="11">
        <v>5</v>
      </c>
      <c r="R332" s="11">
        <f t="shared" ca="1" si="521"/>
        <v>2</v>
      </c>
      <c r="S332" s="11" t="str">
        <f ca="1">VLOOKUP(K332,'1220 IDECUT'!$K$13:$AK$48,9,0)</f>
        <v>En 2020 se creó  un nuevo producto turístico alrededor de Biciturismo en la provincia de Gualivá, Subachoque,  El Rosal, y la provincia de Sumapaz; creación circuito turístico MTB Bogotá-Región, dos localidades de Bogotá y 15 municipios de Cundinamarca. Adicionalmente, se ha fortalecido el producto de aviturismo, por medio de capacitaciones y posicionamiento en el OCTOBER BIG del municipio de San Antonio del Tequendama como el mejor lugar a nivel nacional para avistamiento de aves. Reconocimiento de los atractivos turísticos que comprenden la ruta Leyenda el Dorado en articulación con el Instituto Distrital de Turismo - IDT.  Durante la vigencia 2021, se han realizado las siguientes estrategias para la implementación y fortalecimiento de los 3 productos turisticos de Biciturismo,Aviturismo, Ruta Leyenda el Dorado con el fin de beneficiar a las 116 municipios:*Sensibilización para que los conductores respeten a los Biciusuarios en la vía, incrementar el uso de la bicicleta y la actividad física, reactivación económica del sector en los Municipios participantes, a través de la estrategia Ciclovía por la Vida Interdepartamental.
*Descripción de cada una de las Rutas, basada en cada una de las fichas de caracterización obtenidas en las visitas de campo a los 65 municipios que conforman las cuatro Rutas que se definieron; la Ruta del agua, Ruta Dulce y Aventura, Ruta del Rio y el encanto y la Ruta del Origen Ancestral para entregar de una forma práctica esta información a turistas y visitantes para fortalecer los destinos e integrar toda la cadena de valor turístico en pro de su reactivación económica. 
*Se firmo contrato con Cotelco con el fin de realizar el 1er Encuentro de Glamping, con una asistencia de más de 50 propietarios de glamping y otras modalidades de alojamiento, representándose esta asistencia en un 80% de Bogotá y Cundinamarca; el 20% restante provenientes de: Costa Atlántica, Eje Cafetero, Antioquia, Meta, Casanare y Huila. Con el propósito de visibilizar al glamping como una nueva modalidad de alojamiento, dándole su reconocimiento al sector privado siendo identificados dentro del sector turístico, que cada día viene evolucionando y trayendo nuevas formas de hospedaje. La agenda académica se enmarcó en temas como el enfoque estratégico frente a las nuevas tendencias de viaje, nuevos canales de comercialización, casos exitosos de sostenibilidad, requisitos para la operación, seguridad industrial y prevención de riesgos, glamping como emprendimiento y la participación de cerca de 35 agencias de viajes durante cuatro horas en una rueda de negocios con los empresarios asistentes.
*La Subgerencia de turismo participo en el evento “turismo para un crecimiento inclusivo” el cual permitió discutir acerca de accesibilidad e inclusión para el sector turismo. 
*Se esta llevando a cabo proceso de formación para guías y operadores turísticos en biciturismo, esta capacitación esta dirigida a quienes realicen actividades de naturaleza como: ecoturismo, senderismo y turismo de aventura; Con el objetivo de fortalecer el turismo de naturaleza, particularmente el biciturismo. Una vez los participantes culminen el proceso de formación, podrán operar en el circuito Bici Bogotá Región, un sistema de rutas de biciturismo de 300 kilómetros, con altos estándares de diseño y señalización turística; en el que se puede disfrutar de riquezas paisajísticas, avistamiento de aves, cultura, gastronomía y mucha naturaleza. 
Se encuentra totalmente señalizada, en este momento estamos en la etapa de formación, con cursos dirigidos a (69) Operadores Turísticos en Biciturismo y curso en acompañamiento y uso de la Bicicleta a (140) Bici – Guías o Vigías. Se realizo el Encuentro de Directores de turismo con capacitaciones a cargo de ProColombia, Viceministerio de turismo, con una participación de 78 municipios.
*Se realizo el IV Encuentro de Puntos de Información Turística PIT con capacitaciones a cargo de la Policía de Turismo, Consejería Presidencial para la Participación de las Personas con Discapacidad para el turismo accesible y Viceministerio de turismo, sobre el programa de turismo responsable, turismo accesible, y legalización de operadores y prestadores de turismo, con una participación de 29 PIT.</v>
      </c>
      <c r="T332" s="11">
        <v>0.5</v>
      </c>
      <c r="U332" s="11">
        <v>0</v>
      </c>
      <c r="V332" s="11">
        <v>0.5</v>
      </c>
      <c r="W332" s="11">
        <v>0</v>
      </c>
      <c r="X332" s="11">
        <v>0.5</v>
      </c>
      <c r="Y332" s="11">
        <v>0</v>
      </c>
      <c r="Z332" s="11">
        <v>0.5</v>
      </c>
      <c r="AA332" s="11" t="s">
        <v>2175</v>
      </c>
      <c r="AB332" s="11" t="s">
        <v>2176</v>
      </c>
      <c r="AC332" s="11" t="s">
        <v>2177</v>
      </c>
      <c r="AD332" s="11">
        <v>1.5</v>
      </c>
      <c r="AE332" s="11">
        <v>0</v>
      </c>
      <c r="AF332" s="11">
        <f ca="1">VLOOKUP(K332,'1220 IDECUT'!$K$13:$AK$48,22,0)</f>
        <v>1.5</v>
      </c>
      <c r="AG332" s="11">
        <f ca="1">VLOOKUP(K332,'1220 IDECUT'!$K$13:$AK$48,23,0)</f>
        <v>0</v>
      </c>
      <c r="AH332" s="11">
        <f t="shared" ca="1" si="522"/>
        <v>1.5</v>
      </c>
      <c r="AI332" s="11" t="str">
        <f ca="1">VLOOKUP(K332,'1220 IDECUT'!$K$13:$AK$48,25,0)</f>
        <v>Producto</v>
      </c>
      <c r="AJ332" s="11" t="str">
        <f ca="1">VLOOKUP(K332,'1220 IDECUT'!$K$13:$AK$48,26,0)</f>
        <v>Se realizo el Encuentro de Directores de turismo con capacitaciones a cargo de ProColombia, Viceministerio de turismo, con una participación de 78 municipios.
*Se realizo el IV Encuentro de Puntos de Información Turística PIT con capacitaciones a cargo de la Policía de Turismo, Consejería Presidencial para la Participación de las Personas con Discapacidad para el turismo accesible y Viceministerio de turismo, sobre el programa de turismo responsable, turismo accesible, y legalización de operadores y prestadores de turismo, con una participación de 29 PIT.</v>
      </c>
      <c r="AK332" s="11">
        <f ca="1">VLOOKUP(K332,'1220 IDECUT'!$K$13:$AK$48,27,0)</f>
        <v>0</v>
      </c>
      <c r="AL332" s="11">
        <v>2</v>
      </c>
      <c r="AM332" s="11">
        <v>0</v>
      </c>
      <c r="AN332" s="11">
        <v>1</v>
      </c>
      <c r="AO332" s="11">
        <v>0</v>
      </c>
      <c r="AP332" s="11">
        <v>0</v>
      </c>
      <c r="AQ332" s="11">
        <v>0</v>
      </c>
      <c r="AR332" s="51">
        <v>649800000</v>
      </c>
      <c r="AS332" s="54">
        <v>50000000</v>
      </c>
      <c r="AT332" s="54">
        <f t="shared" ref="AT332:AT395" si="535">AR332+AS332</f>
        <v>699800000</v>
      </c>
      <c r="AU332" s="51">
        <v>649800000</v>
      </c>
      <c r="AV332" s="89">
        <v>800000000</v>
      </c>
      <c r="AW332" s="89"/>
      <c r="AX332" s="89"/>
      <c r="AY332" s="89">
        <v>781187078</v>
      </c>
      <c r="AZ332" s="44">
        <f t="shared" ca="1" si="523"/>
        <v>0.4</v>
      </c>
      <c r="BA332" s="44">
        <v>0.1</v>
      </c>
      <c r="BB332" s="44">
        <v>1</v>
      </c>
      <c r="BC332" s="44">
        <f t="shared" si="524"/>
        <v>0.3</v>
      </c>
      <c r="BD332" s="44" cm="1">
        <f t="array" aca="1" ref="BD332" ca="1">_xlfn.IFS(AD332=0,"NA",AD332&gt;0,AH332/AD332)</f>
        <v>1</v>
      </c>
      <c r="BE332" s="44">
        <f t="shared" si="525"/>
        <v>0.4</v>
      </c>
      <c r="BF332" s="44">
        <v>0</v>
      </c>
      <c r="BG332" s="44">
        <f t="shared" si="526"/>
        <v>0.2</v>
      </c>
      <c r="BH332" s="44">
        <v>0</v>
      </c>
      <c r="BI332" s="44">
        <f t="shared" si="527"/>
        <v>0</v>
      </c>
      <c r="BJ332" s="44" t="s">
        <v>115</v>
      </c>
      <c r="BK332" s="44">
        <f t="shared" ref="BK332:BK395" ca="1" si="536">IF(AZ332&gt;100%,"100%",AZ332)</f>
        <v>0.4</v>
      </c>
      <c r="BL332" s="44">
        <v>1</v>
      </c>
      <c r="BM332" s="44" cm="1">
        <f t="array" aca="1" ref="BM332" ca="1">_xlfn.IFS(BD332="NA","NA",BD332&gt;100%,"100%",BD332&lt;100,BD332)</f>
        <v>1</v>
      </c>
      <c r="BN332" s="44" cm="1">
        <f t="array" ref="BN332">_xlfn.IFS(BF332="NA","NA",BF332&gt;100%,"100%",BF332&lt;100,BF332)</f>
        <v>0</v>
      </c>
      <c r="BO332" s="44" cm="1">
        <f t="array" ref="BO332">_xlfn.IFS(BH332="NA","NA",BH332&gt;100%,"100%",BH332&lt;100,BH332)</f>
        <v>0</v>
      </c>
      <c r="BP332" s="44" t="str" cm="1">
        <f t="array" ref="BP332">_xlfn.IFS(BJ332="NA","NA",BJ332&gt;100%,"100%",BJ332&lt;100,BJ332)</f>
        <v>NA</v>
      </c>
      <c r="BQ332" s="45">
        <v>0.224</v>
      </c>
      <c r="BR332" s="45">
        <f t="shared" ref="BR332:BR347" ca="1" si="537">BQ332*BK332</f>
        <v>8.9600000000000013E-2</v>
      </c>
      <c r="BS332" s="45">
        <v>2.24E-2</v>
      </c>
      <c r="BT332" s="45">
        <v>2.24E-2</v>
      </c>
      <c r="BU332" s="45">
        <v>2.24E-2</v>
      </c>
      <c r="BV332" s="45">
        <f t="shared" si="528"/>
        <v>6.720000000000001E-2</v>
      </c>
      <c r="BW332" s="45">
        <f t="shared" ref="BW332:BW348" ca="1" si="538">IF(BM332="NA","NA",BM332*BV332)</f>
        <v>6.720000000000001E-2</v>
      </c>
      <c r="BX332" s="45">
        <f t="shared" ref="BX332:BX348" ca="1" si="539">BR332-BU332</f>
        <v>6.720000000000001E-2</v>
      </c>
      <c r="BY332" s="45">
        <f t="shared" si="529"/>
        <v>8.9599999999999999E-2</v>
      </c>
      <c r="BZ332" s="45">
        <f t="shared" si="530"/>
        <v>0</v>
      </c>
      <c r="CA332" s="45">
        <f t="shared" ref="CA332:CA347" ca="1" si="540">BR332-BU332-BX332</f>
        <v>0</v>
      </c>
      <c r="CB332" s="45">
        <f t="shared" si="531"/>
        <v>4.48E-2</v>
      </c>
      <c r="CC332" s="45">
        <f t="shared" si="532"/>
        <v>0</v>
      </c>
      <c r="CD332" s="45">
        <v>0</v>
      </c>
      <c r="CE332" s="45">
        <f t="shared" si="533"/>
        <v>0</v>
      </c>
      <c r="CF332" s="45" t="str">
        <f t="shared" si="534"/>
        <v>NA</v>
      </c>
      <c r="CG332" s="45">
        <v>0</v>
      </c>
      <c r="CH332" s="244"/>
      <c r="CI332" s="244"/>
      <c r="CJ332" s="244"/>
      <c r="CK332" s="244"/>
      <c r="CM332" s="63">
        <v>1.5</v>
      </c>
    </row>
    <row r="333" spans="1:91" ht="18" hidden="1" customHeight="1">
      <c r="A333" s="260" t="s">
        <v>221</v>
      </c>
      <c r="B333" s="260" t="s">
        <v>222</v>
      </c>
      <c r="C333" s="260" t="s">
        <v>2129</v>
      </c>
      <c r="D333" s="260" t="s">
        <v>2130</v>
      </c>
      <c r="E333" s="260" t="s">
        <v>2155</v>
      </c>
      <c r="F333" s="260" t="s">
        <v>2156</v>
      </c>
      <c r="G333" s="260" t="s">
        <v>2157</v>
      </c>
      <c r="H333" s="260" t="s">
        <v>2178</v>
      </c>
      <c r="I333" s="260"/>
      <c r="J333" s="260"/>
      <c r="K333" s="260" t="s">
        <v>2179</v>
      </c>
      <c r="L333" s="260" t="s">
        <v>2180</v>
      </c>
      <c r="M333" s="260" t="s">
        <v>2181</v>
      </c>
      <c r="N333" s="260" t="s">
        <v>111</v>
      </c>
      <c r="O333" s="260" t="s">
        <v>112</v>
      </c>
      <c r="P333" s="10">
        <v>0</v>
      </c>
      <c r="Q333" s="11">
        <v>100</v>
      </c>
      <c r="R333" s="11">
        <f t="shared" ca="1" si="521"/>
        <v>51</v>
      </c>
      <c r="S333" s="11" t="str">
        <f ca="1">VLOOKUP(K333,'1220 IDECUT'!$K$13:$AK$48,9,0)</f>
        <v>En 2021. En la legalización de empresarios turisticos, durante la vigencia 2021 se han realizado las siguientes actividades con los 116 municipios del Departamento:                                                              *Apoyo y asesoría a los empresarios turísticos de Cundinamarca, incentivándolos a certificarse con el fin de fidelizar un mayor número de turistas que ayuden a reactivar su economía y a su vez ayuden a promover el crecimiento y sostenibilidad en sus Municipios, de acuerdo con la labor encomendada por la Subgerencia de turismo.
*Contacto con los Prestadores que fueron apoyados para obtener su RNT, con el fin de invitarlos a capacitaciones organizadas por Procolombia-Idecut en Pro de brindarles nuevas herramientas para seguir en el proceso de reactivación del sector.
*A partir del seguimiento continuo a los prestadores informales, se logra que 50 de estos obtengan su registro nacional de turismo, cumpliendo de esta manera con la meta propuesta para la vigencia 2021 que era de 35 prestadores con RNT</v>
      </c>
      <c r="T333" s="11">
        <v>0</v>
      </c>
      <c r="U333" s="11">
        <v>0</v>
      </c>
      <c r="V333" s="11">
        <v>0</v>
      </c>
      <c r="W333" s="11">
        <v>0</v>
      </c>
      <c r="X333" s="11">
        <v>0</v>
      </c>
      <c r="Y333" s="11">
        <v>0</v>
      </c>
      <c r="Z333" s="11">
        <v>0</v>
      </c>
      <c r="AA333" s="11"/>
      <c r="AB333" s="11"/>
      <c r="AC333" s="11"/>
      <c r="AD333" s="11">
        <v>35</v>
      </c>
      <c r="AE333" s="11">
        <v>0</v>
      </c>
      <c r="AF333" s="11">
        <f ca="1">VLOOKUP(K333,'1220 IDECUT'!$K$13:$AK$48,22,0)</f>
        <v>51</v>
      </c>
      <c r="AG333" s="11">
        <f ca="1">VLOOKUP(K333,'1220 IDECUT'!$K$13:$AK$48,23,0)</f>
        <v>0</v>
      </c>
      <c r="AH333" s="11">
        <f t="shared" ca="1" si="522"/>
        <v>51</v>
      </c>
      <c r="AI333" s="11" t="str">
        <f ca="1">VLOOKUP(K333,'1220 IDECUT'!$K$13:$AK$48,25,0)</f>
        <v>Formalizacion</v>
      </c>
      <c r="AJ333" s="11" t="str">
        <f ca="1">VLOOKUP(K333,'1220 IDECUT'!$K$13:$AK$48,26,0)</f>
        <v>En la legalización de empresarios turisticos, durante la vigencia 2021 se han realizado las siguientes actividades con los 116 municipios del Departamento:                                                              *Apoyo y asesoría a los empresarios turísticos de Cundinamarca, incentivándolos a certificarse con el fin de fidelizar un mayor número de turistas que ayuden a reactivar su economía y a su vez ayuden a promover el crecimiento y sostenibilidad en sus Municipios, de acuerdo con la labor encomendada por la Subgerencia de turismo.
*Contacto con los Prestadores que fueron apoyados para obtener su RNT, con el fin de invitarlos a capacitaciones organizadas por Procolombia-Idecut en Pro de brindarles nuevas herramientas para seguir en el proceso de reactivación del sector.
*A partir del seguimiento continuo a los prestadores informales, se logra que 50 de estos obtengan su registro nacional de turismo, cumpliendo de esta manera con la meta propuesta para la vigencia 2021 que era de 35 prestadores con RNT</v>
      </c>
      <c r="AK333" s="11">
        <f ca="1">VLOOKUP(K333,'1220 IDECUT'!$K$13:$AK$48,27,0)</f>
        <v>0</v>
      </c>
      <c r="AL333" s="11">
        <v>35</v>
      </c>
      <c r="AM333" s="11">
        <v>0</v>
      </c>
      <c r="AN333" s="11">
        <v>30</v>
      </c>
      <c r="AO333" s="11">
        <v>0</v>
      </c>
      <c r="AP333" s="11">
        <v>0</v>
      </c>
      <c r="AQ333" s="11">
        <v>0</v>
      </c>
      <c r="AR333" s="52"/>
      <c r="AS333" s="54">
        <v>0</v>
      </c>
      <c r="AT333" s="54">
        <f t="shared" si="535"/>
        <v>0</v>
      </c>
      <c r="AU333" s="52"/>
      <c r="AV333" s="89">
        <v>66000000</v>
      </c>
      <c r="AW333" s="89"/>
      <c r="AX333" s="89"/>
      <c r="AY333" s="89">
        <v>66000000</v>
      </c>
      <c r="AZ333" s="44">
        <f t="shared" ca="1" si="523"/>
        <v>0.51</v>
      </c>
      <c r="BA333" s="44">
        <v>0</v>
      </c>
      <c r="BB333" s="44" t="s">
        <v>115</v>
      </c>
      <c r="BC333" s="44">
        <f t="shared" si="524"/>
        <v>0.35</v>
      </c>
      <c r="BD333" s="44" cm="1">
        <f t="array" aca="1" ref="BD333" ca="1">_xlfn.IFS(AD333=0,"NA",AD333&gt;0,AH333/AD333)</f>
        <v>1.4571428571428571</v>
      </c>
      <c r="BE333" s="44">
        <f t="shared" si="525"/>
        <v>0.35</v>
      </c>
      <c r="BF333" s="44">
        <v>0</v>
      </c>
      <c r="BG333" s="44">
        <f t="shared" si="526"/>
        <v>0.3</v>
      </c>
      <c r="BH333" s="44">
        <v>0</v>
      </c>
      <c r="BI333" s="44">
        <f t="shared" si="527"/>
        <v>0</v>
      </c>
      <c r="BJ333" s="44" t="s">
        <v>115</v>
      </c>
      <c r="BK333" s="44">
        <f t="shared" ca="1" si="536"/>
        <v>0.51</v>
      </c>
      <c r="BL333" s="44" t="s">
        <v>115</v>
      </c>
      <c r="BM333" s="44" t="str" cm="1">
        <f t="array" aca="1" ref="BM333" ca="1">_xlfn.IFS(BD333="NA","NA",BD333&gt;100%,"100%",BD333&lt;100,BD333)</f>
        <v>100%</v>
      </c>
      <c r="BN333" s="44" cm="1">
        <f t="array" ref="BN333">_xlfn.IFS(BF333="NA","NA",BF333&gt;100%,"100%",BF333&lt;100,BF333)</f>
        <v>0</v>
      </c>
      <c r="BO333" s="44" cm="1">
        <f t="array" ref="BO333">_xlfn.IFS(BH333="NA","NA",BH333&gt;100%,"100%",BH333&lt;100,BH333)</f>
        <v>0</v>
      </c>
      <c r="BP333" s="44" t="str" cm="1">
        <f t="array" ref="BP333">_xlfn.IFS(BJ333="NA","NA",BJ333&gt;100%,"100%",BJ333&lt;100,BJ333)</f>
        <v>NA</v>
      </c>
      <c r="BQ333" s="45">
        <v>0.224</v>
      </c>
      <c r="BR333" s="45">
        <f t="shared" ca="1" si="537"/>
        <v>0.11424000000000001</v>
      </c>
      <c r="BS333" s="45">
        <v>0</v>
      </c>
      <c r="BT333" s="45" t="s">
        <v>115</v>
      </c>
      <c r="BU333" s="45">
        <v>0</v>
      </c>
      <c r="BV333" s="45">
        <f t="shared" si="528"/>
        <v>7.8399999999999997E-2</v>
      </c>
      <c r="BW333" s="45">
        <f t="shared" ca="1" si="538"/>
        <v>7.8399999999999997E-2</v>
      </c>
      <c r="BX333" s="45">
        <f t="shared" ca="1" si="539"/>
        <v>0.11424000000000001</v>
      </c>
      <c r="BY333" s="45">
        <f t="shared" si="529"/>
        <v>7.8399999999999997E-2</v>
      </c>
      <c r="BZ333" s="45">
        <f t="shared" si="530"/>
        <v>0</v>
      </c>
      <c r="CA333" s="45">
        <f t="shared" ca="1" si="540"/>
        <v>0</v>
      </c>
      <c r="CB333" s="45">
        <f t="shared" si="531"/>
        <v>6.7199999999999996E-2</v>
      </c>
      <c r="CC333" s="45">
        <f t="shared" si="532"/>
        <v>0</v>
      </c>
      <c r="CD333" s="45">
        <v>0</v>
      </c>
      <c r="CE333" s="45">
        <f t="shared" si="533"/>
        <v>0</v>
      </c>
      <c r="CF333" s="45" t="str">
        <f t="shared" si="534"/>
        <v>NA</v>
      </c>
      <c r="CG333" s="45">
        <v>0</v>
      </c>
      <c r="CH333" s="244"/>
      <c r="CI333" s="244"/>
      <c r="CJ333" s="244"/>
      <c r="CK333" s="244"/>
      <c r="CM333" s="63">
        <v>0</v>
      </c>
    </row>
    <row r="334" spans="1:91" ht="18" hidden="1" customHeight="1">
      <c r="A334" s="260" t="s">
        <v>221</v>
      </c>
      <c r="B334" s="260" t="s">
        <v>222</v>
      </c>
      <c r="C334" s="260" t="s">
        <v>2129</v>
      </c>
      <c r="D334" s="260" t="s">
        <v>2130</v>
      </c>
      <c r="E334" s="260" t="s">
        <v>2155</v>
      </c>
      <c r="F334" s="260" t="s">
        <v>2156</v>
      </c>
      <c r="G334" s="260" t="s">
        <v>2157</v>
      </c>
      <c r="H334" s="260" t="s">
        <v>2182</v>
      </c>
      <c r="I334" s="260"/>
      <c r="J334" s="260"/>
      <c r="K334" s="260" t="s">
        <v>2183</v>
      </c>
      <c r="L334" s="260" t="s">
        <v>2184</v>
      </c>
      <c r="M334" s="260" t="s">
        <v>2185</v>
      </c>
      <c r="N334" s="260" t="s">
        <v>111</v>
      </c>
      <c r="O334" s="260" t="s">
        <v>112</v>
      </c>
      <c r="P334" s="10">
        <v>0</v>
      </c>
      <c r="Q334" s="11">
        <v>3</v>
      </c>
      <c r="R334" s="11">
        <f t="shared" ca="1" si="521"/>
        <v>2</v>
      </c>
      <c r="S334" s="11" t="str">
        <f ca="1">VLOOKUP(K334,'1220 IDECUT'!$K$13:$AK$48,9,0)</f>
        <v>En 2021, Se firmó el convenio marco entre el Instituto Distrital De Turismo y El Instituto Departamental de Cultura y Turismo de Cundinamarca, para el desarrollo de acciones que propendan a impulsar el turismo sostenible, responsable, incluyente, inteligente y productivo en Bogotá y Cundinamarca.
*Se firmo memorando de entendimiento entre el Idecut y la Cámara de Comercio de Bogotá, como alianza estratégica para fortalecer gestión turística para que contribuya al desarrollo, la competitividad, el fortalecimiento y reactivación económica del sector turístico en provincias como Sabana Centro, Sumapaz, Almeidas, Guavio, Oriente y Ubaté</v>
      </c>
      <c r="T334" s="11">
        <v>0</v>
      </c>
      <c r="U334" s="11">
        <v>0</v>
      </c>
      <c r="V334" s="11">
        <v>0</v>
      </c>
      <c r="W334" s="11">
        <v>0</v>
      </c>
      <c r="X334" s="11">
        <v>0</v>
      </c>
      <c r="Y334" s="11">
        <v>0</v>
      </c>
      <c r="Z334" s="11">
        <v>0</v>
      </c>
      <c r="AA334" s="11"/>
      <c r="AB334" s="11"/>
      <c r="AC334" s="11"/>
      <c r="AD334" s="11">
        <v>1</v>
      </c>
      <c r="AE334" s="11">
        <v>0</v>
      </c>
      <c r="AF334" s="11">
        <f ca="1">VLOOKUP(K334,'1220 IDECUT'!$K$13:$AK$48,22,0)</f>
        <v>2</v>
      </c>
      <c r="AG334" s="11">
        <f ca="1">VLOOKUP(K334,'1220 IDECUT'!$K$13:$AK$48,23,0)</f>
        <v>0</v>
      </c>
      <c r="AH334" s="11">
        <f t="shared" ca="1" si="522"/>
        <v>2</v>
      </c>
      <c r="AI334" s="11" t="str">
        <f ca="1">VLOOKUP(K334,'1220 IDECUT'!$K$13:$AK$48,25,0)</f>
        <v>Ruta biciturismo</v>
      </c>
      <c r="AJ334" s="11" t="str">
        <f ca="1">VLOOKUP(K334,'1220 IDECUT'!$K$13:$AK$48,26,0)</f>
        <v>Se firmó el convenio marco entre el Instituto Distrital De Turismo y El Instituto Departamental de Cultura y Turismo de Cundinamarca, para el desarrollo de acciones que propendan a impulsar el turismo sostenible, responsable, incluyente, inteligente y productivo en Bogotá y Cundinamarca.
Se firmo memorando de entendimiento entre el Idecut y la Cámara de Comercio de Bogotá, como alianza estratégica para fortalecer gestión turística para que contribuya al desarrollo, la competitividad, el fortalecimiento y reactivación económica del sector turístico en provincias como Sabana Centro, Sumapaz, Almeidas, Guavio, Oriente y Ubaté</v>
      </c>
      <c r="AK334" s="11">
        <f ca="1">VLOOKUP(K334,'1220 IDECUT'!$K$13:$AK$48,27,0)</f>
        <v>0</v>
      </c>
      <c r="AL334" s="11">
        <v>1</v>
      </c>
      <c r="AM334" s="11">
        <v>0</v>
      </c>
      <c r="AN334" s="11">
        <v>1</v>
      </c>
      <c r="AO334" s="11">
        <v>0</v>
      </c>
      <c r="AP334" s="11">
        <v>0</v>
      </c>
      <c r="AQ334" s="11">
        <v>0</v>
      </c>
      <c r="AR334" s="52"/>
      <c r="AS334" s="54">
        <v>0</v>
      </c>
      <c r="AT334" s="54">
        <f t="shared" si="535"/>
        <v>0</v>
      </c>
      <c r="AU334" s="52"/>
      <c r="AV334" s="89">
        <v>36000000</v>
      </c>
      <c r="AW334" s="89"/>
      <c r="AX334" s="89"/>
      <c r="AY334" s="89">
        <v>36000000</v>
      </c>
      <c r="AZ334" s="44">
        <f t="shared" ca="1" si="523"/>
        <v>0.66666666666666663</v>
      </c>
      <c r="BA334" s="44">
        <v>0</v>
      </c>
      <c r="BB334" s="44" t="s">
        <v>115</v>
      </c>
      <c r="BC334" s="44">
        <f t="shared" si="524"/>
        <v>0.33333333333333331</v>
      </c>
      <c r="BD334" s="44" cm="1">
        <f t="array" aca="1" ref="BD334" ca="1">_xlfn.IFS(AD334=0,"NA",AD334&gt;0,AH334/AD334)</f>
        <v>2</v>
      </c>
      <c r="BE334" s="44">
        <f t="shared" si="525"/>
        <v>0.33333333333333331</v>
      </c>
      <c r="BF334" s="44">
        <v>0</v>
      </c>
      <c r="BG334" s="44">
        <f t="shared" si="526"/>
        <v>0.33333333333333331</v>
      </c>
      <c r="BH334" s="44">
        <v>0</v>
      </c>
      <c r="BI334" s="44">
        <f t="shared" si="527"/>
        <v>0</v>
      </c>
      <c r="BJ334" s="44" t="s">
        <v>115</v>
      </c>
      <c r="BK334" s="44">
        <f t="shared" ca="1" si="536"/>
        <v>0.66666666666666663</v>
      </c>
      <c r="BL334" s="44" t="s">
        <v>115</v>
      </c>
      <c r="BM334" s="44" t="str" cm="1">
        <f t="array" aca="1" ref="BM334" ca="1">_xlfn.IFS(BD334="NA","NA",BD334&gt;100%,"100%",BD334&lt;100,BD334)</f>
        <v>100%</v>
      </c>
      <c r="BN334" s="44" cm="1">
        <f t="array" ref="BN334">_xlfn.IFS(BF334="NA","NA",BF334&gt;100%,"100%",BF334&lt;100,BF334)</f>
        <v>0</v>
      </c>
      <c r="BO334" s="44" cm="1">
        <f t="array" ref="BO334">_xlfn.IFS(BH334="NA","NA",BH334&gt;100%,"100%",BH334&lt;100,BH334)</f>
        <v>0</v>
      </c>
      <c r="BP334" s="44" t="str" cm="1">
        <f t="array" ref="BP334">_xlfn.IFS(BJ334="NA","NA",BJ334&gt;100%,"100%",BJ334&lt;100,BJ334)</f>
        <v>NA</v>
      </c>
      <c r="BQ334" s="45">
        <v>0.224</v>
      </c>
      <c r="BR334" s="45">
        <f t="shared" ca="1" si="537"/>
        <v>0.14933333333333332</v>
      </c>
      <c r="BS334" s="45">
        <v>0</v>
      </c>
      <c r="BT334" s="45" t="s">
        <v>115</v>
      </c>
      <c r="BU334" s="45">
        <v>0</v>
      </c>
      <c r="BV334" s="45">
        <f t="shared" si="528"/>
        <v>7.4666666666666673E-2</v>
      </c>
      <c r="BW334" s="45">
        <f t="shared" ca="1" si="538"/>
        <v>7.4666666666666673E-2</v>
      </c>
      <c r="BX334" s="45">
        <f t="shared" ca="1" si="539"/>
        <v>0.14933333333333332</v>
      </c>
      <c r="BY334" s="45">
        <f t="shared" si="529"/>
        <v>7.4666666666666673E-2</v>
      </c>
      <c r="BZ334" s="45">
        <f t="shared" si="530"/>
        <v>0</v>
      </c>
      <c r="CA334" s="45">
        <f t="shared" ca="1" si="540"/>
        <v>0</v>
      </c>
      <c r="CB334" s="45">
        <f t="shared" si="531"/>
        <v>7.4666666666666673E-2</v>
      </c>
      <c r="CC334" s="45">
        <f t="shared" si="532"/>
        <v>0</v>
      </c>
      <c r="CD334" s="45">
        <v>0</v>
      </c>
      <c r="CE334" s="45">
        <f t="shared" si="533"/>
        <v>0</v>
      </c>
      <c r="CF334" s="45" t="str">
        <f t="shared" si="534"/>
        <v>NA</v>
      </c>
      <c r="CG334" s="45">
        <v>0</v>
      </c>
      <c r="CH334" s="244"/>
      <c r="CI334" s="244"/>
      <c r="CJ334" s="244"/>
      <c r="CK334" s="244"/>
      <c r="CM334" s="63">
        <v>2</v>
      </c>
    </row>
    <row r="335" spans="1:91" ht="18" hidden="1" customHeight="1">
      <c r="A335" s="260" t="s">
        <v>221</v>
      </c>
      <c r="B335" s="260" t="s">
        <v>222</v>
      </c>
      <c r="C335" s="260" t="s">
        <v>2129</v>
      </c>
      <c r="D335" s="260" t="s">
        <v>2130</v>
      </c>
      <c r="E335" s="260" t="s">
        <v>2155</v>
      </c>
      <c r="F335" s="260" t="s">
        <v>2156</v>
      </c>
      <c r="G335" s="260" t="s">
        <v>2157</v>
      </c>
      <c r="H335" s="260" t="s">
        <v>2186</v>
      </c>
      <c r="I335" s="260"/>
      <c r="J335" s="260"/>
      <c r="K335" s="260" t="s">
        <v>2187</v>
      </c>
      <c r="L335" s="260" t="s">
        <v>2188</v>
      </c>
      <c r="M335" s="260" t="s">
        <v>2189</v>
      </c>
      <c r="N335" s="260" t="s">
        <v>111</v>
      </c>
      <c r="O335" s="260" t="s">
        <v>112</v>
      </c>
      <c r="P335" s="10">
        <v>15</v>
      </c>
      <c r="Q335" s="11">
        <v>20</v>
      </c>
      <c r="R335" s="11">
        <f t="shared" ca="1" si="521"/>
        <v>3</v>
      </c>
      <c r="S335" s="11" t="str">
        <f ca="1">VLOOKUP(K335,'1220 IDECUT'!$K$13:$AK$48,9,0)</f>
        <v>El IDECUT ha participado en dos eventos durante la vigencia 2021 de la tienda Kuna Mya en la Feria AgroExpo2021 evento que permite posicionar al departamento las artesanías que se ofrecen y también en la promoción turística de nuestros diferentes atractivos turísticos beneficiando a los 116 municipios del Departamento. Se participo en el Concurso Nacional de la Belleza con la Reina Departamental de Cundinamarca, evento que se llevo a cabo en la ciudad de Cartagena.</v>
      </c>
      <c r="T335" s="11">
        <v>0</v>
      </c>
      <c r="U335" s="11">
        <v>0</v>
      </c>
      <c r="V335" s="11">
        <v>0</v>
      </c>
      <c r="W335" s="11">
        <v>0</v>
      </c>
      <c r="X335" s="11">
        <v>0</v>
      </c>
      <c r="Y335" s="11">
        <v>0</v>
      </c>
      <c r="Z335" s="11">
        <v>0</v>
      </c>
      <c r="AA335" s="11"/>
      <c r="AB335" s="11"/>
      <c r="AC335" s="11"/>
      <c r="AD335" s="11">
        <v>6</v>
      </c>
      <c r="AE335" s="11">
        <v>0</v>
      </c>
      <c r="AF335" s="11">
        <f ca="1">VLOOKUP(K335,'1220 IDECUT'!$K$13:$AK$48,22,0)</f>
        <v>3</v>
      </c>
      <c r="AG335" s="11">
        <f ca="1">VLOOKUP(K335,'1220 IDECUT'!$K$13:$AK$48,23,0)</f>
        <v>0</v>
      </c>
      <c r="AH335" s="11">
        <f t="shared" ca="1" si="522"/>
        <v>3</v>
      </c>
      <c r="AI335" s="11" t="str">
        <f ca="1">VLOOKUP(K335,'1220 IDECUT'!$K$13:$AK$48,25,0)</f>
        <v>Convocatoria</v>
      </c>
      <c r="AJ335" s="11" t="str">
        <f ca="1">VLOOKUP(K335,'1220 IDECUT'!$K$13:$AK$48,26,0)</f>
        <v>Se participo en el Concurso Nacional de la Belleza con la Reina Departamental de Cundinamarca, evento que se llevo a cabo en la ciudad de Cartagena.</v>
      </c>
      <c r="AK335" s="11">
        <f ca="1">VLOOKUP(K335,'1220 IDECUT'!$K$13:$AK$48,27,0)</f>
        <v>0</v>
      </c>
      <c r="AL335" s="11">
        <v>7</v>
      </c>
      <c r="AM335" s="11">
        <v>0</v>
      </c>
      <c r="AN335" s="11">
        <v>7</v>
      </c>
      <c r="AO335" s="11">
        <v>0</v>
      </c>
      <c r="AP335" s="11">
        <v>0</v>
      </c>
      <c r="AQ335" s="11">
        <v>0</v>
      </c>
      <c r="AR335" s="52"/>
      <c r="AS335" s="54">
        <v>0</v>
      </c>
      <c r="AT335" s="54">
        <f t="shared" si="535"/>
        <v>0</v>
      </c>
      <c r="AU335" s="52"/>
      <c r="AV335" s="89">
        <v>330000000</v>
      </c>
      <c r="AW335" s="89"/>
      <c r="AX335" s="89"/>
      <c r="AY335" s="89">
        <v>315000000</v>
      </c>
      <c r="AZ335" s="44">
        <f t="shared" ca="1" si="523"/>
        <v>0.15</v>
      </c>
      <c r="BA335" s="44">
        <v>0</v>
      </c>
      <c r="BB335" s="44" t="s">
        <v>115</v>
      </c>
      <c r="BC335" s="44">
        <f t="shared" si="524"/>
        <v>0.3</v>
      </c>
      <c r="BD335" s="44" cm="1">
        <f t="array" aca="1" ref="BD335" ca="1">_xlfn.IFS(AD335=0,"NA",AD335&gt;0,AH335/AD335)</f>
        <v>0.5</v>
      </c>
      <c r="BE335" s="44">
        <f t="shared" si="525"/>
        <v>0.35</v>
      </c>
      <c r="BF335" s="44">
        <v>0</v>
      </c>
      <c r="BG335" s="44">
        <f t="shared" si="526"/>
        <v>0.35</v>
      </c>
      <c r="BH335" s="44">
        <v>0</v>
      </c>
      <c r="BI335" s="44">
        <f t="shared" si="527"/>
        <v>0</v>
      </c>
      <c r="BJ335" s="44" t="s">
        <v>115</v>
      </c>
      <c r="BK335" s="44">
        <f t="shared" ca="1" si="536"/>
        <v>0.15</v>
      </c>
      <c r="BL335" s="44" t="s">
        <v>115</v>
      </c>
      <c r="BM335" s="44" cm="1">
        <f t="array" aca="1" ref="BM335" ca="1">_xlfn.IFS(BD335="NA","NA",BD335&gt;100%,"100%",BD335&lt;100,BD335)</f>
        <v>0.5</v>
      </c>
      <c r="BN335" s="44" cm="1">
        <f t="array" ref="BN335">_xlfn.IFS(BF335="NA","NA",BF335&gt;100%,"100%",BF335&lt;100,BF335)</f>
        <v>0</v>
      </c>
      <c r="BO335" s="44" cm="1">
        <f t="array" ref="BO335">_xlfn.IFS(BH335="NA","NA",BH335&gt;100%,"100%",BH335&lt;100,BH335)</f>
        <v>0</v>
      </c>
      <c r="BP335" s="44" t="str" cm="1">
        <f t="array" ref="BP335">_xlfn.IFS(BJ335="NA","NA",BJ335&gt;100%,"100%",BJ335&lt;100,BJ335)</f>
        <v>NA</v>
      </c>
      <c r="BQ335" s="45">
        <v>0.224</v>
      </c>
      <c r="BR335" s="45">
        <f t="shared" ca="1" si="537"/>
        <v>3.3599999999999998E-2</v>
      </c>
      <c r="BS335" s="45">
        <v>0</v>
      </c>
      <c r="BT335" s="45" t="s">
        <v>115</v>
      </c>
      <c r="BU335" s="45">
        <v>0</v>
      </c>
      <c r="BV335" s="45">
        <f t="shared" si="528"/>
        <v>6.720000000000001E-2</v>
      </c>
      <c r="BW335" s="45">
        <f t="shared" ca="1" si="538"/>
        <v>3.3600000000000005E-2</v>
      </c>
      <c r="BX335" s="45">
        <f t="shared" ca="1" si="539"/>
        <v>3.3599999999999998E-2</v>
      </c>
      <c r="BY335" s="45">
        <f t="shared" si="529"/>
        <v>7.8399999999999997E-2</v>
      </c>
      <c r="BZ335" s="45">
        <f t="shared" si="530"/>
        <v>0</v>
      </c>
      <c r="CA335" s="45">
        <f t="shared" ca="1" si="540"/>
        <v>0</v>
      </c>
      <c r="CB335" s="45">
        <f t="shared" si="531"/>
        <v>7.8399999999999997E-2</v>
      </c>
      <c r="CC335" s="45">
        <f t="shared" si="532"/>
        <v>0</v>
      </c>
      <c r="CD335" s="45">
        <v>0</v>
      </c>
      <c r="CE335" s="45">
        <f t="shared" si="533"/>
        <v>0</v>
      </c>
      <c r="CF335" s="45" t="str">
        <f t="shared" si="534"/>
        <v>NA</v>
      </c>
      <c r="CG335" s="45">
        <v>0</v>
      </c>
      <c r="CH335" s="244"/>
      <c r="CI335" s="244"/>
      <c r="CJ335" s="244"/>
      <c r="CK335" s="244"/>
      <c r="CM335" s="63">
        <v>1</v>
      </c>
    </row>
    <row r="336" spans="1:91" ht="18" hidden="1" customHeight="1">
      <c r="A336" s="260" t="s">
        <v>221</v>
      </c>
      <c r="B336" s="260" t="s">
        <v>222</v>
      </c>
      <c r="C336" s="260" t="s">
        <v>2129</v>
      </c>
      <c r="D336" s="260" t="s">
        <v>2130</v>
      </c>
      <c r="E336" s="260" t="s">
        <v>2155</v>
      </c>
      <c r="F336" s="260" t="s">
        <v>2156</v>
      </c>
      <c r="G336" s="260" t="s">
        <v>2157</v>
      </c>
      <c r="H336" s="260" t="s">
        <v>2190</v>
      </c>
      <c r="I336" s="260"/>
      <c r="J336" s="260"/>
      <c r="K336" s="260" t="s">
        <v>2191</v>
      </c>
      <c r="L336" s="260" t="s">
        <v>2192</v>
      </c>
      <c r="M336" s="260" t="s">
        <v>2193</v>
      </c>
      <c r="N336" s="260" t="s">
        <v>111</v>
      </c>
      <c r="O336" s="260" t="s">
        <v>112</v>
      </c>
      <c r="P336" s="10">
        <v>0</v>
      </c>
      <c r="Q336" s="11">
        <v>4</v>
      </c>
      <c r="R336" s="11">
        <f t="shared" ca="1" si="521"/>
        <v>1.5</v>
      </c>
      <c r="S336" s="11" t="str">
        <f ca="1">VLOOKUP(K336,'1220 IDECUT'!$K$13:$AK$48,9,0)</f>
        <v>En 2020 se realizaron actividades de promoción de potencial turístico del departamento de Cundinamarca a través de medios de comunicación (virtuales, televisión, radio), aportando y apoyando la reactivación del sector turístico, con el cual se evidencia un incremento en la llegada de visitantes y turistas a los diferentes atractivos y destinos turísticos del departamento. En lo corrido de la vigencia 2021, se han realizado estrategias de promoción, comunicación y marketing turístico implementadas que benefician a los 116 municiíos del departamento con las siguientes actividades:                                            *Revisión de la Guía, contactando otros Prestadores de servicios Turísticos y los recomendados por la Gerente, que cumplen con los requisitos exigidos. Contacto con los PST con el fin de solicitar, tras el envío de una carta, la autorización del Uso de Datos publicados en la Guía.
*Reunión virtual con los encargados de Turismo de Sabana Centro, Sabana Occidente y Almeidas para recibir sugerencias y aportes para completar información de los datos que se encuentran en la Guía Turística del Departamento con el fin de entregar datos reales a los turistas y visitantes locales, nacionales e internacionales que puedan contribuir a la reactivación económica del sector Turístico.
*Se ha logrado generar reconocimiento del departamento y los diferentes atractivos que componen cada una de las rutas, en las personas que han participado de los Fam trip.
*Se continua todos los viernes realizando el programa radial De Tour por Cundinamarca, hablando de diferentes temas en torno a la cultura y el turismo del departamento.
*Capacitación a los empresarios de como generar los códigos QR para poder tener sus portafolios y tarjetas de presentación de manera digital y pódelas entregar a sus posibles clientes minimizando el riesgo de posibles contagios.
*Los viernes se esta llevando a cabo el programa Dorado Radio donde se promociona los atractivos, destinos, operadores, prestadores de servicio turístico.
*El departamento se ha ido reactivando en el sector turismo y esto se ve reflejado en el aumento de estadísticas reportado por los Puntos de Información Turística PIT, para el segundo semestre se recibieron 10.362 turistas.
*Se dio capacitación a los informadores de la red nacional y red departamental para el funcionamiento de los puntos de información de turismo, como deben diligenciar el informe de actividades, reportar actividades que desarrollan en sus puntos para subir a redes sociales, fotografías de los puntos de información, y dar a conocer las capacitaciones que se deben dar en el segundo semestre.
*• Se dio apertura a la tienda Cundinamarca “Kuna Mya” en la ciudad de Bogotá el mágico espacio que recopila todos los encantos, tradiciones, sabores y saberes de nuestra Cundinamarca; contando con una línea artesanal que hace parte del esfuerzo de capacitación y de apoyo a 104 artesanos, Otro de los grandes atractivos de la tienda es que tiene la primera guía de turismo de Cundinamarca la cual ofrece los sitios turísticos por pisos térmicos que tiene el departamento. En el segundo piso los visitantes podrán, a través de una pantalla interactiva, conocer los 26 sitios imperdibles en Cundinamarca, los planes y prestadores de servicio turísticos con registro nacional de turismo. De igual forma podrán conocer los lugares más representativos de los 116 municipios.</v>
      </c>
      <c r="T336" s="11">
        <v>0.5</v>
      </c>
      <c r="U336" s="11">
        <v>0</v>
      </c>
      <c r="V336" s="11">
        <v>0.5</v>
      </c>
      <c r="W336" s="11">
        <v>0</v>
      </c>
      <c r="X336" s="11">
        <v>0.5</v>
      </c>
      <c r="Y336" s="11">
        <v>0</v>
      </c>
      <c r="Z336" s="11">
        <v>0.5</v>
      </c>
      <c r="AA336" s="11" t="s">
        <v>2194</v>
      </c>
      <c r="AB336" s="11" t="s">
        <v>2195</v>
      </c>
      <c r="AC336" s="11" t="s">
        <v>2196</v>
      </c>
      <c r="AD336" s="11">
        <v>1.5</v>
      </c>
      <c r="AE336" s="11">
        <v>0</v>
      </c>
      <c r="AF336" s="11">
        <f ca="1">VLOOKUP(K336,'1220 IDECUT'!$K$13:$AK$48,22,0)</f>
        <v>1</v>
      </c>
      <c r="AG336" s="11">
        <f ca="1">VLOOKUP(K336,'1220 IDECUT'!$K$13:$AK$48,23,0)</f>
        <v>0</v>
      </c>
      <c r="AH336" s="11">
        <f t="shared" ca="1" si="522"/>
        <v>1</v>
      </c>
      <c r="AI336" s="11" t="str">
        <f ca="1">VLOOKUP(K336,'1220 IDECUT'!$K$13:$AK$48,25,0)</f>
        <v>Acompañamiento</v>
      </c>
      <c r="AJ336" s="11" t="str">
        <f ca="1">VLOOKUP(K336,'1220 IDECUT'!$K$13:$AK$48,26,0)</f>
        <v>En lo corrido de la vigencia 2021, se han realizado estrategias de promoción, comunicación y marketing turístico implementadas que benefician a los 116 municiíos del departamento con las siguientes actividades:                                            *Revisión de la Guía, contactando otros Prestadores de servicios Turísticos y los recomendados por la Gerente, que cumplen con los requisitos exigidos. Contacto con los PST con el fin de solicitar, tras el envío de una carta, la autorización del Uso de Datos publicados en la Guía.
*Reunión virtual con los encargados de Turismo de Sabana Centro, Sabana Occidente y Almeidas para recibir sugerencias y aportes para completar información de los datos que se encuentran en la Guía Turística del Departamento con el fin de entregar datos reales a los turistas y visitantes locales, nacionales e internacionales que puedan contribuir a la reactivación económica del sector Turístico.
*Se ha logrado generar reconocimiento del departamento y los diferentes atractivos que componen cada una de las rutas, en las personas que han participado de los Fam trip.
*Se continua todos los viernes realizando el programa radial De Tour por Cundinamarca, hablando de diferentes temas en torno a la cultura y el turismo del departamento.
*Capacitación a los empresarios de como generar los códigos QR para poder tener sus portafolios y tarjetas de presentación de manera digital y pódelas entregar a sus posibles clientes minimizando el riesgo de posibles contagios.
*Los viernes se esta llevando a cabo el programa Dorado Radio donde se promociona los atractivos, destinos, operadores, prestadores de servicio turístico.
*El departamento se ha ido reactivando en el sector turismo y esto se ve reflejado en el aumento de estadísticas reportado por los Puntos de Información Turística PIT, para el segundo semestre se recibieron 10.362 turistas.
*Se dio capacitación a los informadores de la red nacional y red departamental para el funcionamiento de los puntos de información de turismo, como deben diligenciar el informe de actividades, reportar actividades que desarrollan en sus puntos para subir a redes sociales, fotografías de los puntos de información, y dar a conocer las capacitaciones que se deben dar en el segundo semestre.
*• Se dio apertura a la tienda Cundinamarca “Kuna Mya” en la ciudad de Bogotá el mágico espacio que recopila todos los encantos, tradiciones, sabores y saberes de nuestra Cundinamarca; contando con una línea artesanal que hace parte del esfuerzo de capacitación y de apoyo a 104 artesanos, Otro de los grandes atractivos de la tienda es que tiene la primera guía de turismo de Cundinamarca la cual ofrece los sitios turísticos por pisos térmicos que tiene el departamento. En el segundo piso los visitantes podrán, a través de una pantalla interactiva, conocer los 26 sitios imperdibles en Cundinamarca, los planes y prestadores de servicio turísticos con registro nacional de turismo. De igual forma podrán conocer los lugares más representativos de los 116 municipios.</v>
      </c>
      <c r="AK336" s="11">
        <f ca="1">VLOOKUP(K336,'1220 IDECUT'!$K$13:$AK$48,27,0)</f>
        <v>0</v>
      </c>
      <c r="AL336" s="11">
        <v>1</v>
      </c>
      <c r="AM336" s="11">
        <v>0</v>
      </c>
      <c r="AN336" s="11">
        <v>1</v>
      </c>
      <c r="AO336" s="11">
        <v>0</v>
      </c>
      <c r="AP336" s="11">
        <v>0</v>
      </c>
      <c r="AQ336" s="11">
        <v>0</v>
      </c>
      <c r="AR336" s="51">
        <v>240000000</v>
      </c>
      <c r="AS336" s="54">
        <v>30200000</v>
      </c>
      <c r="AT336" s="54">
        <f t="shared" si="535"/>
        <v>270200000</v>
      </c>
      <c r="AU336" s="51">
        <v>240000000</v>
      </c>
      <c r="AV336" s="89">
        <v>314629291</v>
      </c>
      <c r="AW336" s="89"/>
      <c r="AX336" s="89"/>
      <c r="AY336" s="89">
        <v>314629291</v>
      </c>
      <c r="AZ336" s="44">
        <f t="shared" ca="1" si="523"/>
        <v>0.375</v>
      </c>
      <c r="BA336" s="44">
        <v>0.125</v>
      </c>
      <c r="BB336" s="44">
        <v>1</v>
      </c>
      <c r="BC336" s="44">
        <f t="shared" si="524"/>
        <v>0.375</v>
      </c>
      <c r="BD336" s="44" cm="1">
        <f t="array" aca="1" ref="BD336" ca="1">_xlfn.IFS(AD336=0,"NA",AD336&gt;0,AH336/AD336)</f>
        <v>0.66666666666666663</v>
      </c>
      <c r="BE336" s="44">
        <f t="shared" si="525"/>
        <v>0.25</v>
      </c>
      <c r="BF336" s="44">
        <v>0</v>
      </c>
      <c r="BG336" s="44">
        <f t="shared" si="526"/>
        <v>0.25</v>
      </c>
      <c r="BH336" s="44">
        <v>0</v>
      </c>
      <c r="BI336" s="44">
        <f t="shared" si="527"/>
        <v>0</v>
      </c>
      <c r="BJ336" s="44" t="s">
        <v>115</v>
      </c>
      <c r="BK336" s="44">
        <f t="shared" ca="1" si="536"/>
        <v>0.375</v>
      </c>
      <c r="BL336" s="44">
        <v>1</v>
      </c>
      <c r="BM336" s="44" cm="1">
        <f t="array" aca="1" ref="BM336" ca="1">_xlfn.IFS(BD336="NA","NA",BD336&gt;100%,"100%",BD336&lt;100,BD336)</f>
        <v>0.66666666666666663</v>
      </c>
      <c r="BN336" s="44" cm="1">
        <f t="array" ref="BN336">_xlfn.IFS(BF336="NA","NA",BF336&gt;100%,"100%",BF336&lt;100,BF336)</f>
        <v>0</v>
      </c>
      <c r="BO336" s="44" cm="1">
        <f t="array" ref="BO336">_xlfn.IFS(BH336="NA","NA",BH336&gt;100%,"100%",BH336&lt;100,BH336)</f>
        <v>0</v>
      </c>
      <c r="BP336" s="44" t="str" cm="1">
        <f t="array" ref="BP336">_xlfn.IFS(BJ336="NA","NA",BJ336&gt;100%,"100%",BJ336&lt;100,BJ336)</f>
        <v>NA</v>
      </c>
      <c r="BQ336" s="45">
        <v>0.224</v>
      </c>
      <c r="BR336" s="45">
        <f t="shared" ca="1" si="537"/>
        <v>8.4000000000000005E-2</v>
      </c>
      <c r="BS336" s="45">
        <v>2.8000000000000001E-2</v>
      </c>
      <c r="BT336" s="45">
        <v>2.8000000000000001E-2</v>
      </c>
      <c r="BU336" s="45">
        <v>2.8000000000000001E-2</v>
      </c>
      <c r="BV336" s="45">
        <f t="shared" si="528"/>
        <v>8.4000000000000005E-2</v>
      </c>
      <c r="BW336" s="45">
        <f t="shared" ca="1" si="538"/>
        <v>5.6000000000000001E-2</v>
      </c>
      <c r="BX336" s="45">
        <f t="shared" ca="1" si="539"/>
        <v>5.6000000000000008E-2</v>
      </c>
      <c r="BY336" s="45">
        <f t="shared" si="529"/>
        <v>5.6000000000000001E-2</v>
      </c>
      <c r="BZ336" s="45">
        <f t="shared" si="530"/>
        <v>0</v>
      </c>
      <c r="CA336" s="45">
        <f t="shared" ca="1" si="540"/>
        <v>0</v>
      </c>
      <c r="CB336" s="45">
        <f t="shared" si="531"/>
        <v>5.6000000000000001E-2</v>
      </c>
      <c r="CC336" s="45">
        <f t="shared" si="532"/>
        <v>0</v>
      </c>
      <c r="CD336" s="45">
        <v>0</v>
      </c>
      <c r="CE336" s="45">
        <f t="shared" si="533"/>
        <v>0</v>
      </c>
      <c r="CF336" s="45" t="str">
        <f t="shared" si="534"/>
        <v>NA</v>
      </c>
      <c r="CG336" s="45">
        <v>0</v>
      </c>
      <c r="CH336" s="244"/>
      <c r="CI336" s="244"/>
      <c r="CJ336" s="244"/>
      <c r="CK336" s="244"/>
      <c r="CM336" s="63">
        <v>1.5</v>
      </c>
    </row>
    <row r="337" spans="1:261" ht="30.75" hidden="1" customHeight="1">
      <c r="A337" s="260" t="s">
        <v>1387</v>
      </c>
      <c r="B337" s="260" t="s">
        <v>1388</v>
      </c>
      <c r="C337" s="260" t="s">
        <v>2129</v>
      </c>
      <c r="D337" s="260" t="s">
        <v>2197</v>
      </c>
      <c r="E337" s="260" t="s">
        <v>2198</v>
      </c>
      <c r="F337" s="260" t="s">
        <v>2199</v>
      </c>
      <c r="G337" s="260" t="s">
        <v>2200</v>
      </c>
      <c r="H337" s="260" t="s">
        <v>2201</v>
      </c>
      <c r="I337" s="260"/>
      <c r="J337" s="260"/>
      <c r="K337" s="260" t="s">
        <v>2202</v>
      </c>
      <c r="L337" s="12" t="s">
        <v>2203</v>
      </c>
      <c r="M337" s="260" t="s">
        <v>2204</v>
      </c>
      <c r="N337" s="260" t="s">
        <v>111</v>
      </c>
      <c r="O337" s="260" t="s">
        <v>112</v>
      </c>
      <c r="P337" s="10">
        <v>0</v>
      </c>
      <c r="Q337" s="11">
        <v>1</v>
      </c>
      <c r="R337" s="11">
        <f t="shared" si="521"/>
        <v>0.43889999999999996</v>
      </c>
      <c r="S337" s="11">
        <f>VLOOKUP(K337,'1285 EPC'!$K$13:$AK$35,9,0)</f>
        <v>0</v>
      </c>
      <c r="T337" s="11">
        <v>0.25</v>
      </c>
      <c r="U337" s="11">
        <v>0</v>
      </c>
      <c r="V337" s="11">
        <v>0.121</v>
      </c>
      <c r="W337" s="11">
        <v>0</v>
      </c>
      <c r="X337" s="11">
        <v>0.12</v>
      </c>
      <c r="Y337" s="11">
        <v>0</v>
      </c>
      <c r="Z337" s="11">
        <v>0.12</v>
      </c>
      <c r="AA337" s="11" t="s">
        <v>2205</v>
      </c>
      <c r="AB337" s="11" t="s">
        <v>2206</v>
      </c>
      <c r="AC337" s="11">
        <v>0</v>
      </c>
      <c r="AD337" s="11">
        <v>0.64800000000000002</v>
      </c>
      <c r="AE337" s="11">
        <v>0</v>
      </c>
      <c r="AF337" s="45">
        <f>VLOOKUP(K337,'1285 EPC'!$K$13:$AK$35,22,0)</f>
        <v>0.31889999999999996</v>
      </c>
      <c r="AG337" s="11" t="str">
        <f>VLOOKUP(K337,'1285 EPC'!$K$13:$AK$35,23,0)</f>
        <v> </v>
      </c>
      <c r="AH337" s="11">
        <f t="shared" si="522"/>
        <v>0.31889999999999996</v>
      </c>
      <c r="AI337" s="11" t="str">
        <f>VLOOKUP(K337,'1285 EPC'!$K$13:$AK$35,25,0)</f>
        <v>Avance en la construcción de la Estación Elevadora</v>
      </c>
      <c r="AJ337" s="11" t="str">
        <f>VLOOKUP(K337,'1285 EPC'!$K$13:$AK$35,26,0)</f>
        <v>Avance acumulado a octubre de 2021 del 43,91% que corresponde al porcentaje de ejecución del componente de construcción, teniendo un acumulado, en el mes anterior de 31,72% y un ejecutado en el mes de septiembre de 2021 de 2,19%.
Adecuación sitio del proyecto 100%, adecuación vías de acceso y paisajismo 57,7%, pozo de bombeo 46,8%, pozo de cribado 64,2% obras conexas 22,6%.</v>
      </c>
      <c r="AK337" s="11" t="str">
        <f>VLOOKUP(K337,'1285 EPC'!$K$13:$AK$35,27,0)</f>
        <v xml:space="preserve"> se tiene un retraso en la ejecución de la obra por permisos ambientales y prediales </v>
      </c>
      <c r="AL337" s="11">
        <v>0.23</v>
      </c>
      <c r="AM337" s="11">
        <v>0</v>
      </c>
      <c r="AN337" s="11">
        <v>0</v>
      </c>
      <c r="AO337" s="11">
        <v>0</v>
      </c>
      <c r="AP337" s="11">
        <v>0</v>
      </c>
      <c r="AQ337" s="11">
        <v>0</v>
      </c>
      <c r="AR337" s="52"/>
      <c r="AS337" s="54">
        <v>372003800000</v>
      </c>
      <c r="AT337" s="54">
        <f t="shared" si="535"/>
        <v>372003800000</v>
      </c>
      <c r="AU337" s="52"/>
      <c r="AV337" s="243">
        <v>0</v>
      </c>
      <c r="AW337" s="244"/>
      <c r="AX337" s="244"/>
      <c r="AY337" s="243">
        <v>0</v>
      </c>
      <c r="AZ337" s="44">
        <f t="shared" si="523"/>
        <v>0.43889999999999996</v>
      </c>
      <c r="BA337" s="44">
        <v>0.121</v>
      </c>
      <c r="BB337" s="44">
        <v>0.99170000000000003</v>
      </c>
      <c r="BC337" s="44">
        <f t="shared" si="524"/>
        <v>0.64800000000000002</v>
      </c>
      <c r="BD337" s="44" cm="1">
        <f t="array" ref="BD337">_xlfn.IFS(AD337=0,"NA",AD337&gt;0,AH337/AD337)</f>
        <v>0.49212962962962953</v>
      </c>
      <c r="BE337" s="44">
        <f t="shared" si="525"/>
        <v>0.23</v>
      </c>
      <c r="BF337" s="44">
        <v>0</v>
      </c>
      <c r="BG337" s="44">
        <f t="shared" si="526"/>
        <v>0</v>
      </c>
      <c r="BH337" s="44">
        <v>0</v>
      </c>
      <c r="BI337" s="44">
        <f t="shared" si="527"/>
        <v>0</v>
      </c>
      <c r="BJ337" s="44" t="s">
        <v>115</v>
      </c>
      <c r="BK337" s="44">
        <f t="shared" si="536"/>
        <v>0.43889999999999996</v>
      </c>
      <c r="BL337" s="44">
        <v>0.99170000000000003</v>
      </c>
      <c r="BM337" s="44" cm="1">
        <f t="array" ref="BM337">_xlfn.IFS(BD337="NA","NA",BD337&gt;100%,"100%",BD337&lt;100,BD337)</f>
        <v>0.49212962962962953</v>
      </c>
      <c r="BN337" s="44" cm="1">
        <f t="array" ref="BN337">_xlfn.IFS(BF337="NA","NA",BF337&gt;100%,"100%",BF337&lt;100,BF337)</f>
        <v>0</v>
      </c>
      <c r="BO337" s="44" cm="1">
        <f t="array" ref="BO337">_xlfn.IFS(BH337="NA","NA",BH337&gt;100%,"100%",BH337&lt;100,BH337)</f>
        <v>0</v>
      </c>
      <c r="BP337" s="44" t="str" cm="1">
        <f t="array" ref="BP337">_xlfn.IFS(BJ337="NA","NA",BJ337&gt;100%,"100%",BJ337&lt;100,BJ337)</f>
        <v>NA</v>
      </c>
      <c r="BQ337" s="45">
        <v>0.224</v>
      </c>
      <c r="BR337" s="45">
        <f t="shared" si="537"/>
        <v>9.8313599999999987E-2</v>
      </c>
      <c r="BS337" s="45">
        <v>2.7099999999999999E-2</v>
      </c>
      <c r="BT337" s="45">
        <v>2.69E-2</v>
      </c>
      <c r="BU337" s="45">
        <v>2.69E-2</v>
      </c>
      <c r="BV337" s="45">
        <f t="shared" si="528"/>
        <v>0.145152</v>
      </c>
      <c r="BW337" s="45">
        <f t="shared" si="538"/>
        <v>7.1433599999999986E-2</v>
      </c>
      <c r="BX337" s="45">
        <f t="shared" si="539"/>
        <v>7.1413599999999994E-2</v>
      </c>
      <c r="BY337" s="45">
        <f t="shared" si="529"/>
        <v>5.1520000000000003E-2</v>
      </c>
      <c r="BZ337" s="45">
        <f t="shared" si="530"/>
        <v>0</v>
      </c>
      <c r="CA337" s="45">
        <f t="shared" si="540"/>
        <v>0</v>
      </c>
      <c r="CB337" s="45">
        <f t="shared" si="531"/>
        <v>0</v>
      </c>
      <c r="CC337" s="45">
        <f t="shared" si="532"/>
        <v>0</v>
      </c>
      <c r="CD337" s="45">
        <v>0</v>
      </c>
      <c r="CE337" s="45">
        <f t="shared" si="533"/>
        <v>0</v>
      </c>
      <c r="CF337" s="45" t="str">
        <f t="shared" si="534"/>
        <v>NA</v>
      </c>
      <c r="CG337" s="45">
        <v>0</v>
      </c>
      <c r="CH337" s="244"/>
      <c r="CI337" s="244"/>
      <c r="CJ337" s="244"/>
      <c r="CK337" s="244"/>
      <c r="CM337" s="63">
        <v>0.34699999999999998</v>
      </c>
    </row>
    <row r="338" spans="1:261" ht="18" hidden="1" customHeight="1">
      <c r="A338" s="260" t="s">
        <v>1826</v>
      </c>
      <c r="B338" s="260" t="s">
        <v>1827</v>
      </c>
      <c r="C338" s="260" t="s">
        <v>2129</v>
      </c>
      <c r="D338" s="260" t="s">
        <v>2197</v>
      </c>
      <c r="E338" s="260" t="s">
        <v>2198</v>
      </c>
      <c r="F338" s="260" t="s">
        <v>2199</v>
      </c>
      <c r="G338" s="260" t="s">
        <v>2200</v>
      </c>
      <c r="H338" s="260" t="s">
        <v>2207</v>
      </c>
      <c r="I338" s="260"/>
      <c r="J338" s="260"/>
      <c r="K338" s="260" t="s">
        <v>2208</v>
      </c>
      <c r="L338" s="260" t="s">
        <v>2209</v>
      </c>
      <c r="M338" s="260" t="s">
        <v>2210</v>
      </c>
      <c r="N338" s="260" t="s">
        <v>111</v>
      </c>
      <c r="O338" s="260" t="s">
        <v>112</v>
      </c>
      <c r="P338" s="10">
        <v>1</v>
      </c>
      <c r="Q338" s="11">
        <v>1</v>
      </c>
      <c r="R338" s="11">
        <f t="shared" si="521"/>
        <v>0.5</v>
      </c>
      <c r="S338" s="11" t="str">
        <f>VLOOKUP(K338,'1121 Ambiente'!$K$13:$AK$38,9,0)</f>
        <v>Se realizó el primer pago por valor de $8.191.000 el 10/07/2021 mediante orden de pago No. 3300003709.
Se realizo el segundo pago por valor de $8.437.000.000 el 16/07/2021 mediante orden de pago No. 3300027096</v>
      </c>
      <c r="T338" s="11">
        <v>0.25</v>
      </c>
      <c r="U338" s="11">
        <v>0</v>
      </c>
      <c r="V338" s="11">
        <v>0.25</v>
      </c>
      <c r="W338" s="11">
        <v>0</v>
      </c>
      <c r="X338" s="11">
        <v>0</v>
      </c>
      <c r="Y338" s="11">
        <v>0</v>
      </c>
      <c r="Z338" s="11">
        <v>0</v>
      </c>
      <c r="AA338" s="11"/>
      <c r="AB338" s="11"/>
      <c r="AC338" s="11"/>
      <c r="AD338" s="11">
        <v>0.25</v>
      </c>
      <c r="AE338" s="11">
        <v>0</v>
      </c>
      <c r="AF338" s="11">
        <f>VLOOKUP(K338,'1121 Ambiente'!$K$13:$AK$38,22,0)</f>
        <v>0.5</v>
      </c>
      <c r="AG338" s="11">
        <f>VLOOKUP(K338,'1121 Ambiente'!$K$13:$AK$38,23,0)</f>
        <v>0</v>
      </c>
      <c r="AH338" s="11">
        <f t="shared" si="522"/>
        <v>0.5</v>
      </c>
      <c r="AI338" s="11" t="str">
        <f>VLOOKUP(K338,'1121 Ambiente'!$K$13:$AK$38,25,0)</f>
        <v>Segundo pago PTAR canoas</v>
      </c>
      <c r="AJ338" s="11" t="str">
        <f>VLOOKUP(K338,'1121 Ambiente'!$K$13:$AK$38,26,0)</f>
        <v>Se realizo el segundo pago por valor de $8.437.000.000 el 16/07/2021 mediante orden de pago No. 3300027096.</v>
      </c>
      <c r="AK338" s="11" t="str">
        <f>VLOOKUP(K338,'1121 Ambiente'!$K$13:$AK$38,27,0)</f>
        <v xml:space="preserve">Durante los acontecimientos del paro nacional los temas de movilización y traslado fueron complicados lo que obligo a retrasar y aplazar visitas </v>
      </c>
      <c r="AL338" s="11">
        <v>0.25</v>
      </c>
      <c r="AM338" s="11">
        <v>0</v>
      </c>
      <c r="AN338" s="11">
        <v>0.25</v>
      </c>
      <c r="AO338" s="11">
        <v>0</v>
      </c>
      <c r="AP338" s="11">
        <v>0</v>
      </c>
      <c r="AQ338" s="11">
        <v>0</v>
      </c>
      <c r="AR338" s="52"/>
      <c r="AS338" s="54">
        <v>0</v>
      </c>
      <c r="AT338" s="54">
        <f t="shared" si="535"/>
        <v>0</v>
      </c>
      <c r="AU338" s="52"/>
      <c r="AV338" s="243">
        <v>8437000000</v>
      </c>
      <c r="AW338" s="244"/>
      <c r="AX338" s="244"/>
      <c r="AY338" s="243">
        <v>8437000000</v>
      </c>
      <c r="AZ338" s="44">
        <f t="shared" si="523"/>
        <v>0.5</v>
      </c>
      <c r="BA338" s="44">
        <v>0.25</v>
      </c>
      <c r="BB338" s="44">
        <v>0</v>
      </c>
      <c r="BC338" s="44">
        <f t="shared" si="524"/>
        <v>0.25</v>
      </c>
      <c r="BD338" s="44" cm="1">
        <f t="array" ref="BD338">_xlfn.IFS(AD338=0,"NA",AD338&gt;0,AH338/AD338)</f>
        <v>2</v>
      </c>
      <c r="BE338" s="44">
        <f t="shared" si="525"/>
        <v>0.25</v>
      </c>
      <c r="BF338" s="44">
        <v>0</v>
      </c>
      <c r="BG338" s="44">
        <f t="shared" si="526"/>
        <v>0.25</v>
      </c>
      <c r="BH338" s="44">
        <v>0</v>
      </c>
      <c r="BI338" s="44">
        <f t="shared" si="527"/>
        <v>0</v>
      </c>
      <c r="BJ338" s="44" t="s">
        <v>115</v>
      </c>
      <c r="BK338" s="44">
        <f t="shared" si="536"/>
        <v>0.5</v>
      </c>
      <c r="BL338" s="44">
        <v>0</v>
      </c>
      <c r="BM338" s="44" t="str" cm="1">
        <f t="array" ref="BM338">_xlfn.IFS(BD338="NA","NA",BD338&gt;100%,"100%",BD338&lt;100,BD338)</f>
        <v>100%</v>
      </c>
      <c r="BN338" s="44" cm="1">
        <f t="array" ref="BN338">_xlfn.IFS(BF338="NA","NA",BF338&gt;100%,"100%",BF338&lt;100,BF338)</f>
        <v>0</v>
      </c>
      <c r="BO338" s="44" cm="1">
        <f t="array" ref="BO338">_xlfn.IFS(BH338="NA","NA",BH338&gt;100%,"100%",BH338&lt;100,BH338)</f>
        <v>0</v>
      </c>
      <c r="BP338" s="44" t="str" cm="1">
        <f t="array" ref="BP338">_xlfn.IFS(BJ338="NA","NA",BJ338&gt;100%,"100%",BJ338&lt;100,BJ338)</f>
        <v>NA</v>
      </c>
      <c r="BQ338" s="45">
        <v>0.224</v>
      </c>
      <c r="BR338" s="45">
        <f t="shared" si="537"/>
        <v>0.112</v>
      </c>
      <c r="BS338" s="45">
        <v>5.6000000000000001E-2</v>
      </c>
      <c r="BT338" s="45">
        <v>0</v>
      </c>
      <c r="BU338" s="45">
        <v>0</v>
      </c>
      <c r="BV338" s="45">
        <f t="shared" si="528"/>
        <v>5.6000000000000001E-2</v>
      </c>
      <c r="BW338" s="45">
        <f t="shared" si="538"/>
        <v>5.6000000000000001E-2</v>
      </c>
      <c r="BX338" s="45">
        <f t="shared" si="539"/>
        <v>0.112</v>
      </c>
      <c r="BY338" s="45">
        <f t="shared" si="529"/>
        <v>5.6000000000000001E-2</v>
      </c>
      <c r="BZ338" s="45">
        <f t="shared" si="530"/>
        <v>0</v>
      </c>
      <c r="CA338" s="45">
        <f t="shared" si="540"/>
        <v>0</v>
      </c>
      <c r="CB338" s="45">
        <f t="shared" si="531"/>
        <v>5.6000000000000001E-2</v>
      </c>
      <c r="CC338" s="45">
        <f t="shared" si="532"/>
        <v>0</v>
      </c>
      <c r="CD338" s="45">
        <v>0</v>
      </c>
      <c r="CE338" s="45">
        <f t="shared" si="533"/>
        <v>0</v>
      </c>
      <c r="CF338" s="45" t="str">
        <f t="shared" si="534"/>
        <v>NA</v>
      </c>
      <c r="CG338" s="45">
        <v>0</v>
      </c>
      <c r="CH338" s="244"/>
      <c r="CI338" s="244"/>
      <c r="CJ338" s="244"/>
      <c r="CK338" s="244"/>
      <c r="CM338" s="63">
        <v>0.25</v>
      </c>
    </row>
    <row r="339" spans="1:261" ht="18" hidden="1" customHeight="1">
      <c r="A339" s="260" t="s">
        <v>1826</v>
      </c>
      <c r="B339" s="260" t="s">
        <v>1827</v>
      </c>
      <c r="C339" s="260" t="s">
        <v>2129</v>
      </c>
      <c r="D339" s="260" t="s">
        <v>2197</v>
      </c>
      <c r="E339" s="260" t="s">
        <v>2198</v>
      </c>
      <c r="F339" s="260" t="s">
        <v>2199</v>
      </c>
      <c r="G339" s="260" t="s">
        <v>2200</v>
      </c>
      <c r="H339" s="260" t="s">
        <v>2211</v>
      </c>
      <c r="I339" s="260"/>
      <c r="J339" s="260"/>
      <c r="K339" s="260" t="s">
        <v>2212</v>
      </c>
      <c r="L339" s="260" t="s">
        <v>2213</v>
      </c>
      <c r="M339" s="260" t="s">
        <v>2214</v>
      </c>
      <c r="N339" s="260" t="s">
        <v>111</v>
      </c>
      <c r="O339" s="260" t="s">
        <v>112</v>
      </c>
      <c r="P339" s="10">
        <v>0</v>
      </c>
      <c r="Q339" s="11">
        <v>1</v>
      </c>
      <c r="R339" s="11">
        <f t="shared" si="521"/>
        <v>1</v>
      </c>
      <c r="S339" s="11" t="str">
        <f>VLOOKUP(K339,'1121 Ambiente'!$K$13:$AK$38,9,0)</f>
        <v xml:space="preserve">A través del convenio 067-2020 suscrito con PNUD se desarrolló el primer taller de experiencia en la gestión del Recurso hídrico en el cual se vinculan los municipios de la cuenca del Río Bogotá y el municipio de Fomeque, y actualmente se encuentra en etapa de análisis de información recopilada en el taller, proyectando la socialización de la misma (detección de 3 posibles instrumentos que están siendo analizados y valorados por la entidad.
</v>
      </c>
      <c r="T339" s="11">
        <v>0.6</v>
      </c>
      <c r="U339" s="11">
        <v>0</v>
      </c>
      <c r="V339" s="11">
        <v>0.6</v>
      </c>
      <c r="W339" s="11">
        <v>0</v>
      </c>
      <c r="X339" s="11">
        <v>0.2</v>
      </c>
      <c r="Y339" s="11">
        <v>0</v>
      </c>
      <c r="Z339" s="11">
        <v>0.2</v>
      </c>
      <c r="AA339" s="11">
        <v>0</v>
      </c>
      <c r="AB339" s="11" t="s">
        <v>2215</v>
      </c>
      <c r="AC339" s="11">
        <v>0</v>
      </c>
      <c r="AD339" s="11">
        <v>0.8</v>
      </c>
      <c r="AE339" s="11">
        <v>0</v>
      </c>
      <c r="AF339" s="11">
        <f>VLOOKUP(K339,'1121 Ambiente'!$K$13:$AK$38,22,0)</f>
        <v>0.8</v>
      </c>
      <c r="AG339" s="11">
        <f>VLOOKUP(K339,'1121 Ambiente'!$K$13:$AK$38,23,0)</f>
        <v>0</v>
      </c>
      <c r="AH339" s="11">
        <f t="shared" si="522"/>
        <v>0.8</v>
      </c>
      <c r="AI339" s="11" t="str">
        <f>VLOOKUP(K339,'1121 Ambiente'!$K$13:$AK$38,25,0)</f>
        <v>Entrega documento previo  para la creacion del instrumento de articulacion de la Inversion</v>
      </c>
      <c r="AJ339" s="11" t="str">
        <f>VLOOKUP(K339,'1121 Ambiente'!$K$13:$AK$38,26,0)</f>
        <v xml:space="preserve">Se recibe por parte del Programa de las Naciones Unidad PNUD el docuemnto que contiene el analisis y estrategias para la creacion del instrumento de articulacion de la Inversion. Como parte de las acciones desarrolladas se concerta con Bogotá una reunion en la que se acuerda la financiacion conjunta de una concenio con BIOCUENCA para el desarrollo del programa de Pago por servicios Ambientales con recursos de Bogotá invertidos en areas de abastecimiento. </v>
      </c>
      <c r="AK339" s="11">
        <f>VLOOKUP(K339,'1121 Ambiente'!$K$13:$AK$38,27,0)</f>
        <v>0</v>
      </c>
      <c r="AL339" s="11">
        <v>0</v>
      </c>
      <c r="AM339" s="11">
        <v>1</v>
      </c>
      <c r="AN339" s="11">
        <v>0</v>
      </c>
      <c r="AO339" s="11">
        <v>0</v>
      </c>
      <c r="AP339" s="11">
        <v>0</v>
      </c>
      <c r="AQ339" s="11">
        <v>0</v>
      </c>
      <c r="AR339" s="51">
        <v>60000000</v>
      </c>
      <c r="AS339" s="54">
        <v>0</v>
      </c>
      <c r="AT339" s="54">
        <f t="shared" si="535"/>
        <v>60000000</v>
      </c>
      <c r="AU339" s="51">
        <v>60000000</v>
      </c>
      <c r="AV339" s="243">
        <v>40000000</v>
      </c>
      <c r="AW339" s="244"/>
      <c r="AX339" s="244"/>
      <c r="AY339" s="243">
        <v>0</v>
      </c>
      <c r="AZ339" s="44">
        <f t="shared" si="523"/>
        <v>1</v>
      </c>
      <c r="BA339" s="44">
        <v>0.6</v>
      </c>
      <c r="BB339" s="44">
        <v>0.33329999999999999</v>
      </c>
      <c r="BC339" s="44">
        <f t="shared" si="524"/>
        <v>0.8</v>
      </c>
      <c r="BD339" s="44" cm="1">
        <f t="array" ref="BD339">_xlfn.IFS(AD339=0,"NA",AD339&gt;0,AH339/AD339)</f>
        <v>1</v>
      </c>
      <c r="BE339" s="44">
        <f t="shared" si="525"/>
        <v>0</v>
      </c>
      <c r="BF339" s="44">
        <v>0</v>
      </c>
      <c r="BG339" s="44">
        <f t="shared" si="526"/>
        <v>0</v>
      </c>
      <c r="BH339" s="44">
        <v>0</v>
      </c>
      <c r="BI339" s="44">
        <f t="shared" si="527"/>
        <v>0</v>
      </c>
      <c r="BJ339" s="44" t="s">
        <v>115</v>
      </c>
      <c r="BK339" s="44">
        <f t="shared" si="536"/>
        <v>1</v>
      </c>
      <c r="BL339" s="44">
        <v>0.33329999999999999</v>
      </c>
      <c r="BM339" s="44" cm="1">
        <f t="array" ref="BM339">_xlfn.IFS(BD339="NA","NA",BD339&gt;100%,"100%",BD339&lt;100,BD339)</f>
        <v>1</v>
      </c>
      <c r="BN339" s="44" cm="1">
        <f t="array" ref="BN339">_xlfn.IFS(BF339="NA","NA",BF339&gt;100%,"100%",BF339&lt;100,BF339)</f>
        <v>0</v>
      </c>
      <c r="BO339" s="44" cm="1">
        <f t="array" ref="BO339">_xlfn.IFS(BH339="NA","NA",BH339&gt;100%,"100%",BH339&lt;100,BH339)</f>
        <v>0</v>
      </c>
      <c r="BP339" s="44" t="str" cm="1">
        <f t="array" ref="BP339">_xlfn.IFS(BJ339="NA","NA",BJ339&gt;100%,"100%",BJ339&lt;100,BJ339)</f>
        <v>NA</v>
      </c>
      <c r="BQ339" s="45">
        <v>0.224</v>
      </c>
      <c r="BR339" s="45">
        <f t="shared" si="537"/>
        <v>0.224</v>
      </c>
      <c r="BS339" s="45">
        <v>0.13439999999999999</v>
      </c>
      <c r="BT339" s="45">
        <v>4.48E-2</v>
      </c>
      <c r="BU339" s="45">
        <v>4.48E-2</v>
      </c>
      <c r="BV339" s="45">
        <f t="shared" si="528"/>
        <v>0.17920000000000003</v>
      </c>
      <c r="BW339" s="45">
        <f t="shared" si="538"/>
        <v>0.17920000000000003</v>
      </c>
      <c r="BX339" s="45">
        <f t="shared" si="539"/>
        <v>0.1792</v>
      </c>
      <c r="BY339" s="45">
        <f t="shared" si="529"/>
        <v>0</v>
      </c>
      <c r="BZ339" s="45">
        <f t="shared" si="530"/>
        <v>0</v>
      </c>
      <c r="CA339" s="45">
        <f t="shared" si="540"/>
        <v>0</v>
      </c>
      <c r="CB339" s="45">
        <f t="shared" si="531"/>
        <v>0</v>
      </c>
      <c r="CC339" s="45">
        <f t="shared" si="532"/>
        <v>0</v>
      </c>
      <c r="CD339" s="45">
        <v>0</v>
      </c>
      <c r="CE339" s="45">
        <f t="shared" si="533"/>
        <v>0</v>
      </c>
      <c r="CF339" s="45" t="str">
        <f t="shared" si="534"/>
        <v>NA</v>
      </c>
      <c r="CG339" s="45">
        <v>0</v>
      </c>
      <c r="CH339" s="244"/>
      <c r="CI339" s="244"/>
      <c r="CJ339" s="244"/>
      <c r="CK339" s="244"/>
      <c r="CM339" s="63">
        <v>0.55000000000000004</v>
      </c>
    </row>
    <row r="340" spans="1:261" ht="18" hidden="1" customHeight="1">
      <c r="A340" s="260" t="s">
        <v>1826</v>
      </c>
      <c r="B340" s="260" t="s">
        <v>1827</v>
      </c>
      <c r="C340" s="260" t="s">
        <v>2129</v>
      </c>
      <c r="D340" s="260" t="s">
        <v>2197</v>
      </c>
      <c r="E340" s="260" t="s">
        <v>2198</v>
      </c>
      <c r="F340" s="260" t="s">
        <v>2199</v>
      </c>
      <c r="G340" s="260" t="s">
        <v>2200</v>
      </c>
      <c r="H340" s="260" t="s">
        <v>2216</v>
      </c>
      <c r="I340" s="260"/>
      <c r="J340" s="260"/>
      <c r="K340" s="260" t="s">
        <v>2217</v>
      </c>
      <c r="L340" s="260" t="s">
        <v>2218</v>
      </c>
      <c r="M340" s="260" t="s">
        <v>2219</v>
      </c>
      <c r="N340" s="260" t="s">
        <v>111</v>
      </c>
      <c r="O340" s="260" t="s">
        <v>112</v>
      </c>
      <c r="P340" s="10">
        <v>0</v>
      </c>
      <c r="Q340" s="11">
        <v>1</v>
      </c>
      <c r="R340" s="11">
        <f t="shared" si="521"/>
        <v>0.7</v>
      </c>
      <c r="S340" s="11" t="str">
        <f>VLOOKUP(K340,'1121 Ambiente'!$K$13:$AK$38,9,0)</f>
        <v xml:space="preserve">A 2021 se tiene un avance del 34% que corresponde a la adjudicación del contrato derivado del convenio 082-2020 de Villapinzón (10%), la entrega de informes de los dos componentes a corte julio 2021 (7%) y visitas al municipio para la revisión de los avances de obra de la adecuación del Centro Tecnológico (6%); respecto al convenio SA-CDCVI-095-2020 Balsillas se avanzó con el trámite de los permisos ambientales (Solicitud y visitas 6%) y la obtención de los permisos de ambientales (5%), se adelanta proceso de licitación de obra, el cual ya se encuentra adjudicado, y el proceso de concurso de merito para la contratación de la Interventoría.
</v>
      </c>
      <c r="T340" s="11">
        <v>0.25</v>
      </c>
      <c r="U340" s="11">
        <v>0</v>
      </c>
      <c r="V340" s="11">
        <v>0.25</v>
      </c>
      <c r="W340" s="11">
        <v>0</v>
      </c>
      <c r="X340" s="11">
        <v>0.25</v>
      </c>
      <c r="Y340" s="11">
        <v>0</v>
      </c>
      <c r="Z340" s="11">
        <v>0.25</v>
      </c>
      <c r="AA340" s="11">
        <v>0</v>
      </c>
      <c r="AB340" s="11"/>
      <c r="AC340" s="11">
        <v>0</v>
      </c>
      <c r="AD340" s="11">
        <v>0.5</v>
      </c>
      <c r="AE340" s="11">
        <v>0</v>
      </c>
      <c r="AF340" s="11">
        <f>VLOOKUP(K340,'1121 Ambiente'!$K$13:$AK$38,22,0)</f>
        <v>0.45</v>
      </c>
      <c r="AG340" s="11">
        <f>VLOOKUP(K340,'1121 Ambiente'!$K$13:$AK$38,23,0)</f>
        <v>0</v>
      </c>
      <c r="AH340" s="11">
        <f t="shared" si="522"/>
        <v>0.45</v>
      </c>
      <c r="AI340" s="11">
        <f>VLOOKUP(K340,'1121 Ambiente'!$K$13:$AK$38,25,0)</f>
        <v>0</v>
      </c>
      <c r="AJ340" s="11" t="str">
        <f>VLOOKUP(K340,'1121 Ambiente'!$K$13:$AK$38,26,0)</f>
        <v>Respecto al convenio 082 de Villapinzón, se presenta un avance porcentual de las obras del  72% teniendo en cuenta que se han ejecutado 30 ítems de los 42 que se tienen plasmados en el componente del convenio, se espera que el contratista Urbaring S.A.S finalice con la ejecución de los ítems la semana del 5 al 10 de diciembre.
Respecto al convenio 095-2020 Balsillas, se frimó acta de inicio el pasado 08 de noviembre para iniciar la ejecución de la obra y actividades de interventoria.</v>
      </c>
      <c r="AK340" s="11" t="str">
        <f>VLOOKUP(K340,'1121 Ambiente'!$K$13:$AK$38,27,0)</f>
        <v>Demora en procesos de contratación</v>
      </c>
      <c r="AL340" s="11">
        <v>0.25</v>
      </c>
      <c r="AM340" s="11">
        <v>0</v>
      </c>
      <c r="AN340" s="11">
        <v>0</v>
      </c>
      <c r="AO340" s="11">
        <v>0</v>
      </c>
      <c r="AP340" s="11">
        <v>0</v>
      </c>
      <c r="AQ340" s="11">
        <v>0</v>
      </c>
      <c r="AR340" s="51">
        <v>150461981</v>
      </c>
      <c r="AS340" s="54">
        <v>0</v>
      </c>
      <c r="AT340" s="54">
        <f t="shared" si="535"/>
        <v>150461981</v>
      </c>
      <c r="AU340" s="51">
        <v>150461981</v>
      </c>
      <c r="AV340" s="243">
        <v>7407286040</v>
      </c>
      <c r="AW340" s="244"/>
      <c r="AX340" s="244"/>
      <c r="AY340" s="243">
        <v>5873618867</v>
      </c>
      <c r="AZ340" s="44">
        <f t="shared" si="523"/>
        <v>0.7</v>
      </c>
      <c r="BA340" s="44">
        <v>0.25</v>
      </c>
      <c r="BB340" s="44">
        <v>1</v>
      </c>
      <c r="BC340" s="44">
        <f t="shared" si="524"/>
        <v>0.5</v>
      </c>
      <c r="BD340" s="44" cm="1">
        <f t="array" ref="BD340">_xlfn.IFS(AD340=0,"NA",AD340&gt;0,AH340/AD340)</f>
        <v>0.9</v>
      </c>
      <c r="BE340" s="44">
        <f t="shared" si="525"/>
        <v>0.25</v>
      </c>
      <c r="BF340" s="44">
        <v>0</v>
      </c>
      <c r="BG340" s="44">
        <f t="shared" si="526"/>
        <v>0</v>
      </c>
      <c r="BH340" s="44">
        <v>0</v>
      </c>
      <c r="BI340" s="44">
        <f t="shared" si="527"/>
        <v>0</v>
      </c>
      <c r="BJ340" s="44" t="s">
        <v>115</v>
      </c>
      <c r="BK340" s="44">
        <f t="shared" si="536"/>
        <v>0.7</v>
      </c>
      <c r="BL340" s="44">
        <v>1</v>
      </c>
      <c r="BM340" s="44" cm="1">
        <f t="array" ref="BM340">_xlfn.IFS(BD340="NA","NA",BD340&gt;100%,"100%",BD340&lt;100,BD340)</f>
        <v>0.9</v>
      </c>
      <c r="BN340" s="44" cm="1">
        <f t="array" ref="BN340">_xlfn.IFS(BF340="NA","NA",BF340&gt;100%,"100%",BF340&lt;100,BF340)</f>
        <v>0</v>
      </c>
      <c r="BO340" s="44" cm="1">
        <f t="array" ref="BO340">_xlfn.IFS(BH340="NA","NA",BH340&gt;100%,"100%",BH340&lt;100,BH340)</f>
        <v>0</v>
      </c>
      <c r="BP340" s="44" t="str" cm="1">
        <f t="array" ref="BP340">_xlfn.IFS(BJ340="NA","NA",BJ340&gt;100%,"100%",BJ340&lt;100,BJ340)</f>
        <v>NA</v>
      </c>
      <c r="BQ340" s="45">
        <v>0.224</v>
      </c>
      <c r="BR340" s="45">
        <f t="shared" si="537"/>
        <v>0.15679999999999999</v>
      </c>
      <c r="BS340" s="45">
        <v>5.6000000000000001E-2</v>
      </c>
      <c r="BT340" s="45">
        <v>5.6000000000000001E-2</v>
      </c>
      <c r="BU340" s="45">
        <v>5.6000000000000001E-2</v>
      </c>
      <c r="BV340" s="45">
        <f t="shared" si="528"/>
        <v>0.112</v>
      </c>
      <c r="BW340" s="45">
        <f t="shared" si="538"/>
        <v>0.1008</v>
      </c>
      <c r="BX340" s="45">
        <f t="shared" si="539"/>
        <v>0.1008</v>
      </c>
      <c r="BY340" s="45">
        <f t="shared" si="529"/>
        <v>5.6000000000000001E-2</v>
      </c>
      <c r="BZ340" s="45">
        <f t="shared" si="530"/>
        <v>0</v>
      </c>
      <c r="CA340" s="45">
        <f t="shared" si="540"/>
        <v>0</v>
      </c>
      <c r="CB340" s="45">
        <f t="shared" si="531"/>
        <v>0</v>
      </c>
      <c r="CC340" s="45">
        <f t="shared" si="532"/>
        <v>0</v>
      </c>
      <c r="CD340" s="45">
        <v>0</v>
      </c>
      <c r="CE340" s="45">
        <f t="shared" si="533"/>
        <v>0</v>
      </c>
      <c r="CF340" s="45" t="str">
        <f t="shared" si="534"/>
        <v>NA</v>
      </c>
      <c r="CG340" s="45">
        <v>0</v>
      </c>
      <c r="CH340" s="244"/>
      <c r="CI340" s="244"/>
      <c r="CJ340" s="244"/>
      <c r="CK340" s="244"/>
      <c r="CM340" s="63">
        <v>0.59000000000000008</v>
      </c>
    </row>
    <row r="341" spans="1:261" ht="18" hidden="1" customHeight="1">
      <c r="A341" s="260" t="s">
        <v>1826</v>
      </c>
      <c r="B341" s="260" t="s">
        <v>1827</v>
      </c>
      <c r="C341" s="260" t="s">
        <v>2129</v>
      </c>
      <c r="D341" s="260" t="s">
        <v>2197</v>
      </c>
      <c r="E341" s="260" t="s">
        <v>2220</v>
      </c>
      <c r="F341" s="260" t="s">
        <v>2221</v>
      </c>
      <c r="G341" s="260" t="s">
        <v>2222</v>
      </c>
      <c r="H341" s="260" t="s">
        <v>2223</v>
      </c>
      <c r="I341" s="260"/>
      <c r="J341" s="260"/>
      <c r="K341" s="260" t="s">
        <v>2224</v>
      </c>
      <c r="L341" s="260" t="s">
        <v>2225</v>
      </c>
      <c r="M341" s="260" t="s">
        <v>2226</v>
      </c>
      <c r="N341" s="260" t="s">
        <v>111</v>
      </c>
      <c r="O341" s="260" t="s">
        <v>112</v>
      </c>
      <c r="P341" s="10">
        <v>0</v>
      </c>
      <c r="Q341" s="11">
        <v>1</v>
      </c>
      <c r="R341" s="11">
        <f t="shared" si="521"/>
        <v>0.60000000000000009</v>
      </c>
      <c r="S341" s="11" t="str">
        <f>VLOOKUP(K341,'1121 Ambiente'!$K$13:$AK$38,9,0)</f>
        <v xml:space="preserve">Se realizó el componente de diagnostico de la Política Publica y se desarrollaron los talleres con comunidades obteniendo el diagnostico situacional de la problemática, para la implementación del DOCUMENTO PLAN DE ACCIÓN DE CRISIS CLIMÁTICA.
</v>
      </c>
      <c r="T341" s="11">
        <v>0.2</v>
      </c>
      <c r="U341" s="11">
        <v>0</v>
      </c>
      <c r="V341" s="11">
        <v>0.2</v>
      </c>
      <c r="W341" s="11">
        <v>0</v>
      </c>
      <c r="X341" s="11">
        <v>0.2</v>
      </c>
      <c r="Y341" s="11">
        <v>0</v>
      </c>
      <c r="Z341" s="11">
        <v>0.2</v>
      </c>
      <c r="AA341" s="11">
        <v>0</v>
      </c>
      <c r="AB341" s="11" t="s">
        <v>2227</v>
      </c>
      <c r="AC341" s="11">
        <v>0</v>
      </c>
      <c r="AD341" s="11">
        <v>0.4</v>
      </c>
      <c r="AE341" s="11">
        <v>0</v>
      </c>
      <c r="AF341" s="11">
        <f>VLOOKUP(K341,'1121 Ambiente'!$K$13:$AK$38,22,0)</f>
        <v>0.4</v>
      </c>
      <c r="AG341" s="11">
        <f>VLOOKUP(K341,'1121 Ambiente'!$K$13:$AK$38,23,0)</f>
        <v>0</v>
      </c>
      <c r="AH341" s="11">
        <f t="shared" si="522"/>
        <v>0.4</v>
      </c>
      <c r="AI341" s="11" t="str">
        <f>VLOOKUP(K341,'1121 Ambiente'!$K$13:$AK$38,25,0)</f>
        <v>Componente diagnostico de la politica pública</v>
      </c>
      <c r="AJ341" s="11" t="str">
        <f>VLOOKUP(K341,'1121 Ambiente'!$K$13:$AK$38,26,0)</f>
        <v xml:space="preserve">Se realiza el componente diagnostico de la Politica Publica, se desarrollan los talleres con comunidades y sectores  obteniendo el diagnostico situacional de la problemática , se analiza frente al conopcimiento y avance de  los programas y proyectos  contenidos en el Plan Regional de Cambio Climatcio, Se realiza el 19 de Agosto presentaciopn de avances y el instrumento de  financiacion ante el area juridica y la Secretaria de Planeacion. </v>
      </c>
      <c r="AK341" s="11" t="str">
        <f>VLOOKUP(K341,'1121 Ambiente'!$K$13:$AK$38,27,0)</f>
        <v xml:space="preserve"> </v>
      </c>
      <c r="AL341" s="11">
        <v>0.4</v>
      </c>
      <c r="AM341" s="11">
        <v>0</v>
      </c>
      <c r="AN341" s="11">
        <v>0</v>
      </c>
      <c r="AO341" s="11">
        <v>0</v>
      </c>
      <c r="AP341" s="11">
        <v>0</v>
      </c>
      <c r="AQ341" s="11">
        <v>0</v>
      </c>
      <c r="AR341" s="51">
        <v>144000000</v>
      </c>
      <c r="AS341" s="54">
        <v>0</v>
      </c>
      <c r="AT341" s="54">
        <f t="shared" si="535"/>
        <v>144000000</v>
      </c>
      <c r="AU341" s="51">
        <v>144000000</v>
      </c>
      <c r="AV341" s="243">
        <v>100000000</v>
      </c>
      <c r="AW341" s="244"/>
      <c r="AX341" s="244"/>
      <c r="AY341" s="243">
        <v>50000000</v>
      </c>
      <c r="AZ341" s="44">
        <f t="shared" si="523"/>
        <v>0.60000000000000009</v>
      </c>
      <c r="BA341" s="44">
        <v>0.2</v>
      </c>
      <c r="BB341" s="44">
        <v>1</v>
      </c>
      <c r="BC341" s="44">
        <f t="shared" si="524"/>
        <v>0.4</v>
      </c>
      <c r="BD341" s="44" cm="1">
        <f t="array" ref="BD341">_xlfn.IFS(AD341=0,"NA",AD341&gt;0,AH341/AD341)</f>
        <v>1</v>
      </c>
      <c r="BE341" s="44">
        <f t="shared" si="525"/>
        <v>0.4</v>
      </c>
      <c r="BF341" s="44">
        <v>0</v>
      </c>
      <c r="BG341" s="44">
        <f t="shared" si="526"/>
        <v>0</v>
      </c>
      <c r="BH341" s="44">
        <v>0</v>
      </c>
      <c r="BI341" s="44">
        <f t="shared" si="527"/>
        <v>0</v>
      </c>
      <c r="BJ341" s="44" t="s">
        <v>115</v>
      </c>
      <c r="BK341" s="44">
        <f t="shared" si="536"/>
        <v>0.60000000000000009</v>
      </c>
      <c r="BL341" s="44">
        <v>1</v>
      </c>
      <c r="BM341" s="44" cm="1">
        <f t="array" ref="BM341">_xlfn.IFS(BD341="NA","NA",BD341&gt;100%,"100%",BD341&lt;100,BD341)</f>
        <v>1</v>
      </c>
      <c r="BN341" s="44" cm="1">
        <f t="array" ref="BN341">_xlfn.IFS(BF341="NA","NA",BF341&gt;100%,"100%",BF341&lt;100,BF341)</f>
        <v>0</v>
      </c>
      <c r="BO341" s="44" cm="1">
        <f t="array" ref="BO341">_xlfn.IFS(BH341="NA","NA",BH341&gt;100%,"100%",BH341&lt;100,BH341)</f>
        <v>0</v>
      </c>
      <c r="BP341" s="44" t="str" cm="1">
        <f t="array" ref="BP341">_xlfn.IFS(BJ341="NA","NA",BJ341&gt;100%,"100%",BJ341&lt;100,BJ341)</f>
        <v>NA</v>
      </c>
      <c r="BQ341" s="45">
        <v>0.224</v>
      </c>
      <c r="BR341" s="45">
        <f t="shared" si="537"/>
        <v>0.13440000000000002</v>
      </c>
      <c r="BS341" s="45">
        <v>4.48E-2</v>
      </c>
      <c r="BT341" s="45">
        <v>4.48E-2</v>
      </c>
      <c r="BU341" s="45">
        <v>4.48E-2</v>
      </c>
      <c r="BV341" s="45">
        <f t="shared" si="528"/>
        <v>8.9600000000000013E-2</v>
      </c>
      <c r="BW341" s="45">
        <f t="shared" si="538"/>
        <v>8.9600000000000013E-2</v>
      </c>
      <c r="BX341" s="45">
        <f t="shared" si="539"/>
        <v>8.9600000000000013E-2</v>
      </c>
      <c r="BY341" s="45">
        <f t="shared" si="529"/>
        <v>8.9600000000000013E-2</v>
      </c>
      <c r="BZ341" s="45">
        <f t="shared" si="530"/>
        <v>0</v>
      </c>
      <c r="CA341" s="45">
        <f t="shared" si="540"/>
        <v>0</v>
      </c>
      <c r="CB341" s="45">
        <f t="shared" si="531"/>
        <v>0</v>
      </c>
      <c r="CC341" s="45">
        <f t="shared" si="532"/>
        <v>0</v>
      </c>
      <c r="CD341" s="45">
        <v>0</v>
      </c>
      <c r="CE341" s="45">
        <f t="shared" si="533"/>
        <v>0</v>
      </c>
      <c r="CF341" s="45" t="str">
        <f t="shared" si="534"/>
        <v>NA</v>
      </c>
      <c r="CG341" s="45">
        <v>0</v>
      </c>
      <c r="CH341" s="244"/>
      <c r="CI341" s="244"/>
      <c r="CJ341" s="244"/>
      <c r="CK341" s="244"/>
      <c r="CM341" s="63">
        <v>0.60000000000000009</v>
      </c>
    </row>
    <row r="342" spans="1:261" ht="18" hidden="1" customHeight="1">
      <c r="A342" s="260" t="s">
        <v>1826</v>
      </c>
      <c r="B342" s="260" t="s">
        <v>1827</v>
      </c>
      <c r="C342" s="260" t="s">
        <v>2129</v>
      </c>
      <c r="D342" s="260" t="s">
        <v>2197</v>
      </c>
      <c r="E342" s="260" t="s">
        <v>2220</v>
      </c>
      <c r="F342" s="260" t="s">
        <v>2221</v>
      </c>
      <c r="G342" s="260" t="s">
        <v>2222</v>
      </c>
      <c r="H342" s="260" t="s">
        <v>2228</v>
      </c>
      <c r="I342" s="260"/>
      <c r="J342" s="260"/>
      <c r="K342" s="260" t="s">
        <v>2229</v>
      </c>
      <c r="L342" s="260" t="s">
        <v>2230</v>
      </c>
      <c r="M342" s="260" t="s">
        <v>2231</v>
      </c>
      <c r="N342" s="260" t="s">
        <v>111</v>
      </c>
      <c r="O342" s="260" t="s">
        <v>112</v>
      </c>
      <c r="P342" s="10">
        <v>0</v>
      </c>
      <c r="Q342" s="11">
        <v>1</v>
      </c>
      <c r="R342" s="11">
        <f t="shared" si="521"/>
        <v>0.3</v>
      </c>
      <c r="S342" s="11" t="str">
        <f>VLOOKUP(K342,'1121 Ambiente'!$K$13:$AK$38,9,0)</f>
        <v xml:space="preserve">Se han desarrollado actividades para el cumplimiento de la meta, correspondientes a la Información recopilada en documento de diagnóstico y al Informe con análisis de la información- Diagnostico del Estado de la Calidad del Aire - en relación a las mediciones PM!= y PM2.5 - en el Departamento de Cundinamarca.
</v>
      </c>
      <c r="T342" s="11">
        <v>0</v>
      </c>
      <c r="U342" s="11">
        <v>0</v>
      </c>
      <c r="V342" s="11">
        <v>0</v>
      </c>
      <c r="W342" s="11">
        <v>0</v>
      </c>
      <c r="X342" s="11">
        <v>0</v>
      </c>
      <c r="Y342" s="11">
        <v>0</v>
      </c>
      <c r="Z342" s="11">
        <v>0</v>
      </c>
      <c r="AA342" s="11"/>
      <c r="AB342" s="11"/>
      <c r="AC342" s="11"/>
      <c r="AD342" s="11">
        <v>0.6</v>
      </c>
      <c r="AE342" s="11">
        <v>0</v>
      </c>
      <c r="AF342" s="11">
        <f>VLOOKUP(K342,'1121 Ambiente'!$K$13:$AK$38,22,0)</f>
        <v>0.3</v>
      </c>
      <c r="AG342" s="11">
        <f>VLOOKUP(K342,'1121 Ambiente'!$K$13:$AK$38,23,0)</f>
        <v>0</v>
      </c>
      <c r="AH342" s="11">
        <f t="shared" si="522"/>
        <v>0.3</v>
      </c>
      <c r="AI342" s="11">
        <f>VLOOKUP(K342,'1121 Ambiente'!$K$13:$AK$38,25,0)</f>
        <v>0</v>
      </c>
      <c r="AJ342" s="11" t="str">
        <f>VLOOKUP(K342,'1121 Ambiente'!$K$13:$AK$38,26,0)</f>
        <v>Se adelantan estudios previos, para la implementación de la estrategia de aire, objeto: "Aunar esfuerzos técnicos, financieros y administrativos, entre la Secretaría del Ambiente del Departamento de Cundinamarca y Corporación Makaia, para Implementar una estrategia tendiente a mejorar la calidad del aire, a través de la puesta en marcha de una red comunitaria de calidad del aire en Municipios priorizados del Departamento, en el marco de Bogotá – Región."</v>
      </c>
      <c r="AK342" s="11">
        <f>VLOOKUP(K342,'1121 Ambiente'!$K$13:$AK$38,27,0)</f>
        <v>0</v>
      </c>
      <c r="AL342" s="11">
        <v>0</v>
      </c>
      <c r="AM342" s="11">
        <v>0</v>
      </c>
      <c r="AN342" s="11">
        <v>0.4</v>
      </c>
      <c r="AO342" s="11">
        <v>0</v>
      </c>
      <c r="AP342" s="11">
        <v>0</v>
      </c>
      <c r="AQ342" s="11">
        <v>0</v>
      </c>
      <c r="AR342" s="52"/>
      <c r="AS342" s="54">
        <v>0</v>
      </c>
      <c r="AT342" s="54">
        <f t="shared" si="535"/>
        <v>0</v>
      </c>
      <c r="AU342" s="52"/>
      <c r="AV342" s="243">
        <v>160000000</v>
      </c>
      <c r="AW342" s="244"/>
      <c r="AX342" s="244"/>
      <c r="AY342" s="243">
        <v>31600000</v>
      </c>
      <c r="AZ342" s="44">
        <f t="shared" si="523"/>
        <v>0.3</v>
      </c>
      <c r="BA342" s="44">
        <v>0</v>
      </c>
      <c r="BB342" s="44" t="s">
        <v>115</v>
      </c>
      <c r="BC342" s="44">
        <f t="shared" si="524"/>
        <v>0.6</v>
      </c>
      <c r="BD342" s="44" cm="1">
        <f t="array" ref="BD342">_xlfn.IFS(AD342=0,"NA",AD342&gt;0,AH342/AD342)</f>
        <v>0.5</v>
      </c>
      <c r="BE342" s="44">
        <f t="shared" si="525"/>
        <v>0</v>
      </c>
      <c r="BF342" s="44">
        <v>0</v>
      </c>
      <c r="BG342" s="44">
        <f t="shared" si="526"/>
        <v>0.4</v>
      </c>
      <c r="BH342" s="44">
        <v>0</v>
      </c>
      <c r="BI342" s="44">
        <f t="shared" si="527"/>
        <v>0</v>
      </c>
      <c r="BJ342" s="44" t="s">
        <v>115</v>
      </c>
      <c r="BK342" s="44">
        <f t="shared" si="536"/>
        <v>0.3</v>
      </c>
      <c r="BL342" s="44" t="s">
        <v>115</v>
      </c>
      <c r="BM342" s="44" cm="1">
        <f t="array" ref="BM342">_xlfn.IFS(BD342="NA","NA",BD342&gt;100%,"100%",BD342&lt;100,BD342)</f>
        <v>0.5</v>
      </c>
      <c r="BN342" s="44" cm="1">
        <f t="array" ref="BN342">_xlfn.IFS(BF342="NA","NA",BF342&gt;100%,"100%",BF342&lt;100,BF342)</f>
        <v>0</v>
      </c>
      <c r="BO342" s="44" cm="1">
        <f t="array" ref="BO342">_xlfn.IFS(BH342="NA","NA",BH342&gt;100%,"100%",BH342&lt;100,BH342)</f>
        <v>0</v>
      </c>
      <c r="BP342" s="44" t="str" cm="1">
        <f t="array" ref="BP342">_xlfn.IFS(BJ342="NA","NA",BJ342&gt;100%,"100%",BJ342&lt;100,BJ342)</f>
        <v>NA</v>
      </c>
      <c r="BQ342" s="45">
        <v>0.224</v>
      </c>
      <c r="BR342" s="45">
        <f t="shared" si="537"/>
        <v>6.7199999999999996E-2</v>
      </c>
      <c r="BS342" s="45">
        <v>0</v>
      </c>
      <c r="BT342" s="45" t="s">
        <v>115</v>
      </c>
      <c r="BU342" s="45">
        <v>0</v>
      </c>
      <c r="BV342" s="45">
        <f t="shared" si="528"/>
        <v>0.13439999999999999</v>
      </c>
      <c r="BW342" s="45">
        <f t="shared" si="538"/>
        <v>6.7199999999999996E-2</v>
      </c>
      <c r="BX342" s="45">
        <f t="shared" si="539"/>
        <v>6.7199999999999996E-2</v>
      </c>
      <c r="BY342" s="45">
        <f t="shared" si="529"/>
        <v>0</v>
      </c>
      <c r="BZ342" s="45">
        <f t="shared" si="530"/>
        <v>0</v>
      </c>
      <c r="CA342" s="45">
        <f t="shared" si="540"/>
        <v>0</v>
      </c>
      <c r="CB342" s="45">
        <f t="shared" si="531"/>
        <v>8.9600000000000013E-2</v>
      </c>
      <c r="CC342" s="45">
        <f t="shared" si="532"/>
        <v>0</v>
      </c>
      <c r="CD342" s="45">
        <v>0</v>
      </c>
      <c r="CE342" s="45">
        <f t="shared" si="533"/>
        <v>0</v>
      </c>
      <c r="CF342" s="45" t="str">
        <f t="shared" si="534"/>
        <v>NA</v>
      </c>
      <c r="CG342" s="45">
        <v>0</v>
      </c>
      <c r="CH342" s="244"/>
      <c r="CI342" s="244"/>
      <c r="CJ342" s="244"/>
      <c r="CK342" s="244"/>
      <c r="CM342" s="63">
        <v>0.3</v>
      </c>
    </row>
    <row r="343" spans="1:261" ht="18" hidden="1" customHeight="1">
      <c r="A343" s="260" t="s">
        <v>428</v>
      </c>
      <c r="B343" s="260" t="s">
        <v>429</v>
      </c>
      <c r="C343" s="260" t="s">
        <v>2129</v>
      </c>
      <c r="D343" s="260" t="s">
        <v>2232</v>
      </c>
      <c r="E343" s="260" t="s">
        <v>2233</v>
      </c>
      <c r="F343" s="260" t="s">
        <v>2234</v>
      </c>
      <c r="G343" s="260" t="s">
        <v>2235</v>
      </c>
      <c r="H343" s="260" t="s">
        <v>2236</v>
      </c>
      <c r="I343" s="260"/>
      <c r="J343" s="260"/>
      <c r="K343" s="260" t="s">
        <v>2237</v>
      </c>
      <c r="L343" s="260" t="s">
        <v>2238</v>
      </c>
      <c r="M343" s="260" t="s">
        <v>2239</v>
      </c>
      <c r="N343" s="260" t="s">
        <v>111</v>
      </c>
      <c r="O343" s="260" t="s">
        <v>112</v>
      </c>
      <c r="P343" s="10">
        <v>0</v>
      </c>
      <c r="Q343" s="11">
        <v>10</v>
      </c>
      <c r="R343" s="11">
        <f t="shared" si="521"/>
        <v>5</v>
      </c>
      <c r="S343" s="11" t="str">
        <f>VLOOKUP(K343,'1223 ICCU'!$K$13:$AK$25,9,0)</f>
        <v>Durante el cuatrenio se han intervenido 5 conexiones viales, correspondientes a ACCENORTE II – “Ampliación autopista norte y carrera Séptima”, la Vía el Codito - Serrezuela, que corresponda la conexión La Calera – Bogotá, Cota -Bogotá, Alo Sur, que contribuyen a la competitividad, al crecimiento económico y al desarrollo social de la ciudad-región.</v>
      </c>
      <c r="T343" s="11">
        <v>2</v>
      </c>
      <c r="U343" s="11">
        <v>0</v>
      </c>
      <c r="V343" s="11">
        <v>2</v>
      </c>
      <c r="W343" s="11">
        <v>0</v>
      </c>
      <c r="X343" s="11">
        <v>2</v>
      </c>
      <c r="Y343" s="11">
        <v>0</v>
      </c>
      <c r="Z343" s="11">
        <v>2</v>
      </c>
      <c r="AA343" s="11">
        <v>0</v>
      </c>
      <c r="AB343" s="11"/>
      <c r="AC343" s="11">
        <v>0</v>
      </c>
      <c r="AD343" s="11">
        <v>3</v>
      </c>
      <c r="AE343" s="11">
        <v>0</v>
      </c>
      <c r="AF343" s="11">
        <f>VLOOKUP(K343,'1223 ICCU'!$K$13:$AK$25,22,0)</f>
        <v>3</v>
      </c>
      <c r="AG343" s="11" t="str">
        <f>VLOOKUP(K343,'1223 ICCU'!$K$13:$AK$25,23,0)</f>
        <v> </v>
      </c>
      <c r="AH343" s="11">
        <f t="shared" si="522"/>
        <v>3</v>
      </c>
      <c r="AI343" s="11" t="str">
        <f>VLOOKUP(K343,'1223 ICCU'!$K$13:$AK$25,25,0)</f>
        <v>3 conexiones viales Ciudad - Región.</v>
      </c>
      <c r="AJ343" s="11" t="str">
        <f>VLOOKUP(K343,'1223 ICCU'!$K$13:$AK$25,26,0)</f>
        <v>En la vigencia 2021, se han intervenido 3 conexiones viales, correspondientes a Interconexión Cota - Bogota, Alo Sur y La Calera - El Codito, que contribuyen a la competitividad, al crecimiento económico y al desarrollo social de la ciudad-región.</v>
      </c>
      <c r="AK343" s="11" t="str">
        <f>VLOOKUP(K343,'1223 ICCU'!$K$13:$AK$25,27,0)</f>
        <v> </v>
      </c>
      <c r="AL343" s="11">
        <v>2</v>
      </c>
      <c r="AM343" s="11">
        <v>0</v>
      </c>
      <c r="AN343" s="11">
        <v>3</v>
      </c>
      <c r="AO343" s="11">
        <v>0</v>
      </c>
      <c r="AP343" s="11">
        <v>0</v>
      </c>
      <c r="AQ343" s="11">
        <v>0</v>
      </c>
      <c r="AR343" s="52"/>
      <c r="AS343" s="54">
        <v>42033333</v>
      </c>
      <c r="AT343" s="54">
        <f t="shared" si="535"/>
        <v>42033333</v>
      </c>
      <c r="AU343" s="52"/>
      <c r="AV343" s="243">
        <v>0</v>
      </c>
      <c r="AW343" s="244"/>
      <c r="AX343" s="244"/>
      <c r="AY343" s="243">
        <v>0</v>
      </c>
      <c r="AZ343" s="44">
        <f t="shared" si="523"/>
        <v>0.5</v>
      </c>
      <c r="BA343" s="44">
        <v>0.2</v>
      </c>
      <c r="BB343" s="44">
        <v>1</v>
      </c>
      <c r="BC343" s="44">
        <f t="shared" si="524"/>
        <v>0.3</v>
      </c>
      <c r="BD343" s="44" cm="1">
        <f t="array" ref="BD343">_xlfn.IFS(AD343=0,"NA",AD343&gt;0,AH343/AD343)</f>
        <v>1</v>
      </c>
      <c r="BE343" s="44">
        <f t="shared" si="525"/>
        <v>0.2</v>
      </c>
      <c r="BF343" s="44">
        <v>0</v>
      </c>
      <c r="BG343" s="44">
        <f t="shared" si="526"/>
        <v>0.3</v>
      </c>
      <c r="BH343" s="44">
        <v>0</v>
      </c>
      <c r="BI343" s="44">
        <f t="shared" si="527"/>
        <v>0</v>
      </c>
      <c r="BJ343" s="44" t="s">
        <v>115</v>
      </c>
      <c r="BK343" s="44">
        <f t="shared" si="536"/>
        <v>0.5</v>
      </c>
      <c r="BL343" s="44">
        <v>1</v>
      </c>
      <c r="BM343" s="44" cm="1">
        <f t="array" ref="BM343">_xlfn.IFS(BD343="NA","NA",BD343&gt;100%,"100%",BD343&lt;100,BD343)</f>
        <v>1</v>
      </c>
      <c r="BN343" s="44" cm="1">
        <f t="array" ref="BN343">_xlfn.IFS(BF343="NA","NA",BF343&gt;100%,"100%",BF343&lt;100,BF343)</f>
        <v>0</v>
      </c>
      <c r="BO343" s="44" cm="1">
        <f t="array" ref="BO343">_xlfn.IFS(BH343="NA","NA",BH343&gt;100%,"100%",BH343&lt;100,BH343)</f>
        <v>0</v>
      </c>
      <c r="BP343" s="44" t="str" cm="1">
        <f t="array" ref="BP343">_xlfn.IFS(BJ343="NA","NA",BJ343&gt;100%,"100%",BJ343&lt;100,BJ343)</f>
        <v>NA</v>
      </c>
      <c r="BQ343" s="45">
        <v>0.224</v>
      </c>
      <c r="BR343" s="45">
        <f t="shared" si="537"/>
        <v>0.112</v>
      </c>
      <c r="BS343" s="45">
        <v>4.48E-2</v>
      </c>
      <c r="BT343" s="45">
        <v>4.48E-2</v>
      </c>
      <c r="BU343" s="45">
        <v>4.48E-2</v>
      </c>
      <c r="BV343" s="45">
        <f t="shared" si="528"/>
        <v>6.720000000000001E-2</v>
      </c>
      <c r="BW343" s="45">
        <f t="shared" si="538"/>
        <v>6.720000000000001E-2</v>
      </c>
      <c r="BX343" s="45">
        <f t="shared" si="539"/>
        <v>6.720000000000001E-2</v>
      </c>
      <c r="BY343" s="45">
        <f t="shared" si="529"/>
        <v>4.48E-2</v>
      </c>
      <c r="BZ343" s="45">
        <f t="shared" si="530"/>
        <v>0</v>
      </c>
      <c r="CA343" s="45">
        <f t="shared" si="540"/>
        <v>0</v>
      </c>
      <c r="CB343" s="45">
        <f t="shared" si="531"/>
        <v>6.720000000000001E-2</v>
      </c>
      <c r="CC343" s="45">
        <f t="shared" si="532"/>
        <v>0</v>
      </c>
      <c r="CD343" s="45">
        <v>0</v>
      </c>
      <c r="CE343" s="45">
        <f t="shared" si="533"/>
        <v>0</v>
      </c>
      <c r="CF343" s="45" t="str">
        <f t="shared" si="534"/>
        <v>NA</v>
      </c>
      <c r="CG343" s="45">
        <v>0</v>
      </c>
      <c r="CH343" s="244"/>
      <c r="CI343" s="244"/>
      <c r="CJ343" s="244"/>
      <c r="CK343" s="244"/>
      <c r="CM343" s="63">
        <v>2</v>
      </c>
    </row>
    <row r="344" spans="1:261" s="16" customFormat="1" ht="18" hidden="1" customHeight="1">
      <c r="A344" s="198" t="s">
        <v>388</v>
      </c>
      <c r="B344" s="198" t="s">
        <v>389</v>
      </c>
      <c r="C344" s="198" t="s">
        <v>2129</v>
      </c>
      <c r="D344" s="198" t="s">
        <v>2232</v>
      </c>
      <c r="E344" s="198" t="s">
        <v>2233</v>
      </c>
      <c r="F344" s="198" t="s">
        <v>2234</v>
      </c>
      <c r="G344" s="198" t="s">
        <v>2235</v>
      </c>
      <c r="H344" s="198" t="s">
        <v>2240</v>
      </c>
      <c r="I344" s="198" t="s">
        <v>200</v>
      </c>
      <c r="J344" s="198"/>
      <c r="K344" s="198" t="s">
        <v>2241</v>
      </c>
      <c r="L344" s="198" t="s">
        <v>2242</v>
      </c>
      <c r="M344" s="198" t="s">
        <v>2243</v>
      </c>
      <c r="N344" s="198" t="s">
        <v>111</v>
      </c>
      <c r="O344" s="198" t="s">
        <v>112</v>
      </c>
      <c r="P344" s="199">
        <v>0</v>
      </c>
      <c r="Q344" s="200">
        <v>1</v>
      </c>
      <c r="R344" s="11">
        <f t="shared" si="521"/>
        <v>0.36000000000000004</v>
      </c>
      <c r="S344" s="200">
        <f>VLOOKUP(K344,'1123 Transporte'!$K$13:$AK$23,9,0)</f>
        <v>0</v>
      </c>
      <c r="T344" s="200">
        <v>0.08</v>
      </c>
      <c r="U344" s="200">
        <v>0</v>
      </c>
      <c r="V344" s="200">
        <v>0.08</v>
      </c>
      <c r="W344" s="200">
        <v>0</v>
      </c>
      <c r="X344" s="200">
        <v>0.08</v>
      </c>
      <c r="Y344" s="200">
        <v>0</v>
      </c>
      <c r="Z344" s="200">
        <v>0.08</v>
      </c>
      <c r="AA344" s="200" t="s">
        <v>2244</v>
      </c>
      <c r="AB344" s="200" t="s">
        <v>2245</v>
      </c>
      <c r="AC344" s="200">
        <v>0</v>
      </c>
      <c r="AD344" s="11">
        <v>0.3</v>
      </c>
      <c r="AE344" s="11">
        <v>0</v>
      </c>
      <c r="AF344" s="200">
        <f>VLOOKUP(K344,'1123 Transporte'!$K$13:$AK$23,22,0)</f>
        <v>0.28000000000000003</v>
      </c>
      <c r="AG344" s="200">
        <f>VLOOKUP(K344,'1123 Transporte'!$K$13:$AK$23,23,0)</f>
        <v>0</v>
      </c>
      <c r="AH344" s="11">
        <f t="shared" si="522"/>
        <v>0.28000000000000003</v>
      </c>
      <c r="AI344" s="200" t="str">
        <f>VLOOKUP(K344,'1123 Transporte'!$K$13:$AK$23,25,0)</f>
        <v>Regiotram de Occidente construido
1. Como parte del avance del proyecto la Empresa Férrea Regional adjudicó el contrato de interventoría de la construcción de esta obra por valor de $71.402 millones, el consorcio está conformado por las firmas Ayesa Ingeniería y Arquitectura (sucursal Colombia); Consultoría en Ingeniería Integral y C &amp; M Consultores INFORME TRIMESTRAL DEL 01 DE ENERO DE 2021 AL 31 DE MARZO DE 2021 El estado actual del contrato es VIGENTE 
 Plan pago Total 2021 = 20.560.422.348 
 Marzo 1.598.000.000 
 Mayo 5.140.000.000 
 Junio 5.140.000.000 
 Octubre 5.740.422.348 
 Diciembre 2.942.000.000
2. APORTE FINANCIEROS - CONVENIO SUBVENCIÓN
Junio - julio: $1.685.714.286
Agosto: $842.857.143
Septiembre: $842-857.143
Octubre: $842.857.143
Noviembre: $842.857.143
Diciembre:$842.857.143</v>
      </c>
      <c r="AJ344" s="200" t="str">
        <f>VLOOKUP(K344,'1123 Transporte'!$K$13:$AK$23,26,0)</f>
        <v xml:space="preserve">META 349
 Como punto principal a tratar en el Comité Fiduciario, la gerente de la Empresa Férrea Jeimmy Villamil, da inicio informando que la Empresa Férrea frente al proyecto Regiotram de Occidente, tiene entre sus responsabilidades lograr la financiación del proyecto a través de los mecanismos financieros que existan, verificando las mejores condiciones de financiación del mercado, así como gestionar oportunamente las vigencias futuras que se tienen comprometidas para atender el contrato de concesión. Para este propósito la Empresa Férrea contrató a la firma corredores Davivienda a fin de analizar las posibles alternativas de financiación del proyecto, básicamente con una operación de crédito como la titularización.
-	Se presenta un cuadro donde se expone la necesidad de la financiación, con respecto a la programación de las vigencias futuras las cuales se concentran entre el año 2024 al 2028.
La Empresas Férrea informa que se ejecutará el Capex del proyecto entre el año 2020 al 2024, por lo anterior se considera que el perfil temporal de las vigencias futuras no coincide con las necesidades de ejecución de Capex del proyecto, por lo anterior la Empresa Férrea requiere un instrumento de deuda que les permitan anticipar las vigencias futuras del convenio de cofinanciación, por lo que se evaluó dos (02) alternativas de financiación.
La primera alternativa con relación a una financiación en el mercado intermediario y la segunda con respecto a un endeudamiento a través del mercado de capitales de Colombia.
-	Se informa a los asistentes que está bastante adelantada la minuta del contrato de Patrimonio Autónomo en dónde se han tenido mesas de trabajo con el Ministerio de Hacienda y con el Ministerio de transporte en donde ya quedan muy pocos puntos por cerrar.
La junta directiva de la Empresa Férrea autorizó la adquisición del endeudamiento vía emisión y colocación de títulos en el mercado de valores con cargo al convenio de cofinanciación, actualmente se encuentra en trámite el concepto favorable ante la Secretaría de Planeación del Departamento de Cundinamarca y se espera hacia finales de febrero de 2021 contar con una serie de pasos para solicitarle al Señor Gobernador la resolución que autoriza este tipo de transacciones en el mercado, así como la revisión del reglamento a la junta directiva.
META 349 AVANCE MES DE MAYO
REGIOTRAM
LA EMPRESA FERREA REGIONAL S.A.S, con NIT 900.403.616-1 por valor total de NUEVE MIL MILLONES DE PESOS M/CTE ($9.000.000.000), los cuales serán desembolsados en NUEVE (9) pagos así: el primero por valor de TRES MIL MILLONES DE PESOS MCT ($3.000.000.000) pagaderos en el mes de mayo de 2021 y los OCHO(8) restantes por valor de SETECIENTOS CINCUENTA MILLONES DE PESOS MTCE ( $ 750.000.000) mes vencido, por concepto de subvención -Pago para el mes Septiembre convenio No 086 de 2017 del proyecto Regiotram de Occidente 
Meta 349
Avances mes de junio 30 
El Departamento no recibirá los rendimientos hasta que se amortice la pérdida que se tuvo en el primer trimestre del año.
FiduBogotá está reportando los movimientos de las inversiones.
Una vez se cuente con los resultados del cierre del segundo trimestre, se procederá al próximo comité fiduciario.
Se realizó pago de subvención del ente gestor correspondiente al mes de Junio, por un valor de $ 750.000.000.
AVANCE MES DE JULIO 30 Dando continuidad con el proceso y teniendo en cuenta la situación de pandemia para finales del mes de agosto llegaron al país procedente de China el equipo técnico de la empresa Civil Engineering Construction Corporation (Contratistas), realizando el debido aislamiento preventivo de los 14 días iniciando labores en el mes de septiembre.
Para el mes de octubre se realiza el Comité Fiduciario No. 11 en donde la Fiduciaria de Bogotá  presenta los rendimientos de los aportes que a la fecha ha realizados el Departamento. En este comité solicitaron al Departamento el desembolso que quedo pactado en el encargo fiduciario, en el cual el Departamento dice haber solicitado documentos a la empresa férrea y que pronto los suministren se realizará el desembolso.  
Avance mes de agosto
Según comentario por parte de la interventoría el consultor  cumplió con los 10 productos, sin embargo a partir de la decisión de la alternativa subterránea se identificó que desde el producto 3 varios aspectos  se deben adicionar o modificar. 
Teniendo en cuenta lo anterior se genera un Otrosí con un costo elevado que deberá ser estudiada y analizada por parte del comité técnico.   
Anexamos cuadro comparativo con valores 
Avance mes de Septiembre
la EFR SAS presenta el Plan Operativo Anual POA de inversiones la programación entre mayo de 2021 a diciembre de 2021 y lo ejecutado y proyectado entre el 2018 al 2029, informa que de acuerdo a la caja disponible no se hace necesario la titularización para este año.
Avance  mes de octubre de 2021 
se tenía previsto el desembolso de $33.075.935.621 por parte de la Secrettaría de Transporte y Movilidad del Departamento, sin embargo, dados algunos ajustes requeridos en relación al IPC por parte de la Secretaría de Hacienda no se ha podido efectuar este pago. 
Con respecto a los recursos de subvención para el mantenimiento del proyecto, el Departamento se encuentra al día con el pago de dichos aportes.
AVANCES MES DE NOVIEMBRE 
AVANCES DE EJECUCIÓN 
El concesionario Férreo de Occidente radicó la entrega de los Estudios y Diseños del Proyecto Regiotram de Occidente, el 24 de junio 2021, los cuales son objeto de revisión por parte de la interventoría.
Con el INVIAS, ANI, Distrito Capital, IDU, se ha gestionado la articulación del proyecto en sus diferentes componentes (corredor férreo, taller ANI, estudios de tránsito, estaciones elevadas)
Gestionado y socializado con las alcaldías de Facatativá, Madrid, Mosquera y Funza la implantación del proyecto sobre el corredor férreo y los planes de manejo de tráfico y licenciamiento ambiental.
La Concesionaria Férrea de Occidente ha radicado ante la ANLA el estudio de impacto ambiental, para la obtención del licenciamiento ambiental. 
La Empresa Férrea a través de la Empresa Inmobiliaria, viene adelantando el levantamiento de insumos técnico-prediales (levantamiento topográfico, fichas prediales, avalúos comerciales), acorde con las obligaciones contractuales del contrato de concesión del 01-2019.
</v>
      </c>
      <c r="AK344" s="200">
        <f>VLOOKUP(K344,'1123 Transporte'!$K$13:$AK$23,27,0)</f>
        <v>0</v>
      </c>
      <c r="AL344" s="200">
        <v>0.3</v>
      </c>
      <c r="AM344" s="200">
        <v>0</v>
      </c>
      <c r="AN344" s="200">
        <v>0.32</v>
      </c>
      <c r="AO344" s="200">
        <v>0</v>
      </c>
      <c r="AP344" s="200">
        <v>0</v>
      </c>
      <c r="AQ344" s="200">
        <v>0</v>
      </c>
      <c r="AR344" s="201">
        <v>18972206777</v>
      </c>
      <c r="AS344" s="202">
        <v>0</v>
      </c>
      <c r="AT344" s="202">
        <f t="shared" si="535"/>
        <v>18972206777</v>
      </c>
      <c r="AU344" s="201">
        <v>18972206777</v>
      </c>
      <c r="AV344" s="245">
        <v>33075935621</v>
      </c>
      <c r="AW344" s="246"/>
      <c r="AX344" s="246"/>
      <c r="AY344" s="245">
        <v>33075935621</v>
      </c>
      <c r="AZ344" s="203">
        <f t="shared" si="523"/>
        <v>0.36000000000000004</v>
      </c>
      <c r="BA344" s="203">
        <v>0.08</v>
      </c>
      <c r="BB344" s="203">
        <v>1</v>
      </c>
      <c r="BC344" s="44">
        <f t="shared" si="524"/>
        <v>0.3</v>
      </c>
      <c r="BD344" s="44" cm="1">
        <f t="array" ref="BD344">_xlfn.IFS(AD344=0,"NA",AD344&gt;0,AH344/AD344)</f>
        <v>0.93333333333333346</v>
      </c>
      <c r="BE344" s="44">
        <f t="shared" si="525"/>
        <v>0.3</v>
      </c>
      <c r="BF344" s="44">
        <v>0</v>
      </c>
      <c r="BG344" s="44">
        <f t="shared" si="526"/>
        <v>0.32</v>
      </c>
      <c r="BH344" s="44">
        <v>0</v>
      </c>
      <c r="BI344" s="203">
        <f t="shared" si="527"/>
        <v>0</v>
      </c>
      <c r="BJ344" s="203" t="s">
        <v>115</v>
      </c>
      <c r="BK344" s="203">
        <f t="shared" si="536"/>
        <v>0.36000000000000004</v>
      </c>
      <c r="BL344" s="203">
        <v>1</v>
      </c>
      <c r="BM344" s="203" cm="1">
        <f t="array" ref="BM344">_xlfn.IFS(BD344="NA","NA",BD344&gt;100%,"100%",BD344&lt;100,BD344)</f>
        <v>0.93333333333333346</v>
      </c>
      <c r="BN344" s="203" cm="1">
        <f t="array" ref="BN344">_xlfn.IFS(BF344="NA","NA",BF344&gt;100%,"100%",BF344&lt;100,BF344)</f>
        <v>0</v>
      </c>
      <c r="BO344" s="203" cm="1">
        <f t="array" ref="BO344">_xlfn.IFS(BH344="NA","NA",BH344&gt;100%,"100%",BH344&lt;100,BH344)</f>
        <v>0</v>
      </c>
      <c r="BP344" s="203" t="str" cm="1">
        <f t="array" ref="BP344">_xlfn.IFS(BJ344="NA","NA",BJ344&gt;100%,"100%",BJ344&lt;100,BJ344)</f>
        <v>NA</v>
      </c>
      <c r="BQ344" s="204">
        <v>0.224</v>
      </c>
      <c r="BR344" s="45">
        <f t="shared" si="537"/>
        <v>8.0640000000000017E-2</v>
      </c>
      <c r="BS344" s="204">
        <v>1.7899999999999999E-2</v>
      </c>
      <c r="BT344" s="204">
        <v>1.7899999999999999E-2</v>
      </c>
      <c r="BU344" s="204">
        <v>1.7899999999999999E-2</v>
      </c>
      <c r="BV344" s="45">
        <f t="shared" si="528"/>
        <v>6.7199999999999996E-2</v>
      </c>
      <c r="BW344" s="45">
        <f t="shared" si="538"/>
        <v>6.2719999999999998E-2</v>
      </c>
      <c r="BX344" s="45">
        <f t="shared" si="539"/>
        <v>6.2740000000000018E-2</v>
      </c>
      <c r="BY344" s="45">
        <f t="shared" si="529"/>
        <v>6.7199999999999996E-2</v>
      </c>
      <c r="BZ344" s="45">
        <f t="shared" si="530"/>
        <v>0</v>
      </c>
      <c r="CA344" s="45">
        <f t="shared" si="540"/>
        <v>0</v>
      </c>
      <c r="CB344" s="45">
        <f t="shared" si="531"/>
        <v>7.1680000000000008E-2</v>
      </c>
      <c r="CC344" s="45">
        <f t="shared" si="532"/>
        <v>0</v>
      </c>
      <c r="CD344" s="45">
        <v>0</v>
      </c>
      <c r="CE344" s="204">
        <f t="shared" si="533"/>
        <v>0</v>
      </c>
      <c r="CF344" s="204" t="str">
        <f t="shared" si="534"/>
        <v>NA</v>
      </c>
      <c r="CG344" s="204">
        <v>0</v>
      </c>
      <c r="CH344" s="246"/>
      <c r="CI344" s="246"/>
      <c r="CJ344" s="246"/>
      <c r="CK344" s="246"/>
      <c r="CL344" s="48"/>
      <c r="CM344" s="63">
        <v>0.3</v>
      </c>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c r="GT344" s="48"/>
      <c r="GU344" s="48"/>
      <c r="GV344" s="48"/>
      <c r="GW344" s="48"/>
      <c r="GX344" s="48"/>
      <c r="GY344" s="48"/>
      <c r="GZ344" s="48"/>
      <c r="HA344" s="48"/>
      <c r="HB344" s="48"/>
      <c r="HC344" s="48"/>
      <c r="HD344" s="48"/>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row>
    <row r="345" spans="1:261" s="16" customFormat="1" ht="18" hidden="1" customHeight="1">
      <c r="A345" s="198" t="s">
        <v>388</v>
      </c>
      <c r="B345" s="198" t="s">
        <v>389</v>
      </c>
      <c r="C345" s="198" t="s">
        <v>2129</v>
      </c>
      <c r="D345" s="198" t="s">
        <v>2232</v>
      </c>
      <c r="E345" s="198" t="s">
        <v>2233</v>
      </c>
      <c r="F345" s="198" t="s">
        <v>2234</v>
      </c>
      <c r="G345" s="198" t="s">
        <v>2235</v>
      </c>
      <c r="H345" s="198" t="s">
        <v>2246</v>
      </c>
      <c r="I345" s="198" t="s">
        <v>200</v>
      </c>
      <c r="J345" s="198"/>
      <c r="K345" s="198" t="s">
        <v>2247</v>
      </c>
      <c r="L345" s="198" t="s">
        <v>2248</v>
      </c>
      <c r="M345" s="198" t="s">
        <v>2249</v>
      </c>
      <c r="N345" s="198" t="s">
        <v>111</v>
      </c>
      <c r="O345" s="198" t="s">
        <v>112</v>
      </c>
      <c r="P345" s="199">
        <v>0</v>
      </c>
      <c r="Q345" s="200">
        <v>1</v>
      </c>
      <c r="R345" s="11">
        <f t="shared" si="521"/>
        <v>0.37</v>
      </c>
      <c r="S345" s="200">
        <f>VLOOKUP(K345,'1123 Transporte'!$K$13:$AK$23,9,0)</f>
        <v>0</v>
      </c>
      <c r="T345" s="200">
        <v>0.06</v>
      </c>
      <c r="U345" s="200">
        <v>0</v>
      </c>
      <c r="V345" s="200">
        <v>0.06</v>
      </c>
      <c r="W345" s="200">
        <v>0</v>
      </c>
      <c r="X345" s="200">
        <v>0.09</v>
      </c>
      <c r="Y345" s="200">
        <v>0</v>
      </c>
      <c r="Z345" s="200">
        <v>0.09</v>
      </c>
      <c r="AA345" s="200" t="s">
        <v>2250</v>
      </c>
      <c r="AB345" s="200" t="s">
        <v>2251</v>
      </c>
      <c r="AC345" s="200">
        <v>0</v>
      </c>
      <c r="AD345" s="11">
        <v>0.3</v>
      </c>
      <c r="AE345" s="11">
        <v>0</v>
      </c>
      <c r="AF345" s="200">
        <f>VLOOKUP(K345,'1123 Transporte'!$K$13:$AK$23,22,0)</f>
        <v>0.28000000000000003</v>
      </c>
      <c r="AG345" s="200">
        <f>VLOOKUP(K345,'1123 Transporte'!$K$13:$AK$23,23,0)</f>
        <v>0</v>
      </c>
      <c r="AH345" s="11">
        <f t="shared" si="522"/>
        <v>0.28000000000000003</v>
      </c>
      <c r="AI345" s="200" t="str">
        <f>VLOOKUP(K345,'1123 Transporte'!$K$13:$AK$23,25,0)</f>
        <v xml:space="preserve">Extensión de la troncal NQS del SITM a Soacha fases II y III construida
 En Etapa de Preconstrucción (12 meses):
-Presentación de Estudios y Diseños.
-Movilización de Equipos y Preparación de los Frentes de Trabajo.
-Permisos, Licencias y Autorizaciones Ambientales.
-Plan de Manejo de Tráfico, Señalización y Desvíos.
-Convenios de Servicios Públicos.
-Cronograma de Obras.
</v>
      </c>
      <c r="AJ345" s="200" t="str">
        <f>VLOOKUP(K345,'1123 Transporte'!$K$13:$AK$23,26,0)</f>
        <v xml:space="preserve">META 350
1. Etapa de Pre-construcción (12 meses) :                                                                                                                                                                                           - Estudios y diseños, preparación de los frentes de trabajo, plan de manejo de tráfico y señalización, convenios de servicios públicos y cronograma de obras. AVANCE MES DE ABRIL 1. Etapa de Pre-construcción (12 meses) :                                                                                                                                                                                           - Estudios y diseños, preparación de los frentes de trabajo, plan de manejo de tráfico y señalización, convenios de servicios públicos y cronograma de obras.
- Elaboración del plan de manejo ambiental PMA, programa de implementación del plan de manejo ambiental PIPMA y gestión de permisos ambientales.                                                                                                                                                                             - Actividades de divulgación de información por las partes interesadas.                                                                                                                                                            - Adquisición de predios                                                                                                                                                                                                                                                                
2. Aportes financieros - Convenio Subvención                
Junio - Julio: 1.142.857.142                                                                                                                                                                                                                            Agosto:            571.428.571                                                                                                                                                                                                                                      Septiembre:     571.428.571                                                                                                                                                                                                                                         Octubre:           571.428.571                                                                                                                                                                                                                                          Noviembre:      571.428.571                                                                                                                                                                                                                                     Diciembre:       571.428.571
META 350  AVANCE MES DE MAYO 
TRANSMILENIO SOACHA
Municipio de Soacha fase II y III”, se encuentra procedente acceder a la solicitud y en y en consecuencia ordenar el giro de los recursos por concepto de subvención, a la Empresa Férrea Regional S.A.S., por valor de NUEVE MIL MILLONES DE PESOS MCTE ($ 9.000.000.000) los cuales serán entregados en nueve 09), con destino a garantizar que la Empresa Férrea Regional S.A.S funcione en forma adecuada, en torno a la ejecución de los proyectos “Regiotram de Occidente” y “Extensión de la troncal NQS del sistema Transmilenio al Municipio de Soacha fase II y III” Que para el fin anterior, se cuenta con los certificados de disponibilidad presupuestal Nos. 7100013105 del 30 de abril de 2021, por valor de DOS MIL MILLONES CUATROCIENTOS SETENTA Y CINCO MIL PESOS MCTE (2.475.000.000) - Pago para el mes Noviembre convenio No.088 de 2017 del proyecto de Transmilenio Soacha Fase I y II 
AVANCE MES DE JULIO 30
 Rendimientos fiduciaria Informe Fiduciario (01 de Junio de 2021 a 30 de Junio de 2021):
Bienes Fideicomitidos – Fuentes y Usos.
El Encargo Fiduciario tiene como fuentes de ingreso y sus usos:
Los recursos que se administrarán en el encargo fiduciario corresponden a los aportes de la Nación, a los aportes del Departamento de Cundinamarca y a los aportes del Municipio de Soacha que corresponden a la suma de OCHOCIENTOS CINCUENTA Y NUEVE MIL DOSCIENTOS VEINTIOCHO MILLONES TRESCIENTOS OCHO MIL QUINIENTOS OCHENTA Y UN PESOS M/CTE ($859.228.308.581)
Aportes Nación: $791.954.044.179
Aportes Departamento de Cundinamarca: $199.583.033.763
Aportes Municipio de Soacha: $60.859.127.453
Avance mes de agosto 
Procedimiento contable y compensación de desvalorizaciones FIC:
 En el evento en que se presenten desvalorizaciones por rentabilidades negativas de los FIC, se llevará en el Balance, un registro contable y de control a través de una cuenta por cobrar a nombre del Municipio y/o Departamento, en la cual se indique el saldo pendiente por compensar.
La cuenta por cobrar a cada uno de los cofinanciadores, producto de las desvalorizaciones de los FICS, será compensada con los rendimientos futuros positivos que renten las inversiones de los aportes de vigencias futuras del Municipio y/o Departamento.
Avance mes de Septiembre
Estado predial del proyecto:
La EFR presenta el estado predial del proyecto. Durante la etapa de pre-construcción, el mayor uso de recursos para el proyecto corresponde a la adquisición predial y compensaciones sociales
Avances mes de Octubre 
Para el mes de noviembre de 2021 se tiene previsto el desembolso de $20.560.422.348 por parte de la Secretaría de Transporte y Movilidad del Departamento, dando cumplimiento a lo pactado en el convenio.
Con respecto a los recursos de subvención para el mantenimiento del proyecto, el Departamento se encuentra al día con el pago de dichos aportes, estando pendientes dos pagos de la siguiente forma:
Noviembre: $ 750.000.000
Diciembre: $1.500.000.000
Se realizó el seguimiento través del Comité Fiduciario convocado por Fidubogotá a la ejecución de los recursos desembolsados al encargo fiduciario durane la vigencia.
AVANCES  MES DE NOVIEMBRE 
Gestión Predial.  
Teniendo en cuenta que la ejecución e implantación del proyecto de la extensión de Transmilenio fase II y III requerían de la adquisición predial, la Empresa Férrea a través de la Empresa Inmobiliaria de Cundinamarca, adelantó un proceso de gestión social y predial, sobre la autopista Sur a lo largo de 4Km. Lo anterior, permitió ofertar 283 predios, consolidando un proceso con responsabilidad social (Res. 1023 de 2017), lo cual se refleja en el porcentaje de entrega de predios a través del mecanismo de enajenación voluntaria.
Es importante mencionar, que para la ejecución de las obras de Patio portal del Sistema Transmilenio, el Municipio de Soacha entregó como aporte en especie, el predio denominado el Vínculo.
</v>
      </c>
      <c r="AK345" s="200">
        <f>VLOOKUP(K345,'1123 Transporte'!$K$13:$AK$23,27,0)</f>
        <v>0</v>
      </c>
      <c r="AL345" s="200">
        <v>0.3</v>
      </c>
      <c r="AM345" s="200">
        <v>0</v>
      </c>
      <c r="AN345" s="200">
        <v>0.34</v>
      </c>
      <c r="AO345" s="200">
        <v>0</v>
      </c>
      <c r="AP345" s="200">
        <v>0</v>
      </c>
      <c r="AQ345" s="200">
        <v>0</v>
      </c>
      <c r="AR345" s="201">
        <v>19961575096</v>
      </c>
      <c r="AS345" s="202">
        <v>0</v>
      </c>
      <c r="AT345" s="202">
        <f t="shared" si="535"/>
        <v>19961575096</v>
      </c>
      <c r="AU345" s="201">
        <v>19961575096</v>
      </c>
      <c r="AV345" s="245">
        <v>20560422348</v>
      </c>
      <c r="AW345" s="246"/>
      <c r="AX345" s="246"/>
      <c r="AY345" s="245">
        <v>20560422348</v>
      </c>
      <c r="AZ345" s="203">
        <f t="shared" si="523"/>
        <v>0.37</v>
      </c>
      <c r="BA345" s="203">
        <v>0.06</v>
      </c>
      <c r="BB345" s="203">
        <v>1.5</v>
      </c>
      <c r="BC345" s="44">
        <f t="shared" si="524"/>
        <v>0.3</v>
      </c>
      <c r="BD345" s="44" cm="1">
        <f t="array" ref="BD345">_xlfn.IFS(AD345=0,"NA",AD345&gt;0,AH345/AD345)</f>
        <v>0.93333333333333346</v>
      </c>
      <c r="BE345" s="44">
        <f t="shared" si="525"/>
        <v>0.3</v>
      </c>
      <c r="BF345" s="44">
        <v>0</v>
      </c>
      <c r="BG345" s="44">
        <f t="shared" si="526"/>
        <v>0.34</v>
      </c>
      <c r="BH345" s="44">
        <v>0</v>
      </c>
      <c r="BI345" s="203">
        <f t="shared" si="527"/>
        <v>0</v>
      </c>
      <c r="BJ345" s="203" t="s">
        <v>115</v>
      </c>
      <c r="BK345" s="203">
        <f t="shared" si="536"/>
        <v>0.37</v>
      </c>
      <c r="BL345" s="203">
        <v>1</v>
      </c>
      <c r="BM345" s="203" cm="1">
        <f t="array" ref="BM345">_xlfn.IFS(BD345="NA","NA",BD345&gt;100%,"100%",BD345&lt;100,BD345)</f>
        <v>0.93333333333333346</v>
      </c>
      <c r="BN345" s="203" cm="1">
        <f t="array" ref="BN345">_xlfn.IFS(BF345="NA","NA",BF345&gt;100%,"100%",BF345&lt;100,BF345)</f>
        <v>0</v>
      </c>
      <c r="BO345" s="203" cm="1">
        <f t="array" ref="BO345">_xlfn.IFS(BH345="NA","NA",BH345&gt;100%,"100%",BH345&lt;100,BH345)</f>
        <v>0</v>
      </c>
      <c r="BP345" s="203" t="str" cm="1">
        <f t="array" ref="BP345">_xlfn.IFS(BJ345="NA","NA",BJ345&gt;100%,"100%",BJ345&lt;100,BJ345)</f>
        <v>NA</v>
      </c>
      <c r="BQ345" s="204">
        <v>0.224</v>
      </c>
      <c r="BR345" s="45">
        <f t="shared" si="537"/>
        <v>8.2879999999999995E-2</v>
      </c>
      <c r="BS345" s="204">
        <v>1.34E-2</v>
      </c>
      <c r="BT345" s="204">
        <v>1.34E-2</v>
      </c>
      <c r="BU345" s="204">
        <v>2.0199999999999999E-2</v>
      </c>
      <c r="BV345" s="45">
        <f t="shared" si="528"/>
        <v>6.7199999999999996E-2</v>
      </c>
      <c r="BW345" s="45">
        <f t="shared" si="538"/>
        <v>6.2719999999999998E-2</v>
      </c>
      <c r="BX345" s="45">
        <f t="shared" si="539"/>
        <v>6.268E-2</v>
      </c>
      <c r="BY345" s="45">
        <f t="shared" si="529"/>
        <v>6.7199999999999996E-2</v>
      </c>
      <c r="BZ345" s="45">
        <f t="shared" si="530"/>
        <v>0</v>
      </c>
      <c r="CA345" s="45">
        <f t="shared" si="540"/>
        <v>0</v>
      </c>
      <c r="CB345" s="45">
        <f t="shared" si="531"/>
        <v>7.6160000000000005E-2</v>
      </c>
      <c r="CC345" s="45">
        <f t="shared" si="532"/>
        <v>0</v>
      </c>
      <c r="CD345" s="45">
        <v>0</v>
      </c>
      <c r="CE345" s="204">
        <f t="shared" si="533"/>
        <v>0</v>
      </c>
      <c r="CF345" s="204" t="str">
        <f t="shared" si="534"/>
        <v>NA</v>
      </c>
      <c r="CG345" s="204">
        <v>0</v>
      </c>
      <c r="CH345" s="246"/>
      <c r="CI345" s="246"/>
      <c r="CJ345" s="246"/>
      <c r="CK345" s="246"/>
      <c r="CL345" s="48"/>
      <c r="CM345" s="63">
        <v>0.31</v>
      </c>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c r="GT345" s="48"/>
      <c r="GU345" s="48"/>
      <c r="GV345" s="48"/>
      <c r="GW345" s="48"/>
      <c r="GX345" s="48"/>
      <c r="GY345" s="48"/>
      <c r="GZ345" s="48"/>
      <c r="HA345" s="48"/>
      <c r="HB345" s="48"/>
      <c r="HC345" s="48"/>
      <c r="HD345" s="48"/>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row>
    <row r="346" spans="1:261" s="16" customFormat="1" ht="18" hidden="1" customHeight="1">
      <c r="A346" s="198" t="s">
        <v>388</v>
      </c>
      <c r="B346" s="198" t="s">
        <v>389</v>
      </c>
      <c r="C346" s="198" t="s">
        <v>2129</v>
      </c>
      <c r="D346" s="198" t="s">
        <v>2232</v>
      </c>
      <c r="E346" s="198" t="s">
        <v>2233</v>
      </c>
      <c r="F346" s="198" t="s">
        <v>2234</v>
      </c>
      <c r="G346" s="198" t="s">
        <v>2235</v>
      </c>
      <c r="H346" s="198" t="s">
        <v>2252</v>
      </c>
      <c r="I346" s="198" t="s">
        <v>200</v>
      </c>
      <c r="J346" s="198"/>
      <c r="K346" s="198" t="s">
        <v>2253</v>
      </c>
      <c r="L346" s="198" t="s">
        <v>2254</v>
      </c>
      <c r="M346" s="198" t="s">
        <v>2255</v>
      </c>
      <c r="N346" s="198" t="s">
        <v>111</v>
      </c>
      <c r="O346" s="198" t="s">
        <v>112</v>
      </c>
      <c r="P346" s="199">
        <v>0</v>
      </c>
      <c r="Q346" s="200">
        <v>1</v>
      </c>
      <c r="R346" s="11">
        <f t="shared" si="521"/>
        <v>0.17</v>
      </c>
      <c r="S346" s="200">
        <f>VLOOKUP(K346,'1123 Transporte'!$K$13:$AK$23,9,0)</f>
        <v>0</v>
      </c>
      <c r="T346" s="200">
        <v>0.05</v>
      </c>
      <c r="U346" s="200">
        <v>0</v>
      </c>
      <c r="V346" s="200">
        <v>0</v>
      </c>
      <c r="W346" s="200">
        <v>0</v>
      </c>
      <c r="X346" s="200">
        <v>0</v>
      </c>
      <c r="Y346" s="200">
        <v>0</v>
      </c>
      <c r="Z346" s="200">
        <v>0</v>
      </c>
      <c r="AA346" s="200"/>
      <c r="AB346" s="200"/>
      <c r="AC346" s="200"/>
      <c r="AD346" s="11">
        <v>0.25</v>
      </c>
      <c r="AE346" s="11">
        <v>0</v>
      </c>
      <c r="AF346" s="200">
        <f>VLOOKUP(K346,'1123 Transporte'!$K$13:$AK$23,22,0)</f>
        <v>0.17</v>
      </c>
      <c r="AG346" s="200">
        <f>VLOOKUP(K346,'1123 Transporte'!$K$13:$AK$23,23,0)</f>
        <v>0</v>
      </c>
      <c r="AH346" s="11">
        <f t="shared" si="522"/>
        <v>0.17</v>
      </c>
      <c r="AI346" s="200" t="str">
        <f>VLOOKUP(K346,'1123 Transporte'!$K$13:$AK$23,25,0)</f>
        <v>Proyecto estructurado
Fase previa con cronograma para desembolso de los recursos al Contratista</v>
      </c>
      <c r="AJ346" s="200" t="str">
        <f>VLOOKUP(K346,'1123 Transporte'!$K$13:$AK$23,26,0)</f>
        <v xml:space="preserve">META 351
- Elaboración del plan de manejo ambiental PMA, programa de implementación del plan de manejo ambiental PIPMA y gestión de permisos ambientales.                                                                                                                                                                             - Actividades de divulgación de información por las partes interesadas.                                                                                                                                                            - Adquisición de predios  AVANCE MES DE ABRIL. Se aprobó por parte de Gobierno Nacional, que Regiotram Norte se estructurará como un corredor exclusivo para pasajeros, construyendo una infraestructura logística especializada (ILE), entre La Caro y Tocancipá, para dar respuesta al transporte de carga.
Se esta estudiando la posibilidad de transporte de carga  a ciertas horas, pero no se ha concretado.
18 estaciones (13 Bogota  + 5 Región)
Corredor exclusivo de Pasajeros
ILE al norte de la caro
Integración física con paraderos y estaciones SITP.
Velocidad de operación: 40 Km/h.
Intervalo de 12 minutos en la sabana y 6 minutos dentro de Bogotá D.C.
Demanda potencial únicamente dentro del alcance espacial de modelación.
Esquema tarifario constante en los demás servicios.
Esquema tarifario propuesto para el tren.
Diseño definitivo de rutas del SITP según TMSA. META 351 AVANCE MES DE MAYO
- El proyecto se encuentra en fase de ejecución
- La oferta económica presentada por el proponente fue por valor de $12.650.067.677 IVA incluido.
- Se aprobó por parte de Gobierno Nacional, que Regiotram Norte se estructurará como un corredor exclusivo para pasajeros, construyendo una infraestructura logística especializada (ILE), entre La Caro y Tocancipá, para dar respuesta al transporte de carga
- 18 estaciones (13 Bogota + 5 Región) 
- Se encuentran en aprobacion, por parte de la gobernación y alcaldía, las alternativas propuestas por el consultor según estudios de diseños y factibilidad, de las rutas de Regiotram Norte.
Avances mes de junio 30 
 Se mostró el trabajo realizado por la Consultoría, Interventoría y Supervisión para lograr llegar a un consenso en cuanto a la alternativa a estructurar, Alternativa 4 (Elevada) y los incrementos de alcance que ella conlleva, así como los costos asociados y plazo de ejecución adicional.
Por cuanto el próximo 18/6/2021 se vence la prórroga de la suspensión parcial y temporal de los contratos 0016/2020 y 0017/2020, de Consultoría e Interventoría, y estimando que para esa fecha no se haya logrado definir la alternativa a estructurar, FINDETER consulta a los miembros del comité si tienen alguna recomendación respecto a cómo proceder para esa fecha
AVANCE MES DE JULIO 30
Reunión Findeter- Departamento- Interventoria 
15 de Julio de 2021
1.	Se informa que se llevó a cabo de manera presencial el pasado martes 13/7/2021, en el salón Barulé de la Alcaldía de Bogotá. En esa reunión se tomó la decisión de estructurar, para el proyecto RegioTram Norte, la alternativa subterránea, con variante de que en vez de salir de manera segregada a la altura de la carrera 11 hasta la calle 140, seguir en subterráneo hasta la calle 245.
2.	Se hizo referencia la Otrosí de la adhesión del contrato por parte del consultor y la adhesión del IDU para financiación. 
3.	Otrosí para modificar la forma de pago de los contratos 0016/2020 y 0017/2020.
4.	Revisión de pólizas ajustadas según la segunda acta de prórroga de suspensión de los contratos 0016/2020 y 0017/2020.
AVANCE MES DE SEPTIEMBRE El pasado 30 de septiembre Findeter comunica a los integrantes del Comité  Técnico que debido a la terminación del plazo de la suspensión temporal de los contratos el próximo 01 de octubre tomaron la decisión  de prorrogar dicha suspensión temporal hasta el día 14 de octubre del presente año porque aún falta la reunión con el señor Gobernador la cual está programada para el 04 de octubre; Findeter solicita a los participantes del Comité el apoyo sobre la prórroga.
Avance mes de Octubre
El convenio 048 de 2019 continua vigente.   
En  octubre de 2020 se dio la adhesión del Distrito Capital al convenio.                                    
                                                                                                                                                                                                                                                              </v>
      </c>
      <c r="AK346" s="200" t="str">
        <f>VLOOKUP(K346,'1123 Transporte'!$K$13:$AK$23,27,0)</f>
        <v>La empresa de consultoría presenta avance donde señala las fases del estudio, el impacto ambiental, la adquisición que se debe hacer de predios en la sabana norte, la viabilidad del tren de carga sigue presentando negativo frente al estudio 
En el Comité del 12 de Octubre de 2021, Findeter comunicó la decisión de terminar los contratos de consultoría e interventoría, teniendo en cuenta que no habría los recursos requeridos por parte del IDU para la actual vigencia y así poder adicionar los contratos.</v>
      </c>
      <c r="AL346" s="200">
        <v>0.35</v>
      </c>
      <c r="AM346" s="200">
        <v>0</v>
      </c>
      <c r="AN346" s="200">
        <v>0.4</v>
      </c>
      <c r="AO346" s="200">
        <v>0</v>
      </c>
      <c r="AP346" s="200">
        <v>0</v>
      </c>
      <c r="AQ346" s="200">
        <v>0</v>
      </c>
      <c r="AR346" s="205"/>
      <c r="AS346" s="202">
        <v>0</v>
      </c>
      <c r="AT346" s="202">
        <f t="shared" si="535"/>
        <v>0</v>
      </c>
      <c r="AU346" s="205"/>
      <c r="AV346" s="245"/>
      <c r="AW346" s="246"/>
      <c r="AX346" s="246"/>
      <c r="AY346" s="245"/>
      <c r="AZ346" s="203">
        <f t="shared" si="523"/>
        <v>0.17</v>
      </c>
      <c r="BA346" s="203">
        <v>0</v>
      </c>
      <c r="BB346" s="203" t="s">
        <v>115</v>
      </c>
      <c r="BC346" s="44">
        <f t="shared" si="524"/>
        <v>0.25</v>
      </c>
      <c r="BD346" s="44" cm="1">
        <f t="array" ref="BD346">_xlfn.IFS(AD346=0,"NA",AD346&gt;0,AH346/AD346)</f>
        <v>0.68</v>
      </c>
      <c r="BE346" s="44">
        <f t="shared" si="525"/>
        <v>0.35</v>
      </c>
      <c r="BF346" s="44">
        <v>0</v>
      </c>
      <c r="BG346" s="44">
        <f t="shared" si="526"/>
        <v>0.4</v>
      </c>
      <c r="BH346" s="44">
        <v>0</v>
      </c>
      <c r="BI346" s="203">
        <f t="shared" si="527"/>
        <v>0</v>
      </c>
      <c r="BJ346" s="203" t="s">
        <v>115</v>
      </c>
      <c r="BK346" s="203">
        <f t="shared" si="536"/>
        <v>0.17</v>
      </c>
      <c r="BL346" s="203" t="s">
        <v>115</v>
      </c>
      <c r="BM346" s="203" cm="1">
        <f t="array" ref="BM346">_xlfn.IFS(BD346="NA","NA",BD346&gt;100%,"100%",BD346&lt;100,BD346)</f>
        <v>0.68</v>
      </c>
      <c r="BN346" s="203" cm="1">
        <f t="array" ref="BN346">_xlfn.IFS(BF346="NA","NA",BF346&gt;100%,"100%",BF346&lt;100,BF346)</f>
        <v>0</v>
      </c>
      <c r="BO346" s="203" cm="1">
        <f t="array" ref="BO346">_xlfn.IFS(BH346="NA","NA",BH346&gt;100%,"100%",BH346&lt;100,BH346)</f>
        <v>0</v>
      </c>
      <c r="BP346" s="203" t="str" cm="1">
        <f t="array" ref="BP346">_xlfn.IFS(BJ346="NA","NA",BJ346&gt;100%,"100%",BJ346&lt;100,BJ346)</f>
        <v>NA</v>
      </c>
      <c r="BQ346" s="204">
        <v>0.224</v>
      </c>
      <c r="BR346" s="45">
        <f t="shared" si="537"/>
        <v>3.8080000000000003E-2</v>
      </c>
      <c r="BS346" s="204">
        <v>0</v>
      </c>
      <c r="BT346" s="204" t="s">
        <v>115</v>
      </c>
      <c r="BU346" s="204">
        <v>0</v>
      </c>
      <c r="BV346" s="45">
        <f t="shared" si="528"/>
        <v>5.6000000000000001E-2</v>
      </c>
      <c r="BW346" s="45">
        <f t="shared" si="538"/>
        <v>3.8080000000000003E-2</v>
      </c>
      <c r="BX346" s="45">
        <f t="shared" si="539"/>
        <v>3.8080000000000003E-2</v>
      </c>
      <c r="BY346" s="45">
        <f t="shared" si="529"/>
        <v>7.8399999999999997E-2</v>
      </c>
      <c r="BZ346" s="45">
        <f t="shared" si="530"/>
        <v>0</v>
      </c>
      <c r="CA346" s="45">
        <f t="shared" si="540"/>
        <v>0</v>
      </c>
      <c r="CB346" s="45">
        <f t="shared" si="531"/>
        <v>8.9600000000000013E-2</v>
      </c>
      <c r="CC346" s="45">
        <f t="shared" si="532"/>
        <v>0</v>
      </c>
      <c r="CD346" s="45">
        <v>0</v>
      </c>
      <c r="CE346" s="204">
        <f t="shared" si="533"/>
        <v>0</v>
      </c>
      <c r="CF346" s="204" t="str">
        <f t="shared" si="534"/>
        <v>NA</v>
      </c>
      <c r="CG346" s="204">
        <v>0</v>
      </c>
      <c r="CH346" s="246"/>
      <c r="CI346" s="246"/>
      <c r="CJ346" s="246"/>
      <c r="CK346" s="246"/>
      <c r="CL346" s="48"/>
      <c r="CM346" s="63">
        <v>0.14000000000000001</v>
      </c>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48"/>
      <c r="IE346" s="48"/>
      <c r="IF346" s="48"/>
      <c r="IG346" s="48"/>
      <c r="IH346" s="48"/>
      <c r="II346" s="48"/>
      <c r="IJ346" s="48"/>
      <c r="IK346" s="48"/>
      <c r="IL346" s="48"/>
      <c r="IM346" s="48"/>
      <c r="IN346" s="48"/>
      <c r="IO346" s="48"/>
      <c r="IP346" s="48"/>
      <c r="IQ346" s="48"/>
      <c r="IR346" s="48"/>
      <c r="IS346" s="48"/>
      <c r="IT346" s="48"/>
      <c r="IU346" s="48"/>
      <c r="IV346" s="48"/>
      <c r="IW346" s="48"/>
      <c r="IX346" s="48"/>
      <c r="IY346" s="48"/>
      <c r="IZ346" s="48"/>
      <c r="JA346" s="48"/>
    </row>
    <row r="347" spans="1:261" s="16" customFormat="1" ht="18" hidden="1" customHeight="1">
      <c r="A347" s="198" t="s">
        <v>388</v>
      </c>
      <c r="B347" s="198" t="s">
        <v>389</v>
      </c>
      <c r="C347" s="198" t="s">
        <v>2129</v>
      </c>
      <c r="D347" s="198" t="s">
        <v>2232</v>
      </c>
      <c r="E347" s="198" t="s">
        <v>2233</v>
      </c>
      <c r="F347" s="198" t="s">
        <v>2234</v>
      </c>
      <c r="G347" s="198" t="s">
        <v>2235</v>
      </c>
      <c r="H347" s="198" t="s">
        <v>2256</v>
      </c>
      <c r="I347" s="198" t="s">
        <v>200</v>
      </c>
      <c r="J347" s="198"/>
      <c r="K347" s="198" t="s">
        <v>2257</v>
      </c>
      <c r="L347" s="198" t="s">
        <v>2258</v>
      </c>
      <c r="M347" s="198" t="s">
        <v>2255</v>
      </c>
      <c r="N347" s="198" t="s">
        <v>111</v>
      </c>
      <c r="O347" s="198" t="s">
        <v>112</v>
      </c>
      <c r="P347" s="199">
        <v>0</v>
      </c>
      <c r="Q347" s="200">
        <v>1</v>
      </c>
      <c r="R347" s="11">
        <f t="shared" si="521"/>
        <v>0.28000000000000003</v>
      </c>
      <c r="S347" s="200">
        <f>VLOOKUP(K347,'1123 Transporte'!$K$13:$AK$23,9,0)</f>
        <v>0</v>
      </c>
      <c r="T347" s="200">
        <v>0.08</v>
      </c>
      <c r="U347" s="200">
        <v>0</v>
      </c>
      <c r="V347" s="200">
        <v>0.08</v>
      </c>
      <c r="W347" s="200">
        <v>0</v>
      </c>
      <c r="X347" s="200">
        <v>0</v>
      </c>
      <c r="Y347" s="200">
        <v>0</v>
      </c>
      <c r="Z347" s="200">
        <v>0</v>
      </c>
      <c r="AA347" s="200"/>
      <c r="AB347" s="200"/>
      <c r="AC347" s="200"/>
      <c r="AD347" s="11">
        <v>0.38</v>
      </c>
      <c r="AE347" s="11">
        <v>0</v>
      </c>
      <c r="AF347" s="200">
        <f>VLOOKUP(K347,'1123 Transporte'!$K$13:$AK$23,22,0)</f>
        <v>0.28000000000000003</v>
      </c>
      <c r="AG347" s="200">
        <f>VLOOKUP(K347,'1123 Transporte'!$K$13:$AK$23,23,0)</f>
        <v>0</v>
      </c>
      <c r="AH347" s="11">
        <f t="shared" si="522"/>
        <v>0.28000000000000003</v>
      </c>
      <c r="AI347" s="200" t="str">
        <f>VLOOKUP(K347,'1123 Transporte'!$K$13:$AK$23,25,0)</f>
        <v>Proyecto estructurado</v>
      </c>
      <c r="AJ347" s="200" t="str">
        <f>VLOOKUP(K347,'1123 Transporte'!$K$13:$AK$23,26,0)</f>
        <v xml:space="preserve">META 352
. Aportes financieros - Convenio Subvención   AVANCE MES DE ABRIL Avance 2020: Se atendió al pronunciamiento emitido por el Ministerio de Transporte y se ajustaron los 15 entregables técnicos con el objetivo de efectuar el Estudio de Mercado necesario para la elaboración de los Estudios y Diseños. META 352 AVANCE MES DE MAYO
-	Se definieron los requisitos para la presentación de proyecto del sistema general de regalías
-	Se realiza presupuesto de mano de obra, diseños publicitarios, gastos provenientes de mesas de trabajo y fuentes de financiación, del año 2021 a 2024
-	Una vez aprobado por el OCAD, el Departamento de Cundinamarca ejecutará los recursos que permitirán contar con los estudios y diseños para el desarrollo constructivo del proyecto.
•	Se solicitaron las cotizaciones y entregables a los posibles oferentes del proyecto, para los estudios de factibilidad.
1.	Avances a 30 de junio de 2021: 
La Gobernación de Cundinamarca a través de la Secretaria De Transporte Y Movilidad, solicita cotización para el desarrollo de los estudios y diseños definitivos para de la extensión de la Troncal Ciudad de Cali del Sistema Transmilenio al municipio de Soacha, desde el canal de puente Tibánica hasta la ALO Soacha, esta solicitud se realizó el dia 25 de mayo con fecha de entrega el día 5 de junio de 2021. El día 1 se solicitaron cotizaciones adicionales a tres empresas más con (Ver Anexos) 
El alcance presentado en esta solicitud de cotización responde a las exigencias generales que deben cumplir los Estudios y Diseños de un proyecto de troncal de Transmilenio. Como referencia se debe utilizar el alcance de los estudios y diseños Contratados por el Instituto de Desarrollo Urbano de Bogotá – IDU, en especial el proceso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BOGOTA.
Avances mes de agosto de 2021:
La Gobernación de Cundinamarca a través de la Secretaria De Transporte Y
Movilidad, solicita cotización por segunda vez, para el desarrollo de los estudios y
diseños definitivos para de la extensión de la Troncal Ciudad de Cali del Sistema
Transmilenio al municipio de Soacha, desde el canal de puente Tibánica hasta la
ALO Soacha, esta solicitud se realizó el día 18 de agosto.
Se recibieron dos respuestas:
 INTERDISEÑOS: Actualización de precios, de acuerdo con el estudio de
mercados enviado en el año 2020, sin embargo, manifiestan que en este
momento la empresa no cuenta con esta línea de servicio (Anexo1. Pdf)
(19 de Agosto de 2021)
 SMA INGENIEROS: Adjuntan exigencias generales que deben cumplir los
estudios y diseños de factibilidad (Anexo2. Excel)
(24 de Agosto de 2021)
A partir de las cotizaciones recibidas, se espera continuar en el proceso para
definir los precios de mercado
Avances mes de Septiembre de 2021:
La Gobernación de Cundinamarca a través de la Secretaria De Transporte Y Movilidad, solicita cotización por segunda vez, para el desarrollo de los estudios y diseños definitivos para de la extensión de la Troncal Ciudad de Cali del Sistema Transmilenio al municipio de Soacha, desde el canal de puente Tibánica hasta la ALO Soacha, esta solicitud se realizó el día 18 de agosto.
Se recibieron dos respuestas:
•	INTERDISEÑOS: Actualización de precios, de acuerdo con el estudio de mercados enviado en el año 2020, sin embargo, manifiestan que en este momento la empresa no cuenta con esta línea de servicio (Anexo1. Pdf) 
(19 de Agosto de 2021)
•	SMA INGENIEROS: Adjuntan exigencias generales que deben cumplir los estudios y diseños de factibilidad (Anexo2. Excel)
(24 de Agosto de 2021)
A partir de las cotizaciones recibidas, se espera continuar en el proceso para definir los precios de mercado definitivos que orientarán el proceso de licitación.
Se encuentra pendiente la fecha para el próximo comité.
ado definitivos que orientarán el proceso de licitación.
Avances Octubre 31 de 2021:
A partir de la fecha, el presente proyecto correspondiente a la meta 352 referente al desarrollo de los Estudios y diseños para la extensión de la troncal Ciudad de Cali del sistema Transmilenio a Soacha, Cundinamarca fue asignado a la Oficina de Planeación de la Secretaría de Transporte y Movilidad de Cundinamarca, razón por la cual su seguimiento y gestión lo realizará la dependencia mencionada.
</v>
      </c>
      <c r="AK347" s="200" t="str">
        <f>VLOOKUP(K347,'1123 Transporte'!$K$13:$AK$23,27,0)</f>
        <v>A la fecha no se ha recibido respuesta de las cotizaciones.</v>
      </c>
      <c r="AL347" s="200">
        <v>0.3</v>
      </c>
      <c r="AM347" s="200">
        <v>0</v>
      </c>
      <c r="AN347" s="200">
        <v>0.32</v>
      </c>
      <c r="AO347" s="200">
        <v>0</v>
      </c>
      <c r="AP347" s="200">
        <v>0</v>
      </c>
      <c r="AQ347" s="200">
        <v>0</v>
      </c>
      <c r="AR347" s="205"/>
      <c r="AS347" s="202">
        <v>0</v>
      </c>
      <c r="AT347" s="202">
        <f t="shared" si="535"/>
        <v>0</v>
      </c>
      <c r="AU347" s="205"/>
      <c r="AV347" s="245"/>
      <c r="AW347" s="246"/>
      <c r="AX347" s="246"/>
      <c r="AY347" s="245"/>
      <c r="AZ347" s="203">
        <f t="shared" si="523"/>
        <v>0.28000000000000003</v>
      </c>
      <c r="BA347" s="203">
        <v>0.08</v>
      </c>
      <c r="BB347" s="203">
        <v>0</v>
      </c>
      <c r="BC347" s="44">
        <f t="shared" si="524"/>
        <v>0.38</v>
      </c>
      <c r="BD347" s="44" cm="1">
        <f t="array" ref="BD347">_xlfn.IFS(AD347=0,"NA",AD347&gt;0,AH347/AD347)</f>
        <v>0.73684210526315796</v>
      </c>
      <c r="BE347" s="44">
        <f t="shared" si="525"/>
        <v>0.3</v>
      </c>
      <c r="BF347" s="44">
        <v>0</v>
      </c>
      <c r="BG347" s="44">
        <f t="shared" si="526"/>
        <v>0.32</v>
      </c>
      <c r="BH347" s="44">
        <v>0</v>
      </c>
      <c r="BI347" s="203">
        <f t="shared" si="527"/>
        <v>0</v>
      </c>
      <c r="BJ347" s="203" t="s">
        <v>115</v>
      </c>
      <c r="BK347" s="203">
        <f t="shared" si="536"/>
        <v>0.28000000000000003</v>
      </c>
      <c r="BL347" s="203">
        <v>0</v>
      </c>
      <c r="BM347" s="203" cm="1">
        <f t="array" ref="BM347">_xlfn.IFS(BD347="NA","NA",BD347&gt;100%,"100%",BD347&lt;100,BD347)</f>
        <v>0.73684210526315796</v>
      </c>
      <c r="BN347" s="203" cm="1">
        <f t="array" ref="BN347">_xlfn.IFS(BF347="NA","NA",BF347&gt;100%,"100%",BF347&lt;100,BF347)</f>
        <v>0</v>
      </c>
      <c r="BO347" s="203" cm="1">
        <f t="array" ref="BO347">_xlfn.IFS(BH347="NA","NA",BH347&gt;100%,"100%",BH347&lt;100,BH347)</f>
        <v>0</v>
      </c>
      <c r="BP347" s="203" t="str" cm="1">
        <f t="array" ref="BP347">_xlfn.IFS(BJ347="NA","NA",BJ347&gt;100%,"100%",BJ347&lt;100,BJ347)</f>
        <v>NA</v>
      </c>
      <c r="BQ347" s="204">
        <v>0.224</v>
      </c>
      <c r="BR347" s="45">
        <f t="shared" si="537"/>
        <v>6.2720000000000012E-2</v>
      </c>
      <c r="BS347" s="204">
        <v>1.7899999999999999E-2</v>
      </c>
      <c r="BT347" s="204">
        <v>0</v>
      </c>
      <c r="BU347" s="204">
        <v>0</v>
      </c>
      <c r="BV347" s="45">
        <f t="shared" si="528"/>
        <v>8.5120000000000001E-2</v>
      </c>
      <c r="BW347" s="45">
        <f t="shared" si="538"/>
        <v>6.2720000000000012E-2</v>
      </c>
      <c r="BX347" s="45">
        <f t="shared" si="539"/>
        <v>6.2720000000000012E-2</v>
      </c>
      <c r="BY347" s="45">
        <f t="shared" si="529"/>
        <v>6.7199999999999996E-2</v>
      </c>
      <c r="BZ347" s="45">
        <f t="shared" si="530"/>
        <v>0</v>
      </c>
      <c r="CA347" s="45">
        <f t="shared" si="540"/>
        <v>0</v>
      </c>
      <c r="CB347" s="45">
        <f t="shared" si="531"/>
        <v>7.1680000000000008E-2</v>
      </c>
      <c r="CC347" s="45">
        <f t="shared" si="532"/>
        <v>0</v>
      </c>
      <c r="CD347" s="45">
        <v>0</v>
      </c>
      <c r="CE347" s="204">
        <f t="shared" si="533"/>
        <v>0</v>
      </c>
      <c r="CF347" s="204" t="str">
        <f t="shared" si="534"/>
        <v>NA</v>
      </c>
      <c r="CG347" s="204">
        <v>0</v>
      </c>
      <c r="CH347" s="246"/>
      <c r="CI347" s="246"/>
      <c r="CJ347" s="246"/>
      <c r="CK347" s="246"/>
      <c r="CL347" s="48"/>
      <c r="CM347" s="63">
        <v>0.28000000000000003</v>
      </c>
      <c r="CN347" s="48"/>
      <c r="CO347" s="48"/>
      <c r="CP347" s="48"/>
      <c r="CQ347" s="48"/>
      <c r="CR347" s="48"/>
      <c r="CS347" s="48"/>
      <c r="CT347" s="48"/>
      <c r="CU347" s="48"/>
      <c r="CV347" s="48"/>
      <c r="CW347" s="48"/>
      <c r="CX347" s="48"/>
      <c r="CY347" s="48"/>
      <c r="CZ347" s="48"/>
      <c r="DA347" s="48"/>
      <c r="DB347" s="48"/>
      <c r="DC347" s="48"/>
      <c r="DD347" s="48"/>
      <c r="DE347" s="48"/>
      <c r="DF347" s="48"/>
      <c r="DG347" s="48"/>
      <c r="DH347" s="48"/>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c r="GL347" s="48"/>
      <c r="GM347" s="48"/>
      <c r="GN347" s="48"/>
      <c r="GO347" s="48"/>
      <c r="GP347" s="48"/>
      <c r="GQ347" s="48"/>
      <c r="GR347" s="48"/>
      <c r="GS347" s="48"/>
      <c r="GT347" s="48"/>
      <c r="GU347" s="48"/>
      <c r="GV347" s="48"/>
      <c r="GW347" s="48"/>
      <c r="GX347" s="48"/>
      <c r="GY347" s="48"/>
      <c r="GZ347" s="48"/>
      <c r="HA347" s="48"/>
      <c r="HB347" s="48"/>
      <c r="HC347" s="48"/>
      <c r="HD347" s="48"/>
      <c r="HE347" s="48"/>
      <c r="HF347" s="48"/>
      <c r="HG347" s="48"/>
      <c r="HH347" s="48"/>
      <c r="HI347" s="48"/>
      <c r="HJ347" s="48"/>
      <c r="HK347" s="48"/>
      <c r="HL347" s="48"/>
      <c r="HM347" s="48"/>
      <c r="HN347" s="48"/>
      <c r="HO347" s="48"/>
      <c r="HP347" s="48"/>
      <c r="HQ347" s="48"/>
      <c r="HR347" s="48"/>
      <c r="HS347" s="48"/>
      <c r="HT347" s="48"/>
      <c r="HU347" s="48"/>
      <c r="HV347" s="48"/>
      <c r="HW347" s="48"/>
      <c r="HX347" s="48"/>
      <c r="HY347" s="48"/>
      <c r="HZ347" s="48"/>
      <c r="IA347" s="48"/>
      <c r="IB347" s="48"/>
      <c r="IC347" s="48"/>
      <c r="ID347" s="48"/>
      <c r="IE347" s="48"/>
      <c r="IF347" s="48"/>
      <c r="IG347" s="48"/>
      <c r="IH347" s="48"/>
      <c r="II347" s="48"/>
      <c r="IJ347" s="48"/>
      <c r="IK347" s="48"/>
      <c r="IL347" s="48"/>
      <c r="IM347" s="48"/>
      <c r="IN347" s="48"/>
      <c r="IO347" s="48"/>
      <c r="IP347" s="48"/>
      <c r="IQ347" s="48"/>
      <c r="IR347" s="48"/>
      <c r="IS347" s="48"/>
      <c r="IT347" s="48"/>
      <c r="IU347" s="48"/>
      <c r="IV347" s="48"/>
      <c r="IW347" s="48"/>
      <c r="IX347" s="48"/>
      <c r="IY347" s="48"/>
      <c r="IZ347" s="48"/>
      <c r="JA347" s="48"/>
    </row>
    <row r="348" spans="1:261" s="16" customFormat="1" ht="18" hidden="1" customHeight="1">
      <c r="A348" s="198" t="s">
        <v>388</v>
      </c>
      <c r="B348" s="198" t="s">
        <v>389</v>
      </c>
      <c r="C348" s="198" t="s">
        <v>2129</v>
      </c>
      <c r="D348" s="198" t="s">
        <v>2232</v>
      </c>
      <c r="E348" s="198" t="s">
        <v>2233</v>
      </c>
      <c r="F348" s="198" t="s">
        <v>2234</v>
      </c>
      <c r="G348" s="198" t="s">
        <v>2235</v>
      </c>
      <c r="H348" s="198" t="s">
        <v>2259</v>
      </c>
      <c r="I348" s="198" t="s">
        <v>200</v>
      </c>
      <c r="J348" s="198"/>
      <c r="K348" s="198" t="s">
        <v>2260</v>
      </c>
      <c r="L348" s="198" t="s">
        <v>2261</v>
      </c>
      <c r="M348" s="198" t="s">
        <v>2262</v>
      </c>
      <c r="N348" s="198" t="s">
        <v>111</v>
      </c>
      <c r="O348" s="198" t="s">
        <v>124</v>
      </c>
      <c r="P348" s="199">
        <v>1</v>
      </c>
      <c r="Q348" s="200">
        <v>1</v>
      </c>
      <c r="R348" s="11">
        <f>(Z348+AH348)/CL348</f>
        <v>0.48</v>
      </c>
      <c r="S348" s="200">
        <f>VLOOKUP(K348,'1123 Transporte'!$K$13:$AK$23,9,0)</f>
        <v>0</v>
      </c>
      <c r="T348" s="200">
        <v>0</v>
      </c>
      <c r="U348" s="200">
        <v>1</v>
      </c>
      <c r="V348" s="200">
        <v>0</v>
      </c>
      <c r="W348" s="200">
        <v>1</v>
      </c>
      <c r="X348" s="200" t="s">
        <v>115</v>
      </c>
      <c r="Y348" s="200">
        <v>1</v>
      </c>
      <c r="Z348" s="200">
        <v>1</v>
      </c>
      <c r="AA348" s="200" t="s">
        <v>2263</v>
      </c>
      <c r="AB348" s="200" t="s">
        <v>2264</v>
      </c>
      <c r="AC348" s="200">
        <v>0</v>
      </c>
      <c r="AD348" s="11">
        <v>0</v>
      </c>
      <c r="AE348" s="11">
        <v>1</v>
      </c>
      <c r="AF348" s="200">
        <f>VLOOKUP(K348,'1123 Transporte'!$K$13:$AK$23,22,0)</f>
        <v>0</v>
      </c>
      <c r="AG348" s="200">
        <f>VLOOKUP(K348,'1123 Transporte'!$K$13:$AK$23,23,0)</f>
        <v>0.92</v>
      </c>
      <c r="AH348" s="11">
        <f>AG348</f>
        <v>0.92</v>
      </c>
      <c r="AI348" s="200" t="str">
        <f>VLOOKUP(K348,'1123 Transporte'!$K$13:$AK$23,25,0)</f>
        <v xml:space="preserve">GARANTIZAR LOS RECURSOS NECESARIOS PARA QUE EL ENTE GESTOR
Se mantiene la operacion del ente gestor con el seguimiento de los recursos de la secretaria de transporte y movilidad
</v>
      </c>
      <c r="AJ348" s="200" t="str">
        <f>VLOOKUP(K348,'1123 Transporte'!$K$13:$AK$23,26,0)</f>
        <v>META 353
 ES UNA META DE MANTENIMIENTO CON LOS PAGOS DE SUBVENCION ANUAL AL ENTE GESTORMETA 353 AVANCE MES DE MAYO
•	Se mantiene la operación del ente gestor de los proyectos de transporte masivo regional de manera financiera.
•	 Ente gestor EFR, pagos por subvención; valor total $9.000.000.000, valor cancelado a la fecha $ 3.000.000.000 (para proyectos Regiotram Occ. Y TM Fase II y Fase III). 
Avance mes de julio 30 La Secretaria de Transporte y Movilidad, ha venido garantizando los recursos necesarios que requiere el
ente gestor (EMPRESA FERREA REGIONAL), para el mantenimiento y sostenibilidad de acuerdo a la figura de
subvención, Para la presente vigencia se estableció mediante acto administrativo (Resolución 054 del 6 de
mayo de 2021) “POR MEDIO DE LA CUAL SE ORDENA EL GIRO DE SUBVENCIÓN A CARGO DEL
DEPARTAMENTO DE CUNDINAMARCA – SECRETARÍA DE TRANSPORTE Y MOVILIDAD EN FAVOR DE LA
EMPRESA FÉRRERA REGIONAL S.A.S”, realizar desembolsos en NUEVE (9) pagos así: el primero por valor de
TRES MIL MILLONES DE PESOS MCT ($3.000.000.000) pagaderos en el mes de mayo de 2021 y los OCHO(8)
restantes por valor de SETECIENTOS CINCUENTA MILLONES DE PESOS MTCE ( $ 750.000.000) mes vencido,
por concepto de subvención. En cumplimiento de lo anterior la Secretaria de Transporte y Movilidad</v>
      </c>
      <c r="AK348" s="200">
        <f>VLOOKUP(K348,'1123 Transporte'!$K$13:$AK$23,27,0)</f>
        <v>0</v>
      </c>
      <c r="AL348" s="200">
        <v>0</v>
      </c>
      <c r="AM348" s="200">
        <v>1</v>
      </c>
      <c r="AN348" s="200">
        <v>0</v>
      </c>
      <c r="AO348" s="200">
        <v>1</v>
      </c>
      <c r="AP348" s="200">
        <v>0</v>
      </c>
      <c r="AQ348" s="200">
        <v>0</v>
      </c>
      <c r="AR348" s="205"/>
      <c r="AS348" s="202">
        <v>2000000</v>
      </c>
      <c r="AT348" s="202">
        <f t="shared" si="535"/>
        <v>2000000</v>
      </c>
      <c r="AU348" s="205"/>
      <c r="AV348" s="245">
        <v>9000000000</v>
      </c>
      <c r="AW348" s="246"/>
      <c r="AX348" s="246"/>
      <c r="AY348" s="245">
        <v>9000000000</v>
      </c>
      <c r="AZ348" s="44" cm="1">
        <f t="array" ref="AZ348">_xlfn.IFS((BA348=0),(BD348/CL348),(BA348&gt;0),((BB348+BD348)/CL348),(BE348&gt;0),((BB348+BD348+BE348)/CL348),(BG348&gt;0),((BB348+BD348+BE348+G348)/CL348))</f>
        <v>0.48</v>
      </c>
      <c r="BA348" s="203">
        <v>0.25</v>
      </c>
      <c r="BB348" s="203">
        <v>1</v>
      </c>
      <c r="BC348" s="44">
        <f>IF(AE348&gt;0,(1/CL348),0)</f>
        <v>0.25</v>
      </c>
      <c r="BD348" s="44" cm="1">
        <f t="array" ref="BD348">_xlfn.IFS(AE348=0,"NA",AE348&gt;0,AH348/AE348)</f>
        <v>0.92</v>
      </c>
      <c r="BE348" s="44">
        <f>IF(AM348&gt;0,(1/CL348),0)</f>
        <v>0.25</v>
      </c>
      <c r="BF348" s="44">
        <v>0</v>
      </c>
      <c r="BG348" s="44">
        <f>IF(AO348&gt;0,(1/CL348),0)</f>
        <v>0.25</v>
      </c>
      <c r="BH348" s="44">
        <v>0</v>
      </c>
      <c r="BI348" s="203">
        <v>0</v>
      </c>
      <c r="BJ348" s="203" t="s">
        <v>115</v>
      </c>
      <c r="BK348" s="203">
        <f t="shared" si="536"/>
        <v>0.48</v>
      </c>
      <c r="BL348" s="203">
        <v>1</v>
      </c>
      <c r="BM348" s="203" cm="1">
        <f t="array" ref="BM348">_xlfn.IFS(BD348="NA","NA",BD348&gt;100%,"100%",BD348&lt;100,BD348)</f>
        <v>0.92</v>
      </c>
      <c r="BN348" s="203">
        <v>0</v>
      </c>
      <c r="BO348" s="203">
        <v>0</v>
      </c>
      <c r="BP348" s="203" t="s">
        <v>115</v>
      </c>
      <c r="BQ348" s="204">
        <v>0.224</v>
      </c>
      <c r="BR348" s="204">
        <f t="shared" ref="BR348:BR395" si="541">BQ348*BK348</f>
        <v>0.10752</v>
      </c>
      <c r="BS348" s="204">
        <v>5.6000000000000001E-2</v>
      </c>
      <c r="BT348" s="204">
        <v>5.6000000000000001E-2</v>
      </c>
      <c r="BU348" s="204">
        <v>5.6000000000000001E-2</v>
      </c>
      <c r="BV348" s="204">
        <v>5.6000000000000001E-2</v>
      </c>
      <c r="BW348" s="45">
        <f t="shared" si="538"/>
        <v>5.1520000000000003E-2</v>
      </c>
      <c r="BX348" s="45">
        <f t="shared" si="539"/>
        <v>5.1520000000000003E-2</v>
      </c>
      <c r="BY348" s="204">
        <v>5.6000000000000001E-2</v>
      </c>
      <c r="BZ348" s="204">
        <v>0</v>
      </c>
      <c r="CA348" s="204">
        <f t="shared" ref="CA348:CA392" si="542">BR348-BU348-BX348</f>
        <v>0</v>
      </c>
      <c r="CB348" s="204">
        <v>5.6000000000000001E-2</v>
      </c>
      <c r="CC348" s="204">
        <v>0</v>
      </c>
      <c r="CD348" s="204">
        <v>0</v>
      </c>
      <c r="CE348" s="204">
        <v>0</v>
      </c>
      <c r="CF348" s="204" t="s">
        <v>115</v>
      </c>
      <c r="CG348" s="204">
        <v>0</v>
      </c>
      <c r="CH348" s="244">
        <f>IF(W348&gt;0,1,0)</f>
        <v>1</v>
      </c>
      <c r="CI348" s="244">
        <f>IF(AE348&gt;0,1,0)</f>
        <v>1</v>
      </c>
      <c r="CJ348" s="244">
        <f>IF(AM348&gt;0,1,0)</f>
        <v>1</v>
      </c>
      <c r="CK348" s="244">
        <f>IF(AO348&gt;0,1,0)</f>
        <v>1</v>
      </c>
      <c r="CL348">
        <f>CH348+CI348+CJ348+CK348</f>
        <v>4</v>
      </c>
      <c r="CM348" s="63">
        <f>AVERAGE(Z348,AH348)</f>
        <v>0.96</v>
      </c>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c r="DJ348" s="48"/>
      <c r="DK348" s="48"/>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c r="FA348" s="48"/>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c r="GB348" s="48"/>
      <c r="GC348" s="48"/>
      <c r="GD348" s="48"/>
      <c r="GE348" s="48"/>
      <c r="GF348" s="48"/>
      <c r="GG348" s="48"/>
      <c r="GH348" s="48"/>
      <c r="GI348" s="48"/>
      <c r="GJ348" s="48"/>
      <c r="GK348" s="48"/>
      <c r="GL348" s="48"/>
      <c r="GM348" s="48"/>
      <c r="GN348" s="48"/>
      <c r="GO348" s="48"/>
      <c r="GP348" s="48"/>
      <c r="GQ348" s="48"/>
      <c r="GR348" s="48"/>
      <c r="GS348" s="48"/>
      <c r="GT348" s="48"/>
      <c r="GU348" s="48"/>
      <c r="GV348" s="48"/>
      <c r="GW348" s="48"/>
      <c r="GX348" s="48"/>
      <c r="GY348" s="48"/>
      <c r="GZ348" s="48"/>
      <c r="HA348" s="48"/>
      <c r="HB348" s="48"/>
      <c r="HC348" s="48"/>
      <c r="HD348" s="48"/>
      <c r="HE348" s="48"/>
      <c r="HF348" s="48"/>
      <c r="HG348" s="48"/>
      <c r="HH348" s="48"/>
      <c r="HI348" s="48"/>
      <c r="HJ348" s="48"/>
      <c r="HK348" s="48"/>
      <c r="HL348" s="48"/>
      <c r="HM348" s="48"/>
      <c r="HN348" s="48"/>
      <c r="HO348" s="48"/>
      <c r="HP348" s="48"/>
      <c r="HQ348" s="48"/>
      <c r="HR348" s="48"/>
      <c r="HS348" s="48"/>
      <c r="HT348" s="48"/>
      <c r="HU348" s="48"/>
      <c r="HV348" s="48"/>
      <c r="HW348" s="48"/>
      <c r="HX348" s="48"/>
      <c r="HY348" s="48"/>
      <c r="HZ348" s="48"/>
      <c r="IA348" s="48"/>
      <c r="IB348" s="48"/>
      <c r="IC348" s="48"/>
      <c r="ID348" s="48"/>
      <c r="IE348" s="48"/>
      <c r="IF348" s="48"/>
      <c r="IG348" s="48"/>
      <c r="IH348" s="48"/>
      <c r="II348" s="48"/>
      <c r="IJ348" s="48"/>
      <c r="IK348" s="48"/>
      <c r="IL348" s="48"/>
      <c r="IM348" s="48"/>
      <c r="IN348" s="48"/>
      <c r="IO348" s="48"/>
      <c r="IP348" s="48"/>
      <c r="IQ348" s="48"/>
      <c r="IR348" s="48"/>
      <c r="IS348" s="48"/>
      <c r="IT348" s="48"/>
      <c r="IU348" s="48"/>
      <c r="IV348" s="48"/>
      <c r="IW348" s="48"/>
      <c r="IX348" s="48"/>
      <c r="IY348" s="48"/>
      <c r="IZ348" s="48"/>
      <c r="JA348" s="48"/>
    </row>
    <row r="349" spans="1:261" s="16" customFormat="1" ht="18" hidden="1" customHeight="1">
      <c r="A349" s="198" t="s">
        <v>388</v>
      </c>
      <c r="B349" s="198" t="s">
        <v>389</v>
      </c>
      <c r="C349" s="198" t="s">
        <v>2129</v>
      </c>
      <c r="D349" s="198" t="s">
        <v>2232</v>
      </c>
      <c r="E349" s="198" t="s">
        <v>2233</v>
      </c>
      <c r="F349" s="198" t="s">
        <v>2234</v>
      </c>
      <c r="G349" s="198" t="s">
        <v>2235</v>
      </c>
      <c r="H349" s="198" t="s">
        <v>2265</v>
      </c>
      <c r="I349" s="198" t="s">
        <v>200</v>
      </c>
      <c r="J349" s="198"/>
      <c r="K349" s="198" t="s">
        <v>2266</v>
      </c>
      <c r="L349" s="198" t="s">
        <v>2267</v>
      </c>
      <c r="M349" s="198" t="s">
        <v>2268</v>
      </c>
      <c r="N349" s="198" t="s">
        <v>111</v>
      </c>
      <c r="O349" s="198" t="s">
        <v>112</v>
      </c>
      <c r="P349" s="199">
        <v>0</v>
      </c>
      <c r="Q349" s="200">
        <v>1</v>
      </c>
      <c r="R349" s="11">
        <f t="shared" ref="R349:R358" si="543">Z349+AH349</f>
        <v>0.26</v>
      </c>
      <c r="S349" s="200">
        <f>VLOOKUP(K349,'1123 Transporte'!$K$13:$AK$23,9,0)</f>
        <v>0</v>
      </c>
      <c r="T349" s="200">
        <v>7.0000000000000007E-2</v>
      </c>
      <c r="U349" s="200">
        <v>0</v>
      </c>
      <c r="V349" s="200">
        <v>0</v>
      </c>
      <c r="W349" s="200">
        <v>0</v>
      </c>
      <c r="X349" s="200">
        <v>0</v>
      </c>
      <c r="Y349" s="200">
        <v>0</v>
      </c>
      <c r="Z349" s="200">
        <v>0</v>
      </c>
      <c r="AA349" s="200"/>
      <c r="AB349" s="200"/>
      <c r="AC349" s="200"/>
      <c r="AD349" s="11">
        <v>0.32</v>
      </c>
      <c r="AE349" s="11">
        <v>0</v>
      </c>
      <c r="AF349" s="200">
        <f>VLOOKUP(K349,'1123 Transporte'!$K$13:$AK$23,22,0)</f>
        <v>0.26</v>
      </c>
      <c r="AG349" s="200">
        <f>VLOOKUP(K349,'1123 Transporte'!$K$13:$AK$23,23,0)</f>
        <v>0</v>
      </c>
      <c r="AH349" s="11">
        <f t="shared" ref="AH349:AH358" si="544">AF349</f>
        <v>0.26</v>
      </c>
      <c r="AI349" s="200" t="str">
        <f>VLOOKUP(K349,'1123 Transporte'!$K$13:$AK$23,25,0)</f>
        <v>Estudio de viabilidad</v>
      </c>
      <c r="AJ349" s="200" t="str">
        <f>VLOOKUP(K349,'1123 Transporte'!$K$13:$AK$23,26,0)</f>
        <v xml:space="preserve">META 354
AVANCE MES DE ABRIL.  Se realizó conversaciones previas con empresas de consultoria para definición y planeación de los estudios previos del proyecto META 354 AVANCE MES DE MAYO
-	Se realizó conversaciones previas con empresas de consultoría para definición y planeación de los estudios previos del proyecto.
AVANCE MES DE JULIO
-Proyecto en etapa de búsqueda de constructora para definir etapas de planeación y elaboración de estudios
*Se realizó conversaciones previas con empresas de consultoría para definición y planeación de los estudios previos del proyecto.
*Proyecto en etapa de búsqueda de constructora para definir etapas de planeación y elaboración de estudios
Avance mes de agosto 
Se acepta invitación a reunión con el IDU el día 26 de agosto del presente año, para entablar diálogos sobre el “Tren del Sur”, ya que el IDU cuenta con un proyecto similar a la Meta 354 del Departamento. El IDU tiene con un objeto: “Realizar la estructuración integral a nivel de prefactibilidad del corredor férreo del sur en la modalidad ferroviaria y su articulación con otros proyectos de transporte de la región Bogotá-Cundinamarca”; por consiguiente solicita a Empresas Férreas y al Departamento de Cundinamarca una unión estratégica para ejecutar Tren del Sur; por el momento el IDU cuenta con los recursos para realizar el convenio con la Financiera de Desarrollo Nacional para realizar estructuración del proyecto; la unión estratégica tiene como objetivo a futuro trabajar de la mano IDU, Departamento y Municipio de Soacha.
Avance mes de septiembre
A la fecha el IDU tiene adelantado los términos de referencia con la financiera de desarrollo nacional y el convenio con el metro de Bogotá.
Avances a Octubre de 2021
Se adelantó reunión entre el Departamento, la Secretaria de Movilidad, la Empresa Férrea y el IDU  En este encuentro el IDU presentó el conjunto de estudios previos para la construcción de un Proyecto similar a esta meta como referente. En razón a lo anterior se busca que el Departamento pueda adherirse al desarrollo de este proyecto.
El paso a seguir en este proceso es realizar el contacto respectivo con el Distrito para analizar la viabilidad de adelantar el proyecto de manera conjunta buscando la adhesión al mismo por parte del Departamento. Teniendo en cuenta que el IDU celebró convenio con la empresa Metro para adelantar el proyecto de Estudios de Pre factibilidad.
En razón a lo anterior, se proyectó oficio dirigido a Planeación Distrital con el fin de poner a consideración la viabilidad para la adhesión del Departamento en el desarrollo del proyecto mencionado.
</v>
      </c>
      <c r="AK349" s="200">
        <f>VLOOKUP(K349,'1123 Transporte'!$K$13:$AK$23,27,0)</f>
        <v>0</v>
      </c>
      <c r="AL349" s="200">
        <v>0.35</v>
      </c>
      <c r="AM349" s="200">
        <v>0</v>
      </c>
      <c r="AN349" s="200">
        <v>0.33</v>
      </c>
      <c r="AO349" s="200">
        <v>0</v>
      </c>
      <c r="AP349" s="200">
        <v>0</v>
      </c>
      <c r="AQ349" s="200">
        <v>0</v>
      </c>
      <c r="AR349" s="205"/>
      <c r="AS349" s="202">
        <v>0</v>
      </c>
      <c r="AT349" s="202">
        <f t="shared" si="535"/>
        <v>0</v>
      </c>
      <c r="AU349" s="205"/>
      <c r="AV349" s="245">
        <v>0</v>
      </c>
      <c r="AW349" s="246"/>
      <c r="AX349" s="246"/>
      <c r="AY349" s="245">
        <v>0</v>
      </c>
      <c r="AZ349" s="203">
        <f t="shared" ref="AZ349:AZ358" si="545">R349/Q349</f>
        <v>0.26</v>
      </c>
      <c r="BA349" s="203">
        <v>0</v>
      </c>
      <c r="BB349" s="203" t="s">
        <v>115</v>
      </c>
      <c r="BC349" s="44">
        <f t="shared" ref="BC349:BC358" si="546">AD349/Q349</f>
        <v>0.32</v>
      </c>
      <c r="BD349" s="44" cm="1">
        <f t="array" ref="BD349">_xlfn.IFS(AD349=0,"NA",AD349&gt;0,AH349/AD349)</f>
        <v>0.8125</v>
      </c>
      <c r="BE349" s="44">
        <f t="shared" ref="BE349:BE358" si="547">AL349/Q349</f>
        <v>0.35</v>
      </c>
      <c r="BF349" s="44">
        <v>0</v>
      </c>
      <c r="BG349" s="44">
        <f t="shared" ref="BG349:BG358" si="548">AN349/Q349</f>
        <v>0.33</v>
      </c>
      <c r="BH349" s="44">
        <v>0</v>
      </c>
      <c r="BI349" s="203">
        <f t="shared" ref="BI349:BI358" si="549">AP349/Q349</f>
        <v>0</v>
      </c>
      <c r="BJ349" s="203" t="s">
        <v>115</v>
      </c>
      <c r="BK349" s="203">
        <f t="shared" si="536"/>
        <v>0.26</v>
      </c>
      <c r="BL349" s="203" t="s">
        <v>115</v>
      </c>
      <c r="BM349" s="203" cm="1">
        <f t="array" ref="BM349">_xlfn.IFS(BD349="NA","NA",BD349&gt;100%,"100%",BD349&lt;100,BD349)</f>
        <v>0.8125</v>
      </c>
      <c r="BN349" s="203" cm="1">
        <f t="array" ref="BN349">_xlfn.IFS(BF349="NA","NA",BF349&gt;100%,"100%",BF349&lt;100,BF349)</f>
        <v>0</v>
      </c>
      <c r="BO349" s="203" cm="1">
        <f t="array" ref="BO349">_xlfn.IFS(BH349="NA","NA",BH349&gt;100%,"100%",BH349&lt;100,BH349)</f>
        <v>0</v>
      </c>
      <c r="BP349" s="203" t="str" cm="1">
        <f t="array" ref="BP349">_xlfn.IFS(BJ349="NA","NA",BJ349&gt;100%,"100%",BJ349&lt;100,BJ349)</f>
        <v>NA</v>
      </c>
      <c r="BQ349" s="204">
        <v>0.224</v>
      </c>
      <c r="BR349" s="45">
        <f t="shared" si="541"/>
        <v>5.824E-2</v>
      </c>
      <c r="BS349" s="204">
        <v>0</v>
      </c>
      <c r="BT349" s="204" t="s">
        <v>115</v>
      </c>
      <c r="BU349" s="204">
        <v>0</v>
      </c>
      <c r="BV349" s="45">
        <f t="shared" ref="BV349:BV358" si="550">(AD349*BQ349)/Q349</f>
        <v>7.1680000000000008E-2</v>
      </c>
      <c r="BW349" s="45">
        <f t="shared" ref="BW349:BW395" si="551">IF(BM349="NA","NA",BM349*BV349)</f>
        <v>5.8240000000000007E-2</v>
      </c>
      <c r="BX349" s="45">
        <f t="shared" ref="BX349:BX395" si="552">BR349-BU349</f>
        <v>5.824E-2</v>
      </c>
      <c r="BY349" s="45">
        <f t="shared" ref="BY349:BY358" si="553">(AL349*BQ349)/Q349</f>
        <v>7.8399999999999997E-2</v>
      </c>
      <c r="BZ349" s="45">
        <f t="shared" ref="BZ349:BZ358" si="554">IF(BN349="NA","NA",BN349*BY349)</f>
        <v>0</v>
      </c>
      <c r="CA349" s="45">
        <f t="shared" si="542"/>
        <v>0</v>
      </c>
      <c r="CB349" s="45">
        <f t="shared" ref="CB349:CB358" si="555">(AN349*BQ349)/Q349</f>
        <v>7.392E-2</v>
      </c>
      <c r="CC349" s="45">
        <f t="shared" ref="CC349:CC358" si="556">IF(BO349="NA","NA",BO349*CB349)</f>
        <v>0</v>
      </c>
      <c r="CD349" s="45">
        <v>0</v>
      </c>
      <c r="CE349" s="204">
        <f t="shared" ref="CE349:CE358" si="557">(AP349*BQ349)/Q349</f>
        <v>0</v>
      </c>
      <c r="CF349" s="204" t="str">
        <f t="shared" ref="CF349:CF358" si="558">IF(BP349="NA","NA",BP349*CE349)</f>
        <v>NA</v>
      </c>
      <c r="CG349" s="204">
        <v>0</v>
      </c>
      <c r="CH349" s="246"/>
      <c r="CI349" s="246"/>
      <c r="CJ349" s="246"/>
      <c r="CK349" s="246"/>
      <c r="CL349" s="48"/>
      <c r="CM349" s="63">
        <v>0.24</v>
      </c>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c r="GT349" s="48"/>
      <c r="GU349" s="48"/>
      <c r="GV349" s="48"/>
      <c r="GW349" s="48"/>
      <c r="GX349" s="48"/>
      <c r="GY349" s="48"/>
      <c r="GZ349" s="48"/>
      <c r="HA349" s="48"/>
      <c r="HB349" s="48"/>
      <c r="HC349" s="48"/>
      <c r="HD349" s="48"/>
      <c r="HE349" s="48"/>
      <c r="HF349" s="48"/>
      <c r="HG349" s="48"/>
      <c r="HH349" s="48"/>
      <c r="HI349" s="48"/>
      <c r="HJ349" s="48"/>
      <c r="HK349" s="48"/>
      <c r="HL349" s="48"/>
      <c r="HM349" s="48"/>
      <c r="HN349" s="48"/>
      <c r="HO349" s="48"/>
      <c r="HP349" s="48"/>
      <c r="HQ349" s="48"/>
      <c r="HR349" s="48"/>
      <c r="HS349" s="48"/>
      <c r="HT349" s="48"/>
      <c r="HU349" s="48"/>
      <c r="HV349" s="48"/>
      <c r="HW349" s="48"/>
      <c r="HX349" s="48"/>
      <c r="HY349" s="48"/>
      <c r="HZ349" s="48"/>
      <c r="IA349" s="48"/>
      <c r="IB349" s="48"/>
      <c r="IC349" s="48"/>
      <c r="ID349" s="48"/>
      <c r="IE349" s="48"/>
      <c r="IF349" s="48"/>
      <c r="IG349" s="48"/>
      <c r="IH349" s="48"/>
      <c r="II349" s="48"/>
      <c r="IJ349" s="48"/>
      <c r="IK349" s="48"/>
      <c r="IL349" s="48"/>
      <c r="IM349" s="48"/>
      <c r="IN349" s="48"/>
      <c r="IO349" s="48"/>
      <c r="IP349" s="48"/>
      <c r="IQ349" s="48"/>
      <c r="IR349" s="48"/>
      <c r="IS349" s="48"/>
      <c r="IT349" s="48"/>
      <c r="IU349" s="48"/>
      <c r="IV349" s="48"/>
      <c r="IW349" s="48"/>
      <c r="IX349" s="48"/>
      <c r="IY349" s="48"/>
      <c r="IZ349" s="48"/>
      <c r="JA349" s="48"/>
    </row>
    <row r="350" spans="1:261" s="16" customFormat="1" ht="18" hidden="1" customHeight="1">
      <c r="A350" s="198" t="s">
        <v>388</v>
      </c>
      <c r="B350" s="198" t="s">
        <v>389</v>
      </c>
      <c r="C350" s="198" t="s">
        <v>2129</v>
      </c>
      <c r="D350" s="198" t="s">
        <v>2232</v>
      </c>
      <c r="E350" s="198" t="s">
        <v>2233</v>
      </c>
      <c r="F350" s="198" t="s">
        <v>2234</v>
      </c>
      <c r="G350" s="198" t="s">
        <v>2235</v>
      </c>
      <c r="H350" s="198" t="s">
        <v>2269</v>
      </c>
      <c r="I350" s="198" t="s">
        <v>200</v>
      </c>
      <c r="J350" s="198"/>
      <c r="K350" s="198" t="s">
        <v>2270</v>
      </c>
      <c r="L350" s="198" t="s">
        <v>2271</v>
      </c>
      <c r="M350" s="198" t="s">
        <v>2272</v>
      </c>
      <c r="N350" s="198" t="s">
        <v>111</v>
      </c>
      <c r="O350" s="198" t="s">
        <v>112</v>
      </c>
      <c r="P350" s="199">
        <v>1</v>
      </c>
      <c r="Q350" s="200">
        <v>1</v>
      </c>
      <c r="R350" s="11">
        <f t="shared" si="543"/>
        <v>0.35</v>
      </c>
      <c r="S350" s="200">
        <f>VLOOKUP(K350,'1123 Transporte'!$K$13:$AK$23,9,0)</f>
        <v>0</v>
      </c>
      <c r="T350" s="200">
        <v>0.08</v>
      </c>
      <c r="U350" s="200">
        <v>0</v>
      </c>
      <c r="V350" s="200">
        <v>0.08</v>
      </c>
      <c r="W350" s="200">
        <v>0</v>
      </c>
      <c r="X350" s="200">
        <v>0</v>
      </c>
      <c r="Y350" s="200">
        <v>0</v>
      </c>
      <c r="Z350" s="200">
        <v>0</v>
      </c>
      <c r="AA350" s="200">
        <v>0</v>
      </c>
      <c r="AB350" s="200"/>
      <c r="AC350" s="200">
        <v>0</v>
      </c>
      <c r="AD350" s="11">
        <v>0.38</v>
      </c>
      <c r="AE350" s="11">
        <v>0</v>
      </c>
      <c r="AF350" s="200">
        <f>VLOOKUP(K350,'1123 Transporte'!$K$13:$AK$23,22,0)</f>
        <v>0.35</v>
      </c>
      <c r="AG350" s="200">
        <f>VLOOKUP(K350,'1123 Transporte'!$K$13:$AK$23,23,0)</f>
        <v>0</v>
      </c>
      <c r="AH350" s="11">
        <f t="shared" si="544"/>
        <v>0.35</v>
      </c>
      <c r="AI350" s="200" t="str">
        <f>VLOOKUP(K350,'1123 Transporte'!$K$13:$AK$23,25,0)</f>
        <v xml:space="preserve">Elaboracion de documento tecnico
Convenio con la policía nacional por $1.781 .060 millones de Pesos
</v>
      </c>
      <c r="AJ350" s="200" t="str">
        <f>VLOOKUP(K350,'1123 Transporte'!$K$13:$AK$23,26,0)</f>
        <v xml:space="preserve">META 355
 Se crea el grupo de trabajo para el desarrollo de campañas en movilidad con seguridad mediante intervenciones pedagógicas y asesora Jurídica en procura se garantizar la eficiencia institucional en el marco de la implementación del Plan Maestro de movilidad en el Departamento. tendientes a prevenir la accidentalidad y fortalecer el autocontrol y la protección en las vías del Departamento.                         Convenio con la policía nacional por $1.781 .060 millones de Pesos
Avance mes de septiembre
Se formulan estrategias y actividades encaminadas a la elaboración y desarrollo del diagnóstico primera etapa del Plan Maestro de Movilidad, orientadas a la recopilación y recepción de información primaria y secundaria de los 116 municipios del departamento relacionada con el tránsito, transporte y movilidad.
IMPLEMENTACIÓN DEL PLAN MAESTRO DE MOVILIDAD-META 355
La Secretaria de Transporte y Movilidad de Cundinamarca lidera el proceso de implementación de un Plan Maestro de Movilidad a nivel departamental con dimensión municipal y regional cuyo propósito es establecer lineamientos que ayuden a mejorar la movilidad de las personas y su competitividad territorial mediante modos de transporte alternos y de movilidad sostenible y segura.
En razón a lo anterior, la Secretaria de Transporte y Movilidad viene desarrollando un trabajo articulado generando avances en la construcción del Plan Maestro de Movilidad del Departamento abordando cada una de las etapas necesarias de acuerdo a la resolución 20203040015885 del Ministerio de Transporte y en cumplimiento a los objetivos trazados en el marco de nuestro Plan de Desarrollo Departamental (2020-2024) “Cundinamarca región que progresa”. 
Avances mes septiembre 2021 
1.	Se ha venido recopilando y consolidando en una matriz respuestas a oficios enviados a las alcaldías de los 116 municipios del departamento donde se solicita información relacionada con el tránsito, transporte y movilidad.
•	Dentro de la información que le fue solicitada a cada municipio estuvo: Indicar el número de vehículos, particulares y de servicio público que se movilizan en el municipio, indicar las empresas que prestan servicio de transporte público en el municipio tanto urbano como rural, indicar si se presenta en el municipio un alto flujo vehicular, indicar el estado de las vías y rutas de transporte, calificar el estado de los medios no motorizados tal como sistema de andenes, alamedas, vías peatonales y ciclo infraestructura, calificar el estado de los dispositivos de control tal como señalización horizontal, señalización vertical, semaforización, sentidos viales entre otros, indicar si el municipio cuenta con terminal de transporte y/o centro de consolidación de carga y por último, describir que impactos ambientales negativos generados por contaminación se dan en el municipio.
El objetivo de esta estrategia se enmarca en recopilar información que permita realizar un diagnóstico sobre la situación actual en cuestión de movilidad y tránsito y transporte en cada uno de los 116 municipios del Departamento de Cundinamarca, permitiendo encaminar actuaciones técnicas que ayuden a garantizar la sostenibilidad y mejorar competitividad del departamento en términos de movilidad.
2.	Conformación de grupos de trabajo por profesiones para la construcción del diagnóstico primera etapa del Plan Maestro de Movilidad del Departamento. 
•	Se desarrollaron dos reuniones con cada uno de los grupos de trabajo. Por un lado, con el equipo financiero se establecieron diferentes tareas orientadas a la recolección de información financiera tal como (presupuesto, marco fiscal de proyección) por parte de entidades como el ICCU, IDACO y Secretaria de Hacienda de la Gobernación con el propósito de realizar un diagnóstico y análisis financiero de los proyectos que se han venido abordando en los últimos años en términos de movilidad en el departamento. Para estas tareas se establecieron como estrategias y actividades la realización de visitas a las diferentes entidades y la proyección de oficios con el propósito de recolectar dicha información, permitiendo así en la elaboración del diagnóstico financiero.
•	Con el equipo de trabajo de ingenieros que conforman el Plan Maestro de Movilidad también se establecieron una serie de tareas orientadas a caracterizar la red vial del departamento por provincias analizado cómo se encuentra la movilidad de las personas en términos de sostenibilidad, seguridad, conectividad y competitividad permitiendo así elaborar un informe que recoge dicha información. 
Documentos avances del diagnóstico: A la fecha el equipo de trabajo del Plan Maestro de Movilidad se encuentra aun recolectando información relacionada con el tránsito, transporte y movilidad de algunos municipios pendientes por brindarla; sin embargo, la que ya se recolecto se encuentra ya consolidada en una matriz. 
De igual forma, para la elaboración del diagnóstico financiero algunas entidades se encuentran pendientes por brindarla; sin embargo, con relación a la ya proporcionada se ha realizado ya un análisis sobre dicha información. 
De acuerdo con la caracterización de la red vial del departamento ya se encuentra elaborado el informe que detalla las vías de cada provincia del departamento el estado en que se encuentran y su afectación en la calidad de vida de las personas en términos de movilidad.
Avances Mes de Noviembre
1.	Para este periodo se ha venido avanzando en la recopilación y consolidación de información relacionada con el tránsito, transporte y movilidad de los 116 municipios del departamento, obteniendo cerca de un 52% de información.
•	Dicha información pretende ser analizada para así realizar la elaboración del Diagnóstico en cuanto al contexto local y regional con relación a la movilidad, tránsito y transporte.
El objetivo de la elaboración de este diagnóstico es presentar indicadores de movilidad de personas, carga tanto en el área urbana como rural, así como características relevantes de movilidad en cada municipio y cada provincia del departamento.
2.	Diagnóstico y análisis financiero del departamento entorno a los ingresos y gastos del sector movilidad, tránsito y transporte.
•	Para la elaboración de este diagnóstico el equipo financiero del Plan Maestro de Movilidad ha empleado como estrategia la proyección de oficios remitidos a cada una de las entidades competentes (Dirección de Presupuesto de la Secretaria de Hacienda, ICCU e IDACO) esto con el propósito de solicitar dicha información de manera más formal y en la mayor brevedad posible.
•	A la fecha se ha obtenido respuesta solamente por parte del ICCU de información relacionada con la inversión por el ICCU en el sector de transporte e infraestructura durante el cuatrienio 2016-2019 y vigencia de 2020 y 2021. Con la anterior información se ha venido adelantado el diagnóstico del departamento entorno a los ingresos y gastos del sector movilidad, tránsito y transporte. 
3.	Diagnóstico y análisis de la estructura urbana y rural del departamento 
•	Para este proceso el equipo de trabajo del Plan Maestro de Movilidad ha implementado como estrategia la elaboración de una base de datos caracterizando las vías del departamento por provincias y desarrollando un informe con dicha información. 
•	El objetivo principal de este trabajo es obtener información con relación al estado de la malla vial del departamento, modelo de ocupación territorial y usos del suelo. 
Documentos avances del diagnóstico: A la fecha el equipo de trabajo del Plan Maestro de Movilidad se encuentra aún en proceso de recolección de información relacionada con el tránsito, transporte y movilidad de algunos municipios pendientes por brindarla; sin embargo, con la información ya proporcionada por algunos municipios esta se encuentra ya consolidada en una matriz con el propósito de tener una base de datos que refleje la información de las 15 provincias y sus respectivos municipios.
De igual forma, para la elaboración del diagnóstico financiero se encuentran aún algunas entidades pendientes por proporcionar la información necesaria para este informe; sin embargo, con relación a la ya proporcionada se ha realizado un diagnóstico detallando la inversión por parte del ICCU en el sector de transporte e infraestructura y como ha incidido de manera importante en el desarrollo y competitividad del departamento.
De acuerdo con el diagnóstico y análisis de estructura urbana y rural del departamento aún se encuentra en proceso de elaboración el informe que detalla el estado de la malla vial del departamento.
</v>
      </c>
      <c r="AK350" s="200">
        <f>VLOOKUP(K350,'1123 Transporte'!$K$13:$AK$23,27,0)</f>
        <v>0</v>
      </c>
      <c r="AL350" s="200">
        <v>0.3</v>
      </c>
      <c r="AM350" s="200">
        <v>0</v>
      </c>
      <c r="AN350" s="200">
        <v>0.32</v>
      </c>
      <c r="AO350" s="200">
        <v>0</v>
      </c>
      <c r="AP350" s="200">
        <v>0</v>
      </c>
      <c r="AQ350" s="200">
        <v>0</v>
      </c>
      <c r="AR350" s="205"/>
      <c r="AS350" s="202">
        <v>2000000</v>
      </c>
      <c r="AT350" s="202">
        <f t="shared" si="535"/>
        <v>2000000</v>
      </c>
      <c r="AU350" s="205"/>
      <c r="AV350" s="245">
        <v>9854749059</v>
      </c>
      <c r="AW350" s="246"/>
      <c r="AX350" s="246"/>
      <c r="AY350" s="245">
        <v>8245714064</v>
      </c>
      <c r="AZ350" s="203">
        <f t="shared" si="545"/>
        <v>0.35</v>
      </c>
      <c r="BA350" s="203">
        <v>0.08</v>
      </c>
      <c r="BB350" s="203">
        <v>0</v>
      </c>
      <c r="BC350" s="44">
        <f t="shared" si="546"/>
        <v>0.38</v>
      </c>
      <c r="BD350" s="44" cm="1">
        <f t="array" ref="BD350">_xlfn.IFS(AD350=0,"NA",AD350&gt;0,AH350/AD350)</f>
        <v>0.92105263157894735</v>
      </c>
      <c r="BE350" s="44">
        <f t="shared" si="547"/>
        <v>0.3</v>
      </c>
      <c r="BF350" s="44">
        <v>0</v>
      </c>
      <c r="BG350" s="44">
        <f t="shared" si="548"/>
        <v>0.32</v>
      </c>
      <c r="BH350" s="44">
        <v>0</v>
      </c>
      <c r="BI350" s="203">
        <f t="shared" si="549"/>
        <v>0</v>
      </c>
      <c r="BJ350" s="203" t="s">
        <v>115</v>
      </c>
      <c r="BK350" s="203">
        <f t="shared" si="536"/>
        <v>0.35</v>
      </c>
      <c r="BL350" s="203">
        <v>0</v>
      </c>
      <c r="BM350" s="203" cm="1">
        <f t="array" ref="BM350">_xlfn.IFS(BD350="NA","NA",BD350&gt;100%,"100%",BD350&lt;100,BD350)</f>
        <v>0.92105263157894735</v>
      </c>
      <c r="BN350" s="203" cm="1">
        <f t="array" ref="BN350">_xlfn.IFS(BF350="NA","NA",BF350&gt;100%,"100%",BF350&lt;100,BF350)</f>
        <v>0</v>
      </c>
      <c r="BO350" s="203" cm="1">
        <f t="array" ref="BO350">_xlfn.IFS(BH350="NA","NA",BH350&gt;100%,"100%",BH350&lt;100,BH350)</f>
        <v>0</v>
      </c>
      <c r="BP350" s="203" t="str" cm="1">
        <f t="array" ref="BP350">_xlfn.IFS(BJ350="NA","NA",BJ350&gt;100%,"100%",BJ350&lt;100,BJ350)</f>
        <v>NA</v>
      </c>
      <c r="BQ350" s="204">
        <v>0.224</v>
      </c>
      <c r="BR350" s="45">
        <f t="shared" si="541"/>
        <v>7.8399999999999997E-2</v>
      </c>
      <c r="BS350" s="204">
        <v>1.7899999999999999E-2</v>
      </c>
      <c r="BT350" s="204">
        <v>0</v>
      </c>
      <c r="BU350" s="204">
        <v>0</v>
      </c>
      <c r="BV350" s="45">
        <f t="shared" si="550"/>
        <v>8.5120000000000001E-2</v>
      </c>
      <c r="BW350" s="45">
        <f t="shared" si="551"/>
        <v>7.8399999999999997E-2</v>
      </c>
      <c r="BX350" s="45">
        <f t="shared" si="552"/>
        <v>7.8399999999999997E-2</v>
      </c>
      <c r="BY350" s="45">
        <f t="shared" si="553"/>
        <v>6.7199999999999996E-2</v>
      </c>
      <c r="BZ350" s="45">
        <f t="shared" si="554"/>
        <v>0</v>
      </c>
      <c r="CA350" s="45">
        <f t="shared" si="542"/>
        <v>0</v>
      </c>
      <c r="CB350" s="45">
        <f t="shared" si="555"/>
        <v>7.1680000000000008E-2</v>
      </c>
      <c r="CC350" s="45">
        <f t="shared" si="556"/>
        <v>0</v>
      </c>
      <c r="CD350" s="45">
        <v>0</v>
      </c>
      <c r="CE350" s="204">
        <f t="shared" si="557"/>
        <v>0</v>
      </c>
      <c r="CF350" s="204" t="str">
        <f t="shared" si="558"/>
        <v>NA</v>
      </c>
      <c r="CG350" s="204">
        <v>0</v>
      </c>
      <c r="CH350" s="246"/>
      <c r="CI350" s="246"/>
      <c r="CJ350" s="246"/>
      <c r="CK350" s="246"/>
      <c r="CL350" s="48"/>
      <c r="CM350" s="63">
        <v>0.28000000000000003</v>
      </c>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c r="GL350" s="48"/>
      <c r="GM350" s="48"/>
      <c r="GN350" s="48"/>
      <c r="GO350" s="48"/>
      <c r="GP350" s="48"/>
      <c r="GQ350" s="48"/>
      <c r="GR350" s="48"/>
      <c r="GS350" s="48"/>
      <c r="GT350" s="48"/>
      <c r="GU350" s="48"/>
      <c r="GV350" s="48"/>
      <c r="GW350" s="48"/>
      <c r="GX350" s="48"/>
      <c r="GY350" s="48"/>
      <c r="GZ350" s="48"/>
      <c r="HA350" s="48"/>
      <c r="HB350" s="48"/>
      <c r="HC350" s="48"/>
      <c r="HD350" s="48"/>
      <c r="HE350" s="48"/>
      <c r="HF350" s="48"/>
      <c r="HG350" s="48"/>
      <c r="HH350" s="48"/>
      <c r="HI350" s="48"/>
      <c r="HJ350" s="48"/>
      <c r="HK350" s="48"/>
      <c r="HL350" s="48"/>
      <c r="HM350" s="48"/>
      <c r="HN350" s="48"/>
      <c r="HO350" s="48"/>
      <c r="HP350" s="48"/>
      <c r="HQ350" s="48"/>
      <c r="HR350" s="48"/>
      <c r="HS350" s="48"/>
      <c r="HT350" s="48"/>
      <c r="HU350" s="48"/>
      <c r="HV350" s="48"/>
      <c r="HW350" s="48"/>
      <c r="HX350" s="48"/>
      <c r="HY350" s="48"/>
      <c r="HZ350" s="48"/>
      <c r="IA350" s="48"/>
      <c r="IB350" s="48"/>
      <c r="IC350" s="48"/>
      <c r="ID350" s="48"/>
      <c r="IE350" s="48"/>
      <c r="IF350" s="48"/>
      <c r="IG350" s="48"/>
      <c r="IH350" s="48"/>
      <c r="II350" s="48"/>
      <c r="IJ350" s="48"/>
      <c r="IK350" s="48"/>
      <c r="IL350" s="48"/>
      <c r="IM350" s="48"/>
      <c r="IN350" s="48"/>
      <c r="IO350" s="48"/>
      <c r="IP350" s="48"/>
      <c r="IQ350" s="48"/>
      <c r="IR350" s="48"/>
      <c r="IS350" s="48"/>
      <c r="IT350" s="48"/>
      <c r="IU350" s="48"/>
      <c r="IV350" s="48"/>
      <c r="IW350" s="48"/>
      <c r="IX350" s="48"/>
      <c r="IY350" s="48"/>
      <c r="IZ350" s="48"/>
      <c r="JA350" s="48"/>
    </row>
    <row r="351" spans="1:261" ht="18" hidden="1" customHeight="1">
      <c r="A351" s="260" t="s">
        <v>992</v>
      </c>
      <c r="B351" s="260" t="s">
        <v>993</v>
      </c>
      <c r="C351" s="260" t="s">
        <v>2129</v>
      </c>
      <c r="D351" s="260" t="s">
        <v>2232</v>
      </c>
      <c r="E351" s="260" t="s">
        <v>2273</v>
      </c>
      <c r="F351" s="260" t="s">
        <v>2274</v>
      </c>
      <c r="G351" s="260" t="s">
        <v>2275</v>
      </c>
      <c r="H351" s="260" t="s">
        <v>2276</v>
      </c>
      <c r="I351" s="260"/>
      <c r="J351" s="260"/>
      <c r="K351" s="260" t="s">
        <v>2277</v>
      </c>
      <c r="L351" s="260" t="s">
        <v>2278</v>
      </c>
      <c r="M351" s="260" t="s">
        <v>2279</v>
      </c>
      <c r="N351" s="260" t="s">
        <v>111</v>
      </c>
      <c r="O351" s="260" t="s">
        <v>112</v>
      </c>
      <c r="P351" s="10">
        <v>1</v>
      </c>
      <c r="Q351" s="11">
        <v>1</v>
      </c>
      <c r="R351" s="11">
        <f t="shared" si="543"/>
        <v>0.33</v>
      </c>
      <c r="S351" s="11" t="str">
        <f>VLOOKUP(K351,'1105 Gobierno'!$K$12:$AK$31,9,0)</f>
        <v>Primer plan integral de seguridad regional, articulando los planes integrales de seguridad y convivencia ciudadana departamental y del distrito capital beneficiando a 26 municipios frontera, el cual busca disminuir los 18 delitos de alto impacto.  Para cumplir con el avance del plan, se logran 2 componentes, la preparación y formulación y asistencia técnica. Dentro de los mismos, se realiza un documento técnico que integra el plan de seguridad regional, este mismo se articuló entre el PISCCJ Bogotá y PISCC Cundinamarca, los cuales hacen referencia a los Planes Integrales de Seguridad y Convivencia Ciudadana y en los mismos, se realiza un diagnóstico línea base de los municipios frontera con Bogotá. A su vez, se realizó asistencia técnica a los organismos de los 26 municipios frontera con Bogotá y se realizaron consejos de seguridad y comités regionales de seguridad, convivencia y justicia.  Se ha realizado el seguimiento a los 21 delitos de los 26 municipios, mes a mes así como mapeo de actores.
Dentro del plan de seguridad regional los equipos de trabajo analizaron los PISCC Departamental, Bogota y de cada uno de los Municipios frontera para organizar protocolos en conjunto con el Distrito, que garanticen la judialización efectiva y disminuir la inseguridad en la región Bogotá- Cundinamarca. Se realizó capacitación sobre la ley 399 de 2011 "Comites de Seguridad" para que lo desarrollen en cada uno de los municipios asignados. Adicionalmente de acuerdo con los avances en el documento y el trabajo articulado con los Municipios acogidos dentro del Plan regional, se ha proyectado el levantamiento de necesidades como insumo para la dotación en cumplimiento con la planeación presupuestal.   Los profesionales de apoyo han hecho presencia institucion, en los territorios asignados, con el fin de articular acciones con la instituciones de inteligencia en los siguientes municipios:  Cota, Chia, Tabio, Tenjo, Cajicá, Zipaquirá, Soacha, Sesquilé, La Calera, Tocancipá, Sopó,Mosquera, Chipaque, Choachí, Ubaque,Zipacón, Facatativa, Bojacá, Funza, Madrid, Subachoque,Fusagasugá, Granada, Pasca, Silvania, Sibaté.
Se diseño una matriz para que los profesionales de apoyo analicen los delitos de mayor impacto y frecuencia y establecer acciones con el distrito capital.
Se impartió una capacitación a coordinadores y equipo de apoyo sobre PISCC y Región Metropolitana, y cada profesional de apoyo viene analizando el PISCC, Departamental, Distrital y el del Municipio Asignado.
Se capacitó al equipo en los temas: Región Metropolitana, Observatorio de Seguridad, Agenda Metropolitana, Contenidos de Comunicación. Se solicitó por parte de la Gerencia para que allegue el avance del diagnostico.
Acompañamiento al comité de seguridad,  seguimiento a los delitos de mayor impacto, implementación del plan de seguridad regional, problemas frontera del Municipio La Calera.
Acompañamiento al comité de Seguridad y operativos en la localidad Ciudad Bolivar.
Se realizó capacitación sobre la ley 399 de 2011 "Comites de Seguridad" para que lo desarrollen en cada uno de los municipios asignados.  Se realizaron asistencias técnicas Asistencia técnica presencial/Virtual, seguimiento a los delitos de mayor impacto Meta 356, - Municipio de Tocancipa, Cajicá, Zipacón, La Calera, Alcaldía local de Chapinero, Sibaté, Alcaldía local de Kennedy, Soacha, Fusagasugá, Granada, Pasca, Cota, Tenjo, Mosquera
Se  envío a la Dirección, el primer borrador de documento de articulación entre el Pisccj Bogotá y Piscc Cundinamarca.</v>
      </c>
      <c r="T351" s="11">
        <v>0</v>
      </c>
      <c r="U351" s="11">
        <v>0</v>
      </c>
      <c r="V351" s="11">
        <v>0.1</v>
      </c>
      <c r="W351" s="11">
        <v>0</v>
      </c>
      <c r="X351" s="11">
        <v>0.1</v>
      </c>
      <c r="Y351" s="11">
        <v>0</v>
      </c>
      <c r="Z351" s="11">
        <v>0.1</v>
      </c>
      <c r="AA351" s="11" t="s">
        <v>1106</v>
      </c>
      <c r="AB351" s="11" t="s">
        <v>2280</v>
      </c>
      <c r="AC351" s="11">
        <v>0</v>
      </c>
      <c r="AD351" s="11">
        <v>0.3</v>
      </c>
      <c r="AE351" s="11">
        <v>0</v>
      </c>
      <c r="AF351" s="11">
        <f>VLOOKUP(K351,'1105 Gobierno'!$K$12:$AK$31,22,0)</f>
        <v>0.23</v>
      </c>
      <c r="AG351" s="11" t="str">
        <f>VLOOKUP(K351,'1105 Gobierno'!$K$12:$AK$31,23,0)</f>
        <v> </v>
      </c>
      <c r="AH351" s="11">
        <f t="shared" si="544"/>
        <v>0.23</v>
      </c>
      <c r="AI351" s="11" t="str">
        <f>VLOOKUP(K351,'1105 Gobierno'!$K$12:$AK$31,25,0)</f>
        <v>Asistencia Técnica</v>
      </c>
      <c r="AJ351" s="11" t="str">
        <f>VLOOKUP(K351,'1105 Gobierno'!$K$12:$AK$31,26,0)</f>
        <v xml:space="preserve">Dentro del plan de seguridad regional los equipos de trabajo analizaron los PISCC Departamental, Bogota y de cada uno de los Municipios frontera para organizar protocolos en conjunto con el Distrito, que garanticen la judicialización efectiva y disminuir la inseguridad en la región Bogotá- Cundinamarca.  Se realizó capacitación sobre la ley 399 de 2011 "Comités de Seguridad" para que lo desarrollen en cada uno de los municipios asignados. Adicionalmente de acuerdo con los avances en el documento y el trabajo articulado con los Municipios acogidos dentro del Plan regional, se ha proyectado el levantamiento de necesidades como insumo para la dotación en cumplimiento con la planeación presupuestal.   Los profesionales de apoyo han hecho presencia institución, en los territorios asignados, con el fin de articular acciones con la instituciones de inteligencia en los siguientes municipios:  Cota, Chia, Tabio, Tenjo, Cajicá, Zipaquirá, Soacha, Sesquilé, La Calera, Tocancipá, Sopó, Mosquera, Chipaque, Choachí, Ubaque, Zipacón, Facatativá, Bojacá, Funza, Madrid, Subachoque, Fusagasugá, Granada, Pasca, Silvania, Sibaté y la alcaldía local Ciudad Bolivar.
Se diseño una matriz para que los profesionales de apoyo analicen los delitos de mayor impacto y frecuencia y establecer acciones con el distrito capital.
Se impartió una capacitación a coordinadores y equipo de apoyo sobre PISCC y Región Metropolitana, y cada profesional de apoyo viene analizando el PISCC, Departamental, Distrital y el del Municipio Asignado.Dentro de la planeación presupuestal de la Secretaría de Gobierno se encuentra el rubro presupuestal 5/356/CC Implementar plan de seguridad regional, con una apropiación presupuestal a 30 de septiembre de 2021   de $1.200.000.000 y un saldo de apropiación por valor de $ 10.352.684
Durante el periodo se realizó entrega del segundo avance del documento técnico de articulación de los sistemas de inteligencia de los organismos de seguridad y justicia que operan en la región, realizaron presencia institucional, en los territorios asignados, con el propósito de adelantar el documento en mención.                                                              
Se realizó reunión con el Comité de Integración Territorial - CIT y y se trató el tema de la articulación de sistemas de inteligencia, entrega del segundo avance del documento técnico de los protocolos conjuntos para garantizar la judicialización efectiva y disminuir la inseguridad en la región Bogotá-Cundinamarca.                                         
Se entregó el segundo avance del documento técnico de articulación entre el PISCCJ Bogotá y PISCC Cundinamarca para beneficiar la región con las instituciones participes, al igual del documento de técnico que integra el plan de seguridad regional.                                                                                                                         
Se llevaron a cabo reuniones con la Secretaría de Seguridad, Convivencia y Justicia, del Distrito en donde se abordó el programa, Región Corazón, en el que se contempla la realización de Consejos de Seguridad Regional.   Se participó en el Comité de Integración Territorial (CIT), mesa preparatoria para un encuentro regional, el grupo de trabajo participó en Consejo de Seguridad Especial para Soacha en el mes de septiembre.  Participación en los consejos de seguridad en el Municipio de Subachoque y La Calera.            
Se brindaron 6 asistencias técnicas presenciales en los municipios de Sibaté, Mosquera, Facatativá y Choachí donde se trataron temas de acciones de mitigación a los delitos de mayor impacto, lesiones personales, violencia intrafamiliar y implementación del plan de defensa de los recursos naturales e infraestructura energética, plan de riesgo escalonado, y activos estratégicos.
Se capacitó al equipo en los temas: Región Metropolitana, Observatorio de Seguridad, Agenda Metropolitana, Contenidos de Comunicación. Se solicitó por parte de la Gerencia para que allegue el avance del diagnóstico. Brindaron acompañamiento al comité de seguridad, seguimiento a los delitos de mayor impacto, implementación del plan de seguridad regional, problemas frontera del Municipio La Calera y la localidad Ciudad Bolívar.
Se realizaron asistencias técnicas Asistencia técnica presencial/Virtual, seguimiento a los delitos de mayor impacto en los municipios frontera para la Meta 356, - Municipio de Tocancipa, Cajicá, Zipacón, La Calera, Alcaldía local de Chapinero, Sibaté, Alcaldía local de Kennedy, Soacha, Fusagasugá, Granada, Pasca, Cota, Tenjo, Mosquera
Se impartió capacitación a coordinadores y equipo de apoyo sobre PISCC Departamental y Distrital.  Se cuenta con un documento borrador base de articulación, Bogotá-Cundinamarca.                                                                 
Se capacitó al equipo de trabajo en los temas: plan de trabajo, cifras de delitos, región Metropolitana, plan de seguridad, región corazón, marco normativo, plan de asistencia técnica.                                                                 
Acompañamiento a los consejos de seguridad, seguimiento a los delitos de mayor impacto, acompañamiento a operativos, implementación del plan de seguridad regional en las localidades de Tunjuelito, Usaquén, Santafé y en el municipio de Sibaté. 
Para el periodo de 30 de Octubre Los contratistas de apoyo, entregan el tercer desarrollo del documento técnico de articulación de los sistemas de inteligencia de los organismos de seguridad y justicia que operan en la región. Se realizó mesas de trabajo con los contratistas de la meta para el desarrollo de la actividades propuestas.
Los contratistas, entregan el tercer avance del documento técnico de los protocolos conjuntos para garantizar la judicialización efectiva y disminuir la inseguridad en la región Bogotá-Cundinamarca.     Así mismo hicieron presencia institucional, en los territorios asignados, con el propósito de adelantar el documento en mención.
Los contratistas entregan el tercer avance del documento técnico de articulación entre el PISCCJ Bogotá y PISCC Cundinamarca para beneficiar la región.                                                                                                                Así mismo hicieron presencia institucional, en los territorios asignados, con el propósito de adelantar el documento en mención.
Los contratistas encargados entregaron el tercer avance del documento de técnico que integra el plan de seguridad regional.  Así mismo hicieron presencia institucional, en los territorios asignados, con el propósito de adelantar el documento en mención.   Actividades realizadas:  Por parte de la Gerencia, se orientó al equipo de trabajo, en la elaboración de los documentos técnicos, a través de reuniones grupales y mesas de trabajo presenciales en la Secretaría  de Gobierno.
Para el día 20 de  Octubre se llevó a cabo reunió con la Secretaría de Seguridad, Convivencia y Justicia, del Distrito en donde se abordó el programa, Región Corazón, en el que se contempla la realización de  Consejos de Seguridad Regional.   Se participó en el Comité de Integración Territorial (CIT),  mesa preparatoria  para un encuentro regional.                                                                                                                                                                                                                    Por parte de los profesionales de apoyo, participaron en los consejos de seguridad en el Municipio de Fusagasugá y Pasca el día 25 de Octubre.       
Se realizaron 9 asistencias técnicas presenciales en los   delitos de mayor impacto, violencia intrafamiliar, violencia juvenil, violencia sexual en los municipios de Sabana Centro, Sibaté, Cota, Soacha,  en la comuna 2,  Fusagasugá, Pasca, Soacha. Corregimiento 1, Comuna 2.                                  </v>
      </c>
      <c r="AK351" s="11">
        <f>VLOOKUP(K351,'1105 Gobierno'!$K$12:$AK$31,27,0)</f>
        <v>0</v>
      </c>
      <c r="AL351" s="11">
        <v>0.4</v>
      </c>
      <c r="AM351" s="11">
        <v>0</v>
      </c>
      <c r="AN351" s="11">
        <v>0.2</v>
      </c>
      <c r="AO351" s="11">
        <v>0</v>
      </c>
      <c r="AP351" s="11">
        <v>0</v>
      </c>
      <c r="AQ351" s="11">
        <v>0</v>
      </c>
      <c r="AR351" s="52"/>
      <c r="AS351" s="54">
        <v>5000000</v>
      </c>
      <c r="AT351" s="54">
        <f t="shared" si="535"/>
        <v>5000000</v>
      </c>
      <c r="AU351" s="52"/>
      <c r="AV351" s="243">
        <v>1290400000</v>
      </c>
      <c r="AW351" s="244"/>
      <c r="AX351" s="244"/>
      <c r="AY351" s="243">
        <v>1013441523</v>
      </c>
      <c r="AZ351" s="44">
        <f t="shared" si="545"/>
        <v>0.33</v>
      </c>
      <c r="BA351" s="44">
        <v>0.1</v>
      </c>
      <c r="BB351" s="44">
        <v>1</v>
      </c>
      <c r="BC351" s="44">
        <f t="shared" si="546"/>
        <v>0.3</v>
      </c>
      <c r="BD351" s="44" cm="1">
        <f t="array" ref="BD351">_xlfn.IFS(AD351=0,"NA",AD351&gt;0,AH351/AD351)</f>
        <v>0.76666666666666672</v>
      </c>
      <c r="BE351" s="44">
        <f t="shared" si="547"/>
        <v>0.4</v>
      </c>
      <c r="BF351" s="44">
        <v>0</v>
      </c>
      <c r="BG351" s="44">
        <f t="shared" si="548"/>
        <v>0.2</v>
      </c>
      <c r="BH351" s="44">
        <v>0</v>
      </c>
      <c r="BI351" s="44">
        <f t="shared" si="549"/>
        <v>0</v>
      </c>
      <c r="BJ351" s="44" t="s">
        <v>115</v>
      </c>
      <c r="BK351" s="44">
        <f t="shared" si="536"/>
        <v>0.33</v>
      </c>
      <c r="BL351" s="44">
        <v>1</v>
      </c>
      <c r="BM351" s="44" cm="1">
        <f t="array" ref="BM351">_xlfn.IFS(BD351="NA","NA",BD351&gt;100%,"100%",BD351&lt;100,BD351)</f>
        <v>0.76666666666666672</v>
      </c>
      <c r="BN351" s="44" cm="1">
        <f t="array" ref="BN351">_xlfn.IFS(BF351="NA","NA",BF351&gt;100%,"100%",BF351&lt;100,BF351)</f>
        <v>0</v>
      </c>
      <c r="BO351" s="44" cm="1">
        <f t="array" ref="BO351">_xlfn.IFS(BH351="NA","NA",BH351&gt;100%,"100%",BH351&lt;100,BH351)</f>
        <v>0</v>
      </c>
      <c r="BP351" s="44" t="str" cm="1">
        <f t="array" ref="BP351">_xlfn.IFS(BJ351="NA","NA",BJ351&gt;100%,"100%",BJ351&lt;100,BJ351)</f>
        <v>NA</v>
      </c>
      <c r="BQ351" s="45">
        <v>0.224</v>
      </c>
      <c r="BR351" s="45">
        <f t="shared" si="541"/>
        <v>7.392E-2</v>
      </c>
      <c r="BS351" s="45">
        <v>2.24E-2</v>
      </c>
      <c r="BT351" s="45">
        <v>2.24E-2</v>
      </c>
      <c r="BU351" s="45">
        <v>2.24E-2</v>
      </c>
      <c r="BV351" s="45">
        <f t="shared" si="550"/>
        <v>6.7199999999999996E-2</v>
      </c>
      <c r="BW351" s="45">
        <f t="shared" si="551"/>
        <v>5.1520000000000003E-2</v>
      </c>
      <c r="BX351" s="45">
        <f t="shared" si="552"/>
        <v>5.1519999999999996E-2</v>
      </c>
      <c r="BY351" s="45">
        <f t="shared" si="553"/>
        <v>8.9600000000000013E-2</v>
      </c>
      <c r="BZ351" s="45">
        <f t="shared" si="554"/>
        <v>0</v>
      </c>
      <c r="CA351" s="45">
        <f t="shared" si="542"/>
        <v>0</v>
      </c>
      <c r="CB351" s="45">
        <f t="shared" si="555"/>
        <v>4.4800000000000006E-2</v>
      </c>
      <c r="CC351" s="45">
        <f t="shared" si="556"/>
        <v>0</v>
      </c>
      <c r="CD351" s="45">
        <v>0</v>
      </c>
      <c r="CE351" s="45">
        <f t="shared" si="557"/>
        <v>0</v>
      </c>
      <c r="CF351" s="45" t="str">
        <f t="shared" si="558"/>
        <v>NA</v>
      </c>
      <c r="CG351" s="45">
        <v>0</v>
      </c>
      <c r="CH351" s="244"/>
      <c r="CI351" s="244"/>
      <c r="CJ351" s="244"/>
      <c r="CK351" s="244"/>
      <c r="CM351" s="63">
        <v>0.27</v>
      </c>
    </row>
    <row r="352" spans="1:261" ht="18" hidden="1" customHeight="1">
      <c r="A352" s="260" t="s">
        <v>992</v>
      </c>
      <c r="B352" s="260" t="s">
        <v>993</v>
      </c>
      <c r="C352" s="260" t="s">
        <v>2129</v>
      </c>
      <c r="D352" s="260" t="s">
        <v>2232</v>
      </c>
      <c r="E352" s="260" t="s">
        <v>2273</v>
      </c>
      <c r="F352" s="260" t="s">
        <v>2274</v>
      </c>
      <c r="G352" s="260" t="s">
        <v>2275</v>
      </c>
      <c r="H352" s="260" t="s">
        <v>2281</v>
      </c>
      <c r="I352" s="260"/>
      <c r="J352" s="260"/>
      <c r="K352" s="96" t="s">
        <v>2282</v>
      </c>
      <c r="L352" s="181" t="s">
        <v>2283</v>
      </c>
      <c r="M352" s="181" t="s">
        <v>2284</v>
      </c>
      <c r="N352" s="181" t="s">
        <v>111</v>
      </c>
      <c r="O352" s="181" t="s">
        <v>112</v>
      </c>
      <c r="P352" s="181">
        <v>0</v>
      </c>
      <c r="Q352" s="181">
        <v>1</v>
      </c>
      <c r="R352" s="11">
        <f t="shared" si="543"/>
        <v>0.44999999999999996</v>
      </c>
      <c r="S352" s="11" t="str">
        <f>VLOOKUP(K352,'1105 Gobierno'!$K$12:$AK$31,9,0)</f>
        <v>Se inicia el diagnóstico del plan de defensa estratégica de recursos naturales e  infraestructura energética desde una perspectiva regional. Se plantean acciones de las mismas dentro del Plan Integral de Seguridad y Convivencia Ciudadana. Adicional a ello se generó el documento técnico que integre el plan de defensa estratégica de recursos naturales y de infraestructura energética en Bogotá y Cundinamarca.
 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realizó capacitación sobre  el plan de defensa estratégica de los recursos naturales y de estructura energética entre Bogotá y Cundinamarca.
Presentación del equipo de trabajo, para el seguimiento del plan de defensa de los recusos naturales y de infraestructura energetica. Solicitud de información de activos estrategicos. Meta 357, en los Municipios de Tocancipá, Sesquilé, Tenjo, Fusa, Granadas, Pasca, Funza, Zipacón, Bojacá, Madrid, Mosquera, Chipaque
Se vienen adelantando las gestiones con las autoridades de las localidades, borde, con el proposito de articular acciones con el Distrito, para implementar el plan de defensa estrategica de recursos naturales e infraestructura energetica.</v>
      </c>
      <c r="T352" s="181">
        <v>0</v>
      </c>
      <c r="U352" s="181">
        <v>0</v>
      </c>
      <c r="V352" s="181">
        <v>0.2</v>
      </c>
      <c r="W352" s="181">
        <v>0</v>
      </c>
      <c r="X352" s="181">
        <v>0.15</v>
      </c>
      <c r="Y352" s="181">
        <v>0</v>
      </c>
      <c r="Z352" s="181">
        <v>0.15</v>
      </c>
      <c r="AA352" s="181">
        <v>0</v>
      </c>
      <c r="AB352" s="194" t="s">
        <v>2285</v>
      </c>
      <c r="AC352" s="181">
        <v>0</v>
      </c>
      <c r="AD352" s="11">
        <v>0.4</v>
      </c>
      <c r="AE352" s="11">
        <v>0</v>
      </c>
      <c r="AF352" s="11">
        <f>VLOOKUP(K352,'1105 Gobierno'!$K$12:$AK$31,22,0)</f>
        <v>0.3</v>
      </c>
      <c r="AG352" s="11" t="str">
        <f>VLOOKUP(K352,'1105 Gobierno'!$K$12:$AK$31,23,0)</f>
        <v> </v>
      </c>
      <c r="AH352" s="11">
        <f t="shared" si="544"/>
        <v>0.3</v>
      </c>
      <c r="AI352" s="11" t="str">
        <f>VLOOKUP(K352,'1105 Gobierno'!$K$12:$AK$31,25,0)</f>
        <v xml:space="preserve"> 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realizó capacitación sobre  el plan de defensa estratégica de los recursos naturales y de estructura energética entre Bogotá y Cundinamarca. 
Presentación del equipo de trabajo, para el seguimiento del plan de defensa de los recusos naturales y de infraestructura energetica. Solicitud de información de activos estrategicos. Meta 357, en los Municipios de Tocancipá, Sesquilé, Tenjo, Fusa, Granadas, Pasca, Funza, Zipacón, Bojacá, Madrid, Mosquera, Chipaque 
Se vienen adelantando las gestiones con las autoridades de las localidades, borde, con el proposito de articular acciones con el Distrito, para implementar el plan de defensa estrategica de recursos naturales e infraestructura energetica.</v>
      </c>
      <c r="AJ352" s="11" t="str">
        <f>VLOOKUP(K352,'1105 Gobierno'!$K$12:$AK$31,26,0)</f>
        <v xml:space="preserve">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viene adelantando la capacitación sobre el plan de defensa estratégica de los recursos naturales y de estructura energética entre Bogotá y Cundinamarca.
Se está en el análisis del Plan de Riesgo Departamental y Distrital, donde se establecen acciones y programas generales para atender los fenómenos naturales que se presentan en los municipios borde con Bogotá. En la actualidad se encuentra en construcción el documento con la información relativa a los activos estratégicos.
Dentro del componente de Planeación financiera se encuentra la dotación a la fuerza pública y/o organismos judiciales para implementar el plan de defensa estratégica de recursos naturales al igual que se vienen adelantando las gestiones con las autoridades de las localidades borde con el propósito de articular acciones con el Distrito, para implementar el plan de defensa estratégica de recursos naturales e infraestructura energética.
Se realiza entrega del segundo avance del documento técnico del plan de defensa estratégica de los recursos naturales y de estructura energética entre Bogotá y Cundinamarca; al igual se realizó de la segunda entrega del  documento técnico del Plan de Riesgo escalonado y se adelantó presencia institucional, en los territorios asignados se adelantaron mesas de trabajo para el desarrollo del documento técnico con el equipo de trabajo designado
Se cumplió con la segunda entrega del documento técnico de los activos estratégico al igual que se llevó a cabo reunión con el Comité de Integración Territorial - CIT y dentro de los temas a trataron fueron la mesa preparatoria de seguridad, convivencia y justicia, para definir los lineamientos en la protección de activos estratégicos.
Dentro del componente de Planeación financiera se encuentra la dotación a la fuerza pública y/o organismos judiciales para implementar el plan de defensa estratégica de recursos naturales, con una apropiación presupuestal a 30 de septiembre de 2021 de $800.000.000.
Para el periodo hasta el 31 de Octubre del 2021, Los contratistas encargados realizaron entregan del tercer avance del  documento técnico  del plan de defensa estratégica de los recursos naturales y de estructura energética entre Bogotá y Cundinamarca.  Hicieron presencia institucional, en los territorios asignados, con el proposito de adelantar el documento en mención.  Actividades realizadas:  Por parte de la Gerencia, se orientó al equipo de trabajo,en la elaboración de los documentos técnicos,  a traves de reuniones grupales y mesas de trabajo presenciales en la Secretaría  de Gobierno
Los contratistas realizan la tercera entrega del documento técnico del Plan de Riesgo escalonado, Así mismo hicieron presencia institucional, en los territorios asignados, con el propósito de adelantar el documento en mención. Actividades realizadas:  Por parte de la Gerencia, se orientó al equipo de trabajo, en la elaboración de los documentos técnicos a traves de reuniones grupales y mesas de trabajo presenciales en la Secretaría  de Gobierno.                 
Los  contratistas realizaron tercera entrega del documento técnico de los activos estratégicos, se llevó a cabo una reunión con el Comité de Integración Territorial - CIT y dentro de los temas a tratar, se encuentra la mesa preparatoria de seguridad,  convivencia y justicia,  para definir los lineamientos en la protección de activos estratégicos.
Dentro del componente de Planeación financiera se encuentra la dotación a la fuerza pública y/o organismos judiciales para implementar el plan de defensa estratégica de recursos naturales, con una apropociacion  presupuestal a 30 de octubre de 2021   de $852.700.000, CDP, por valor de $ 640.046.090, y RPC, por valor de $ 206.955.158.
Se llevó a cabo reunión con la Secretaría de Seguridad, Convivencia y Justicia, del Distrito, cuyo delegados para el tema de infraestructura vital son el Doctor Gonzalo Rojas, la Doctora Liliana Mesias, Freddy Forero,  Juan Garcia, Daniel Londoño y la Doctora Leidy Garzón, de la Secretaría de Integración Regional,  con la participación de  la Ingeniera Erika Pastor, coordinadora de la meta 357,  se trató el tema de la protección de activos estratégicos, plan de defensa de los recursos naturales e infraestructura energética. 
Se llevó a cabo reunión con el Comité de Integración Territorial - CIT y se trató el tema de la protección de activos estratégicos, plan de defensa de los recursos naturales e infraestructura energética.  Se agendó reunión con la secretaría de seguridad, convivencia y justicia para tratar los temas de Infraestructura Vital.                                                                                                                                                                                                                         </v>
      </c>
      <c r="AK352" s="11">
        <f>VLOOKUP(K352,'1105 Gobierno'!$K$12:$AK$31,27,0)</f>
        <v>0</v>
      </c>
      <c r="AL352" s="11">
        <v>0.3</v>
      </c>
      <c r="AM352" s="11">
        <v>0</v>
      </c>
      <c r="AN352" s="11">
        <v>0.1</v>
      </c>
      <c r="AO352" s="11">
        <v>0</v>
      </c>
      <c r="AP352" s="11">
        <v>0</v>
      </c>
      <c r="AQ352" s="11">
        <v>0</v>
      </c>
      <c r="AR352" s="182">
        <v>314840952</v>
      </c>
      <c r="AS352" s="54">
        <v>0</v>
      </c>
      <c r="AT352" s="54">
        <f t="shared" si="535"/>
        <v>314840952</v>
      </c>
      <c r="AU352" s="182">
        <v>43236852</v>
      </c>
      <c r="AV352" s="243">
        <v>852700000</v>
      </c>
      <c r="AW352" s="244"/>
      <c r="AX352" s="244"/>
      <c r="AY352" s="243">
        <v>356995975</v>
      </c>
      <c r="AZ352" s="44">
        <f t="shared" si="545"/>
        <v>0.44999999999999996</v>
      </c>
      <c r="BA352" s="44">
        <v>0.2</v>
      </c>
      <c r="BB352" s="44">
        <v>0.75</v>
      </c>
      <c r="BC352" s="44">
        <f t="shared" si="546"/>
        <v>0.4</v>
      </c>
      <c r="BD352" s="44" cm="1">
        <f t="array" ref="BD352">_xlfn.IFS(AD352=0,"NA",AD352&gt;0,AH352/AD352)</f>
        <v>0.74999999999999989</v>
      </c>
      <c r="BE352" s="44">
        <f t="shared" si="547"/>
        <v>0.3</v>
      </c>
      <c r="BF352" s="44">
        <v>0</v>
      </c>
      <c r="BG352" s="44">
        <f t="shared" si="548"/>
        <v>0.1</v>
      </c>
      <c r="BH352" s="44">
        <v>0</v>
      </c>
      <c r="BI352" s="44">
        <f t="shared" si="549"/>
        <v>0</v>
      </c>
      <c r="BJ352" s="44" t="s">
        <v>115</v>
      </c>
      <c r="BK352" s="44">
        <f t="shared" si="536"/>
        <v>0.44999999999999996</v>
      </c>
      <c r="BL352" s="44">
        <v>0.75</v>
      </c>
      <c r="BM352" s="44" cm="1">
        <f t="array" ref="BM352">_xlfn.IFS(BD352="NA","NA",BD352&gt;100%,"100%",BD352&lt;100,BD352)</f>
        <v>0.74999999999999989</v>
      </c>
      <c r="BN352" s="44" cm="1">
        <f t="array" ref="BN352">_xlfn.IFS(BF352="NA","NA",BF352&gt;100%,"100%",BF352&lt;100,BF352)</f>
        <v>0</v>
      </c>
      <c r="BO352" s="44" cm="1">
        <f t="array" ref="BO352">_xlfn.IFS(BH352="NA","NA",BH352&gt;100%,"100%",BH352&lt;100,BH352)</f>
        <v>0</v>
      </c>
      <c r="BP352" s="44" t="str" cm="1">
        <f t="array" ref="BP352">_xlfn.IFS(BJ352="NA","NA",BJ352&gt;100%,"100%",BJ352&lt;100,BJ352)</f>
        <v>NA</v>
      </c>
      <c r="BQ352" s="45">
        <v>0.224</v>
      </c>
      <c r="BR352" s="45">
        <f t="shared" si="541"/>
        <v>0.10079999999999999</v>
      </c>
      <c r="BS352" s="45">
        <v>4.48E-2</v>
      </c>
      <c r="BT352" s="45">
        <v>3.3599999999999998E-2</v>
      </c>
      <c r="BU352" s="45">
        <v>3.3599999999999998E-2</v>
      </c>
      <c r="BV352" s="45">
        <f t="shared" si="550"/>
        <v>8.9600000000000013E-2</v>
      </c>
      <c r="BW352" s="45">
        <f t="shared" si="551"/>
        <v>6.7199999999999996E-2</v>
      </c>
      <c r="BX352" s="45">
        <f t="shared" si="552"/>
        <v>6.7199999999999982E-2</v>
      </c>
      <c r="BY352" s="45">
        <f t="shared" si="553"/>
        <v>6.7199999999999996E-2</v>
      </c>
      <c r="BZ352" s="45">
        <f t="shared" si="554"/>
        <v>0</v>
      </c>
      <c r="CA352" s="45">
        <f t="shared" si="542"/>
        <v>0</v>
      </c>
      <c r="CB352" s="45">
        <f t="shared" si="555"/>
        <v>2.2400000000000003E-2</v>
      </c>
      <c r="CC352" s="45">
        <f t="shared" si="556"/>
        <v>0</v>
      </c>
      <c r="CD352" s="45">
        <v>0</v>
      </c>
      <c r="CE352" s="45">
        <f t="shared" si="557"/>
        <v>0</v>
      </c>
      <c r="CF352" s="45" t="str">
        <f t="shared" si="558"/>
        <v>NA</v>
      </c>
      <c r="CG352" s="45">
        <v>0</v>
      </c>
      <c r="CH352" s="244"/>
      <c r="CI352" s="244"/>
      <c r="CJ352" s="244"/>
      <c r="CK352" s="244"/>
      <c r="CM352" s="63">
        <v>0.25</v>
      </c>
    </row>
    <row r="353" spans="1:91" ht="30.75" hidden="1" customHeight="1">
      <c r="A353" s="260" t="s">
        <v>1387</v>
      </c>
      <c r="B353" s="260" t="s">
        <v>1388</v>
      </c>
      <c r="C353" s="260" t="s">
        <v>2129</v>
      </c>
      <c r="D353" s="260" t="s">
        <v>2232</v>
      </c>
      <c r="E353" s="260" t="s">
        <v>2286</v>
      </c>
      <c r="F353" s="260" t="s">
        <v>2287</v>
      </c>
      <c r="G353" s="260" t="s">
        <v>2288</v>
      </c>
      <c r="H353" s="260" t="s">
        <v>2289</v>
      </c>
      <c r="I353" s="260"/>
      <c r="J353" s="260"/>
      <c r="K353" s="260" t="s">
        <v>2290</v>
      </c>
      <c r="L353" s="12" t="s">
        <v>2291</v>
      </c>
      <c r="M353" s="260" t="s">
        <v>2292</v>
      </c>
      <c r="N353" s="260" t="s">
        <v>111</v>
      </c>
      <c r="O353" s="260" t="s">
        <v>112</v>
      </c>
      <c r="P353" s="10">
        <v>0</v>
      </c>
      <c r="Q353" s="11">
        <v>1</v>
      </c>
      <c r="R353" s="11">
        <f t="shared" si="543"/>
        <v>0.05</v>
      </c>
      <c r="S353" s="11">
        <f>VLOOKUP(K353,'1285 EPC'!$K$13:$AK$35,9,0)</f>
        <v>0</v>
      </c>
      <c r="T353" s="11">
        <v>0.25</v>
      </c>
      <c r="U353" s="11">
        <v>0</v>
      </c>
      <c r="V353" s="11">
        <v>0</v>
      </c>
      <c r="W353" s="11">
        <v>0</v>
      </c>
      <c r="X353" s="11">
        <v>0</v>
      </c>
      <c r="Y353" s="11">
        <v>0</v>
      </c>
      <c r="Z353" s="11">
        <v>0</v>
      </c>
      <c r="AA353" s="11"/>
      <c r="AB353" s="11"/>
      <c r="AC353" s="11"/>
      <c r="AD353" s="11">
        <v>0.05</v>
      </c>
      <c r="AE353" s="11">
        <v>0</v>
      </c>
      <c r="AF353" s="11">
        <f>VLOOKUP(K353,'1285 EPC'!$K$13:$AK$35,22,0)</f>
        <v>0.05</v>
      </c>
      <c r="AG353" s="11" t="str">
        <f>VLOOKUP(K353,'1285 EPC'!$K$13:$AK$35,23,0)</f>
        <v> </v>
      </c>
      <c r="AH353" s="11">
        <f t="shared" si="544"/>
        <v>0.05</v>
      </c>
      <c r="AI353" s="11" t="str">
        <f>VLOOKUP(K353,'1285 EPC'!$K$13:$AK$35,25,0)</f>
        <v xml:space="preserve">Avance en la estrategia </v>
      </c>
      <c r="AJ353" s="11" t="str">
        <f>VLOOKUP(K353,'1285 EPC'!$K$13:$AK$35,26,0)</f>
        <v>Se agendo reunión con consultoría del convenio entre competitividad y la inmobiliaria, para socializar resultados del proyecto referente a residuos orgánicos.  
Socialización del avance de la consultoría firmada entre inmobiliaria y competitividad.
Reuniones internas en la dirección de asuntos ambientales para la estructuración del proceso.
Diagnostico para la estructuración del proyecto a partir de información secundaria (CAR).
Se realizo mesa de socialización  el 27de abril de 2021  de la ampliación del relleno sanitario Doña Juana  con la consultoría OPCIN S.A.
Se realizo una reunión el día 13/05/2021  entre la Secretaria de Integración Regional, secretaria de Planeación y EPC con el fin de coordinar mesas interinstitucionales que permitan dar avance en el cumplimiento de las metas, en especial, las que se encuentran dentro del línea estratégica + Integración debido a que la SIR está llevando a cabo los acercamientos con los diferentes actores del proyecto Región Metropolitana Bogotá-Cundinamarca.
Se efectuó reunión con la secretaria de hábitat del distrito el 10 de junio de 2021 con el fin de socializar el proyecto TECNOPARQUE para la prestación eficiente y sostenible de los servicios públicos en el cual se propone construir una planta hibrida para la generación de energía a través de un tratamiento de residuos sólidos.
El día 28 de julio de 2021 se realizó presentación a la secretaria de integración regional de Cundinamarca de los avances que realiza la Dirección de Asuntos Ambientales en referencia al cumplimiento de las metas del PDD
El 15 de julio de 2021 se adelantó reunión para constituir un espacio de trabajo para formular e implementar un modelo regional de gestión de los residuos sólidos para mejorar procesos de separación, reducción aprovechamiento y disposición final de los mismos y así mitigar los impactos ambientales. Asistentes: Cámara de comercio Bogotá, Secretaria Distrital de Planeación, Secretaria de Integración Regional de Cundinamarca, MVCT, Empresas Públicas de Cundinamarca, Secretaria de Ambiente del Departamento y municipios que integran la propuesta de área metropolitana.
Se realizó reunión el 15 de septiembre de 2021 para acercamiento y articulación entre entidades del distrito (Secretaria Distrital de Ambiente de Bogotá, EAAB, Secretaria de Ambiente de Cundinamarca, Secretaria Distrital de Planeación, Secretaria de Integración Regional) para tratar temas relacionados con el medio ambiente.</v>
      </c>
      <c r="AK353" s="11" t="str">
        <f>VLOOKUP(K353,'1285 EPC'!$K$13:$AK$35,27,0)</f>
        <v>Articulación entre las entidades
Recoger Información</v>
      </c>
      <c r="AL353" s="11">
        <v>0.95</v>
      </c>
      <c r="AM353" s="11">
        <v>0</v>
      </c>
      <c r="AN353" s="11">
        <v>0</v>
      </c>
      <c r="AO353" s="11">
        <v>0</v>
      </c>
      <c r="AP353" s="11">
        <v>0</v>
      </c>
      <c r="AQ353" s="11">
        <v>0</v>
      </c>
      <c r="AR353" s="52"/>
      <c r="AS353" s="54">
        <v>0</v>
      </c>
      <c r="AT353" s="54">
        <f t="shared" si="535"/>
        <v>0</v>
      </c>
      <c r="AU353" s="52"/>
      <c r="AV353" s="243">
        <v>1000000</v>
      </c>
      <c r="AW353" s="244"/>
      <c r="AX353" s="244"/>
      <c r="AY353" s="243">
        <v>1000000</v>
      </c>
      <c r="AZ353" s="44">
        <f t="shared" si="545"/>
        <v>0.05</v>
      </c>
      <c r="BA353" s="44">
        <v>0</v>
      </c>
      <c r="BB353" s="44" t="s">
        <v>115</v>
      </c>
      <c r="BC353" s="44">
        <f t="shared" si="546"/>
        <v>0.05</v>
      </c>
      <c r="BD353" s="44" cm="1">
        <f t="array" ref="BD353">_xlfn.IFS(AD353=0,"NA",AD353&gt;0,AH353/AD353)</f>
        <v>1</v>
      </c>
      <c r="BE353" s="44">
        <f t="shared" si="547"/>
        <v>0.95</v>
      </c>
      <c r="BF353" s="44">
        <v>0</v>
      </c>
      <c r="BG353" s="44">
        <f t="shared" si="548"/>
        <v>0</v>
      </c>
      <c r="BH353" s="44">
        <v>0</v>
      </c>
      <c r="BI353" s="44">
        <f t="shared" si="549"/>
        <v>0</v>
      </c>
      <c r="BJ353" s="44" t="s">
        <v>115</v>
      </c>
      <c r="BK353" s="44">
        <f t="shared" si="536"/>
        <v>0.05</v>
      </c>
      <c r="BL353" s="44" t="s">
        <v>115</v>
      </c>
      <c r="BM353" s="44" cm="1">
        <f t="array" ref="BM353">_xlfn.IFS(BD353="NA","NA",BD353&gt;100%,"100%",BD353&lt;100,BD353)</f>
        <v>1</v>
      </c>
      <c r="BN353" s="44" cm="1">
        <f t="array" ref="BN353">_xlfn.IFS(BF353="NA","NA",BF353&gt;100%,"100%",BF353&lt;100,BF353)</f>
        <v>0</v>
      </c>
      <c r="BO353" s="44" cm="1">
        <f t="array" ref="BO353">_xlfn.IFS(BH353="NA","NA",BH353&gt;100%,"100%",BH353&lt;100,BH353)</f>
        <v>0</v>
      </c>
      <c r="BP353" s="44" t="str" cm="1">
        <f t="array" ref="BP353">_xlfn.IFS(BJ353="NA","NA",BJ353&gt;100%,"100%",BJ353&lt;100,BJ353)</f>
        <v>NA</v>
      </c>
      <c r="BQ353" s="45">
        <v>0.224</v>
      </c>
      <c r="BR353" s="45">
        <f t="shared" si="541"/>
        <v>1.1200000000000002E-2</v>
      </c>
      <c r="BS353" s="45">
        <v>0</v>
      </c>
      <c r="BT353" s="45" t="s">
        <v>115</v>
      </c>
      <c r="BU353" s="45">
        <v>0</v>
      </c>
      <c r="BV353" s="45">
        <f t="shared" si="550"/>
        <v>1.1200000000000002E-2</v>
      </c>
      <c r="BW353" s="45">
        <f t="shared" si="551"/>
        <v>1.1200000000000002E-2</v>
      </c>
      <c r="BX353" s="45">
        <f t="shared" si="552"/>
        <v>1.1200000000000002E-2</v>
      </c>
      <c r="BY353" s="45">
        <f t="shared" si="553"/>
        <v>0.21279999999999999</v>
      </c>
      <c r="BZ353" s="45">
        <f t="shared" si="554"/>
        <v>0</v>
      </c>
      <c r="CA353" s="45">
        <f t="shared" si="542"/>
        <v>0</v>
      </c>
      <c r="CB353" s="45">
        <f t="shared" si="555"/>
        <v>0</v>
      </c>
      <c r="CC353" s="45">
        <f t="shared" si="556"/>
        <v>0</v>
      </c>
      <c r="CD353" s="45">
        <v>0</v>
      </c>
      <c r="CE353" s="45">
        <f t="shared" si="557"/>
        <v>0</v>
      </c>
      <c r="CF353" s="45" t="str">
        <f t="shared" si="558"/>
        <v>NA</v>
      </c>
      <c r="CG353" s="45">
        <v>0</v>
      </c>
      <c r="CH353" s="244"/>
      <c r="CI353" s="244"/>
      <c r="CJ353" s="244"/>
      <c r="CK353" s="244"/>
      <c r="CM353" s="63">
        <v>0.05</v>
      </c>
    </row>
    <row r="354" spans="1:91" ht="30.75" hidden="1" customHeight="1">
      <c r="A354" s="260" t="s">
        <v>1387</v>
      </c>
      <c r="B354" s="260" t="s">
        <v>1388</v>
      </c>
      <c r="C354" s="260" t="s">
        <v>2129</v>
      </c>
      <c r="D354" s="260" t="s">
        <v>2232</v>
      </c>
      <c r="E354" s="260" t="s">
        <v>2286</v>
      </c>
      <c r="F354" s="260" t="s">
        <v>2293</v>
      </c>
      <c r="G354" s="260" t="s">
        <v>2294</v>
      </c>
      <c r="H354" s="260" t="s">
        <v>2295</v>
      </c>
      <c r="I354" s="260"/>
      <c r="J354" s="260"/>
      <c r="K354" s="260" t="s">
        <v>2296</v>
      </c>
      <c r="L354" s="12" t="s">
        <v>2297</v>
      </c>
      <c r="M354" s="260" t="s">
        <v>2298</v>
      </c>
      <c r="N354" s="260" t="s">
        <v>111</v>
      </c>
      <c r="O354" s="260" t="s">
        <v>112</v>
      </c>
      <c r="P354" s="10">
        <v>0</v>
      </c>
      <c r="Q354" s="11">
        <v>11</v>
      </c>
      <c r="R354" s="11">
        <f t="shared" si="543"/>
        <v>0</v>
      </c>
      <c r="S354" s="11">
        <f>VLOOKUP(K354,'1285 EPC'!$K$13:$AK$35,9,0)</f>
        <v>0</v>
      </c>
      <c r="T354" s="11">
        <v>3</v>
      </c>
      <c r="U354" s="11">
        <v>0</v>
      </c>
      <c r="V354" s="11">
        <v>0</v>
      </c>
      <c r="W354" s="11">
        <v>0</v>
      </c>
      <c r="X354" s="11">
        <v>0</v>
      </c>
      <c r="Y354" s="11">
        <v>0</v>
      </c>
      <c r="Z354" s="11">
        <v>0</v>
      </c>
      <c r="AA354" s="11"/>
      <c r="AB354" s="11"/>
      <c r="AC354" s="11"/>
      <c r="AD354" s="11">
        <v>0</v>
      </c>
      <c r="AE354" s="11">
        <v>0</v>
      </c>
      <c r="AF354" s="11">
        <f>VLOOKUP(K354,'1285 EPC'!$K$13:$AK$35,22,0)</f>
        <v>0</v>
      </c>
      <c r="AG354" s="11" t="str">
        <f>VLOOKUP(K354,'1285 EPC'!$K$13:$AK$35,23,0)</f>
        <v> </v>
      </c>
      <c r="AH354" s="11">
        <f t="shared" si="544"/>
        <v>0</v>
      </c>
      <c r="AI354" s="11" t="str">
        <f>VLOOKUP(K354,'1285 EPC'!$K$13:$AK$35,25,0)</f>
        <v> </v>
      </c>
      <c r="AJ354" s="11" t="str">
        <f>VLOOKUP(K354,'1285 EPC'!$K$13:$AK$35,26,0)</f>
        <v>Se presenta ante la Ventanilla Única del MVCT la atención a observaciones al proyecto Fase I del Acueducto Regional de Occidente. A la fecha continúa en revisión por parte del MVCT.
Se realizaron mesas de trabajo con la EAAB para identificar necesidades de optimización a los sistemas de acueducto de los municipios beneficiados de los contratos de suministro. A la fecha se tienen identificadas la necesidad de inversiones cercanas a los 111.000 millones de pesos.
Se adelantaron mesas de trabajo con Funza para definición de localización de tanque Centro Oriente, lo cual puede alterar los diseños de la Fase II. Aún el municipio no ha definido ubicación del tanque.
Se adelantó mesa de trabajo con IDU para definición de armonización de Fase IV del proyecto con patio taller de Transmilenio. A la fecha está pendiente respuesta de Transmilenio para armonización de proyectos y continuar con trámite respectivo.
Se continúan desarrollando mesas de trabajo con el MVCT para el proceso de viabilización de la Fase I del proyecto de Ampliación del Subsistema de Sabana de Occidente y Bajo Tequendama que transporta el agua suministrada por la EAAB, de revisión al proyecto.</v>
      </c>
      <c r="AK354" s="11" t="str">
        <f>VLOOKUP(K354,'1285 EPC'!$K$13:$AK$35,27,0)</f>
        <v>Debido al periodo de vacaciones de varios funcionarios de la Ventanilla Úniva del MVCT, no se ha logrado una respuesta a la atención de observaciones hechas por EPC. Respuesta por parte de terceros para continuar con trámites respectivos de viabilidad
Respuesta por parte de terceros para continuar con trámites respectivos de viabilidad
Nueva revisión por parte de especialistas en el MVCT lo que ha incurrido en reprocesos en la revisión y evaluación por parte del MVCT 
Nueva revisión por parte de especialistas en el MVCT lo que ha incurrido en reprocesos en la revisión y evaluación por parte del MVCT</v>
      </c>
      <c r="AL354" s="11">
        <v>5</v>
      </c>
      <c r="AM354" s="11">
        <v>0</v>
      </c>
      <c r="AN354" s="11">
        <v>6</v>
      </c>
      <c r="AO354" s="11">
        <v>0</v>
      </c>
      <c r="AP354" s="11">
        <v>0</v>
      </c>
      <c r="AQ354" s="11">
        <v>0</v>
      </c>
      <c r="AR354" s="52"/>
      <c r="AS354" s="54">
        <v>0</v>
      </c>
      <c r="AT354" s="54">
        <f t="shared" si="535"/>
        <v>0</v>
      </c>
      <c r="AU354" s="52"/>
      <c r="AV354" s="243">
        <v>0</v>
      </c>
      <c r="AW354" s="244"/>
      <c r="AX354" s="244"/>
      <c r="AY354" s="243">
        <v>0</v>
      </c>
      <c r="AZ354" s="44">
        <f t="shared" si="545"/>
        <v>0</v>
      </c>
      <c r="BA354" s="44">
        <v>0</v>
      </c>
      <c r="BB354" s="44" t="s">
        <v>115</v>
      </c>
      <c r="BC354" s="44">
        <f t="shared" si="546"/>
        <v>0</v>
      </c>
      <c r="BD354" s="44" t="str" cm="1">
        <f t="array" ref="BD354">_xlfn.IFS(AD354=0,"NA",AD354&gt;0,AH354/AD354)</f>
        <v>NA</v>
      </c>
      <c r="BE354" s="44">
        <f t="shared" si="547"/>
        <v>0.45454545454545453</v>
      </c>
      <c r="BF354" s="44">
        <v>0</v>
      </c>
      <c r="BG354" s="44">
        <f t="shared" si="548"/>
        <v>0.54545454545454541</v>
      </c>
      <c r="BH354" s="44">
        <v>0</v>
      </c>
      <c r="BI354" s="44">
        <f t="shared" si="549"/>
        <v>0</v>
      </c>
      <c r="BJ354" s="44" t="s">
        <v>115</v>
      </c>
      <c r="BK354" s="44">
        <f t="shared" si="536"/>
        <v>0</v>
      </c>
      <c r="BL354" s="44" t="s">
        <v>115</v>
      </c>
      <c r="BM354" s="44" t="str" cm="1">
        <f t="array" ref="BM354">_xlfn.IFS(BD354="NA","NA",BD354&gt;100%,"100%",BD354&lt;100,BD354)</f>
        <v>NA</v>
      </c>
      <c r="BN354" s="44" cm="1">
        <f t="array" ref="BN354">_xlfn.IFS(BF354="NA","NA",BF354&gt;100%,"100%",BF354&lt;100,BF354)</f>
        <v>0</v>
      </c>
      <c r="BO354" s="44" cm="1">
        <f t="array" ref="BO354">_xlfn.IFS(BH354="NA","NA",BH354&gt;100%,"100%",BH354&lt;100,BH354)</f>
        <v>0</v>
      </c>
      <c r="BP354" s="44" t="str" cm="1">
        <f t="array" ref="BP354">_xlfn.IFS(BJ354="NA","NA",BJ354&gt;100%,"100%",BJ354&lt;100,BJ354)</f>
        <v>NA</v>
      </c>
      <c r="BQ354" s="45">
        <v>0.224</v>
      </c>
      <c r="BR354" s="45">
        <f t="shared" si="541"/>
        <v>0</v>
      </c>
      <c r="BS354" s="45">
        <v>0</v>
      </c>
      <c r="BT354" s="45" t="s">
        <v>115</v>
      </c>
      <c r="BU354" s="45">
        <v>0</v>
      </c>
      <c r="BV354" s="45">
        <f t="shared" si="550"/>
        <v>0</v>
      </c>
      <c r="BW354" s="45" t="str">
        <f t="shared" si="551"/>
        <v>NA</v>
      </c>
      <c r="BX354" s="45">
        <f t="shared" si="552"/>
        <v>0</v>
      </c>
      <c r="BY354" s="45">
        <f t="shared" si="553"/>
        <v>0.10181818181818182</v>
      </c>
      <c r="BZ354" s="45">
        <f t="shared" si="554"/>
        <v>0</v>
      </c>
      <c r="CA354" s="45">
        <f t="shared" si="542"/>
        <v>0</v>
      </c>
      <c r="CB354" s="45">
        <f t="shared" si="555"/>
        <v>0.12218181818181818</v>
      </c>
      <c r="CC354" s="45">
        <f t="shared" si="556"/>
        <v>0</v>
      </c>
      <c r="CD354" s="45">
        <v>0</v>
      </c>
      <c r="CE354" s="45">
        <f t="shared" si="557"/>
        <v>0</v>
      </c>
      <c r="CF354" s="45" t="str">
        <f t="shared" si="558"/>
        <v>NA</v>
      </c>
      <c r="CG354" s="45">
        <v>0</v>
      </c>
      <c r="CH354" s="244"/>
      <c r="CI354" s="244"/>
      <c r="CJ354" s="244"/>
      <c r="CK354" s="244"/>
      <c r="CM354" s="63">
        <v>0</v>
      </c>
    </row>
    <row r="355" spans="1:91" ht="30.75" hidden="1" customHeight="1">
      <c r="A355" s="260" t="s">
        <v>1387</v>
      </c>
      <c r="B355" s="260" t="s">
        <v>1388</v>
      </c>
      <c r="C355" s="260" t="s">
        <v>2129</v>
      </c>
      <c r="D355" s="260" t="s">
        <v>2232</v>
      </c>
      <c r="E355" s="260" t="s">
        <v>2286</v>
      </c>
      <c r="F355" s="260" t="s">
        <v>2299</v>
      </c>
      <c r="G355" s="260" t="s">
        <v>2300</v>
      </c>
      <c r="H355" s="260" t="s">
        <v>2301</v>
      </c>
      <c r="I355" s="260"/>
      <c r="J355" s="260"/>
      <c r="K355" s="260" t="s">
        <v>2302</v>
      </c>
      <c r="L355" s="12" t="s">
        <v>2303</v>
      </c>
      <c r="M355" s="260" t="s">
        <v>2304</v>
      </c>
      <c r="N355" s="260" t="s">
        <v>111</v>
      </c>
      <c r="O355" s="260" t="s">
        <v>112</v>
      </c>
      <c r="P355" s="10">
        <v>615986</v>
      </c>
      <c r="Q355" s="11">
        <v>68000</v>
      </c>
      <c r="R355" s="11">
        <f t="shared" si="543"/>
        <v>21158</v>
      </c>
      <c r="S355" s="11">
        <f>VLOOKUP(K355,'1285 EPC'!$K$13:$AK$35,9,0)</f>
        <v>0</v>
      </c>
      <c r="T355" s="11">
        <v>15000</v>
      </c>
      <c r="U355" s="11">
        <v>0</v>
      </c>
      <c r="V355" s="11">
        <v>10460</v>
      </c>
      <c r="W355" s="11">
        <v>0</v>
      </c>
      <c r="X355" s="11">
        <v>10460</v>
      </c>
      <c r="Y355" s="11">
        <v>0</v>
      </c>
      <c r="Z355" s="11">
        <v>10460</v>
      </c>
      <c r="AA355" s="11" t="s">
        <v>2305</v>
      </c>
      <c r="AB355" s="11" t="s">
        <v>2306</v>
      </c>
      <c r="AC355" s="11">
        <v>0</v>
      </c>
      <c r="AD355" s="11">
        <v>19000</v>
      </c>
      <c r="AE355" s="11">
        <v>0</v>
      </c>
      <c r="AF355" s="11">
        <f>VLOOKUP(K355,'1285 EPC'!$K$13:$AK$35,22,0)</f>
        <v>10698</v>
      </c>
      <c r="AG355" s="11" t="str">
        <f>VLOOKUP(K355,'1285 EPC'!$K$13:$AK$35,23,0)</f>
        <v> </v>
      </c>
      <c r="AH355" s="11">
        <f t="shared" si="544"/>
        <v>10698</v>
      </c>
      <c r="AI355" s="11" t="str">
        <f>VLOOKUP(K355,'1285 EPC'!$K$13:$AK$35,25,0)</f>
        <v>Personas nuevas con acceso al servicio de acueducto</v>
      </c>
      <c r="AJ355" s="11" t="str">
        <f>VLOOKUP(K355,'1285 EPC'!$K$13:$AK$35,26,0)</f>
        <v>Nuevas conexiones: Al hacer seguimiento a los nuevos usuarios del servicio de acueducto urbano conectados a través de los prestadores, se realiza una encuesta al prestador del municipio de Soacha, la cual arroja el siguiente resultado: 9.619 nuevas personas beneficiadas con el servicio de acueducto.
Se culminó el proyecto Olivos IV, con el 100% de avance el 21/04/2021, donde se conectan 392 usuarios y se benefician a 1.079 nuevas personas con el servicio de acueducto "
Actualmente se han adelantado mesas de trabajo con el Municipio con el fin de realizar el seguimiento a los proyectos priorizados que se tienen para gestionar los recursos necesarios y lograr dar alcance a los mismos."</v>
      </c>
      <c r="AK355" s="11" t="str">
        <f>VLOOKUP(K355,'1285 EPC'!$K$13:$AK$35,27,0)</f>
        <v xml:space="preserve">No se tiene total conocimiento  del alcance y estado de los proyectos lo cual implica retrocesos en el proceso de viabilización por la entrega de información. </v>
      </c>
      <c r="AL355" s="11">
        <v>19000</v>
      </c>
      <c r="AM355" s="11">
        <v>0</v>
      </c>
      <c r="AN355" s="11">
        <v>19540</v>
      </c>
      <c r="AO355" s="11">
        <v>0</v>
      </c>
      <c r="AP355" s="11">
        <v>0</v>
      </c>
      <c r="AQ355" s="11">
        <v>0</v>
      </c>
      <c r="AR355" s="52"/>
      <c r="AS355" s="54">
        <v>4002075581</v>
      </c>
      <c r="AT355" s="54">
        <f t="shared" si="535"/>
        <v>4002075581</v>
      </c>
      <c r="AU355" s="52"/>
      <c r="AV355" s="243">
        <v>0</v>
      </c>
      <c r="AW355" s="244"/>
      <c r="AX355" s="244"/>
      <c r="AY355" s="243">
        <v>0</v>
      </c>
      <c r="AZ355" s="44">
        <f t="shared" si="545"/>
        <v>0.31114705882352939</v>
      </c>
      <c r="BA355" s="44">
        <v>0.15379999999999999</v>
      </c>
      <c r="BB355" s="44">
        <v>1</v>
      </c>
      <c r="BC355" s="44">
        <f t="shared" si="546"/>
        <v>0.27941176470588236</v>
      </c>
      <c r="BD355" s="44" cm="1">
        <f t="array" ref="BD355">_xlfn.IFS(AD355=0,"NA",AD355&gt;0,AH355/AD355)</f>
        <v>0.56305263157894736</v>
      </c>
      <c r="BE355" s="44">
        <f t="shared" si="547"/>
        <v>0.27941176470588236</v>
      </c>
      <c r="BF355" s="44">
        <v>0</v>
      </c>
      <c r="BG355" s="44">
        <f t="shared" si="548"/>
        <v>0.28735294117647059</v>
      </c>
      <c r="BH355" s="44">
        <v>0</v>
      </c>
      <c r="BI355" s="44">
        <f t="shared" si="549"/>
        <v>0</v>
      </c>
      <c r="BJ355" s="44" t="s">
        <v>115</v>
      </c>
      <c r="BK355" s="44">
        <f t="shared" si="536"/>
        <v>0.31114705882352939</v>
      </c>
      <c r="BL355" s="44">
        <v>1</v>
      </c>
      <c r="BM355" s="44" cm="1">
        <f t="array" ref="BM355">_xlfn.IFS(BD355="NA","NA",BD355&gt;100%,"100%",BD355&lt;100,BD355)</f>
        <v>0.56305263157894736</v>
      </c>
      <c r="BN355" s="44" cm="1">
        <f t="array" ref="BN355">_xlfn.IFS(BF355="NA","NA",BF355&gt;100%,"100%",BF355&lt;100,BF355)</f>
        <v>0</v>
      </c>
      <c r="BO355" s="44" cm="1">
        <f t="array" ref="BO355">_xlfn.IFS(BH355="NA","NA",BH355&gt;100%,"100%",BH355&lt;100,BH355)</f>
        <v>0</v>
      </c>
      <c r="BP355" s="44" t="str" cm="1">
        <f t="array" ref="BP355">_xlfn.IFS(BJ355="NA","NA",BJ355&gt;100%,"100%",BJ355&lt;100,BJ355)</f>
        <v>NA</v>
      </c>
      <c r="BQ355" s="45">
        <v>0.224</v>
      </c>
      <c r="BR355" s="45">
        <f t="shared" si="541"/>
        <v>6.9696941176470587E-2</v>
      </c>
      <c r="BS355" s="45">
        <v>3.4500000000000003E-2</v>
      </c>
      <c r="BT355" s="45">
        <v>3.4500000000000003E-2</v>
      </c>
      <c r="BU355" s="45">
        <v>3.4500000000000003E-2</v>
      </c>
      <c r="BV355" s="45">
        <f t="shared" si="550"/>
        <v>6.2588235294117653E-2</v>
      </c>
      <c r="BW355" s="45">
        <f t="shared" si="551"/>
        <v>3.5240470588235297E-2</v>
      </c>
      <c r="BX355" s="45">
        <f t="shared" si="552"/>
        <v>3.5196941176470584E-2</v>
      </c>
      <c r="BY355" s="45">
        <f t="shared" si="553"/>
        <v>6.2588235294117653E-2</v>
      </c>
      <c r="BZ355" s="45">
        <f t="shared" si="554"/>
        <v>0</v>
      </c>
      <c r="CA355" s="45">
        <f t="shared" si="542"/>
        <v>0</v>
      </c>
      <c r="CB355" s="45">
        <f t="shared" si="555"/>
        <v>6.4367058823529416E-2</v>
      </c>
      <c r="CC355" s="45">
        <f t="shared" si="556"/>
        <v>0</v>
      </c>
      <c r="CD355" s="45">
        <v>0</v>
      </c>
      <c r="CE355" s="45">
        <f t="shared" si="557"/>
        <v>0</v>
      </c>
      <c r="CF355" s="45" t="str">
        <f t="shared" si="558"/>
        <v>NA</v>
      </c>
      <c r="CG355" s="45">
        <v>0</v>
      </c>
      <c r="CH355" s="244"/>
      <c r="CI355" s="244"/>
      <c r="CJ355" s="244"/>
      <c r="CK355" s="244"/>
      <c r="CM355" s="63">
        <v>13640</v>
      </c>
    </row>
    <row r="356" spans="1:91" ht="30.75" hidden="1" customHeight="1">
      <c r="A356" s="260" t="s">
        <v>1387</v>
      </c>
      <c r="B356" s="260" t="s">
        <v>1388</v>
      </c>
      <c r="C356" s="260" t="s">
        <v>2129</v>
      </c>
      <c r="D356" s="260" t="s">
        <v>2232</v>
      </c>
      <c r="E356" s="260" t="s">
        <v>2286</v>
      </c>
      <c r="F356" s="260" t="s">
        <v>2299</v>
      </c>
      <c r="G356" s="260" t="s">
        <v>2300</v>
      </c>
      <c r="H356" s="260" t="s">
        <v>2307</v>
      </c>
      <c r="I356" s="260"/>
      <c r="J356" s="260"/>
      <c r="K356" s="260" t="s">
        <v>2308</v>
      </c>
      <c r="L356" s="12" t="s">
        <v>2309</v>
      </c>
      <c r="M356" s="260" t="s">
        <v>2310</v>
      </c>
      <c r="N356" s="260" t="s">
        <v>111</v>
      </c>
      <c r="O356" s="260" t="s">
        <v>112</v>
      </c>
      <c r="P356" s="10">
        <v>608518</v>
      </c>
      <c r="Q356" s="11">
        <v>68000</v>
      </c>
      <c r="R356" s="11">
        <f t="shared" si="543"/>
        <v>20205</v>
      </c>
      <c r="S356" s="11">
        <f>VLOOKUP(K356,'1285 EPC'!$K$13:$AK$35,9,0)</f>
        <v>0</v>
      </c>
      <c r="T356" s="11">
        <v>15000</v>
      </c>
      <c r="U356" s="11">
        <v>0</v>
      </c>
      <c r="V356" s="11">
        <v>9628</v>
      </c>
      <c r="W356" s="11">
        <v>0</v>
      </c>
      <c r="X356" s="11">
        <v>9628</v>
      </c>
      <c r="Y356" s="11">
        <v>0</v>
      </c>
      <c r="Z356" s="11">
        <v>9628</v>
      </c>
      <c r="AA356" s="11" t="s">
        <v>2311</v>
      </c>
      <c r="AB356" s="11" t="s">
        <v>2312</v>
      </c>
      <c r="AC356" s="11">
        <v>0</v>
      </c>
      <c r="AD356" s="11">
        <v>19300</v>
      </c>
      <c r="AE356" s="11">
        <v>0</v>
      </c>
      <c r="AF356" s="11">
        <f>VLOOKUP(K356,'1285 EPC'!$K$13:$AK$35,22,0)</f>
        <v>10577</v>
      </c>
      <c r="AG356" s="11" t="str">
        <f>VLOOKUP(K356,'1285 EPC'!$K$13:$AK$35,23,0)</f>
        <v> </v>
      </c>
      <c r="AH356" s="11">
        <f t="shared" si="544"/>
        <v>10577</v>
      </c>
      <c r="AI356" s="11" t="str">
        <f>VLOOKUP(K356,'1285 EPC'!$K$13:$AK$35,25,0)</f>
        <v>Personas nuevas con acceso al servicio de alcantarillado</v>
      </c>
      <c r="AJ356" s="11" t="str">
        <f>VLOOKUP(K356,'1285 EPC'!$K$13:$AK$35,26,0)</f>
        <v>"Nuevas conexiones: Al hacer seguimiento a los nuevos usuarios del ser+vicio de alcantarillado urbano conectados a través de los prestadores; se realiza una encuesta al prestador del municipio de Soacha, la cual arroja el siguiente resultado: 9.536 nuevas personas beneficiadas con el servicio de alcantarillado.
Se culminó el proyecto Olivos IV, con el 100% de avance el 21/04/2021 donde se conectan 378 usuarios y se benefician a 1.041 nuevas personas con el servicio de alcantarillado
Prolongación de Interceptor Ciudad de Cali: Se continua con el trámite de la adquisición de los predios por parte del Acueducto de Bogotá, para poder continuar con el proceso de contratación
Actualmente se han adelantado mesas de trabajo con el Municipio con el fin de realizar el seguimiento a los proyectos priorizados que se tienen para gestionar los recursos necesarios y lograr dar alcance a los mismos."</v>
      </c>
      <c r="AK356" s="11" t="str">
        <f>VLOOKUP(K356,'1285 EPC'!$K$13:$AK$35,27,0)</f>
        <v xml:space="preserve">No se tiene total conocimiento  del alcance y estado de los proyectos lo cual implica retrocesos en el proceso de viabilización por la entrega de información. </v>
      </c>
      <c r="AL356" s="11">
        <v>19300</v>
      </c>
      <c r="AM356" s="11">
        <v>0</v>
      </c>
      <c r="AN356" s="11">
        <v>19771</v>
      </c>
      <c r="AO356" s="11">
        <v>0</v>
      </c>
      <c r="AP356" s="11">
        <v>0</v>
      </c>
      <c r="AQ356" s="11">
        <v>0</v>
      </c>
      <c r="AR356" s="52"/>
      <c r="AS356" s="54">
        <v>6620564692</v>
      </c>
      <c r="AT356" s="54">
        <f t="shared" si="535"/>
        <v>6620564692</v>
      </c>
      <c r="AU356" s="52"/>
      <c r="AV356" s="243">
        <v>0</v>
      </c>
      <c r="AW356" s="244"/>
      <c r="AX356" s="244"/>
      <c r="AY356" s="243">
        <v>0</v>
      </c>
      <c r="AZ356" s="44">
        <f t="shared" si="545"/>
        <v>0.29713235294117646</v>
      </c>
      <c r="BA356" s="44">
        <v>0.1416</v>
      </c>
      <c r="BB356" s="44">
        <v>1</v>
      </c>
      <c r="BC356" s="44">
        <f t="shared" si="546"/>
        <v>0.2838235294117647</v>
      </c>
      <c r="BD356" s="44" cm="1">
        <f t="array" ref="BD356">_xlfn.IFS(AD356=0,"NA",AD356&gt;0,AH356/AD356)</f>
        <v>0.54803108808290157</v>
      </c>
      <c r="BE356" s="44">
        <f t="shared" si="547"/>
        <v>0.2838235294117647</v>
      </c>
      <c r="BF356" s="44">
        <v>0</v>
      </c>
      <c r="BG356" s="44">
        <f t="shared" si="548"/>
        <v>0.29075000000000001</v>
      </c>
      <c r="BH356" s="44">
        <v>0</v>
      </c>
      <c r="BI356" s="44">
        <f t="shared" si="549"/>
        <v>0</v>
      </c>
      <c r="BJ356" s="44" t="s">
        <v>115</v>
      </c>
      <c r="BK356" s="44">
        <f t="shared" si="536"/>
        <v>0.29713235294117646</v>
      </c>
      <c r="BL356" s="44">
        <v>1</v>
      </c>
      <c r="BM356" s="44" cm="1">
        <f t="array" ref="BM356">_xlfn.IFS(BD356="NA","NA",BD356&gt;100%,"100%",BD356&lt;100,BD356)</f>
        <v>0.54803108808290157</v>
      </c>
      <c r="BN356" s="44" cm="1">
        <f t="array" ref="BN356">_xlfn.IFS(BF356="NA","NA",BF356&gt;100%,"100%",BF356&lt;100,BF356)</f>
        <v>0</v>
      </c>
      <c r="BO356" s="44" cm="1">
        <f t="array" ref="BO356">_xlfn.IFS(BH356="NA","NA",BH356&gt;100%,"100%",BH356&lt;100,BH356)</f>
        <v>0</v>
      </c>
      <c r="BP356" s="44" t="str" cm="1">
        <f t="array" ref="BP356">_xlfn.IFS(BJ356="NA","NA",BJ356&gt;100%,"100%",BJ356&lt;100,BJ356)</f>
        <v>NA</v>
      </c>
      <c r="BQ356" s="45">
        <v>0.224</v>
      </c>
      <c r="BR356" s="45">
        <f t="shared" si="541"/>
        <v>6.6557647058823527E-2</v>
      </c>
      <c r="BS356" s="45">
        <v>3.1699999999999999E-2</v>
      </c>
      <c r="BT356" s="45">
        <v>3.1699999999999999E-2</v>
      </c>
      <c r="BU356" s="45">
        <v>3.1699999999999999E-2</v>
      </c>
      <c r="BV356" s="45">
        <f t="shared" si="550"/>
        <v>6.357647058823529E-2</v>
      </c>
      <c r="BW356" s="45">
        <f t="shared" si="551"/>
        <v>3.4841882352941174E-2</v>
      </c>
      <c r="BX356" s="45">
        <f t="shared" si="552"/>
        <v>3.4857647058823528E-2</v>
      </c>
      <c r="BY356" s="45">
        <f t="shared" si="553"/>
        <v>6.357647058823529E-2</v>
      </c>
      <c r="BZ356" s="45">
        <f t="shared" si="554"/>
        <v>0</v>
      </c>
      <c r="CA356" s="45">
        <f t="shared" si="542"/>
        <v>0</v>
      </c>
      <c r="CB356" s="45">
        <f t="shared" si="555"/>
        <v>6.5127999999999991E-2</v>
      </c>
      <c r="CC356" s="45">
        <f t="shared" si="556"/>
        <v>0</v>
      </c>
      <c r="CD356" s="45">
        <v>0</v>
      </c>
      <c r="CE356" s="45">
        <f t="shared" si="557"/>
        <v>0</v>
      </c>
      <c r="CF356" s="45" t="str">
        <f t="shared" si="558"/>
        <v>NA</v>
      </c>
      <c r="CG356" s="45">
        <v>0</v>
      </c>
      <c r="CH356" s="244"/>
      <c r="CI356" s="244"/>
      <c r="CJ356" s="244"/>
      <c r="CK356" s="244"/>
      <c r="CM356" s="63">
        <v>12687</v>
      </c>
    </row>
    <row r="357" spans="1:91" ht="18" hidden="1" customHeight="1">
      <c r="A357" s="260" t="s">
        <v>442</v>
      </c>
      <c r="B357" s="260" t="s">
        <v>443</v>
      </c>
      <c r="C357" s="260" t="s">
        <v>2129</v>
      </c>
      <c r="D357" s="260" t="s">
        <v>2313</v>
      </c>
      <c r="E357" s="260" t="s">
        <v>2314</v>
      </c>
      <c r="F357" s="260" t="s">
        <v>2315</v>
      </c>
      <c r="G357" s="260" t="s">
        <v>2316</v>
      </c>
      <c r="H357" s="260" t="s">
        <v>2317</v>
      </c>
      <c r="I357" s="260" t="s">
        <v>200</v>
      </c>
      <c r="J357" s="260"/>
      <c r="K357" s="260" t="s">
        <v>2318</v>
      </c>
      <c r="L357" s="260" t="s">
        <v>2319</v>
      </c>
      <c r="M357" s="260" t="s">
        <v>2320</v>
      </c>
      <c r="N357" s="260" t="s">
        <v>111</v>
      </c>
      <c r="O357" s="260" t="s">
        <v>112</v>
      </c>
      <c r="P357" s="10">
        <v>0</v>
      </c>
      <c r="Q357" s="11">
        <v>2</v>
      </c>
      <c r="R357" s="11">
        <f t="shared" si="543"/>
        <v>1</v>
      </c>
      <c r="S357" s="11" t="str">
        <f>VLOOKUP(K357,'1131 Hábitat'!$K$13:$AK$24,9,0)</f>
        <v>Vigencia 2020: No hubo asignación de recursos</v>
      </c>
      <c r="T357" s="11">
        <v>0</v>
      </c>
      <c r="U357" s="11">
        <v>0</v>
      </c>
      <c r="V357" s="11">
        <v>0</v>
      </c>
      <c r="W357" s="11">
        <v>0</v>
      </c>
      <c r="X357" s="11">
        <v>0</v>
      </c>
      <c r="Y357" s="11">
        <v>0</v>
      </c>
      <c r="Z357" s="11">
        <v>0</v>
      </c>
      <c r="AA357" s="11"/>
      <c r="AB357" s="11"/>
      <c r="AC357" s="11"/>
      <c r="AD357" s="11">
        <v>1</v>
      </c>
      <c r="AE357" s="11">
        <v>0</v>
      </c>
      <c r="AF357" s="11">
        <f>VLOOKUP(K357,'1131 Hábitat'!$K$13:$AK$24,22,0)</f>
        <v>1</v>
      </c>
      <c r="AG357" s="11">
        <f>VLOOKUP(K357,'1131 Hábitat'!$K$13:$AK$24,23,0)</f>
        <v>0</v>
      </c>
      <c r="AH357" s="11">
        <f t="shared" si="544"/>
        <v>1</v>
      </c>
      <c r="AI357" s="11">
        <f>VLOOKUP(K357,'1131 Hábitat'!$K$13:$AK$24,25,0)</f>
        <v>0</v>
      </c>
      <c r="AJ357" s="11" t="str">
        <f>VLOOKUP(K357,'1131 Hábitat'!$K$13:$AK$24,26,0)</f>
        <v>Se adelantaron procesos de coordinación y concertación entre la Secretaría de Hábitat y Vivienda, la Secretaría Distrital de Hábitat y el Municipio de Soacha, para dar prioridad a la inversión de recursos del orden deparamental y municipal para los estudios detallados de riesgo y amenaza para la Comuna 4 - Sectores Los Robles, Mirador de Corinto, El Oasis del municipio de Soacha, y determinar las obras requeridas para su intervención.
Durante el mes de junio la meta no presenta avance.
Durante el mes de julio la meta no presenta avance. Se adelantan acciones de coordinación con el Municipio de La Calera para definir posibles zonas de borte con Bogotá que requeiran ser atendidas.
En el mes de agosto se llevaron a cabo reuniones con el Municipio de La Calera para la identificación de un sector de Borde con Bogotá donde se puedan llevar a cabo obras de mejoramiento integral de barrios, identificando los sectores Aurora Alta y La Capilla, para lo cual se está llevando a cabo la caracterización de la población, presupuesto de obras y formulación del proyecto.
En el municipio de Soacha se identificó el Sector Olivos III colindante con Bogotá, en donde se está caracterizando la población y evaluando las obras que mejoren las relaciones de conectividad y de integración entre las comunidades. El proyecto se encuentra en proceso de formulación.
SEPTIEMBRE: Se estructuró el proyecto “Apoyo al mejoramiento de la infraestructura física en el territorio de Borde del municipio de La Calera Cundinamarca para llevar a cabo obras de mejoramiento integral de barrios, identificando los sectores Aurora Alta y La Capilla. En proceso de inscripción en el Banco Departamental de Programas y Proyectos.
Se continúa el proceso de estructuración y caracterización de la población y evaluando las obras para el Sector Olivos III colindante con Bogotá, en donde se está. El proyecto se encuentra en proceso de formulación.
OCTUBRE:
Se encuentra en proceso precontractual el convenio interadministrativo con el municipio de La Calera para la ejecución del proyecto “Apoyo al mejoramiento de la infraestructura física en el territorio de Borde del municipio de La Calera Cundinamarca para llevar a cabo obras de mejoramiento integral de barrios, identificando los sectores Aurora Alta y La Capilla. 
NOVIEMBRE
Se celebró el convenio SHVS-CDCVI-080-2021 con el municipio de La Calera para llevar a cabo obras de mejoramiento integral de barrios, identificando los sectores Aurora Alta y La Capilla. Beneficiará a 152 hogares</v>
      </c>
      <c r="AK357" s="11" t="str">
        <f>VLOOKUP(K357,'1131 Hábitat'!$K$13:$AK$24,27,0)</f>
        <v xml:space="preserve">Dificultad en la coordinación entre la Secretaría de Hábitat Distrital, el Municipio de Soacha y la Secretaría de Hábitat y Vivienda para acordar sectores de borde Bogotá - Cundinamarca para su intervención.
</v>
      </c>
      <c r="AL357" s="11">
        <v>1</v>
      </c>
      <c r="AM357" s="11">
        <v>0</v>
      </c>
      <c r="AN357" s="11">
        <v>0</v>
      </c>
      <c r="AO357" s="11">
        <v>0</v>
      </c>
      <c r="AP357" s="11">
        <v>0</v>
      </c>
      <c r="AQ357" s="11">
        <v>0</v>
      </c>
      <c r="AR357" s="52"/>
      <c r="AS357" s="54">
        <v>0</v>
      </c>
      <c r="AT357" s="54">
        <f t="shared" si="535"/>
        <v>0</v>
      </c>
      <c r="AU357" s="52"/>
      <c r="AV357" s="243">
        <v>550000000</v>
      </c>
      <c r="AW357" s="244"/>
      <c r="AX357" s="244"/>
      <c r="AY357" s="243">
        <v>300000000</v>
      </c>
      <c r="AZ357" s="44">
        <f t="shared" si="545"/>
        <v>0.5</v>
      </c>
      <c r="BA357" s="44">
        <v>0</v>
      </c>
      <c r="BB357" s="44" t="s">
        <v>115</v>
      </c>
      <c r="BC357" s="44">
        <f t="shared" si="546"/>
        <v>0.5</v>
      </c>
      <c r="BD357" s="44" cm="1">
        <f t="array" ref="BD357">_xlfn.IFS(AD357=0,"NA",AD357&gt;0,AH357/AD357)</f>
        <v>1</v>
      </c>
      <c r="BE357" s="44">
        <f t="shared" si="547"/>
        <v>0.5</v>
      </c>
      <c r="BF357" s="44">
        <v>0</v>
      </c>
      <c r="BG357" s="44">
        <f t="shared" si="548"/>
        <v>0</v>
      </c>
      <c r="BH357" s="44">
        <v>0</v>
      </c>
      <c r="BI357" s="44">
        <f t="shared" si="549"/>
        <v>0</v>
      </c>
      <c r="BJ357" s="44" t="s">
        <v>115</v>
      </c>
      <c r="BK357" s="44">
        <f t="shared" si="536"/>
        <v>0.5</v>
      </c>
      <c r="BL357" s="44" t="s">
        <v>115</v>
      </c>
      <c r="BM357" s="44" cm="1">
        <f t="array" ref="BM357">_xlfn.IFS(BD357="NA","NA",BD357&gt;100%,"100%",BD357&lt;100,BD357)</f>
        <v>1</v>
      </c>
      <c r="BN357" s="44" cm="1">
        <f t="array" ref="BN357">_xlfn.IFS(BF357="NA","NA",BF357&gt;100%,"100%",BF357&lt;100,BF357)</f>
        <v>0</v>
      </c>
      <c r="BO357" s="44" cm="1">
        <f t="array" ref="BO357">_xlfn.IFS(BH357="NA","NA",BH357&gt;100%,"100%",BH357&lt;100,BH357)</f>
        <v>0</v>
      </c>
      <c r="BP357" s="44" t="str" cm="1">
        <f t="array" ref="BP357">_xlfn.IFS(BJ357="NA","NA",BJ357&gt;100%,"100%",BJ357&lt;100,BJ357)</f>
        <v>NA</v>
      </c>
      <c r="BQ357" s="45">
        <v>0.224</v>
      </c>
      <c r="BR357" s="45">
        <f t="shared" si="541"/>
        <v>0.112</v>
      </c>
      <c r="BS357" s="45">
        <v>0</v>
      </c>
      <c r="BT357" s="45" t="s">
        <v>115</v>
      </c>
      <c r="BU357" s="45">
        <v>0</v>
      </c>
      <c r="BV357" s="45">
        <f t="shared" si="550"/>
        <v>0.112</v>
      </c>
      <c r="BW357" s="45">
        <f t="shared" si="551"/>
        <v>0.112</v>
      </c>
      <c r="BX357" s="45">
        <f t="shared" si="552"/>
        <v>0.112</v>
      </c>
      <c r="BY357" s="45">
        <f t="shared" si="553"/>
        <v>0.112</v>
      </c>
      <c r="BZ357" s="45">
        <f t="shared" si="554"/>
        <v>0</v>
      </c>
      <c r="CA357" s="45">
        <f t="shared" si="542"/>
        <v>0</v>
      </c>
      <c r="CB357" s="45">
        <f t="shared" si="555"/>
        <v>0</v>
      </c>
      <c r="CC357" s="45">
        <f t="shared" si="556"/>
        <v>0</v>
      </c>
      <c r="CD357" s="45">
        <v>0</v>
      </c>
      <c r="CE357" s="45">
        <f t="shared" si="557"/>
        <v>0</v>
      </c>
      <c r="CF357" s="45" t="str">
        <f t="shared" si="558"/>
        <v>NA</v>
      </c>
      <c r="CG357" s="45">
        <v>0</v>
      </c>
      <c r="CH357" s="244"/>
      <c r="CI357" s="244"/>
      <c r="CJ357" s="244"/>
      <c r="CK357" s="244"/>
      <c r="CM357" s="63">
        <v>0</v>
      </c>
    </row>
    <row r="358" spans="1:91" ht="18" hidden="1" customHeight="1">
      <c r="A358" s="260" t="s">
        <v>442</v>
      </c>
      <c r="B358" s="260" t="s">
        <v>443</v>
      </c>
      <c r="C358" s="260" t="s">
        <v>2129</v>
      </c>
      <c r="D358" s="260" t="s">
        <v>2313</v>
      </c>
      <c r="E358" s="260" t="s">
        <v>2314</v>
      </c>
      <c r="F358" s="260" t="s">
        <v>2321</v>
      </c>
      <c r="G358" s="260" t="s">
        <v>2322</v>
      </c>
      <c r="H358" s="260" t="s">
        <v>2323</v>
      </c>
      <c r="I358" s="260" t="s">
        <v>200</v>
      </c>
      <c r="J358" s="260"/>
      <c r="K358" s="260" t="s">
        <v>2324</v>
      </c>
      <c r="L358" s="260" t="s">
        <v>2325</v>
      </c>
      <c r="M358" s="260" t="s">
        <v>2326</v>
      </c>
      <c r="N358" s="260" t="s">
        <v>111</v>
      </c>
      <c r="O358" s="260" t="s">
        <v>112</v>
      </c>
      <c r="P358" s="10">
        <v>0</v>
      </c>
      <c r="Q358" s="11">
        <v>2</v>
      </c>
      <c r="R358" s="11">
        <f t="shared" si="543"/>
        <v>0</v>
      </c>
      <c r="S358" s="11" t="str">
        <f>VLOOKUP(K358,'1131 Hábitat'!$K$13:$AK$24,9,0)</f>
        <v>Vigencia 2020: No hubo asignación de recursos</v>
      </c>
      <c r="T358" s="11">
        <v>0</v>
      </c>
      <c r="U358" s="11">
        <v>0</v>
      </c>
      <c r="V358" s="11">
        <v>0</v>
      </c>
      <c r="W358" s="11">
        <v>0</v>
      </c>
      <c r="X358" s="11">
        <v>0</v>
      </c>
      <c r="Y358" s="11">
        <v>0</v>
      </c>
      <c r="Z358" s="11">
        <v>0</v>
      </c>
      <c r="AA358" s="11"/>
      <c r="AB358" s="11"/>
      <c r="AC358" s="11"/>
      <c r="AD358" s="11">
        <v>0</v>
      </c>
      <c r="AE358" s="11">
        <v>0</v>
      </c>
      <c r="AF358" s="11">
        <f>VLOOKUP(K358,'1131 Hábitat'!$K$13:$AK$24,22,0)</f>
        <v>0</v>
      </c>
      <c r="AG358" s="11">
        <f>VLOOKUP(K358,'1131 Hábitat'!$K$13:$AK$24,23,0)</f>
        <v>0</v>
      </c>
      <c r="AH358" s="11">
        <f t="shared" si="544"/>
        <v>0</v>
      </c>
      <c r="AI358" s="11">
        <f>VLOOKUP(K358,'1131 Hábitat'!$K$13:$AK$24,25,0)</f>
        <v>0</v>
      </c>
      <c r="AJ358" s="11">
        <f>VLOOKUP(K358,'1131 Hábitat'!$K$13:$AK$24,26,0)</f>
        <v>0</v>
      </c>
      <c r="AK358" s="11">
        <f>VLOOKUP(K358,'1131 Hábitat'!$K$13:$AK$24,27,0)</f>
        <v>0</v>
      </c>
      <c r="AL358" s="11">
        <v>1</v>
      </c>
      <c r="AM358" s="11">
        <v>0</v>
      </c>
      <c r="AN358" s="11">
        <v>1</v>
      </c>
      <c r="AO358" s="11">
        <v>0</v>
      </c>
      <c r="AP358" s="11">
        <v>0</v>
      </c>
      <c r="AQ358" s="11">
        <v>0</v>
      </c>
      <c r="AR358" s="52"/>
      <c r="AS358" s="54">
        <v>0</v>
      </c>
      <c r="AT358" s="54">
        <f t="shared" si="535"/>
        <v>0</v>
      </c>
      <c r="AU358" s="52"/>
      <c r="AV358" s="243"/>
      <c r="AW358" s="244"/>
      <c r="AX358" s="244"/>
      <c r="AY358" s="243"/>
      <c r="AZ358" s="44">
        <f t="shared" si="545"/>
        <v>0</v>
      </c>
      <c r="BA358" s="44">
        <v>0</v>
      </c>
      <c r="BB358" s="44" t="s">
        <v>115</v>
      </c>
      <c r="BC358" s="44">
        <f t="shared" si="546"/>
        <v>0</v>
      </c>
      <c r="BD358" s="44" t="str" cm="1">
        <f t="array" ref="BD358">_xlfn.IFS(AD358=0,"NA",AD358&gt;0,AH358/AD358)</f>
        <v>NA</v>
      </c>
      <c r="BE358" s="44">
        <f t="shared" si="547"/>
        <v>0.5</v>
      </c>
      <c r="BF358" s="44">
        <v>0</v>
      </c>
      <c r="BG358" s="44">
        <f t="shared" si="548"/>
        <v>0.5</v>
      </c>
      <c r="BH358" s="44">
        <v>0</v>
      </c>
      <c r="BI358" s="44">
        <f t="shared" si="549"/>
        <v>0</v>
      </c>
      <c r="BJ358" s="44" t="s">
        <v>115</v>
      </c>
      <c r="BK358" s="44">
        <f t="shared" si="536"/>
        <v>0</v>
      </c>
      <c r="BL358" s="44" t="s">
        <v>115</v>
      </c>
      <c r="BM358" s="44" t="str" cm="1">
        <f t="array" ref="BM358">_xlfn.IFS(BD358="NA","NA",BD358&gt;100%,"100%",BD358&lt;100,BD358)</f>
        <v>NA</v>
      </c>
      <c r="BN358" s="44" cm="1">
        <f t="array" ref="BN358">_xlfn.IFS(BF358="NA","NA",BF358&gt;100%,"100%",BF358&lt;100,BF358)</f>
        <v>0</v>
      </c>
      <c r="BO358" s="44" cm="1">
        <f t="array" ref="BO358">_xlfn.IFS(BH358="NA","NA",BH358&gt;100%,"100%",BH358&lt;100,BH358)</f>
        <v>0</v>
      </c>
      <c r="BP358" s="44" t="str" cm="1">
        <f t="array" ref="BP358">_xlfn.IFS(BJ358="NA","NA",BJ358&gt;100%,"100%",BJ358&lt;100,BJ358)</f>
        <v>NA</v>
      </c>
      <c r="BQ358" s="45">
        <v>0.224</v>
      </c>
      <c r="BR358" s="45">
        <f t="shared" si="541"/>
        <v>0</v>
      </c>
      <c r="BS358" s="45">
        <v>0</v>
      </c>
      <c r="BT358" s="45" t="s">
        <v>115</v>
      </c>
      <c r="BU358" s="45">
        <v>0</v>
      </c>
      <c r="BV358" s="45">
        <f t="shared" si="550"/>
        <v>0</v>
      </c>
      <c r="BW358" s="45" t="str">
        <f t="shared" si="551"/>
        <v>NA</v>
      </c>
      <c r="BX358" s="45">
        <f t="shared" si="552"/>
        <v>0</v>
      </c>
      <c r="BY358" s="45">
        <f t="shared" si="553"/>
        <v>0.112</v>
      </c>
      <c r="BZ358" s="45">
        <f t="shared" si="554"/>
        <v>0</v>
      </c>
      <c r="CA358" s="45">
        <f t="shared" si="542"/>
        <v>0</v>
      </c>
      <c r="CB358" s="45">
        <f t="shared" si="555"/>
        <v>0.112</v>
      </c>
      <c r="CC358" s="45">
        <f t="shared" si="556"/>
        <v>0</v>
      </c>
      <c r="CD358" s="45">
        <v>0</v>
      </c>
      <c r="CE358" s="45">
        <f t="shared" si="557"/>
        <v>0</v>
      </c>
      <c r="CF358" s="45" t="str">
        <f t="shared" si="558"/>
        <v>NA</v>
      </c>
      <c r="CG358" s="45">
        <v>0</v>
      </c>
      <c r="CH358" s="244"/>
      <c r="CI358" s="244"/>
      <c r="CJ358" s="244"/>
      <c r="CK358" s="244"/>
      <c r="CM358" s="63">
        <v>0</v>
      </c>
    </row>
    <row r="359" spans="1:91" ht="18" customHeight="1">
      <c r="A359" s="260" t="s">
        <v>2148</v>
      </c>
      <c r="B359" s="260" t="s">
        <v>2149</v>
      </c>
      <c r="C359" s="260" t="s">
        <v>2129</v>
      </c>
      <c r="D359" s="260" t="s">
        <v>2313</v>
      </c>
      <c r="E359" s="260" t="s">
        <v>2327</v>
      </c>
      <c r="F359" s="260" t="s">
        <v>2328</v>
      </c>
      <c r="G359" s="260" t="s">
        <v>2329</v>
      </c>
      <c r="H359" s="260" t="s">
        <v>2330</v>
      </c>
      <c r="I359" s="260"/>
      <c r="J359" s="260"/>
      <c r="K359" s="260" t="s">
        <v>2331</v>
      </c>
      <c r="L359" s="260" t="s">
        <v>2332</v>
      </c>
      <c r="M359" s="260" t="s">
        <v>2333</v>
      </c>
      <c r="N359" s="260" t="s">
        <v>123</v>
      </c>
      <c r="O359" s="260" t="s">
        <v>124</v>
      </c>
      <c r="P359" s="10">
        <v>0</v>
      </c>
      <c r="Q359" s="11">
        <v>100</v>
      </c>
      <c r="R359" s="11">
        <f t="shared" ref="R359" si="559">(Z359+AH359)/CL359</f>
        <v>48.75</v>
      </c>
      <c r="S359" s="11" t="str">
        <f>VLOOKUP(K359,'1129 Integración'!$K$13:$AK$18,9,0)</f>
        <v xml:space="preserve">Se realizó la identificación, recolección y consolidación de la información regional existente en el Observatorio de Dinámicas Urbano Regionales – ODUR, en cada uno de sus ejes e indicadores. A partir de lo anterior, se estructuró un inventario de información con las fuentes internas (Gobernación y dependencias o entidades adscritas) y externas (terceros públicos y privados), y de tipo documental y a nivel de dato estadístico, con la que se consolidó una base de datos propia que permitió generar indicadores y estadísticas para contar con información primaria de manera oportuna, veraz y actualizada.
Entre las Secretarías de Planeación y de Integración Regional de Cundinamarca y la Secretaría Distrital de Planeación se definió que la fuente de información base será Encuesta Multipropósito de Bogotá y 21 municipios, la cual se aplicará a partir del primer trimestre del 2021. 
Para asegurar que la aplicación de este instrumento logre los resultados esperados, y como punto de partida, el 4 de diciembre se realizó un evento para sensibilizar a los 21 alcaldes y secretarios de planeación de los municipios que incluyen dicha encuesta, sobre la importancia de la gestión del conocimiento como proceso fundamental y transversal para la integración regional y la toma de decisiones. 
</v>
      </c>
      <c r="T359" s="11">
        <v>0</v>
      </c>
      <c r="U359" s="11">
        <v>100</v>
      </c>
      <c r="V359" s="11">
        <v>0</v>
      </c>
      <c r="W359" s="11">
        <v>100</v>
      </c>
      <c r="X359" s="11" t="s">
        <v>115</v>
      </c>
      <c r="Y359" s="11">
        <v>100</v>
      </c>
      <c r="Z359" s="11">
        <v>100</v>
      </c>
      <c r="AA359" s="11">
        <v>0</v>
      </c>
      <c r="AB359" s="11" t="s">
        <v>2334</v>
      </c>
      <c r="AC359" s="11">
        <v>0</v>
      </c>
      <c r="AD359" s="11">
        <v>0</v>
      </c>
      <c r="AE359" s="11">
        <v>100</v>
      </c>
      <c r="AF359" s="11">
        <f>VLOOKUP(K359,'1129 Integración'!$K$13:$AK$18,22,0)</f>
        <v>0</v>
      </c>
      <c r="AG359" s="11">
        <f>VLOOKUP(K359,'1129 Integración'!$K$13:$AK$18,23,0)</f>
        <v>95</v>
      </c>
      <c r="AH359" s="11">
        <f t="shared" ref="AH359" si="560">AG359</f>
        <v>95</v>
      </c>
      <c r="AI359" s="11">
        <f>VLOOKUP(K359,'1129 Integración'!$K$13:$AK$18,25,0)</f>
        <v>0</v>
      </c>
      <c r="AJ359" s="11" t="str">
        <f>VLOOKUP(K359,'1129 Integración'!$K$13:$AK$18,26,0)</f>
        <v xml:space="preserve">En desarrollo de las acciones encaminadas a la generación de conocimiento, mediante la gestión del uso e intercambio de información de carácter regional, y con el propósito de mantenerla actualizada en los sistemas de información con los que cuenta el Departamento, para la toma de decisiones y adopción de políticas públicas para la integración regional, durante el primer trimestre de la vigencia 2021 se identificaron y definieron las siete (7) temáticas metropolitanas de interés en el proceso para la reglamentación de la Región Metropolitana Bogotá – Cundinamarca y se identificó el conjunto de indicadores para cada una de ellas.
Como se recuerda, en cumplimiento de lo establecido en el parágrafo transitorio del Acto Legislativo 002 de 2020, por el cual se creó la Región Metropolitana Bogotá – Cundinamarca, se definió una estrategia articulada entre la Gobernación de Cundinamarca, la Alcaldía Mayor de Bogotá y el Congreso de la República, para la participación ciudadana en la estructuración de la Ley Orgánica que reglamentará la Región Metropolitana. En este sentido, se formuló y ejecutó una estrategia de participación ciudadana en la que se desarrollaron 68 audiencias y se recibieron más de 6.000 propuestas.
Inicialmente, para el análisis de los aportes y recomendaciones, así como para la presentación de resultados, se diseñó una herramienta interactiva que está disponible para consulta en la página web www.regionmetropolitana.com.
A partir de esa información, en los primeros meses de la presente vigencia, se adelantó la consolidación de la información recaudada, por cada uno de los temas priorizados:
• Movilidad y transporte
• Servicios públicos
• Medio ambiente
• Seguridad, convivencia y justicia
• Abastecimiento y seguridad alimentaria
• Desarrollo económico
• Ordenamiento territorial
Una vez definidas las siete (7) temáticas, la Secretaría de Integración Regional, en conjunto con la Secretaría de Planeación de Cundinamarca y la Secretaría Distrital de Planeación, consolidaron identificaron la batería de indicadores para cada uno de los temas.
Se ha realizado un	Levantamiento y Diagnóstico de Información: En consecuencia con el plan de trabajo establecido para el cumplimiento de la meta 366,  en el periodo se avanzó en la consolidación de la información existente sobre la región; esto implica el tratamiento de la misma, la normalización y, al mismo tiempo, la generación de indicadores resultado del análisis.   i.	Consolidación información actual: Se inició con la estructuración de la matriz de indicadores asociados a los temas metropolitanos priorizados, tales como: Movilidad, Seguridad ciudadana, Seguridad alimentaria, Ordenamiento, Medio Ambiente, Desarrollo Económico y Servicios Públicos. Para este efecto, se identificaron 51 indicadores en una primera línea base y se estructuran los mecanismos de recolección, tratamiento y análisis. ii.	Identificación de otras fuentes de información: En el marco de esta actividad se han realizado acciones cruzadas para la consecución de información, la búsqueda de fuentes primarias publicadas y la consolidación de información nueva a través de reuniones con los encargados de las diferentes instituciones generadores de información. En este sentido se identificaron las siguientes fuentes adicionales:
1.	Agronet – Ministerio de Agricultura
2.	ANI
3.	CCB
4.	DANE
5.	Cotelco
6.	DNP
7.	EAAB
8.	ELIC
9.	Empresa Férrea
10.	Encuesta Multipropósito, 2017
11.	EVA - 2019
12.	Fiscalia
13.	Googlemaps
14.	IDEAM
15.	IDT 
16.	Instituto de Investigación de Recursos Biológicos Alexander von Humboldt
17.	Instituto Quinaxi
18.	Invias
19.	Minsiterio de comercio
20.	Parques Nacionales Naturales
21.	POMCA
22.	CAR
23.	PONAL
24.	CONPES LOGISTICA 3547 DE 2008
25.	MinTransporte
26.	RUNAP
27.	Secretaría Distrital de Planeación
28.	SIMUR
29.	SSPD
30.	SUI
31.	Terridata con información DNP.
Cada set de información proveída por estas fuentes primarias se describe en el anexo de información consolidado adjunto. 
*a.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
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
b.	Actualización indicadores ODUR
Producto de la vinculación de la Secretaría de Integración Regional al plan de trabajo de la Secretaría de Planeación del Departamento para la actualización de la IDER y publicación de los datos del ODUR, se han generado sinergias que permiten avanzar en diferentes frentes:
i.	Organización de la información actual de la IDER
En relación con las acciones para iniciar la reestructuración de la plataforma para promover su uso por parte de los municipios de Cundinamarca, se desarrolla la fase de capacitación y reconocimiento de la plataforma. Para ello se adelantaron sesiones de capacitación sobre las herramientas Power BI, ArcGis Online y ArcGisPro para el grupo de apoyo de la Secretaría de Integración Regional y de la Dirección de Infraestructura y datos espaciales de la Secretaría de Planeación del Departamento, así como al grupo técnico del IDER.
ii.	Organización de la información ODUR
Dentro de las acciones encaminadas a publicar la información de los indicadores ODUR (2019) en la plataforma IDER, se evalúan las herramientas y procedimientos para mostrar la información. 
 </v>
      </c>
      <c r="AK359" s="11" t="str">
        <f>VLOOKUP(K359,'1129 Integración'!$K$13:$AK$18,27,0)</f>
        <v>Ninguna</v>
      </c>
      <c r="AL359" s="11">
        <v>0</v>
      </c>
      <c r="AM359" s="11">
        <v>100</v>
      </c>
      <c r="AN359" s="11">
        <v>0</v>
      </c>
      <c r="AO359" s="11">
        <v>100</v>
      </c>
      <c r="AP359" s="11">
        <v>0</v>
      </c>
      <c r="AQ359" s="11">
        <v>0</v>
      </c>
      <c r="AR359" s="51">
        <v>28363806</v>
      </c>
      <c r="AS359" s="54">
        <v>0</v>
      </c>
      <c r="AT359" s="54">
        <f t="shared" si="535"/>
        <v>28363806</v>
      </c>
      <c r="AU359" s="51">
        <v>25666666</v>
      </c>
      <c r="AV359" s="243">
        <v>132899832</v>
      </c>
      <c r="AW359" s="244"/>
      <c r="AX359" s="244"/>
      <c r="AY359" s="243">
        <v>132690666</v>
      </c>
      <c r="AZ359" s="44" cm="1">
        <f t="array" ref="AZ359">_xlfn.IFS((BA359=0),(BD359/CL359),(BA359&gt;0),((BB359+BD359)/CL359),(BE359&gt;0),((BB359+BD359+BE359)/CL359),(BG359&gt;0),((BB359+BD359+BE359+G359)/CL359))</f>
        <v>0.48749999999999999</v>
      </c>
      <c r="BA359" s="44">
        <v>0.25</v>
      </c>
      <c r="BB359" s="44">
        <v>1</v>
      </c>
      <c r="BC359" s="44">
        <f t="shared" ref="BC359" si="561">IF(AE359&gt;0,(1/CL359),0)</f>
        <v>0.25</v>
      </c>
      <c r="BD359" s="44" cm="1">
        <f t="array" ref="BD359">_xlfn.IFS(AE359=0,"NA",AE359&gt;0,AH359/AE359)</f>
        <v>0.95</v>
      </c>
      <c r="BE359" s="44">
        <f t="shared" ref="BE359" si="562">IF(AM359&gt;0,(1/CL359),0)</f>
        <v>0.25</v>
      </c>
      <c r="BF359" s="44">
        <v>0</v>
      </c>
      <c r="BG359" s="44">
        <f t="shared" ref="BG359" si="563">IF(AO359&gt;0,(1/CL359),0)</f>
        <v>0.25</v>
      </c>
      <c r="BH359" s="44">
        <v>0</v>
      </c>
      <c r="BI359" s="44">
        <v>0</v>
      </c>
      <c r="BJ359" s="44" t="s">
        <v>115</v>
      </c>
      <c r="BK359" s="44">
        <f t="shared" si="536"/>
        <v>0.48749999999999999</v>
      </c>
      <c r="BL359" s="44">
        <v>1</v>
      </c>
      <c r="BM359" s="44" cm="1">
        <f t="array" ref="BM359">_xlfn.IFS(BD359="NA","NA",BD359&gt;100%,"100%",BD359&lt;100,BD359)</f>
        <v>0.95</v>
      </c>
      <c r="BN359" s="44">
        <v>0</v>
      </c>
      <c r="BO359" s="44">
        <v>0</v>
      </c>
      <c r="BP359" s="44" t="s">
        <v>115</v>
      </c>
      <c r="BQ359" s="45">
        <v>0.224</v>
      </c>
      <c r="BR359" s="45">
        <f t="shared" si="541"/>
        <v>0.10920000000000001</v>
      </c>
      <c r="BS359" s="45">
        <v>5.6000000000000001E-2</v>
      </c>
      <c r="BT359" s="45">
        <v>5.6000000000000001E-2</v>
      </c>
      <c r="BU359" s="45">
        <v>5.6000000000000001E-2</v>
      </c>
      <c r="BV359" s="45">
        <v>5.6000000000000001E-2</v>
      </c>
      <c r="BW359" s="45">
        <f t="shared" si="551"/>
        <v>5.3199999999999997E-2</v>
      </c>
      <c r="BX359" s="45">
        <f t="shared" si="552"/>
        <v>5.3200000000000004E-2</v>
      </c>
      <c r="BY359" s="45">
        <v>5.6000000000000001E-2</v>
      </c>
      <c r="BZ359" s="45">
        <v>0</v>
      </c>
      <c r="CA359" s="45">
        <f t="shared" si="542"/>
        <v>0</v>
      </c>
      <c r="CB359" s="45">
        <v>5.6000000000000001E-2</v>
      </c>
      <c r="CC359" s="45">
        <v>0</v>
      </c>
      <c r="CD359" s="45">
        <v>0</v>
      </c>
      <c r="CE359" s="45">
        <v>0</v>
      </c>
      <c r="CF359" s="45" t="s">
        <v>115</v>
      </c>
      <c r="CG359" s="45">
        <v>0</v>
      </c>
      <c r="CH359" s="244">
        <f t="shared" ref="CH359:CH360" si="564">IF(W359&gt;0,1,0)</f>
        <v>1</v>
      </c>
      <c r="CI359" s="244">
        <f t="shared" ref="CI359:CI360" si="565">IF(AE359&gt;0,1,0)</f>
        <v>1</v>
      </c>
      <c r="CJ359" s="244">
        <f t="shared" ref="CJ359:CJ360" si="566">IF(AM359&gt;0,1,0)</f>
        <v>1</v>
      </c>
      <c r="CK359" s="244">
        <f t="shared" ref="CK359:CK360" si="567">IF(AO359&gt;0,1,0)</f>
        <v>1</v>
      </c>
      <c r="CL359">
        <f t="shared" ref="CL359:CL360" si="568">CH359+CI359+CJ359+CK359</f>
        <v>4</v>
      </c>
      <c r="CM359" s="63">
        <f>AVERAGE(Z359,AH359)</f>
        <v>97.5</v>
      </c>
    </row>
    <row r="360" spans="1:91" ht="18" hidden="1" customHeight="1">
      <c r="A360" s="260" t="s">
        <v>2335</v>
      </c>
      <c r="B360" s="260" t="s">
        <v>2336</v>
      </c>
      <c r="C360" s="260" t="s">
        <v>2129</v>
      </c>
      <c r="D360" s="260" t="s">
        <v>2313</v>
      </c>
      <c r="E360" s="260" t="s">
        <v>2327</v>
      </c>
      <c r="F360" s="260" t="s">
        <v>2328</v>
      </c>
      <c r="G360" s="260" t="s">
        <v>2329</v>
      </c>
      <c r="H360" s="260" t="s">
        <v>2337</v>
      </c>
      <c r="I360" s="260"/>
      <c r="J360" s="260"/>
      <c r="K360" s="260" t="s">
        <v>2338</v>
      </c>
      <c r="L360" s="260" t="s">
        <v>2339</v>
      </c>
      <c r="M360" s="260" t="s">
        <v>2340</v>
      </c>
      <c r="N360" s="260" t="s">
        <v>111</v>
      </c>
      <c r="O360" s="257" t="s">
        <v>112</v>
      </c>
      <c r="P360" s="10">
        <v>0</v>
      </c>
      <c r="Q360" s="11">
        <v>540</v>
      </c>
      <c r="R360" s="11">
        <f>Z360+AH360</f>
        <v>13</v>
      </c>
      <c r="S360" s="11" t="str">
        <f>VLOOKUP(K360,'1113 Planeación'!$K$13:$AK$19,9,0)</f>
        <v>Dentro de las actividades del mantenimiento del portal IDER, se tinen: Revisión y actualización de lo datos abiertos regionales incluidos en el geoportal ide.cundinamarca.gov.co. Estas actividades incluye la revisión de información de geoserviios web incluida en los visores web geográficos, actualziación de la platafrma tecnológica, revisión de los contenidos e información adelatada por el Distrito, la Gobernación de Cundinamarca y los municipios</v>
      </c>
      <c r="T360" s="11">
        <v>0</v>
      </c>
      <c r="U360" s="11">
        <v>0</v>
      </c>
      <c r="V360" s="11">
        <v>0</v>
      </c>
      <c r="W360" s="11">
        <v>0</v>
      </c>
      <c r="X360" s="11">
        <v>0</v>
      </c>
      <c r="Y360" s="11">
        <v>0</v>
      </c>
      <c r="Z360" s="11">
        <v>0</v>
      </c>
      <c r="AA360" s="11"/>
      <c r="AB360" s="11"/>
      <c r="AC360" s="11"/>
      <c r="AD360" s="11">
        <v>0</v>
      </c>
      <c r="AE360" s="11">
        <v>35</v>
      </c>
      <c r="AF360" s="11">
        <f>VLOOKUP(K360,'1113 Planeación'!$K$13:$AK$19,22,0)</f>
        <v>13</v>
      </c>
      <c r="AG360" s="11">
        <f>VLOOKUP(K360,'1113 Planeación'!$K$13:$AK$19,23,0)</f>
        <v>0</v>
      </c>
      <c r="AH360" s="11">
        <f>AF360</f>
        <v>13</v>
      </c>
      <c r="AI360" s="11" t="str">
        <f>VLOOKUP(K360,'1113 Planeación'!$K$13:$AK$19,25,0)</f>
        <v>Geoservicios publicados en el geoportal de la Infraestructura de Datos Espaciales Regional IDER</v>
      </c>
      <c r="AJ360" s="11" t="str">
        <f>VLOOKUP(K360,'1113 Planeación'!$K$13:$AK$19,26,0)</f>
        <v>Actualización y publicación de 100 conjuntos de datos web en el portal IDER ider.cundinamarca.gov.co</v>
      </c>
      <c r="AK360" s="11" t="str">
        <f>VLOOKUP(K360,'1113 Planeación'!$K$13:$AK$19,27,0)</f>
        <v>El rezago de tiempo en la actualización del personal disponible para adelantar las actividades de la plataforma web y las demoras en la complejidad de procesamiento y elaboración de aplicaciones web en el portal IDER</v>
      </c>
      <c r="AL360" s="11">
        <v>0</v>
      </c>
      <c r="AM360" s="11">
        <v>35</v>
      </c>
      <c r="AN360" s="11">
        <v>0</v>
      </c>
      <c r="AO360" s="11">
        <v>30</v>
      </c>
      <c r="AP360" s="11">
        <v>0</v>
      </c>
      <c r="AQ360" s="11">
        <v>0</v>
      </c>
      <c r="AR360" s="52"/>
      <c r="AS360" s="54">
        <v>0</v>
      </c>
      <c r="AT360" s="54">
        <f t="shared" si="535"/>
        <v>0</v>
      </c>
      <c r="AU360" s="52"/>
      <c r="AV360" s="243">
        <v>100000000</v>
      </c>
      <c r="AW360" s="244"/>
      <c r="AX360" s="244"/>
      <c r="AY360" s="243">
        <v>99835322</v>
      </c>
      <c r="AZ360" s="44">
        <f>R360/Q360</f>
        <v>2.4074074074074074E-2</v>
      </c>
      <c r="BA360" s="44">
        <v>0</v>
      </c>
      <c r="BB360" s="44" t="s">
        <v>115</v>
      </c>
      <c r="BC360" s="44">
        <f>AD360/Q360</f>
        <v>0</v>
      </c>
      <c r="BD360" s="44" t="str" cm="1">
        <f t="array" ref="BD360">_xlfn.IFS(AD360=0,"NA",AD360&gt;0,AH360/AD360)</f>
        <v>NA</v>
      </c>
      <c r="BE360" s="44">
        <f>AL360/Q360</f>
        <v>0</v>
      </c>
      <c r="BF360" s="44">
        <v>0</v>
      </c>
      <c r="BG360" s="44">
        <f>AN360/Q360</f>
        <v>0</v>
      </c>
      <c r="BH360" s="44">
        <v>0</v>
      </c>
      <c r="BI360" s="44">
        <f t="shared" ref="BI360:BI366" si="569">AP360/Q360</f>
        <v>0</v>
      </c>
      <c r="BJ360" s="44" t="s">
        <v>115</v>
      </c>
      <c r="BK360" s="44">
        <f t="shared" si="536"/>
        <v>2.4074074074074074E-2</v>
      </c>
      <c r="BL360" s="44" t="s">
        <v>115</v>
      </c>
      <c r="BM360" s="44" t="str" cm="1">
        <f t="array" ref="BM360">_xlfn.IFS(BD360="NA","NA",BD360&gt;100%,"100%",BD360&lt;100,BD360)</f>
        <v>NA</v>
      </c>
      <c r="BN360" s="44" cm="1">
        <f t="array" ref="BN360">_xlfn.IFS(BF360="NA","NA",BF360&gt;100%,"100%",BF360&lt;100,BF360)</f>
        <v>0</v>
      </c>
      <c r="BO360" s="44" cm="1">
        <f t="array" ref="BO360">_xlfn.IFS(BH360="NA","NA",BH360&gt;100%,"100%",BH360&lt;100,BH360)</f>
        <v>0</v>
      </c>
      <c r="BP360" s="44" t="str" cm="1">
        <f t="array" ref="BP360">_xlfn.IFS(BJ360="NA","NA",BJ360&gt;100%,"100%",BJ360&lt;100,BJ360)</f>
        <v>NA</v>
      </c>
      <c r="BQ360" s="45">
        <v>0.224</v>
      </c>
      <c r="BR360" s="45">
        <f t="shared" si="541"/>
        <v>5.3925925925925929E-3</v>
      </c>
      <c r="BS360" s="45">
        <v>0</v>
      </c>
      <c r="BT360" s="45" t="s">
        <v>115</v>
      </c>
      <c r="BU360" s="45">
        <v>0</v>
      </c>
      <c r="BV360" s="45">
        <f>(AD360*BQ360)/Q360</f>
        <v>0</v>
      </c>
      <c r="BW360" s="45" t="str">
        <f t="shared" si="551"/>
        <v>NA</v>
      </c>
      <c r="BX360" s="45">
        <f t="shared" si="552"/>
        <v>5.3925925925925929E-3</v>
      </c>
      <c r="BY360" s="45">
        <f>(AL360*BQ360)/Q360</f>
        <v>0</v>
      </c>
      <c r="BZ360" s="45">
        <f t="shared" ref="BZ360:BZ366" si="570">IF(BN360="NA","NA",BN360*BY360)</f>
        <v>0</v>
      </c>
      <c r="CA360" s="45">
        <f t="shared" si="542"/>
        <v>0</v>
      </c>
      <c r="CB360" s="45">
        <f>(AN360*BQ360)/Q360</f>
        <v>0</v>
      </c>
      <c r="CC360" s="45">
        <f t="shared" ref="CC360:CC366" si="571">IF(BO360="NA","NA",BO360*CB360)</f>
        <v>0</v>
      </c>
      <c r="CD360" s="45">
        <v>0</v>
      </c>
      <c r="CE360" s="45">
        <f t="shared" ref="CE360:CE366" si="572">(AP360*BQ360)/Q360</f>
        <v>0</v>
      </c>
      <c r="CF360" s="45" t="str">
        <f t="shared" ref="CF360:CF366" si="573">IF(BP360="NA","NA",BP360*CE360)</f>
        <v>NA</v>
      </c>
      <c r="CG360" s="45">
        <v>0</v>
      </c>
      <c r="CH360" s="244">
        <f t="shared" si="564"/>
        <v>0</v>
      </c>
      <c r="CI360" s="244">
        <f t="shared" si="565"/>
        <v>1</v>
      </c>
      <c r="CJ360" s="244">
        <f t="shared" si="566"/>
        <v>1</v>
      </c>
      <c r="CK360" s="244">
        <f t="shared" si="567"/>
        <v>1</v>
      </c>
      <c r="CL360">
        <f t="shared" si="568"/>
        <v>3</v>
      </c>
      <c r="CM360" s="63">
        <v>67</v>
      </c>
    </row>
    <row r="361" spans="1:91" ht="18" customHeight="1">
      <c r="A361" s="260" t="s">
        <v>2148</v>
      </c>
      <c r="B361" s="260" t="s">
        <v>2149</v>
      </c>
      <c r="C361" s="260" t="s">
        <v>2129</v>
      </c>
      <c r="D361" s="260" t="s">
        <v>2313</v>
      </c>
      <c r="E361" s="260" t="s">
        <v>2327</v>
      </c>
      <c r="F361" s="260" t="s">
        <v>2341</v>
      </c>
      <c r="G361" s="260" t="s">
        <v>2342</v>
      </c>
      <c r="H361" s="260" t="s">
        <v>2343</v>
      </c>
      <c r="I361" s="260"/>
      <c r="J361" s="260"/>
      <c r="K361" s="260" t="s">
        <v>2344</v>
      </c>
      <c r="L361" s="260" t="s">
        <v>2345</v>
      </c>
      <c r="M361" s="260" t="s">
        <v>131</v>
      </c>
      <c r="N361" s="260" t="s">
        <v>111</v>
      </c>
      <c r="O361" s="260" t="s">
        <v>112</v>
      </c>
      <c r="P361" s="10">
        <v>1</v>
      </c>
      <c r="Q361" s="11">
        <v>1</v>
      </c>
      <c r="R361" s="11">
        <f t="shared" ref="R361:R366" si="574">Z361+AH361</f>
        <v>0.44</v>
      </c>
      <c r="S361" s="11" t="str">
        <f>VLOOKUP(K361,'1129 Integración'!$K$13:$AK$18,9,0)</f>
        <v xml:space="preserve">Se realizó seguimiento a la ejecución del plan de trabajo definido con la RAP-E Región Central, en sus cinco ejes: Seguridad Alimentaria y Desarrollo Rural; Sustentabilidad Ecosistémica y Manejo de Riesgos; Competitividad y Proyección Internacional; Infraestructuras de Transporte, Logística y Servicios Públicos; Gobernanza y buen Gobierno y Gestión de Fortalecimiento Institucional.
En el Comité de Integración Territorial (CIT) se definió un plan de trabajo articulado a la agenda regional Bogotá-Cundinamarca y se realizaron talleres con las secretarías de planeación de los municipios para identificar proyectos incluidos en los planes de desarrollo municipales. Además, se adelantaron las mesas técnicas de residuos sólidos y seguridad ciudadana. En la primera, se validaron las líneas estratégicas para el Plan Integral de Gestión de Residuos Sólidos y en la de seguridad ciudadana, se trabaja en los Planes Integrales de Seguridad, Convivencia y Justicia (PISCJ) Distrital y Departamental.
Con la Secretaría Distrital de Planeación y la Cámara de Comercio de Bogotá, se avanzó en la suscripción de un convenio de asociación para el fortalecimiento de esta instancia de coordinación regional. 
</v>
      </c>
      <c r="T361" s="11">
        <v>0.16</v>
      </c>
      <c r="U361" s="11">
        <v>0</v>
      </c>
      <c r="V361" s="11">
        <v>0.21</v>
      </c>
      <c r="W361" s="11">
        <v>0</v>
      </c>
      <c r="X361" s="11">
        <v>0.21</v>
      </c>
      <c r="Y361" s="11">
        <v>0</v>
      </c>
      <c r="Z361" s="11">
        <v>0.21</v>
      </c>
      <c r="AA361" s="11">
        <v>0</v>
      </c>
      <c r="AB361" s="11" t="s">
        <v>2346</v>
      </c>
      <c r="AC361" s="11">
        <v>0</v>
      </c>
      <c r="AD361" s="11">
        <v>0.25</v>
      </c>
      <c r="AE361" s="11">
        <v>0</v>
      </c>
      <c r="AF361" s="11">
        <f>VLOOKUP(K361,'1129 Integración'!$K$13:$AK$18,22,0)</f>
        <v>0.23</v>
      </c>
      <c r="AG361" s="11">
        <f>VLOOKUP(K361,'1129 Integración'!$K$13:$AK$18,23,0)</f>
        <v>0</v>
      </c>
      <c r="AH361" s="11">
        <f t="shared" ref="AH361:AH366" si="575">AF361</f>
        <v>0.23</v>
      </c>
      <c r="AI361" s="11">
        <f>VLOOKUP(K361,'1129 Integración'!$K$13:$AK$18,25,0)</f>
        <v>0</v>
      </c>
      <c r="AJ361" s="11" t="str">
        <f>VLOOKUP(K361,'1129 Integración'!$K$13:$AK$18,26,0)</f>
        <v xml:space="preserve">En el marco de las acciones encaminadas a fortalecer los espacios de coordinación regional existentes, el pasado 23 de diciembre se suscribió el convenio No.537 de 2020 / SIR-CDCASO-024-2020, con la Secretaría Distrital de Planeación y  la Cámara de Comercio de Bogotá (CCB), que tiene por  objeto “Aunar recursos humanos, técnicos y financieros para facilitar, apoyar y acompañar la implementación de la agenda programática regional concertada entre la Alcaldía Mayor de Bogotá D.C., la Gobernación de Cundinamarca y los municipios que hacen parte del Comité de Integración Territorial (CIT) para contribuir a la integración regional, a la reactivación económica, al mejoramiento del entorno empresarial y a la prosperidad de la región”. 
En desarrollo de este Convenio, durante el primer trismestre se realizaron dos comités técnicos de seguimiento, para la revisión del plan de trabajo propuesto, el funcionamiento de las mesas técnicas y la validación de los documentos de trabajo. En los dos comités, realizados el 1 de febrero y el 23 de marzo, en representación de la Secretaría participaron la Gerencia, la Dirección de Gestión e Integración Regional y una asesora del Despacho.  Igualmente, se adelantó una mesa de trabajo para el ajuste cronograma del plan de trabajo del convenio, el 25 de marzo. 
En cuanto a la Región Administrativa y de Planeación Especial – RAPE Región Central, en desarrollo del Convenio No. 1676 de 2014 y del Convenio de Adhesión No. 001 de 2019, se recibió y estudió el informe general de gestión 2020 de la RAPE, como insumo para la elaboración del informe semestral de seguimiento de la gestión de actividades y la ejecución presupuestal de la RAPE, a cargo de la Supervisión. Igualmente, se iniciaron las acciones pertinentes para adelantar la transferencia de recursos de la vigencia 2021. 
La Supervisión recibió y estudio el Plan Regional de Ejecución 2021-2024, al cual se le realizaron comentarios y observaciones. En este mismo sentido, como parte del acompañamiento a las sesiones de la junta directiva, mesas de seguimiento, o mesas de trabajo conjunto, esta entidad participó en la sesión de trabajo con la Rape para revisión y ajuste de su Plan Regional de Ejecución 2021, el 10 de marzo, en la que también  participaron  la Secretaría de Planeación de Cundinamarca, Secretaría de Agricultura de Cundinamarca, Secretaría de Movilidad de Cundinamarca y la  RAPE, y en la reunión de presentación, por parte de la RAPE, del ejercicio de identificación cartográfica de sitios de importancia cultural en los sistemas de páramos - gobernanza ambiental, el  24 de marzo.
De otro lado, en las acciones de participación en las sesiones de trabajo y deliberaciones para el establecimiento de acuerdos de POT, esta Secretaría participó en la Mesa de seguimiento a la sentencia del río Bogotá para consolidar las acciones de articulación de los POT de los municipios de cuenca del río Bogotá, realizada el  4 de marzo, y en la reunión con el comité de verificación de la sentencia del río Bogotá del: 15 de marzo.
*En el marco del convenio que creo la Región Administrativa de Planificación Especial - RAP-E Región Central, el 9 de abril se reportó el informe de supervisión definitivo como uno de los documentos soporte para la transferencia de recursos de la vigencia 2021. Dentro del informe, además de la verificación de las actividades el Plan Estratégico Regional, se analizó el presupuesto 2021 y el Plan Operativo Anuel de Inversiones 2021. 
En desarrollo del Convenio de asociación para el fortalecimiento del Comité de Integración Territorial (CIT), el día 22 de abril se llevó a cabo una sesión de trabajo con los equipos de la Cámara de Comercio de Bogotá y de la Secretaría Distrital de Planeación con el fin de definir las temáticas de los talleres y foros a desarrollar en la presente vigencia.
El  23 de abril se llevó a cabo una reunión con la Corporación Autónoma Regional de Cundinamarca (CAR) sobre el diligenciamiento de las fichas de cumplimiento de los proyectos del POMCA. Producto de esa reunión se realizó una nueva reunión con la Secretaría Departamental de Ambiente, el 30 de abril, en la que se revisaron los contenidos de cada ficha y se generó el compromiso de verificar la información frente al proyecto de Pago Por Servicios Ambientales.
</v>
      </c>
      <c r="AK361" s="11" t="str">
        <f>VLOOKUP(K361,'1129 Integración'!$K$13:$AK$18,27,0)</f>
        <v>Ninguna</v>
      </c>
      <c r="AL361" s="11">
        <v>0.17</v>
      </c>
      <c r="AM361" s="11">
        <v>0</v>
      </c>
      <c r="AN361" s="11">
        <v>0.37</v>
      </c>
      <c r="AO361" s="11">
        <v>0</v>
      </c>
      <c r="AP361" s="11">
        <v>0</v>
      </c>
      <c r="AQ361" s="11">
        <v>0</v>
      </c>
      <c r="AR361" s="51">
        <v>100000000</v>
      </c>
      <c r="AS361" s="54">
        <v>0</v>
      </c>
      <c r="AT361" s="54">
        <f t="shared" si="535"/>
        <v>100000000</v>
      </c>
      <c r="AU361" s="51">
        <v>100000000</v>
      </c>
      <c r="AV361" s="243">
        <v>1171804089</v>
      </c>
      <c r="AW361" s="244"/>
      <c r="AX361" s="244"/>
      <c r="AY361" s="243">
        <v>1169575000</v>
      </c>
      <c r="AZ361" s="44">
        <f t="shared" ref="AZ361:AZ366" si="576">R361/Q361</f>
        <v>0.44</v>
      </c>
      <c r="BA361" s="44">
        <v>0.21</v>
      </c>
      <c r="BB361" s="44">
        <v>100</v>
      </c>
      <c r="BC361" s="44">
        <f t="shared" ref="BC361:BC366" si="577">AD361/Q361</f>
        <v>0.25</v>
      </c>
      <c r="BD361" s="44" cm="1">
        <f t="array" ref="BD361">_xlfn.IFS(AD361=0,"NA",AD361&gt;0,AH361/AD361)</f>
        <v>0.92</v>
      </c>
      <c r="BE361" s="44">
        <f t="shared" ref="BE361:BE366" si="578">AL361/Q361</f>
        <v>0.17</v>
      </c>
      <c r="BF361" s="44">
        <v>0</v>
      </c>
      <c r="BG361" s="44">
        <f t="shared" ref="BG361:BG366" si="579">AN361/Q361</f>
        <v>0.37</v>
      </c>
      <c r="BH361" s="44">
        <v>0</v>
      </c>
      <c r="BI361" s="44">
        <f t="shared" si="569"/>
        <v>0</v>
      </c>
      <c r="BJ361" s="44" t="s">
        <v>115</v>
      </c>
      <c r="BK361" s="44">
        <f t="shared" si="536"/>
        <v>0.44</v>
      </c>
      <c r="BL361" s="44">
        <v>1</v>
      </c>
      <c r="BM361" s="44" cm="1">
        <f t="array" ref="BM361">_xlfn.IFS(BD361="NA","NA",BD361&gt;100%,"100%",BD361&lt;100,BD361)</f>
        <v>0.92</v>
      </c>
      <c r="BN361" s="44" cm="1">
        <f t="array" ref="BN361">_xlfn.IFS(BF361="NA","NA",BF361&gt;100%,"100%",BF361&lt;100,BF361)</f>
        <v>0</v>
      </c>
      <c r="BO361" s="44" cm="1">
        <f t="array" ref="BO361">_xlfn.IFS(BH361="NA","NA",BH361&gt;100%,"100%",BH361&lt;100,BH361)</f>
        <v>0</v>
      </c>
      <c r="BP361" s="44" t="str" cm="1">
        <f t="array" ref="BP361">_xlfn.IFS(BJ361="NA","NA",BJ361&gt;100%,"100%",BJ361&lt;100,BJ361)</f>
        <v>NA</v>
      </c>
      <c r="BQ361" s="45">
        <v>0.224</v>
      </c>
      <c r="BR361" s="45">
        <f t="shared" si="541"/>
        <v>9.8560000000000009E-2</v>
      </c>
      <c r="BS361" s="45">
        <v>4.7E-2</v>
      </c>
      <c r="BT361" s="45">
        <v>4.7E-2</v>
      </c>
      <c r="BU361" s="45">
        <v>4.7E-2</v>
      </c>
      <c r="BV361" s="45">
        <f t="shared" ref="BV361:BV366" si="580">(AD361*BQ361)/Q361</f>
        <v>5.6000000000000001E-2</v>
      </c>
      <c r="BW361" s="45">
        <f t="shared" si="551"/>
        <v>5.1520000000000003E-2</v>
      </c>
      <c r="BX361" s="45">
        <f t="shared" si="552"/>
        <v>5.1560000000000009E-2</v>
      </c>
      <c r="BY361" s="45">
        <f t="shared" ref="BY361:BY366" si="581">(AL361*BQ361)/Q361</f>
        <v>3.8080000000000003E-2</v>
      </c>
      <c r="BZ361" s="45">
        <f t="shared" si="570"/>
        <v>0</v>
      </c>
      <c r="CA361" s="45">
        <f t="shared" si="542"/>
        <v>0</v>
      </c>
      <c r="CB361" s="45">
        <f t="shared" ref="CB361:CB366" si="582">(AN361*BQ361)/Q361</f>
        <v>8.2879999999999995E-2</v>
      </c>
      <c r="CC361" s="45">
        <f t="shared" si="571"/>
        <v>0</v>
      </c>
      <c r="CD361" s="45">
        <v>0</v>
      </c>
      <c r="CE361" s="45">
        <f t="shared" si="572"/>
        <v>0</v>
      </c>
      <c r="CF361" s="45" t="str">
        <f t="shared" si="573"/>
        <v>NA</v>
      </c>
      <c r="CG361" s="45">
        <v>0</v>
      </c>
      <c r="CH361" s="244"/>
      <c r="CI361" s="244"/>
      <c r="CJ361" s="244"/>
      <c r="CK361" s="244"/>
      <c r="CM361" s="63">
        <v>0.41000000000000003</v>
      </c>
    </row>
    <row r="362" spans="1:91" ht="18" customHeight="1">
      <c r="A362" s="260" t="s">
        <v>2148</v>
      </c>
      <c r="B362" s="260" t="s">
        <v>2149</v>
      </c>
      <c r="C362" s="260" t="s">
        <v>2129</v>
      </c>
      <c r="D362" s="260" t="s">
        <v>2313</v>
      </c>
      <c r="E362" s="260" t="s">
        <v>2327</v>
      </c>
      <c r="F362" s="260" t="s">
        <v>2341</v>
      </c>
      <c r="G362" s="260" t="s">
        <v>2342</v>
      </c>
      <c r="H362" s="260" t="s">
        <v>2347</v>
      </c>
      <c r="I362" s="260"/>
      <c r="J362" s="260"/>
      <c r="K362" s="260" t="s">
        <v>2348</v>
      </c>
      <c r="L362" s="260" t="s">
        <v>2349</v>
      </c>
      <c r="M362" s="260" t="s">
        <v>2350</v>
      </c>
      <c r="N362" s="260" t="s">
        <v>111</v>
      </c>
      <c r="O362" s="260" t="s">
        <v>112</v>
      </c>
      <c r="P362" s="10">
        <v>0</v>
      </c>
      <c r="Q362" s="11">
        <v>4</v>
      </c>
      <c r="R362" s="11">
        <f t="shared" si="574"/>
        <v>0</v>
      </c>
      <c r="S362" s="11" t="str">
        <f>VLOOKUP(K362,'1129 Integración'!$K$13:$AK$18,9,0)</f>
        <v xml:space="preserve">se definió un esquema de trabajo con cinco fases, que va desde la formulación hasta la aprobación.
Se lideró el proceso para la conformación de la Provincia Administrativa y de Planificación de Sumapaz, con la participación de sus diez municipios, para lograr una figura asociativa que permita alcanzar objetivos comunes que mejoren el nivel de vida de las comunidades. Se avanzó en la estructuración del esquema asociativo y de la ruta de trabajo, y se conformó el comité técnico para la elaboración del documento soporte, que define su funcionamiento, financiamiento y reglas. 
Adicionalmente, Se ha venido trabajado con las provincias del Alto Magdalena, Guavio y Tequendama para la definición de esquemas de asociatividad y la identificación de proyectos conjuntos. 
</v>
      </c>
      <c r="T362" s="11">
        <v>0</v>
      </c>
      <c r="U362" s="11">
        <v>0</v>
      </c>
      <c r="V362" s="11">
        <v>0</v>
      </c>
      <c r="W362" s="11">
        <v>0</v>
      </c>
      <c r="X362" s="11">
        <v>0</v>
      </c>
      <c r="Y362" s="11">
        <v>0</v>
      </c>
      <c r="Z362" s="11">
        <v>0</v>
      </c>
      <c r="AA362" s="11">
        <v>0</v>
      </c>
      <c r="AB362" s="11" t="s">
        <v>2351</v>
      </c>
      <c r="AC362" s="11">
        <v>0</v>
      </c>
      <c r="AD362" s="11">
        <v>0</v>
      </c>
      <c r="AE362" s="11">
        <v>0</v>
      </c>
      <c r="AF362" s="11">
        <f>VLOOKUP(K362,'1129 Integración'!$K$13:$AK$18,22,0)</f>
        <v>0</v>
      </c>
      <c r="AG362" s="11">
        <f>VLOOKUP(K362,'1129 Integración'!$K$13:$AK$18,23,0)</f>
        <v>0</v>
      </c>
      <c r="AH362" s="11">
        <f t="shared" si="575"/>
        <v>0</v>
      </c>
      <c r="AI362" s="11">
        <f>VLOOKUP(K362,'1129 Integración'!$K$13:$AK$18,25,0)</f>
        <v>0</v>
      </c>
      <c r="AJ362" s="11" t="str">
        <f>VLOOKUP(K362,'1129 Integración'!$K$13:$AK$18,26,0)</f>
        <v xml:space="preserve">se realizaron encuentros virtuales con el director de la PAP de Cartama, Antioquia (3 de febrero), y con el director de la PAP Agua, Bosques y Turismo, Antioquia (19 de febrero), que permitieron conocer de cerca la experiencia de estas regiones en la conformación y creación de las PAP, en aspectos como la reglamentación para su funcionamiento.
El 23 de febrero se realizó una reunión con el alcalde de Fusagasugá y su equipo asesor, dado el carácter de este municipio como cabecera de provincia y su interés en ser parte de la PAP Sumapaz. En este encuentro se brindó información sobre el estado de avance de conformación del esquema asociativo.
   A principios del mes de mayo se realizaron las últimas reuniones con el área jurídica de la Secretaría de Integración Regional de la Gobernación de Cundinamarca para revisar y ejecutar los ajustes necesarios a la Ordenanza de Reglamentación y funcionamiento de las Provincias Administrativas y de Planificación en Cundinamarca, la cual fue presentada el 12 de mayo por la Secretaria de Integración Regional ante la Asamblea Departamental. Como resultado de dicha socialización se retiró el proyecto de la Asamblea debido a dos aspectos, el primero se requiere de un análisis más profundo sobre las competencias que tienen los diputados para la reglamentación y el funcionamiento de las PAP y el segundo si es el momento apropiado para la creación de las PAP teniendo en cuenta que está en proceso la construcción de la ley orgánica de Región Metropolitana, y se requiere aclarar si son complementarias.
Se realizó un análisis de las intervenciones realizadas por los diputados y se preparó una respuesta a las inquietudes presentadas por ellos, con el objetivo de proporcionar una información más amplificada sobre los esquemas asociativos y en específico las Provincias Administrativas y de Planificación en Cundinamarca.
Así mismo, se realizó una reunión con la Oficina Jurídica del departamento para analizar los resultados de la presentación de la ordenanza y se tomó la decisión de solicitar unos conceptos sobre las PAP a Min Interior y a una asesoría jurídica externa que tiene la Secretaría Jurídica del departamento. 
</v>
      </c>
      <c r="AK362" s="11" t="str">
        <f>VLOOKUP(K362,'1129 Integración'!$K$13:$AK$18,27,0)</f>
        <v>Ninguna</v>
      </c>
      <c r="AL362" s="11">
        <v>2</v>
      </c>
      <c r="AM362" s="11">
        <v>0</v>
      </c>
      <c r="AN362" s="11">
        <v>1</v>
      </c>
      <c r="AO362" s="11">
        <v>0</v>
      </c>
      <c r="AP362" s="11">
        <v>0</v>
      </c>
      <c r="AQ362" s="11">
        <v>0</v>
      </c>
      <c r="AR362" s="51">
        <v>9676333</v>
      </c>
      <c r="AS362" s="54">
        <v>0</v>
      </c>
      <c r="AT362" s="54">
        <f t="shared" si="535"/>
        <v>9676333</v>
      </c>
      <c r="AU362" s="51">
        <v>9676333</v>
      </c>
      <c r="AV362" s="243">
        <v>31000000</v>
      </c>
      <c r="AW362" s="244"/>
      <c r="AX362" s="244"/>
      <c r="AY362" s="243">
        <v>28823000</v>
      </c>
      <c r="AZ362" s="44">
        <f t="shared" si="576"/>
        <v>0</v>
      </c>
      <c r="BA362" s="44">
        <v>0</v>
      </c>
      <c r="BB362" s="44" t="s">
        <v>115</v>
      </c>
      <c r="BC362" s="44">
        <f t="shared" si="577"/>
        <v>0</v>
      </c>
      <c r="BD362" s="44" t="str" cm="1">
        <f t="array" ref="BD362">_xlfn.IFS(AD362=0,"NA",AD362&gt;0,AH362/AD362)</f>
        <v>NA</v>
      </c>
      <c r="BE362" s="44">
        <f t="shared" si="578"/>
        <v>0.5</v>
      </c>
      <c r="BF362" s="44">
        <v>0</v>
      </c>
      <c r="BG362" s="44">
        <f t="shared" si="579"/>
        <v>0.25</v>
      </c>
      <c r="BH362" s="44">
        <v>0</v>
      </c>
      <c r="BI362" s="44">
        <f t="shared" si="569"/>
        <v>0</v>
      </c>
      <c r="BJ362" s="44" t="s">
        <v>115</v>
      </c>
      <c r="BK362" s="44">
        <f t="shared" si="536"/>
        <v>0</v>
      </c>
      <c r="BL362" s="44" t="s">
        <v>115</v>
      </c>
      <c r="BM362" s="44" t="str" cm="1">
        <f t="array" ref="BM362">_xlfn.IFS(BD362="NA","NA",BD362&gt;100%,"100%",BD362&lt;100,BD362)</f>
        <v>NA</v>
      </c>
      <c r="BN362" s="44" cm="1">
        <f t="array" ref="BN362">_xlfn.IFS(BF362="NA","NA",BF362&gt;100%,"100%",BF362&lt;100,BF362)</f>
        <v>0</v>
      </c>
      <c r="BO362" s="44" cm="1">
        <f t="array" ref="BO362">_xlfn.IFS(BH362="NA","NA",BH362&gt;100%,"100%",BH362&lt;100,BH362)</f>
        <v>0</v>
      </c>
      <c r="BP362" s="44" t="str" cm="1">
        <f t="array" ref="BP362">_xlfn.IFS(BJ362="NA","NA",BJ362&gt;100%,"100%",BJ362&lt;100,BJ362)</f>
        <v>NA</v>
      </c>
      <c r="BQ362" s="45">
        <v>0.224</v>
      </c>
      <c r="BR362" s="45">
        <f t="shared" si="541"/>
        <v>0</v>
      </c>
      <c r="BS362" s="45">
        <v>0</v>
      </c>
      <c r="BT362" s="45" t="s">
        <v>115</v>
      </c>
      <c r="BU362" s="45">
        <v>0</v>
      </c>
      <c r="BV362" s="45">
        <f t="shared" si="580"/>
        <v>0</v>
      </c>
      <c r="BW362" s="45" t="str">
        <f t="shared" si="551"/>
        <v>NA</v>
      </c>
      <c r="BX362" s="45">
        <f t="shared" si="552"/>
        <v>0</v>
      </c>
      <c r="BY362" s="45">
        <f t="shared" si="581"/>
        <v>0.112</v>
      </c>
      <c r="BZ362" s="45">
        <f t="shared" si="570"/>
        <v>0</v>
      </c>
      <c r="CA362" s="45">
        <f t="shared" si="542"/>
        <v>0</v>
      </c>
      <c r="CB362" s="45">
        <f t="shared" si="582"/>
        <v>5.6000000000000001E-2</v>
      </c>
      <c r="CC362" s="45">
        <f t="shared" si="571"/>
        <v>0</v>
      </c>
      <c r="CD362" s="45">
        <v>0</v>
      </c>
      <c r="CE362" s="45">
        <f t="shared" si="572"/>
        <v>0</v>
      </c>
      <c r="CF362" s="45" t="str">
        <f t="shared" si="573"/>
        <v>NA</v>
      </c>
      <c r="CG362" s="45">
        <v>0</v>
      </c>
      <c r="CH362" s="244"/>
      <c r="CI362" s="244"/>
      <c r="CJ362" s="244"/>
      <c r="CK362" s="244"/>
      <c r="CM362" s="63">
        <v>0.38</v>
      </c>
    </row>
    <row r="363" spans="1:91" ht="18" customHeight="1">
      <c r="A363" s="260" t="s">
        <v>2148</v>
      </c>
      <c r="B363" s="260" t="s">
        <v>2149</v>
      </c>
      <c r="C363" s="260" t="s">
        <v>2129</v>
      </c>
      <c r="D363" s="260" t="s">
        <v>2313</v>
      </c>
      <c r="E363" s="260" t="s">
        <v>2327</v>
      </c>
      <c r="F363" s="260" t="s">
        <v>2341</v>
      </c>
      <c r="G363" s="260" t="s">
        <v>2342</v>
      </c>
      <c r="H363" s="260" t="s">
        <v>2352</v>
      </c>
      <c r="I363" s="260"/>
      <c r="J363" s="260"/>
      <c r="K363" s="260" t="s">
        <v>2353</v>
      </c>
      <c r="L363" s="260" t="s">
        <v>2354</v>
      </c>
      <c r="M363" s="260" t="s">
        <v>131</v>
      </c>
      <c r="N363" s="260" t="s">
        <v>111</v>
      </c>
      <c r="O363" s="260" t="s">
        <v>112</v>
      </c>
      <c r="P363" s="10">
        <v>0</v>
      </c>
      <c r="Q363" s="11">
        <v>1</v>
      </c>
      <c r="R363" s="11">
        <f t="shared" si="574"/>
        <v>0.37</v>
      </c>
      <c r="S363" s="11" t="str">
        <f>VLOOKUP(K363,'1129 Integración'!$K$13:$AK$18,9,0)</f>
        <v xml:space="preserve">Con el fin de avanzar en la meta de creación y puesta en marcha de una estructura de gobernanza subregional, Se acompañó en el proceso de aprobación en el Congreso de la República del Acto Legislativo 02 del 22 de julio de 2020 que creó la Región Metropolitana Bogotá-Cundinamarca, una entidad administrativa de asociatividad regional conformada por el Distrito Capital, el departamento de Cundinamarca y los municipios con los cuales se compartan dinámicas territoriales, ambientales, sociales y económicas.
La primera fase comprendió la realización de 24 audiencias públicas: seis (6) provinciales, doce (12) municipales y seis (6) en las localidades de Bogotá, en las que se recibieron 3.400 propuestas ciudadanas, resultado de alrededor de 1.300 intervenciones.
En la segunda fase se realizaron 23 encuentros sectoriales y poblacionales, más de 500 ciudadanos y ciudadanas, representantes de organizaciones sociales, gremiales, grupos poblacionales y de corporaciones públicas entregaron cerca de 1.600 aportes. Esta segunda fase abordó 12 encuentros sectoriales y 8 con diferentes grupos poblacionales. Además, se realizaron 19 talleres con los concejos de algunos municipios de Cundinamarca.
</v>
      </c>
      <c r="T363" s="11">
        <v>0.16</v>
      </c>
      <c r="U363" s="11">
        <v>0</v>
      </c>
      <c r="V363" s="11">
        <v>0.18</v>
      </c>
      <c r="W363" s="11">
        <v>0</v>
      </c>
      <c r="X363" s="11">
        <v>0.18</v>
      </c>
      <c r="Y363" s="11">
        <v>0</v>
      </c>
      <c r="Z363" s="11">
        <v>0.18</v>
      </c>
      <c r="AA363" s="11">
        <v>0</v>
      </c>
      <c r="AB363" s="11" t="s">
        <v>2355</v>
      </c>
      <c r="AC363" s="11">
        <v>0</v>
      </c>
      <c r="AD363" s="11">
        <v>0.2</v>
      </c>
      <c r="AE363" s="11">
        <v>0</v>
      </c>
      <c r="AF363" s="11">
        <f>VLOOKUP(K363,'1129 Integración'!$K$13:$AK$18,22,0)</f>
        <v>0.19</v>
      </c>
      <c r="AG363" s="11">
        <f>VLOOKUP(K363,'1129 Integración'!$K$13:$AK$18,23,0)</f>
        <v>0</v>
      </c>
      <c r="AH363" s="11">
        <f t="shared" si="575"/>
        <v>0.19</v>
      </c>
      <c r="AI363" s="11">
        <f>VLOOKUP(K363,'1129 Integración'!$K$13:$AK$18,25,0)</f>
        <v>0</v>
      </c>
      <c r="AJ363" s="11" t="str">
        <f>VLOOKUP(K363,'1129 Integración'!$K$13:$AK$18,26,0)</f>
        <v xml:space="preserve">Dentro de las acciones para la creación y puesta en marcha de una estructura de gobernanza subregional, la Secretaría de Integración Regional lidera y acompaña el proceso para la estructuración de una propuesta de ley orgánica que defina el funcionamiento de la Región Metropolitana Bogotá-Cundinamarca, creada mediante el Acto Legislativo 02 del 22 de julio de 2020. 
Durante el primer trimestre de 2021 se adelantaron 62 reuniones para el desarrollo de los temas relacionados con la estructuración de un nuevo borrador de proyecto de Ley Orgánica de Región Metropolitana, en las que ha participado activamente la secretaria de Despacho, Patricia González Avila, junto con los asesores temáticos para la Ley y varios de los secretarios de la Gobernación de Cundinamarca. Se ha realizado una construcción colectiva del proyecto de borrador entre la Alcaldía Mayor, representada por la Consejera para el tema de Región, así como por la Dirección de Integración Regional, Nacional e Internacional de la Secretaría Distrital de Planeación y la Gobernación de Cundinamarca, en cabeza de la Secretaria de Integración Regional. Los avances en el proyecto de Ley fueron presentados por el Gobernador de Cundinamarca y la alcaldesa de Bogotá a los representantes a la Cámara por Bogotá y Cundinamarca en reunión realizada el 3 de marzo, igualmente el Gobernador presidió la reunión que se realizó el 29 de marzo entre los representantes por Cundinamarca y los diputados de la Asamblea. Así mismo, la bancada de representantes por Bogotá tuvo una sesión de trabajo con los concejales de Bogotá el 12 de marzo, sesión realizada en el Congreso de la República y en la que participó con una intervención la Secretaria de Integración Regional.
Así mismo, en el marco de los contratos realizados por la RAPE con las Universidades de Los Andes y Nacional se ha contado con insumos técnicos en los aspectos relacionados con gobernanza, toma de decisiones y financiación, que han permitido conocer y comparar experiencias internacionales y acoger recomendaciones en la elaboración del articulado.
En lo relacionado con comunicaciones de la Región Metropolitana, con el apoyo de Asocapitales se elaboró una cartilla de Región Metropolitana que tanto en versión impresa como digital está siendo distribuida entre los actores relevantes. Además, en conjunto con la Alcaldía Mayor de Bogotá y la Gobernación de Cundinamarca se ha desarrollado una estrategia conjunta en redes sociales sobre los alcances de la Región Metropolitana.
*El 8 de abril,  la Secretaria de Integración Regional lideró una jornada de revisión de la propuesta de la estrategia de participación en el marco de la formulación de la ley orgánica de la Región Metropolitana Bogotá – Cundinamarca. Dicha propuesta fue ajustada a partir de las observaciones de esa reunión y de los cometarios al documento. 
El 13 y el 30 de abril se fortaleció la propuesta, en la cual se definene espacios de participación para la socialización del proyecto de ley y del trámite legislativo.
</v>
      </c>
      <c r="AK363" s="11" t="str">
        <f>VLOOKUP(K363,'1129 Integración'!$K$13:$AK$18,27,0)</f>
        <v>Ninguna</v>
      </c>
      <c r="AL363" s="11">
        <v>0.21</v>
      </c>
      <c r="AM363" s="11">
        <v>0</v>
      </c>
      <c r="AN363" s="11">
        <v>0.41</v>
      </c>
      <c r="AO363" s="11">
        <v>0</v>
      </c>
      <c r="AP363" s="11">
        <v>0</v>
      </c>
      <c r="AQ363" s="11">
        <v>0</v>
      </c>
      <c r="AR363" s="51">
        <v>160126666</v>
      </c>
      <c r="AS363" s="54">
        <v>0</v>
      </c>
      <c r="AT363" s="54">
        <f t="shared" si="535"/>
        <v>160126666</v>
      </c>
      <c r="AU363" s="51">
        <v>128666666</v>
      </c>
      <c r="AV363" s="243">
        <v>407987835</v>
      </c>
      <c r="AW363" s="244"/>
      <c r="AX363" s="244"/>
      <c r="AY363" s="243">
        <v>407156666</v>
      </c>
      <c r="AZ363" s="44">
        <f t="shared" si="576"/>
        <v>0.37</v>
      </c>
      <c r="BA363" s="44">
        <v>0.18</v>
      </c>
      <c r="BB363" s="44">
        <v>1</v>
      </c>
      <c r="BC363" s="44">
        <f t="shared" si="577"/>
        <v>0.2</v>
      </c>
      <c r="BD363" s="44" cm="1">
        <f t="array" ref="BD363">_xlfn.IFS(AD363=0,"NA",AD363&gt;0,AH363/AD363)</f>
        <v>0.95</v>
      </c>
      <c r="BE363" s="44">
        <f t="shared" si="578"/>
        <v>0.21</v>
      </c>
      <c r="BF363" s="44">
        <v>0</v>
      </c>
      <c r="BG363" s="44">
        <f t="shared" si="579"/>
        <v>0.41</v>
      </c>
      <c r="BH363" s="44">
        <v>0</v>
      </c>
      <c r="BI363" s="44">
        <f t="shared" si="569"/>
        <v>0</v>
      </c>
      <c r="BJ363" s="44" t="s">
        <v>115</v>
      </c>
      <c r="BK363" s="44">
        <f t="shared" si="536"/>
        <v>0.37</v>
      </c>
      <c r="BL363" s="44">
        <v>1</v>
      </c>
      <c r="BM363" s="44" cm="1">
        <f t="array" ref="BM363">_xlfn.IFS(BD363="NA","NA",BD363&gt;100%,"100%",BD363&lt;100,BD363)</f>
        <v>0.95</v>
      </c>
      <c r="BN363" s="44" cm="1">
        <f t="array" ref="BN363">_xlfn.IFS(BF363="NA","NA",BF363&gt;100%,"100%",BF363&lt;100,BF363)</f>
        <v>0</v>
      </c>
      <c r="BO363" s="44" cm="1">
        <f t="array" ref="BO363">_xlfn.IFS(BH363="NA","NA",BH363&gt;100%,"100%",BH363&lt;100,BH363)</f>
        <v>0</v>
      </c>
      <c r="BP363" s="44" t="str" cm="1">
        <f t="array" ref="BP363">_xlfn.IFS(BJ363="NA","NA",BJ363&gt;100%,"100%",BJ363&lt;100,BJ363)</f>
        <v>NA</v>
      </c>
      <c r="BQ363" s="45">
        <v>0.224</v>
      </c>
      <c r="BR363" s="45">
        <f t="shared" si="541"/>
        <v>8.2879999999999995E-2</v>
      </c>
      <c r="BS363" s="45">
        <v>4.0300000000000002E-2</v>
      </c>
      <c r="BT363" s="45">
        <v>4.0300000000000002E-2</v>
      </c>
      <c r="BU363" s="45">
        <v>4.0300000000000002E-2</v>
      </c>
      <c r="BV363" s="45">
        <f t="shared" si="580"/>
        <v>4.4800000000000006E-2</v>
      </c>
      <c r="BW363" s="45">
        <f t="shared" si="551"/>
        <v>4.2560000000000008E-2</v>
      </c>
      <c r="BX363" s="45">
        <f t="shared" si="552"/>
        <v>4.2579999999999993E-2</v>
      </c>
      <c r="BY363" s="45">
        <f t="shared" si="581"/>
        <v>4.7039999999999998E-2</v>
      </c>
      <c r="BZ363" s="45">
        <f t="shared" si="570"/>
        <v>0</v>
      </c>
      <c r="CA363" s="45">
        <f t="shared" si="542"/>
        <v>0</v>
      </c>
      <c r="CB363" s="45">
        <f t="shared" si="582"/>
        <v>9.1839999999999991E-2</v>
      </c>
      <c r="CC363" s="45">
        <f t="shared" si="571"/>
        <v>0</v>
      </c>
      <c r="CD363" s="45">
        <v>0</v>
      </c>
      <c r="CE363" s="45">
        <f t="shared" si="572"/>
        <v>0</v>
      </c>
      <c r="CF363" s="45" t="str">
        <f t="shared" si="573"/>
        <v>NA</v>
      </c>
      <c r="CG363" s="45">
        <v>0</v>
      </c>
      <c r="CH363" s="244"/>
      <c r="CI363" s="244"/>
      <c r="CJ363" s="244"/>
      <c r="CK363" s="244"/>
      <c r="CM363" s="63">
        <v>0.31</v>
      </c>
    </row>
    <row r="364" spans="1:91" ht="18" customHeight="1">
      <c r="A364" s="260" t="s">
        <v>2148</v>
      </c>
      <c r="B364" s="260" t="s">
        <v>2149</v>
      </c>
      <c r="C364" s="260" t="s">
        <v>2129</v>
      </c>
      <c r="D364" s="260" t="s">
        <v>2313</v>
      </c>
      <c r="E364" s="260" t="s">
        <v>2327</v>
      </c>
      <c r="F364" s="260" t="s">
        <v>2341</v>
      </c>
      <c r="G364" s="260" t="s">
        <v>2342</v>
      </c>
      <c r="H364" s="260" t="s">
        <v>2356</v>
      </c>
      <c r="I364" s="260"/>
      <c r="J364" s="260"/>
      <c r="K364" s="260" t="s">
        <v>2357</v>
      </c>
      <c r="L364" s="260" t="s">
        <v>2358</v>
      </c>
      <c r="M364" s="260" t="s">
        <v>131</v>
      </c>
      <c r="N364" s="260" t="s">
        <v>111</v>
      </c>
      <c r="O364" s="260" t="s">
        <v>112</v>
      </c>
      <c r="P364" s="10">
        <v>0</v>
      </c>
      <c r="Q364" s="11">
        <v>1</v>
      </c>
      <c r="R364" s="11">
        <f t="shared" si="574"/>
        <v>0.41000000000000003</v>
      </c>
      <c r="S364" s="11">
        <f>VLOOKUP(K364,'1129 Integración'!$K$13:$AK$18,9,0)</f>
        <v>0</v>
      </c>
      <c r="T364" s="11">
        <v>0.13</v>
      </c>
      <c r="U364" s="11">
        <v>0</v>
      </c>
      <c r="V364" s="11">
        <v>0.13</v>
      </c>
      <c r="W364" s="11">
        <v>0</v>
      </c>
      <c r="X364" s="11">
        <v>0.13</v>
      </c>
      <c r="Y364" s="11">
        <v>0</v>
      </c>
      <c r="Z364" s="11">
        <v>0.13</v>
      </c>
      <c r="AA364" s="11">
        <v>0</v>
      </c>
      <c r="AB364" s="11" t="s">
        <v>2359</v>
      </c>
      <c r="AC364" s="11">
        <v>0</v>
      </c>
      <c r="AD364" s="11">
        <v>0.28999999999999998</v>
      </c>
      <c r="AE364" s="11">
        <v>0</v>
      </c>
      <c r="AF364" s="11">
        <f>VLOOKUP(K364,'1129 Integración'!$K$13:$AK$18,22,0)</f>
        <v>0.28000000000000003</v>
      </c>
      <c r="AG364" s="11">
        <f>VLOOKUP(K364,'1129 Integración'!$K$13:$AK$18,23,0)</f>
        <v>0</v>
      </c>
      <c r="AH364" s="11">
        <f t="shared" si="575"/>
        <v>0.28000000000000003</v>
      </c>
      <c r="AI364" s="11">
        <f>VLOOKUP(K364,'1129 Integración'!$K$13:$AK$18,25,0)</f>
        <v>0</v>
      </c>
      <c r="AJ364" s="11" t="str">
        <f>VLOOKUP(K364,'1129 Integración'!$K$13:$AK$18,26,0)</f>
        <v xml:space="preserve">Como parte de las acciones adelantadas para diseñar y desarrollar una estrategia de identidad y a apropiación de la región, durante el primer trimestre de la vigencia se establecieron los lineamientos para recopilar estudios y documentos de investigación, planeación o lineamientos técnicos sobre el marco conceptual y componentes de identidad y apropiación regional. 
Este levantamiento de información permitirá contar con estado del arte sobre las publicaciones, investigaciones y demás documentos sobre identidad de la Región Bogotá -Cundinamarca.
Se elaboró un plan de trabajo y se avanzó en la construcción de un estado del arte en torno al tema de la identidad. Esta labor  implica la búsqueda, lectura, análisis y síntesis de bibliografía en torno a la identidad, para reconocer datos relevantes, enfoques teóricos, argumentos, tópicos generales, temas y subtemas, con el fin de construir un marco teórico conceptual y el establecimiento de potencialidades y problemáticas, así como de las estrategias de integración regional.  
</v>
      </c>
      <c r="AK364" s="11" t="str">
        <f>VLOOKUP(K364,'1129 Integración'!$K$13:$AK$18,27,0)</f>
        <v>Ninguna</v>
      </c>
      <c r="AL364" s="11">
        <v>0.28999999999999998</v>
      </c>
      <c r="AM364" s="11">
        <v>0</v>
      </c>
      <c r="AN364" s="11">
        <v>0.28999999999999998</v>
      </c>
      <c r="AO364" s="11">
        <v>0</v>
      </c>
      <c r="AP364" s="11">
        <v>0</v>
      </c>
      <c r="AQ364" s="11">
        <v>0</v>
      </c>
      <c r="AR364" s="51">
        <v>280000000</v>
      </c>
      <c r="AS364" s="54">
        <v>0</v>
      </c>
      <c r="AT364" s="54">
        <f t="shared" si="535"/>
        <v>280000000</v>
      </c>
      <c r="AU364" s="51">
        <v>280000000</v>
      </c>
      <c r="AV364" s="243">
        <v>156300000</v>
      </c>
      <c r="AW364" s="244"/>
      <c r="AX364" s="244"/>
      <c r="AY364" s="243">
        <v>152050000</v>
      </c>
      <c r="AZ364" s="44">
        <f t="shared" si="576"/>
        <v>0.41000000000000003</v>
      </c>
      <c r="BA364" s="44">
        <v>0.13</v>
      </c>
      <c r="BB364" s="44">
        <v>1</v>
      </c>
      <c r="BC364" s="44">
        <f t="shared" si="577"/>
        <v>0.28999999999999998</v>
      </c>
      <c r="BD364" s="44" cm="1">
        <f t="array" ref="BD364">_xlfn.IFS(AD364=0,"NA",AD364&gt;0,AH364/AD364)</f>
        <v>0.9655172413793105</v>
      </c>
      <c r="BE364" s="44">
        <f t="shared" si="578"/>
        <v>0.28999999999999998</v>
      </c>
      <c r="BF364" s="44">
        <v>0</v>
      </c>
      <c r="BG364" s="44">
        <f t="shared" si="579"/>
        <v>0.28999999999999998</v>
      </c>
      <c r="BH364" s="44">
        <v>0</v>
      </c>
      <c r="BI364" s="44">
        <f t="shared" si="569"/>
        <v>0</v>
      </c>
      <c r="BJ364" s="44" t="s">
        <v>115</v>
      </c>
      <c r="BK364" s="44">
        <f t="shared" si="536"/>
        <v>0.41000000000000003</v>
      </c>
      <c r="BL364" s="44">
        <v>1</v>
      </c>
      <c r="BM364" s="44" cm="1">
        <f t="array" ref="BM364">_xlfn.IFS(BD364="NA","NA",BD364&gt;100%,"100%",BD364&lt;100,BD364)</f>
        <v>0.9655172413793105</v>
      </c>
      <c r="BN364" s="44" cm="1">
        <f t="array" ref="BN364">_xlfn.IFS(BF364="NA","NA",BF364&gt;100%,"100%",BF364&lt;100,BF364)</f>
        <v>0</v>
      </c>
      <c r="BO364" s="44" cm="1">
        <f t="array" ref="BO364">_xlfn.IFS(BH364="NA","NA",BH364&gt;100%,"100%",BH364&lt;100,BH364)</f>
        <v>0</v>
      </c>
      <c r="BP364" s="44" t="str" cm="1">
        <f t="array" ref="BP364">_xlfn.IFS(BJ364="NA","NA",BJ364&gt;100%,"100%",BJ364&lt;100,BJ364)</f>
        <v>NA</v>
      </c>
      <c r="BQ364" s="45">
        <v>0.224</v>
      </c>
      <c r="BR364" s="45">
        <f t="shared" si="541"/>
        <v>9.1840000000000005E-2</v>
      </c>
      <c r="BS364" s="45">
        <v>2.9100000000000001E-2</v>
      </c>
      <c r="BT364" s="45">
        <v>2.9100000000000001E-2</v>
      </c>
      <c r="BU364" s="45">
        <v>2.9100000000000001E-2</v>
      </c>
      <c r="BV364" s="45">
        <f t="shared" si="580"/>
        <v>6.495999999999999E-2</v>
      </c>
      <c r="BW364" s="45">
        <f t="shared" si="551"/>
        <v>6.2719999999999998E-2</v>
      </c>
      <c r="BX364" s="45">
        <f t="shared" si="552"/>
        <v>6.2740000000000004E-2</v>
      </c>
      <c r="BY364" s="45">
        <f t="shared" si="581"/>
        <v>6.495999999999999E-2</v>
      </c>
      <c r="BZ364" s="45">
        <f t="shared" si="570"/>
        <v>0</v>
      </c>
      <c r="CA364" s="45">
        <f t="shared" si="542"/>
        <v>0</v>
      </c>
      <c r="CB364" s="45">
        <f t="shared" si="582"/>
        <v>6.495999999999999E-2</v>
      </c>
      <c r="CC364" s="45">
        <f t="shared" si="571"/>
        <v>0</v>
      </c>
      <c r="CD364" s="45">
        <v>0</v>
      </c>
      <c r="CE364" s="45">
        <f t="shared" si="572"/>
        <v>0</v>
      </c>
      <c r="CF364" s="45" t="str">
        <f t="shared" si="573"/>
        <v>NA</v>
      </c>
      <c r="CG364" s="45">
        <v>0</v>
      </c>
      <c r="CH364" s="244"/>
      <c r="CI364" s="244"/>
      <c r="CJ364" s="244"/>
      <c r="CK364" s="244"/>
      <c r="CM364" s="63">
        <v>0.36</v>
      </c>
    </row>
    <row r="365" spans="1:91" ht="18" hidden="1" customHeight="1">
      <c r="A365" s="260" t="s">
        <v>2335</v>
      </c>
      <c r="B365" s="260" t="s">
        <v>2336</v>
      </c>
      <c r="C365" s="260" t="s">
        <v>2129</v>
      </c>
      <c r="D365" s="260" t="s">
        <v>2313</v>
      </c>
      <c r="E365" s="260" t="s">
        <v>2360</v>
      </c>
      <c r="F365" s="260" t="s">
        <v>2361</v>
      </c>
      <c r="G365" s="260" t="s">
        <v>2362</v>
      </c>
      <c r="H365" s="260" t="s">
        <v>2363</v>
      </c>
      <c r="I365" s="260"/>
      <c r="J365" s="260"/>
      <c r="K365" s="260" t="s">
        <v>2364</v>
      </c>
      <c r="L365" s="260" t="s">
        <v>2365</v>
      </c>
      <c r="M365" s="260" t="s">
        <v>2366</v>
      </c>
      <c r="N365" s="260" t="s">
        <v>123</v>
      </c>
      <c r="O365" s="260" t="s">
        <v>112</v>
      </c>
      <c r="P365" s="10">
        <v>55</v>
      </c>
      <c r="Q365" s="11">
        <v>100</v>
      </c>
      <c r="R365" s="11">
        <f t="shared" si="574"/>
        <v>8</v>
      </c>
      <c r="S365" s="11" t="str">
        <f>VLOOKUP(K365,'1113 Planeación'!$K$13:$AK$19,9,0)</f>
        <v>Se publcó la cartografía 1:2,000 de 12 muniipios en sus cascos urbanos y centros poblados a partir de cartografía IGAC 2018, así como la cartografía básica municipal de los 116 municipios en el geoportal e mapas yestadísticas mapas.cundinamarca.gov.co. Se contrató al IGAC, mediante el contrato SP-CDCTI-060 DE 2021 para la generación de cartografía básica urbana de 33 municipios y 34 centros poblados a escala 1:1.000</v>
      </c>
      <c r="T365" s="11">
        <v>0</v>
      </c>
      <c r="U365" s="11">
        <v>0</v>
      </c>
      <c r="V365" s="11">
        <v>0</v>
      </c>
      <c r="W365" s="11">
        <v>0</v>
      </c>
      <c r="X365" s="11">
        <v>0</v>
      </c>
      <c r="Y365" s="11">
        <v>0</v>
      </c>
      <c r="Z365" s="11">
        <v>0</v>
      </c>
      <c r="AA365" s="11"/>
      <c r="AB365" s="11"/>
      <c r="AC365" s="11"/>
      <c r="AD365" s="11">
        <v>35</v>
      </c>
      <c r="AE365" s="11">
        <v>0</v>
      </c>
      <c r="AF365" s="11">
        <f>VLOOKUP(K365,'1113 Planeación'!$K$13:$AK$19,22,0)</f>
        <v>8</v>
      </c>
      <c r="AG365" s="11" t="str">
        <f>VLOOKUP(K365,'1113 Planeación'!$K$13:$AK$19,23,0)</f>
        <v> </v>
      </c>
      <c r="AH365" s="11">
        <f t="shared" si="575"/>
        <v>8</v>
      </c>
      <c r="AI365" s="11" t="str">
        <f>VLOOKUP(K365,'1113 Planeación'!$K$13:$AK$19,25,0)</f>
        <v>Cartografía básica (GDB) publicadas en geoportal mapas.cundinamarca.gov.co</v>
      </c>
      <c r="AJ365" s="11" t="str">
        <f>VLOOKUP(K365,'1113 Planeación'!$K$13:$AK$19,26,0)</f>
        <v>Publicación de 3000 conjuntos de datos aiertos relacionados con la cartrografía básica 1:2.000 y 1:25.000 de los municipios de cudinamarca en el potal mapas.cundinamarca.gov.co</v>
      </c>
      <c r="AK365" s="11" t="str">
        <f>VLOOKUP(K365,'1113 Planeación'!$K$13:$AK$19,27,0)</f>
        <v>Retrasos en la contratación de a cartografía bàsica urbana a escala 1:1.000 de los municipios priorizados por ajuste al plan de desarrollo departamental</v>
      </c>
      <c r="AL365" s="11">
        <v>40</v>
      </c>
      <c r="AM365" s="11">
        <v>0</v>
      </c>
      <c r="AN365" s="11">
        <v>25</v>
      </c>
      <c r="AO365" s="11">
        <v>0</v>
      </c>
      <c r="AP365" s="11">
        <v>0</v>
      </c>
      <c r="AQ365" s="11">
        <v>0</v>
      </c>
      <c r="AR365" s="52"/>
      <c r="AS365" s="54">
        <v>0</v>
      </c>
      <c r="AT365" s="54">
        <f t="shared" si="535"/>
        <v>0</v>
      </c>
      <c r="AU365" s="52"/>
      <c r="AV365" s="243">
        <v>520000000</v>
      </c>
      <c r="AW365" s="244"/>
      <c r="AX365" s="244"/>
      <c r="AY365" s="243">
        <v>519181039</v>
      </c>
      <c r="AZ365" s="44">
        <f t="shared" si="576"/>
        <v>0.08</v>
      </c>
      <c r="BA365" s="44">
        <v>0</v>
      </c>
      <c r="BB365" s="44" t="s">
        <v>115</v>
      </c>
      <c r="BC365" s="44">
        <f t="shared" si="577"/>
        <v>0.35</v>
      </c>
      <c r="BD365" s="44" cm="1">
        <f t="array" ref="BD365">_xlfn.IFS(AD365=0,"NA",AD365&gt;0,AH365/AD365)</f>
        <v>0.22857142857142856</v>
      </c>
      <c r="BE365" s="44">
        <f t="shared" si="578"/>
        <v>0.4</v>
      </c>
      <c r="BF365" s="44">
        <v>0</v>
      </c>
      <c r="BG365" s="44">
        <f t="shared" si="579"/>
        <v>0.25</v>
      </c>
      <c r="BH365" s="44">
        <v>0</v>
      </c>
      <c r="BI365" s="44">
        <f t="shared" si="569"/>
        <v>0</v>
      </c>
      <c r="BJ365" s="44" t="s">
        <v>115</v>
      </c>
      <c r="BK365" s="44">
        <f t="shared" si="536"/>
        <v>0.08</v>
      </c>
      <c r="BL365" s="44" t="s">
        <v>115</v>
      </c>
      <c r="BM365" s="44" cm="1">
        <f t="array" ref="BM365">_xlfn.IFS(BD365="NA","NA",BD365&gt;100%,"100%",BD365&lt;100,BD365)</f>
        <v>0.22857142857142856</v>
      </c>
      <c r="BN365" s="44" cm="1">
        <f t="array" ref="BN365">_xlfn.IFS(BF365="NA","NA",BF365&gt;100%,"100%",BF365&lt;100,BF365)</f>
        <v>0</v>
      </c>
      <c r="BO365" s="44" cm="1">
        <f t="array" ref="BO365">_xlfn.IFS(BH365="NA","NA",BH365&gt;100%,"100%",BH365&lt;100,BH365)</f>
        <v>0</v>
      </c>
      <c r="BP365" s="44" t="str" cm="1">
        <f t="array" ref="BP365">_xlfn.IFS(BJ365="NA","NA",BJ365&gt;100%,"100%",BJ365&lt;100,BJ365)</f>
        <v>NA</v>
      </c>
      <c r="BQ365" s="45">
        <v>0.224</v>
      </c>
      <c r="BR365" s="45">
        <f t="shared" si="541"/>
        <v>1.7920000000000002E-2</v>
      </c>
      <c r="BS365" s="45">
        <v>0</v>
      </c>
      <c r="BT365" s="45" t="s">
        <v>115</v>
      </c>
      <c r="BU365" s="45">
        <v>0</v>
      </c>
      <c r="BV365" s="45">
        <f t="shared" si="580"/>
        <v>7.8399999999999997E-2</v>
      </c>
      <c r="BW365" s="45">
        <f t="shared" si="551"/>
        <v>1.7919999999999998E-2</v>
      </c>
      <c r="BX365" s="45">
        <f t="shared" si="552"/>
        <v>1.7920000000000002E-2</v>
      </c>
      <c r="BY365" s="45">
        <f t="shared" si="581"/>
        <v>8.9600000000000013E-2</v>
      </c>
      <c r="BZ365" s="45">
        <f t="shared" si="570"/>
        <v>0</v>
      </c>
      <c r="CA365" s="45">
        <f t="shared" si="542"/>
        <v>0</v>
      </c>
      <c r="CB365" s="45">
        <f t="shared" si="582"/>
        <v>5.6000000000000008E-2</v>
      </c>
      <c r="CC365" s="45">
        <f t="shared" si="571"/>
        <v>0</v>
      </c>
      <c r="CD365" s="45">
        <v>0</v>
      </c>
      <c r="CE365" s="45">
        <f t="shared" si="572"/>
        <v>0</v>
      </c>
      <c r="CF365" s="45" t="str">
        <f t="shared" si="573"/>
        <v>NA</v>
      </c>
      <c r="CG365" s="45">
        <v>0</v>
      </c>
      <c r="CH365" s="244"/>
      <c r="CI365" s="244"/>
      <c r="CJ365" s="244"/>
      <c r="CK365" s="244"/>
      <c r="CM365" s="63">
        <v>55</v>
      </c>
    </row>
    <row r="366" spans="1:91" ht="18" hidden="1" customHeight="1">
      <c r="A366" s="260" t="s">
        <v>2335</v>
      </c>
      <c r="B366" s="260" t="s">
        <v>2336</v>
      </c>
      <c r="C366" s="260" t="s">
        <v>2129</v>
      </c>
      <c r="D366" s="260" t="s">
        <v>2313</v>
      </c>
      <c r="E366" s="260" t="s">
        <v>2360</v>
      </c>
      <c r="F366" s="260" t="s">
        <v>2361</v>
      </c>
      <c r="G366" s="260" t="s">
        <v>2362</v>
      </c>
      <c r="H366" s="260" t="s">
        <v>2367</v>
      </c>
      <c r="I366" s="260"/>
      <c r="J366" s="260"/>
      <c r="K366" s="260" t="s">
        <v>2368</v>
      </c>
      <c r="L366" s="260" t="s">
        <v>2369</v>
      </c>
      <c r="M366" s="260" t="s">
        <v>2370</v>
      </c>
      <c r="N366" s="260" t="s">
        <v>111</v>
      </c>
      <c r="O366" s="260" t="s">
        <v>112</v>
      </c>
      <c r="P366" s="10">
        <v>62</v>
      </c>
      <c r="Q366" s="11">
        <v>116</v>
      </c>
      <c r="R366" s="11">
        <f t="shared" si="574"/>
        <v>90</v>
      </c>
      <c r="S366" s="11" t="str">
        <f>VLOOKUP(K366,'1113 Planeación'!$K$13:$AK$19,9,0)</f>
        <v>Asistencia tecnica municipal en el 2021 a 83 municipios del departamento en temas de ordenamiento territorial a través de la estrategia de Planeando desde la Provincia.</v>
      </c>
      <c r="T366" s="11">
        <v>4</v>
      </c>
      <c r="U366" s="11">
        <v>0</v>
      </c>
      <c r="V366" s="11">
        <v>0</v>
      </c>
      <c r="W366" s="11">
        <v>0</v>
      </c>
      <c r="X366" s="11">
        <v>0</v>
      </c>
      <c r="Y366" s="11">
        <v>0</v>
      </c>
      <c r="Z366" s="11">
        <v>0</v>
      </c>
      <c r="AA366" s="11"/>
      <c r="AB366" s="11"/>
      <c r="AC366" s="11"/>
      <c r="AD366" s="11">
        <v>83</v>
      </c>
      <c r="AE366" s="11">
        <v>0</v>
      </c>
      <c r="AF366" s="11">
        <f>VLOOKUP(K366,'1113 Planeación'!$K$13:$AK$19,22,0)</f>
        <v>90</v>
      </c>
      <c r="AG366" s="11">
        <f>VLOOKUP(K366,'1113 Planeación'!$K$13:$AK$19,23,0)</f>
        <v>0</v>
      </c>
      <c r="AH366" s="11">
        <f t="shared" si="575"/>
        <v>90</v>
      </c>
      <c r="AI366" s="11" t="str">
        <f>VLOOKUP(K366,'1113 Planeación'!$K$13:$AK$19,25,0)</f>
        <v>Priorización de 5 municipios para acompañamiento técnico en revisión y ajuste de su plan de ordenamiento territorial: Pasca, Fúquene, Cabrera, La Peña y Bituima.
Asistencia técnica en temas de ordenamiento territorial para 83 municipios del departamento.e 70 personas de igual numero de municipios.</v>
      </c>
      <c r="AJ366" s="11" t="str">
        <f>VLOOKUP(K366,'1113 Planeación'!$K$13:$AK$19,26,0)</f>
        <v>Consolidación de la información de 15 municipios asistidos en el proceso de ajuste de POT, así: visitados(7): Arbeláez, Pasca, Bituima, Nocaima, Fúquene, Nemocón y La Peña, Virtualmente (7): Cabrera, Villeta, Facatativá, Gachetá, Pandi, Susa, Villagómez, Villeta y Presencial (1): Simijaca. Asistencia virtual estrategia planeando desde la provincia de manera mensual desde el mes de mayo y hasta el 30 de noviembre con participación aproximada de 90 municipios. Igualmente se ha realizado asistencia técnica presencial a los Concejos Municipales de los municipios de San Antonio del Tequendama, Villeta, Agua de Dios, Soachacomo San Antonio del Tequendama, Villeta, Agua de Dios, Soacha</v>
      </c>
      <c r="AK366" s="11" t="str">
        <f>VLOOKUP(K366,'1113 Planeación'!$K$13:$AK$19,27,0)</f>
        <v xml:space="preserve">Hasta marzo de 2021 se pudo volver a territorio teniendo en cuenta las condiciones de salubridad. </v>
      </c>
      <c r="AL366" s="11">
        <v>33</v>
      </c>
      <c r="AM366" s="11">
        <v>0</v>
      </c>
      <c r="AN366" s="11">
        <v>0</v>
      </c>
      <c r="AO366" s="11">
        <v>0</v>
      </c>
      <c r="AP366" s="11">
        <v>0</v>
      </c>
      <c r="AQ366" s="11">
        <v>0</v>
      </c>
      <c r="AR366" s="51">
        <v>630000000</v>
      </c>
      <c r="AS366" s="54">
        <v>0</v>
      </c>
      <c r="AT366" s="54">
        <f t="shared" si="535"/>
        <v>630000000</v>
      </c>
      <c r="AU366" s="51">
        <v>0</v>
      </c>
      <c r="AV366" s="243">
        <v>1360000000</v>
      </c>
      <c r="AW366" s="244"/>
      <c r="AX366" s="244"/>
      <c r="AY366" s="243">
        <v>733833333</v>
      </c>
      <c r="AZ366" s="44">
        <f t="shared" si="576"/>
        <v>0.77586206896551724</v>
      </c>
      <c r="BA366" s="44">
        <v>0</v>
      </c>
      <c r="BB366" s="44" t="s">
        <v>115</v>
      </c>
      <c r="BC366" s="44">
        <f t="shared" si="577"/>
        <v>0.71551724137931039</v>
      </c>
      <c r="BD366" s="44" cm="1">
        <f t="array" ref="BD366">_xlfn.IFS(AD366=0,"NA",AD366&gt;0,AH366/AD366)</f>
        <v>1.0843373493975903</v>
      </c>
      <c r="BE366" s="44">
        <f t="shared" si="578"/>
        <v>0.28448275862068967</v>
      </c>
      <c r="BF366" s="44">
        <v>0</v>
      </c>
      <c r="BG366" s="44">
        <f t="shared" si="579"/>
        <v>0</v>
      </c>
      <c r="BH366" s="44">
        <v>0</v>
      </c>
      <c r="BI366" s="44">
        <f t="shared" si="569"/>
        <v>0</v>
      </c>
      <c r="BJ366" s="44" t="s">
        <v>115</v>
      </c>
      <c r="BK366" s="44">
        <f t="shared" si="536"/>
        <v>0.77586206896551724</v>
      </c>
      <c r="BL366" s="44" t="s">
        <v>115</v>
      </c>
      <c r="BM366" s="44" t="str" cm="1">
        <f t="array" ref="BM366">_xlfn.IFS(BD366="NA","NA",BD366&gt;100%,"100%",BD366&lt;100,BD366)</f>
        <v>100%</v>
      </c>
      <c r="BN366" s="44" cm="1">
        <f t="array" ref="BN366">_xlfn.IFS(BF366="NA","NA",BF366&gt;100%,"100%",BF366&lt;100,BF366)</f>
        <v>0</v>
      </c>
      <c r="BO366" s="44" cm="1">
        <f t="array" ref="BO366">_xlfn.IFS(BH366="NA","NA",BH366&gt;100%,"100%",BH366&lt;100,BH366)</f>
        <v>0</v>
      </c>
      <c r="BP366" s="44" t="str" cm="1">
        <f t="array" ref="BP366">_xlfn.IFS(BJ366="NA","NA",BJ366&gt;100%,"100%",BJ366&lt;100,BJ366)</f>
        <v>NA</v>
      </c>
      <c r="BQ366" s="45">
        <v>0.224</v>
      </c>
      <c r="BR366" s="45">
        <f t="shared" si="541"/>
        <v>0.17379310344827587</v>
      </c>
      <c r="BS366" s="45">
        <v>0</v>
      </c>
      <c r="BT366" s="45" t="s">
        <v>115</v>
      </c>
      <c r="BU366" s="45">
        <v>0</v>
      </c>
      <c r="BV366" s="45">
        <f t="shared" si="580"/>
        <v>0.16027586206896552</v>
      </c>
      <c r="BW366" s="45">
        <f t="shared" si="551"/>
        <v>0.16027586206896552</v>
      </c>
      <c r="BX366" s="45">
        <f t="shared" si="552"/>
        <v>0.17379310344827587</v>
      </c>
      <c r="BY366" s="45">
        <f t="shared" si="581"/>
        <v>6.3724137931034486E-2</v>
      </c>
      <c r="BZ366" s="45">
        <f t="shared" si="570"/>
        <v>0</v>
      </c>
      <c r="CA366" s="45">
        <f t="shared" si="542"/>
        <v>0</v>
      </c>
      <c r="CB366" s="45">
        <f t="shared" si="582"/>
        <v>0</v>
      </c>
      <c r="CC366" s="45">
        <f t="shared" si="571"/>
        <v>0</v>
      </c>
      <c r="CD366" s="45">
        <v>0</v>
      </c>
      <c r="CE366" s="45">
        <f t="shared" si="572"/>
        <v>0</v>
      </c>
      <c r="CF366" s="45" t="str">
        <f t="shared" si="573"/>
        <v>NA</v>
      </c>
      <c r="CG366" s="45">
        <v>0</v>
      </c>
      <c r="CH366" s="244"/>
      <c r="CI366" s="244"/>
      <c r="CJ366" s="244"/>
      <c r="CK366" s="244"/>
      <c r="CM366" s="63">
        <v>83</v>
      </c>
    </row>
    <row r="367" spans="1:91" ht="18" hidden="1" customHeight="1">
      <c r="A367" s="260" t="s">
        <v>292</v>
      </c>
      <c r="B367" s="260" t="s">
        <v>293</v>
      </c>
      <c r="C367" s="260" t="s">
        <v>2371</v>
      </c>
      <c r="D367" s="260" t="s">
        <v>2372</v>
      </c>
      <c r="E367" s="260" t="s">
        <v>2373</v>
      </c>
      <c r="F367" s="260" t="s">
        <v>2374</v>
      </c>
      <c r="G367" s="260" t="s">
        <v>2375</v>
      </c>
      <c r="H367" s="260" t="s">
        <v>2376</v>
      </c>
      <c r="I367" s="260"/>
      <c r="J367" s="260"/>
      <c r="K367" s="260" t="s">
        <v>2377</v>
      </c>
      <c r="L367" s="260" t="s">
        <v>2378</v>
      </c>
      <c r="M367" s="260" t="s">
        <v>2379</v>
      </c>
      <c r="N367" s="260" t="s">
        <v>111</v>
      </c>
      <c r="O367" s="260" t="s">
        <v>124</v>
      </c>
      <c r="P367" s="10">
        <v>4</v>
      </c>
      <c r="Q367" s="11">
        <v>4</v>
      </c>
      <c r="R367" s="11">
        <f>(Z367+AH367)/CL367</f>
        <v>2</v>
      </c>
      <c r="S367" s="11">
        <f>VLOOKUP(K367,'1108 Educación'!$K$13:$AK$40,9,0)</f>
        <v>0</v>
      </c>
      <c r="T367" s="11">
        <v>0</v>
      </c>
      <c r="U367" s="11">
        <v>4</v>
      </c>
      <c r="V367" s="11">
        <v>0</v>
      </c>
      <c r="W367" s="11">
        <v>4</v>
      </c>
      <c r="X367" s="11" t="s">
        <v>115</v>
      </c>
      <c r="Y367" s="11">
        <v>4</v>
      </c>
      <c r="Z367" s="11">
        <v>4</v>
      </c>
      <c r="AA367" s="11">
        <v>0</v>
      </c>
      <c r="AB367" s="11" t="s">
        <v>2380</v>
      </c>
      <c r="AC367" s="11">
        <v>0</v>
      </c>
      <c r="AD367" s="11">
        <v>0</v>
      </c>
      <c r="AE367" s="11">
        <v>4</v>
      </c>
      <c r="AF367" s="11">
        <f>VLOOKUP(K367,'1108 Educación'!$K$13:$AK$40,22,0)</f>
        <v>0</v>
      </c>
      <c r="AG367" s="11">
        <f>VLOOKUP(K367,'1108 Educación'!$K$13:$AK$40,23,0)</f>
        <v>4</v>
      </c>
      <c r="AH367" s="11">
        <f>AG367</f>
        <v>4</v>
      </c>
      <c r="AI367" s="11">
        <f>VLOOKUP(K367,'1108 Educación'!$K$13:$AK$40,25,0)</f>
        <v>0</v>
      </c>
      <c r="AJ367" s="11" t="str">
        <f>VLOOKUP(K367,'1108 Educación'!$K$13:$AK$40,26,0)</f>
        <v>Se desarrollaron actividades inherentes al SIGC, por parte de la contratista, como prepartación para la auditoria de renovación y las auditorias internasy externas que se realizarán en la vigencia (Formulación Riesgos de gestión y revisión a Riesgos de  corrupción 2021), revisión al desempeño, Planes de Mejoramiento, indicadores, entre otros temas del SIGC. El 5 de mayo se firmó contrato No. SE_CD_130 de 2021, entre Departamento de Cundinamarca-Secretaría de Educación y el ICONTEC. para el mes de cotubre con los recursos asignados a la meta se celebraron dos contratos, una OPS y el Contrato con Persona Jurídica ICONTEC. Los dos le apuntan al alistamiento y preparación para la renovación de los 4 procesos de la SEC y las auditorías internas y de la Gobernación que se realizarán en el segundo semestre de 2021 en octubre se recibio visita de ICONTEC se logró la renovación de la certificación de los cuatro (4) subprocesos de la Secretaria de educacion de Cundinamarca.</v>
      </c>
      <c r="AK367" s="11">
        <f>VLOOKUP(K367,'1108 Educación'!$K$13:$AK$40,27,0)</f>
        <v>0</v>
      </c>
      <c r="AL367" s="11">
        <v>0</v>
      </c>
      <c r="AM367" s="11">
        <v>4</v>
      </c>
      <c r="AN367" s="11">
        <v>0</v>
      </c>
      <c r="AO367" s="11">
        <v>4</v>
      </c>
      <c r="AP367" s="11">
        <v>0</v>
      </c>
      <c r="AQ367" s="11">
        <v>0</v>
      </c>
      <c r="AR367" s="52"/>
      <c r="AS367" s="54">
        <v>43000000</v>
      </c>
      <c r="AT367" s="54">
        <f t="shared" si="535"/>
        <v>43000000</v>
      </c>
      <c r="AU367" s="52"/>
      <c r="AV367" s="243">
        <v>1309043620</v>
      </c>
      <c r="AW367" s="244"/>
      <c r="AX367" s="244"/>
      <c r="AY367" s="243">
        <v>1299954520</v>
      </c>
      <c r="AZ367" s="44" cm="1">
        <f t="array" ref="AZ367">_xlfn.IFS((BA367=0),(BD367/CL367),(BA367&gt;0),((BB367+BD367)/CL367),(BE367&gt;0),((BB367+BD367+BE367)/CL367),(BG367&gt;0),((BB367+BD367+BE367+G367)/CL367))</f>
        <v>0.5</v>
      </c>
      <c r="BA367" s="44">
        <v>0.25</v>
      </c>
      <c r="BB367" s="44">
        <v>1</v>
      </c>
      <c r="BC367" s="44">
        <f>IF(AE367&gt;0,(1/CL367),0)</f>
        <v>0.25</v>
      </c>
      <c r="BD367" s="44" cm="1">
        <f t="array" ref="BD367">_xlfn.IFS(AE367=0,"NA",AE367&gt;0,AH367/AE367)</f>
        <v>1</v>
      </c>
      <c r="BE367" s="44">
        <f>IF(AM367&gt;0,(1/CL367),0)</f>
        <v>0.25</v>
      </c>
      <c r="BF367" s="44">
        <v>0</v>
      </c>
      <c r="BG367" s="44">
        <f>IF(AO367&gt;0,(1/CL367),0)</f>
        <v>0.25</v>
      </c>
      <c r="BH367" s="44">
        <v>0</v>
      </c>
      <c r="BI367" s="44">
        <v>0</v>
      </c>
      <c r="BJ367" s="44" t="s">
        <v>115</v>
      </c>
      <c r="BK367" s="44">
        <f t="shared" si="536"/>
        <v>0.5</v>
      </c>
      <c r="BL367" s="44">
        <v>1</v>
      </c>
      <c r="BM367" s="44" cm="1">
        <f t="array" ref="BM367">_xlfn.IFS(BD367="NA","NA",BD367&gt;100%,"100%",BD367&lt;100,BD367)</f>
        <v>1</v>
      </c>
      <c r="BN367" s="44">
        <v>0</v>
      </c>
      <c r="BO367" s="44">
        <v>0</v>
      </c>
      <c r="BP367" s="44" t="s">
        <v>115</v>
      </c>
      <c r="BQ367" s="220">
        <v>0.224</v>
      </c>
      <c r="BR367" s="45">
        <f t="shared" si="541"/>
        <v>0.112</v>
      </c>
      <c r="BS367" s="45">
        <v>5.6000000000000001E-2</v>
      </c>
      <c r="BT367" s="45">
        <v>5.6000000000000001E-2</v>
      </c>
      <c r="BU367" s="45">
        <v>5.6000000000000001E-2</v>
      </c>
      <c r="BV367" s="45">
        <v>5.6000000000000001E-2</v>
      </c>
      <c r="BW367" s="45">
        <f t="shared" si="551"/>
        <v>5.6000000000000001E-2</v>
      </c>
      <c r="BX367" s="45">
        <f t="shared" si="552"/>
        <v>5.6000000000000001E-2</v>
      </c>
      <c r="BY367" s="45">
        <v>5.6000000000000001E-2</v>
      </c>
      <c r="BZ367" s="45">
        <v>0</v>
      </c>
      <c r="CA367" s="45">
        <f t="shared" si="542"/>
        <v>0</v>
      </c>
      <c r="CB367" s="45">
        <v>5.6000000000000001E-2</v>
      </c>
      <c r="CC367" s="45">
        <v>0</v>
      </c>
      <c r="CD367" s="45">
        <v>0</v>
      </c>
      <c r="CE367" s="45">
        <v>0</v>
      </c>
      <c r="CF367" s="45" t="s">
        <v>115</v>
      </c>
      <c r="CG367" s="45">
        <v>0</v>
      </c>
      <c r="CH367" s="244">
        <f>IF(W367&gt;0,1,0)</f>
        <v>1</v>
      </c>
      <c r="CI367" s="244">
        <f>IF(AE367&gt;0,1,0)</f>
        <v>1</v>
      </c>
      <c r="CJ367" s="244">
        <f>IF(AM367&gt;0,1,0)</f>
        <v>1</v>
      </c>
      <c r="CK367" s="244">
        <f>IF(AO367&gt;0,1,0)</f>
        <v>1</v>
      </c>
      <c r="CL367">
        <f>CH367+CI367+CJ367+CK367</f>
        <v>4</v>
      </c>
      <c r="CM367" s="63">
        <f>AVERAGE(Z367,AH367)</f>
        <v>4</v>
      </c>
    </row>
    <row r="368" spans="1:91" ht="18" hidden="1" customHeight="1">
      <c r="A368" s="260" t="s">
        <v>2090</v>
      </c>
      <c r="B368" s="260" t="s">
        <v>2091</v>
      </c>
      <c r="C368" s="260" t="s">
        <v>2371</v>
      </c>
      <c r="D368" s="260" t="s">
        <v>2372</v>
      </c>
      <c r="E368" s="260" t="s">
        <v>2373</v>
      </c>
      <c r="F368" s="260" t="s">
        <v>2374</v>
      </c>
      <c r="G368" s="260" t="s">
        <v>2375</v>
      </c>
      <c r="H368" s="260" t="s">
        <v>2381</v>
      </c>
      <c r="I368" s="260"/>
      <c r="J368" s="260"/>
      <c r="K368" s="260" t="s">
        <v>2382</v>
      </c>
      <c r="L368" s="260" t="s">
        <v>2383</v>
      </c>
      <c r="M368" s="260" t="s">
        <v>2384</v>
      </c>
      <c r="N368" s="260" t="s">
        <v>111</v>
      </c>
      <c r="O368" s="260" t="s">
        <v>112</v>
      </c>
      <c r="P368" s="10">
        <v>0</v>
      </c>
      <c r="Q368" s="11">
        <v>1</v>
      </c>
      <c r="R368" s="11">
        <f>Z368+AH368</f>
        <v>0.43000000000000005</v>
      </c>
      <c r="S368" s="11" t="str">
        <f>VLOOKUP(K368,'1114 Función Pub.'!$K$13:$AK$16,9,0)</f>
        <v>En 2020 para el logro de esta meta se definió el alcance para certificación del SIGC de acuerdo con los estándares de la ISO 27001:2013, identificando el proceso de Gestión Financiera como el primer proceso para alcanzar esta certificación. Se realizó el autodiagnóstico para la Gobernación de Cundinamarca, de acuerdo con lo establecido por el Modelo de Privacidad y Seguridad de la Información (MPSI) del MinTIC y la ISO 27001:2013, así mismo, se realizó este autodiagnóstico para el proceso de Gestión Financiera. Finalmente, se generó la documentación requerida en el Planear para el Proceso de Seguridad Digital. Está pendiente la aprobación de esta documentación, por parte del Comité Institucional de Gestión y Desempeño.
En el primer trimestre de 2021 se han realizado las siguientes actividades:
1.       Se presentó a la Secretaría de Planeación un proyecto de Decreto de modificación y articulación de los Decretos Departamentales 338 de 2018 y 077 de 2019, con el fin de establecer la operación de la mesa técnica de Seguridad de la Información.
2.       Definición y presentación equipo de trabajo interno DDO que estará a cargo del cumplimiento de la Meta 377.
3.       Realización de las mesas técnicas con la Secretaría TIC, para la definición de los roles frete al Sistema de Seguridad de la Información.</v>
      </c>
      <c r="T368" s="11">
        <v>0.1</v>
      </c>
      <c r="U368" s="11">
        <v>0</v>
      </c>
      <c r="V368" s="11">
        <v>0.1</v>
      </c>
      <c r="W368" s="11">
        <v>0</v>
      </c>
      <c r="X368" s="11">
        <v>0.1</v>
      </c>
      <c r="Y368" s="11">
        <v>0</v>
      </c>
      <c r="Z368" s="11">
        <v>0.1</v>
      </c>
      <c r="AA368" s="11">
        <v>0</v>
      </c>
      <c r="AB368" s="11" t="s">
        <v>2385</v>
      </c>
      <c r="AC368" s="11">
        <v>0</v>
      </c>
      <c r="AD368" s="11">
        <v>0.4</v>
      </c>
      <c r="AE368" s="11">
        <v>0</v>
      </c>
      <c r="AF368" s="11">
        <f>VLOOKUP(K368,'1114 Función Pub.'!$K$13:$AK$16,22,0)</f>
        <v>0.33</v>
      </c>
      <c r="AG368" s="11">
        <f>VLOOKUP(K368,'1114 Función Pub.'!$K$13:$AK$16,23,0)</f>
        <v>0</v>
      </c>
      <c r="AH368" s="11">
        <f>AF368</f>
        <v>0.33</v>
      </c>
      <c r="AI368" s="11" t="str">
        <f>VLOOKUP(K368,'1114 Función Pub.'!$K$13:$AK$16,25,0)</f>
        <v>1.       Autodiagnósticos del MPSI para la Gobernación y el proceso de Gestión Financiera.  
2.       Proyecto de Decreto de actualización y articulación del SIGC con el Sistema de Control Interno y el Modelo MIPG.
3.       Documentos para revisión que define el Planear de la norma ISO 27001:2013.
Agosto 2021:
Firma de contrato con especialista en seguridad de la información. Pendiente acta de inicio.
Reuniones con la Secretaría de Tecnologías de la Información y Comunicaciones - TIC, para definir roles y responsabilidades frente al proceso.
Definición de equipo de mejoramiento del proceso Gestión de Seguridad de la Información.
Definición del modelo a implementar en el proceso Gestión de Seguridad de la Información.
Septiembre 2021: Se inició contrato con especialista en seguridad de la información, se realizó conversatorio  a los funcionarios de la Entidad relacionados con el tema de “Los haker hackeando humanos”.  Reuniones con la Secretaría de Hacienda con el fin de contextualizar el proceso a certificar.
Noviembre 2021: Ente certificador recertifica en ISO 9001:2015 e ISO 45001:2018</v>
      </c>
      <c r="AJ368" s="11" t="str">
        <f>VLOOKUP(K368,'1114 Función Pub.'!$K$13:$AK$16,26,0)</f>
        <v>·         Definición del equipo de mejoramiento del proceso de Seguridad de la Información.
·         La actualización del SIGC, incorporando el Proceso de Seguridad de la Información como un proceso de apoyo.
Junio 2021:
•	Definición de formatos y procedimientos en temas de Seguridad Digital.
•	Se establecen las evidencias que permiten identificar avances en el anexo ¨A¨ de la norma ISO 27001. Del numeral A.11.1.1 al numeral A.14.2.7
Octubre 2021: Avance en la revisión de la documentación e identificación de los documentos a actualizar.
Se realizó revisión documental de los activos que se tiene por parte de la Gobernación de CundinamarcaSe revisó el cronograma con la documentación entregada por parte del proceso y se realizó su respectiva validación con el porcentaje de avance de cada uno de los puntos.
Reuniones de seguimiento a la meta 377
Nov 2021: Realización de diagnóstico preliminar de seguridad de la información para el proceso de Gestión de los Ingresos, alineado a los requerimientos de norma.
Matriz de contexto estratégico del proceso de seguridad de la información y Gestión de los Ingresos.
Matriz de partes interesadas de seguridad de la información y Gestión de los Ingresos.
Se documento  la caracterización del proceso de seguridad de la información alineado al objetivo de la certificación del proceso de gestión de los ingresos.
Se revisó la política del SIGC,  y políticas aplicables a la seguridad de la información</v>
      </c>
      <c r="AK368" s="11" t="str">
        <f>VLOOKUP(K368,'1114 Función Pub.'!$K$13:$AK$16,27,0)</f>
        <v>1.        Recursos financieros limitados para el desarrollo de las iniciativas de impacto ambiental.
2.       Falta de tiempo, por parte de los miembros de los equipos de mejoramiento, para la aplicación de los instrumentos definidos.
3.       Falta de articulación entre las distintas entidades que están involucradas en el Sistema de Seguridad Digital.</v>
      </c>
      <c r="AL368" s="11">
        <v>0.3</v>
      </c>
      <c r="AM368" s="11">
        <v>0</v>
      </c>
      <c r="AN368" s="11">
        <v>0.2</v>
      </c>
      <c r="AO368" s="11">
        <v>0</v>
      </c>
      <c r="AP368" s="11">
        <v>0</v>
      </c>
      <c r="AQ368" s="11">
        <v>0</v>
      </c>
      <c r="AR368" s="52"/>
      <c r="AS368" s="54">
        <v>23700000</v>
      </c>
      <c r="AT368" s="54">
        <f t="shared" si="535"/>
        <v>23700000</v>
      </c>
      <c r="AU368" s="52"/>
      <c r="AV368" s="243">
        <v>10000000</v>
      </c>
      <c r="AW368" s="244"/>
      <c r="AX368" s="244"/>
      <c r="AY368" s="243">
        <v>10000000</v>
      </c>
      <c r="AZ368" s="44">
        <f>R368/Q368</f>
        <v>0.43000000000000005</v>
      </c>
      <c r="BA368" s="44">
        <v>0.1</v>
      </c>
      <c r="BB368" s="44">
        <v>1</v>
      </c>
      <c r="BC368" s="44">
        <f>AD368/Q368</f>
        <v>0.4</v>
      </c>
      <c r="BD368" s="44" cm="1">
        <f t="array" ref="BD368">_xlfn.IFS(AD368=0,"NA",AD368&gt;0,AH368/AD368)</f>
        <v>0.82499999999999996</v>
      </c>
      <c r="BE368" s="44">
        <f>AL368/Q368</f>
        <v>0.3</v>
      </c>
      <c r="BF368" s="44">
        <v>0</v>
      </c>
      <c r="BG368" s="44">
        <f>AN368/Q368</f>
        <v>0.2</v>
      </c>
      <c r="BH368" s="44">
        <v>0</v>
      </c>
      <c r="BI368" s="44">
        <f>AP368/Q368</f>
        <v>0</v>
      </c>
      <c r="BJ368" s="44" t="s">
        <v>115</v>
      </c>
      <c r="BK368" s="44">
        <f t="shared" si="536"/>
        <v>0.43000000000000005</v>
      </c>
      <c r="BL368" s="44">
        <v>1</v>
      </c>
      <c r="BM368" s="44" cm="1">
        <f t="array" ref="BM368">_xlfn.IFS(BD368="NA","NA",BD368&gt;100%,"100%",BD368&lt;100,BD368)</f>
        <v>0.82499999999999996</v>
      </c>
      <c r="BN368" s="44" cm="1">
        <f t="array" ref="BN368">_xlfn.IFS(BF368="NA","NA",BF368&gt;100%,"100%",BF368&lt;100,BF368)</f>
        <v>0</v>
      </c>
      <c r="BO368" s="44" cm="1">
        <f t="array" ref="BO368">_xlfn.IFS(BH368="NA","NA",BH368&gt;100%,"100%",BH368&lt;100,BH368)</f>
        <v>0</v>
      </c>
      <c r="BP368" s="44" t="str" cm="1">
        <f t="array" ref="BP368">_xlfn.IFS(BJ368="NA","NA",BJ368&gt;100%,"100%",BJ368&lt;100,BJ368)</f>
        <v>NA</v>
      </c>
      <c r="BQ368" s="45">
        <v>0.224</v>
      </c>
      <c r="BR368" s="45">
        <f t="shared" si="541"/>
        <v>9.6320000000000017E-2</v>
      </c>
      <c r="BS368" s="45">
        <v>2.24E-2</v>
      </c>
      <c r="BT368" s="45">
        <v>2.24E-2</v>
      </c>
      <c r="BU368" s="45">
        <v>2.24E-2</v>
      </c>
      <c r="BV368" s="45">
        <f>(AD368*BQ368)/Q368</f>
        <v>8.9600000000000013E-2</v>
      </c>
      <c r="BW368" s="45">
        <f t="shared" si="551"/>
        <v>7.3920000000000013E-2</v>
      </c>
      <c r="BX368" s="45">
        <f t="shared" si="552"/>
        <v>7.3920000000000013E-2</v>
      </c>
      <c r="BY368" s="45">
        <f>(AL368*BQ368)/Q368</f>
        <v>6.7199999999999996E-2</v>
      </c>
      <c r="BZ368" s="45">
        <f>IF(BN368="NA","NA",BN368*BY368)</f>
        <v>0</v>
      </c>
      <c r="CA368" s="45">
        <f t="shared" si="542"/>
        <v>0</v>
      </c>
      <c r="CB368" s="45">
        <f>(AN368*BQ368)/Q368</f>
        <v>4.4800000000000006E-2</v>
      </c>
      <c r="CC368" s="45">
        <f>IF(BO368="NA","NA",BO368*CB368)</f>
        <v>0</v>
      </c>
      <c r="CD368" s="45">
        <v>0</v>
      </c>
      <c r="CE368" s="45">
        <f>(AP368*BQ368)/Q368</f>
        <v>0</v>
      </c>
      <c r="CF368" s="45" t="str">
        <f>IF(BP368="NA","NA",BP368*CE368)</f>
        <v>NA</v>
      </c>
      <c r="CG368" s="45">
        <v>0</v>
      </c>
      <c r="CH368" s="244"/>
      <c r="CI368" s="244"/>
      <c r="CJ368" s="244"/>
      <c r="CK368" s="244"/>
      <c r="CM368" s="63">
        <v>0.28000000000000003</v>
      </c>
    </row>
    <row r="369" spans="1:261" ht="18" hidden="1" customHeight="1">
      <c r="A369" s="260" t="s">
        <v>2090</v>
      </c>
      <c r="B369" s="260" t="s">
        <v>2091</v>
      </c>
      <c r="C369" s="260" t="s">
        <v>2371</v>
      </c>
      <c r="D369" s="260" t="s">
        <v>2372</v>
      </c>
      <c r="E369" s="260" t="s">
        <v>2373</v>
      </c>
      <c r="F369" s="260" t="s">
        <v>2374</v>
      </c>
      <c r="G369" s="260" t="s">
        <v>2375</v>
      </c>
      <c r="H369" s="260" t="s">
        <v>2386</v>
      </c>
      <c r="I369" s="260"/>
      <c r="J369" s="260"/>
      <c r="K369" s="260" t="s">
        <v>2387</v>
      </c>
      <c r="L369" s="260" t="s">
        <v>2388</v>
      </c>
      <c r="M369" s="260" t="s">
        <v>2389</v>
      </c>
      <c r="N369" s="260" t="s">
        <v>111</v>
      </c>
      <c r="O369" s="260" t="s">
        <v>124</v>
      </c>
      <c r="P369" s="10">
        <v>2</v>
      </c>
      <c r="Q369" s="11">
        <v>2</v>
      </c>
      <c r="R369" s="11">
        <f>(Z369+AH369)/CL369</f>
        <v>0.92500000000000004</v>
      </c>
      <c r="S369" s="11" t="str">
        <f>VLOOKUP(K369,'1114 Función Pub.'!$K$13:$AK$16,9,0)</f>
        <v>En 2020 se efectuó la Auditoría Interna y la Auditoría de certificación por parte de ICONTEC, logrando mantener las certificaciones ISO 9001:2015 e ISO 45001:2018 al Sistema Integral de Gestión y Control. Así mismo, se realizó un reconocimiento al SIGC, específicamente a su Estrategia de Apropiación, por parte del Departamento Administrativo de la Función Pública, otorgando mención de honor en el premio nacional de alta Gerencia.
En el primer trimestre de 2021, se procedió a actualizar el mapa de procesos del Sistema Integral de Gestión y Control (SIGC), en versión 3, armonizándolo al proceso de modernización administrativa del nivel central efectuada en la vigencia 2020. Así mismo, se procedió a actualizar tanto el mapa de procesos, los procedimientos y los objetivos de los procesos del SIGC en concordancia con lo establecido en el Decreto 437 del 25 de septiembre del 2020 "Por el cual se define la Organización Interna y Funciones de las Dependencias del Sector Central”.  Finalmente, se ajustan las herramientas aplicadas en el planear del ciclo PHVA, así:
·         Contexto Estratégico: Se reestructura la metodología actual incorporando la identificación y valoración de factores externos y factores internos, mediante las técnicas MEFE (Matriz de Evaluación del Factor Externo) y MEFI (Matriz de Evaluación del Factor Interno) respectivamente; esto permite priorizar los elementos DOFA que impactan el cumplimiento de los objetivos de proceso y estratégicos del SIGC, implementando acciones que aborden eficazmente tales elementos.
·         Partes Interesadas (PI): Se incorpora la metodología de análisis de poder, la cual permite evaluar a las partes interesadas desde los enfoques estratégicos: Importancia e Influencia, entendiendo que la primera corresponde al impacto que tiene la PI sobre los objetivos del proceso o entidad, y el segundo, evalúa el poder sobre la toma de decisiones en proceso o la entidad.
·         Gestión de Riesgos: Se actualizó la política de riesgos de la Gobernación y la Guía para la Gestión de Riesgos, que define el mapa de riesgos 2021.
·         Matriz de Identificación de Peligros y Valoración de Riesgos: Se actualizó esta matriz de acuerdo con la Guía Técnica Colombiana (GTC 45) y la norma ISO 45001:2018.
Agosto 2021: ejecucion de la auditoria interna y formulacion de planes de accion. 
Octubre 2021: Se realizó auditoria exxterna con ICONTEC que logro la renovación de los certificados de ISO 9001:2015 e ISO 45001:2018.</v>
      </c>
      <c r="T369" s="11">
        <v>0</v>
      </c>
      <c r="U369" s="11">
        <v>2</v>
      </c>
      <c r="V369" s="11">
        <v>0</v>
      </c>
      <c r="W369" s="11">
        <v>2</v>
      </c>
      <c r="X369" s="11" t="s">
        <v>115</v>
      </c>
      <c r="Y369" s="11">
        <v>2</v>
      </c>
      <c r="Z369" s="11">
        <v>2</v>
      </c>
      <c r="AA369" s="11" t="s">
        <v>2390</v>
      </c>
      <c r="AB369" s="11" t="s">
        <v>2391</v>
      </c>
      <c r="AC369" s="11">
        <v>0</v>
      </c>
      <c r="AD369" s="11">
        <v>0</v>
      </c>
      <c r="AE369" s="11">
        <v>2</v>
      </c>
      <c r="AF369" s="11">
        <f>VLOOKUP(K369,'1114 Función Pub.'!$K$13:$AK$16,22,0)</f>
        <v>0</v>
      </c>
      <c r="AG369" s="11">
        <f>VLOOKUP(K369,'1114 Función Pub.'!$K$13:$AK$16,23,0)</f>
        <v>1.7</v>
      </c>
      <c r="AH369" s="11">
        <f>AG369</f>
        <v>1.7</v>
      </c>
      <c r="AI369" s="11" t="str">
        <f>VLOOKUP(K369,'1114 Función Pub.'!$K$13:$AK$16,25,0)</f>
        <v>1.       Informes de Auditoría Interna y Externa
2.       Certificaciones ISO 9001:2015 e ISO 45001:2018 actualizadas y vigentes.
3.       Mapa de procesos actualizado en Isolucion.
4.       Herramientas de valoración cuanti-cualitativa del contexto y partes interesadas, aprobadas y cargadas en Isolucion
5.       Documentos con la Política de Riesgos y la Guía de gestión de riesgos para la Gobernación. Socializada y verificada por la Secretaría de Planeación, la Gerencia de Buen Gobierno y la Oficina de Control Interno.
Julio 2021:
1. Firma del contrato e inicio de la auditoría interna al SIGC 24 procesos.
Agosto 2021:
Realización de la auditoría interna combinada al Sistema Integral de Gestión y Control en las normas ISO 9001:2015 e ISO 45001:2018 el 23/07/2021, y elaboración de los planes de acción producto de los hallazgos y observaciones detectadas.
Seguimiento y manteniendo mensual al Sistema Integrado de gestión y Control – SIGC en temas específicos tales como: seguimiento acciones, medición de indicadores, gestión del riesgo, información documentada y ejecución de plan de apropiación.
Septiembre 2021: Se realizó capacitación a los secretarios de despacho de la ISO 9001:2015 y 45001:2018 frente a la auditoría externa, capacitación en matrices de peligro y riesgos de seguridad y salud en el trabajo.  Inspecciones locativas de seguridad orden y limpieza e inspecciones del componente de emergencias en la sede administrativa.</v>
      </c>
      <c r="AJ369" s="11" t="str">
        <f>VLOOKUP(K369,'1114 Función Pub.'!$K$13:$AK$16,26,0)</f>
        <v>A partir de los procesos de auditoria interna y externa y de la evaluación de Control Interno se logró a marzo de 2021:
1.       Incorporar herramientas para la valoración del contexto estratégico, Partes Interesadas y definición del objetivo y alcance de los procesos.
2.       Se actualizó la política y la Guía de Gestión de riesgos, de acuerdo con los parámetros establecidos por el DAFP.
3.       Matriz de Identificación de Peligros y Valoración de Riesgos, actualizada y verificada con la normatividad vigente.
Junio 2021: 
•	Se realizó el monitoreo a la gestión de los 85 riesgos institucionales definidos para el 2021. Así mismo, se realizó seguimiento a los 216 controles establecidos para los procesos del SIGC. 
•	Se estructuraron los procesos de contratación de auditoría interna y de auditoría de certificación. Estos se encuentran en etapa de perfeccionamiento y legalización del contrato. 
•	Se realizaron conversatorios digitales de preparación a los equipos de mejoramiento para las Auditoria Interna que se prevé en la segunda semana de julio.
Agosto: Ejecucion de auditoria interna y formulacion de planes de accion.
Octubre 2021: Se realizó auditoria con ICONTEC que logro la renovación de los certificados de ISO 9001:2015 e ISO 45001:2018.
Seguimiento y manteniendo mensual al Sistema Integrado de gestión y Control – SIGC en temas específicos tales como: seguimiento acciones, medición de indicadores, gestión del riesgo, información documentada y ejecución de plan de apropiación.
Nov 2021: 
Se estableció el plan de acción de las no conformidades.
Seguimiento y manteniendo mensual al Sistema Integrado de gestión y Control – SIGC en temas específicos tales como: seguimiento acciones, medición de indicadores, gestión del riesgo, información documentada y ejecución de plan de apropiación.</v>
      </c>
      <c r="AK369" s="11" t="str">
        <f>VLOOKUP(K369,'1114 Función Pub.'!$K$13:$AK$16,27,0)</f>
        <v>1.       Falta de tiempo, por parte de los miembros de los equipos de mejoramiento, para la aplicación de los instrumentos definidos.
2.       Los miembros de los equipos de mejoramiento carecen de conocimiento específico frente a la implementación de nuevas metodologías para la actualización de los procesos.
3.       Mayores tiempos en los contratos de proveedores, lo que dificulta la aplicación de los estándares de la ISO 45001 y la 14001, en la Sede Central y sus Sedes Externas.</v>
      </c>
      <c r="AL369" s="11">
        <v>0</v>
      </c>
      <c r="AM369" s="11">
        <v>2</v>
      </c>
      <c r="AN369" s="11">
        <v>0</v>
      </c>
      <c r="AO369" s="11">
        <v>2</v>
      </c>
      <c r="AP369" s="11">
        <v>0</v>
      </c>
      <c r="AQ369" s="11">
        <v>0</v>
      </c>
      <c r="AR369" s="51">
        <v>95056743</v>
      </c>
      <c r="AS369" s="54">
        <v>0</v>
      </c>
      <c r="AT369" s="54">
        <f t="shared" si="535"/>
        <v>95056743</v>
      </c>
      <c r="AU369" s="51">
        <v>36224800</v>
      </c>
      <c r="AV369" s="243">
        <v>50000000</v>
      </c>
      <c r="AW369" s="244"/>
      <c r="AX369" s="244"/>
      <c r="AY369" s="243">
        <v>49906416</v>
      </c>
      <c r="AZ369" s="44" cm="1">
        <f t="array" ref="AZ369">_xlfn.IFS((BA369=0),(BD369/CL369),(BA369&gt;0),((BB369+BD369)/CL369),(BE369&gt;0),((BB369+BD369+BE369)/CL369),(BG369&gt;0),((BB369+BD369+BE369+G369)/CL369))</f>
        <v>0.46250000000000002</v>
      </c>
      <c r="BA369" s="44">
        <v>0.25</v>
      </c>
      <c r="BB369" s="44">
        <v>1</v>
      </c>
      <c r="BC369" s="44">
        <f>IF(AE369&gt;0,(1/CL369),0)</f>
        <v>0.25</v>
      </c>
      <c r="BD369" s="44" cm="1">
        <f t="array" ref="BD369">_xlfn.IFS(AE369=0,"NA",AE369&gt;0,AH369/AE369)</f>
        <v>0.85</v>
      </c>
      <c r="BE369" s="44">
        <f>IF(AM369&gt;0,(1/CL369),0)</f>
        <v>0.25</v>
      </c>
      <c r="BF369" s="44">
        <v>0</v>
      </c>
      <c r="BG369" s="44">
        <f>IF(AO369&gt;0,(1/CL369),0)</f>
        <v>0.25</v>
      </c>
      <c r="BH369" s="44">
        <v>0</v>
      </c>
      <c r="BI369" s="44">
        <v>0</v>
      </c>
      <c r="BJ369" s="44" t="s">
        <v>115</v>
      </c>
      <c r="BK369" s="44">
        <f t="shared" si="536"/>
        <v>0.46250000000000002</v>
      </c>
      <c r="BL369" s="44">
        <v>1</v>
      </c>
      <c r="BM369" s="44" cm="1">
        <f t="array" ref="BM369">_xlfn.IFS(BD369="NA","NA",BD369&gt;100%,"100%",BD369&lt;100,BD369)</f>
        <v>0.85</v>
      </c>
      <c r="BN369" s="44">
        <v>0</v>
      </c>
      <c r="BO369" s="44">
        <v>0</v>
      </c>
      <c r="BP369" s="44" t="s">
        <v>115</v>
      </c>
      <c r="BQ369" s="45">
        <v>0.224</v>
      </c>
      <c r="BR369" s="45">
        <f t="shared" si="541"/>
        <v>0.10360000000000001</v>
      </c>
      <c r="BS369" s="45">
        <v>5.6000000000000001E-2</v>
      </c>
      <c r="BT369" s="45">
        <v>5.6000000000000001E-2</v>
      </c>
      <c r="BU369" s="45">
        <v>5.6000000000000001E-2</v>
      </c>
      <c r="BV369" s="45">
        <v>5.6000000000000001E-2</v>
      </c>
      <c r="BW369" s="45">
        <f t="shared" si="551"/>
        <v>4.7599999999999996E-2</v>
      </c>
      <c r="BX369" s="45">
        <f t="shared" si="552"/>
        <v>4.760000000000001E-2</v>
      </c>
      <c r="BY369" s="45">
        <v>5.6000000000000001E-2</v>
      </c>
      <c r="BZ369" s="45">
        <v>0</v>
      </c>
      <c r="CA369" s="45">
        <f t="shared" si="542"/>
        <v>0</v>
      </c>
      <c r="CB369" s="45">
        <v>5.6000000000000001E-2</v>
      </c>
      <c r="CC369" s="45">
        <v>0</v>
      </c>
      <c r="CD369" s="45">
        <v>0</v>
      </c>
      <c r="CE369" s="45">
        <v>0</v>
      </c>
      <c r="CF369" s="45" t="s">
        <v>115</v>
      </c>
      <c r="CG369" s="45">
        <v>0</v>
      </c>
      <c r="CH369" s="244">
        <f>IF(W369&gt;0,1,0)</f>
        <v>1</v>
      </c>
      <c r="CI369" s="244">
        <f>IF(AE369&gt;0,1,0)</f>
        <v>1</v>
      </c>
      <c r="CJ369" s="244">
        <f>IF(AM369&gt;0,1,0)</f>
        <v>1</v>
      </c>
      <c r="CK369" s="244">
        <f>IF(AO369&gt;0,1,0)</f>
        <v>1</v>
      </c>
      <c r="CL369">
        <f>CH369+CI369+CJ369+CK369</f>
        <v>4</v>
      </c>
      <c r="CM369" s="63">
        <f>AVERAGE(Z369,AH369)</f>
        <v>1.85</v>
      </c>
    </row>
    <row r="370" spans="1:261" ht="18" hidden="1" customHeight="1">
      <c r="A370" s="260" t="s">
        <v>2090</v>
      </c>
      <c r="B370" s="260" t="s">
        <v>2091</v>
      </c>
      <c r="C370" s="260" t="s">
        <v>2371</v>
      </c>
      <c r="D370" s="260" t="s">
        <v>2372</v>
      </c>
      <c r="E370" s="260" t="s">
        <v>2373</v>
      </c>
      <c r="F370" s="260" t="s">
        <v>2374</v>
      </c>
      <c r="G370" s="260" t="s">
        <v>2375</v>
      </c>
      <c r="H370" s="260" t="s">
        <v>2392</v>
      </c>
      <c r="I370" s="260"/>
      <c r="J370" s="260"/>
      <c r="K370" s="260" t="s">
        <v>2393</v>
      </c>
      <c r="L370" s="260" t="s">
        <v>2394</v>
      </c>
      <c r="M370" s="260" t="s">
        <v>2395</v>
      </c>
      <c r="N370" s="260" t="s">
        <v>111</v>
      </c>
      <c r="O370" s="260" t="s">
        <v>112</v>
      </c>
      <c r="P370" s="10">
        <v>90</v>
      </c>
      <c r="Q370" s="11">
        <v>58</v>
      </c>
      <c r="R370" s="11">
        <f t="shared" ref="R370:R374" si="583">Z370+AH370</f>
        <v>10</v>
      </c>
      <c r="S370" s="11" t="str">
        <f>VLOOKUP(K370,'1114 Función Pub.'!$K$13:$AK$16,9,0)</f>
        <v xml:space="preserve">Se realizó el pago de 10 matriculas de especialización para los funcionarios que ocupan el cargo de profesional universitario de la administración central. </v>
      </c>
      <c r="T370" s="11">
        <v>20</v>
      </c>
      <c r="U370" s="11">
        <v>0</v>
      </c>
      <c r="V370" s="11">
        <v>0</v>
      </c>
      <c r="W370" s="11">
        <v>0</v>
      </c>
      <c r="X370" s="11">
        <v>0</v>
      </c>
      <c r="Y370" s="11">
        <v>0</v>
      </c>
      <c r="Z370" s="11">
        <v>0</v>
      </c>
      <c r="AA370" s="11"/>
      <c r="AB370" s="11"/>
      <c r="AC370" s="11"/>
      <c r="AD370" s="11">
        <v>10</v>
      </c>
      <c r="AE370" s="11">
        <v>0</v>
      </c>
      <c r="AF370" s="11">
        <f>VLOOKUP(K370,'1114 Función Pub.'!$K$13:$AK$16,22,0)</f>
        <v>10</v>
      </c>
      <c r="AG370" s="11">
        <f>VLOOKUP(K370,'1114 Función Pub.'!$K$13:$AK$16,23,0)</f>
        <v>0</v>
      </c>
      <c r="AH370" s="11">
        <f t="shared" ref="AH370:AH374" si="584">AF370</f>
        <v>10</v>
      </c>
      <c r="AI370" s="11" t="str">
        <f>VLOOKUP(K370,'1114 Función Pub.'!$K$13:$AK$16,25,0)</f>
        <v>Pago de 10 matriculas de posgrado a funcionarios del sector central</v>
      </c>
      <c r="AJ370" s="11" t="str">
        <f>VLOOKUP(K370,'1114 Función Pub.'!$K$13:$AK$16,26,0)</f>
        <v xml:space="preserve">Se logro que 10 funcionarios cuyo tipo de vinculacion es profesional univesitario, iniciaran el programa de especialización de su preferencia y alineado con las metas institucionales. </v>
      </c>
      <c r="AK370" s="11" t="str">
        <f>VLOOKUP(K370,'1114 Función Pub.'!$K$13:$AK$16,27,0)</f>
        <v xml:space="preserve">El recurso fue limitado para vigencia, por tal motivo se modifico el fisico de esta vigencia. </v>
      </c>
      <c r="AL370" s="11">
        <v>30</v>
      </c>
      <c r="AM370" s="11">
        <v>0</v>
      </c>
      <c r="AN370" s="11">
        <v>18</v>
      </c>
      <c r="AO370" s="11">
        <v>0</v>
      </c>
      <c r="AP370" s="11">
        <v>0</v>
      </c>
      <c r="AQ370" s="11">
        <v>0</v>
      </c>
      <c r="AR370" s="52"/>
      <c r="AS370" s="54">
        <v>0</v>
      </c>
      <c r="AT370" s="54">
        <f t="shared" si="535"/>
        <v>0</v>
      </c>
      <c r="AU370" s="52"/>
      <c r="AV370" s="243">
        <v>50000000</v>
      </c>
      <c r="AW370" s="244"/>
      <c r="AX370" s="244"/>
      <c r="AY370" s="243">
        <v>50000000</v>
      </c>
      <c r="AZ370" s="44">
        <f>R370/Q370</f>
        <v>0.17241379310344829</v>
      </c>
      <c r="BA370" s="44">
        <v>0</v>
      </c>
      <c r="BB370" s="44" t="s">
        <v>115</v>
      </c>
      <c r="BC370" s="44">
        <f t="shared" ref="BC370:BC374" si="585">AD370/Q370</f>
        <v>0.17241379310344829</v>
      </c>
      <c r="BD370" s="44" cm="1">
        <f t="array" ref="BD370">_xlfn.IFS(AD370=0,"NA",AD370&gt;0,AH370/AD370)</f>
        <v>1</v>
      </c>
      <c r="BE370" s="44">
        <f t="shared" ref="BE370:BE374" si="586">AL370/Q370</f>
        <v>0.51724137931034486</v>
      </c>
      <c r="BF370" s="44">
        <v>0</v>
      </c>
      <c r="BG370" s="44">
        <f t="shared" ref="BG370:BG374" si="587">AN370/Q370</f>
        <v>0.31034482758620691</v>
      </c>
      <c r="BH370" s="44">
        <v>0</v>
      </c>
      <c r="BI370" s="44">
        <f>AP370/Q370</f>
        <v>0</v>
      </c>
      <c r="BJ370" s="44" t="s">
        <v>115</v>
      </c>
      <c r="BK370" s="44">
        <f t="shared" si="536"/>
        <v>0.17241379310344829</v>
      </c>
      <c r="BL370" s="44" t="s">
        <v>115</v>
      </c>
      <c r="BM370" s="44" cm="1">
        <f t="array" ref="BM370">_xlfn.IFS(BD370="NA","NA",BD370&gt;100%,"100%",BD370&lt;100,BD370)</f>
        <v>1</v>
      </c>
      <c r="BN370" s="44" cm="1">
        <f t="array" ref="BN370">_xlfn.IFS(BF370="NA","NA",BF370&gt;100%,"100%",BF370&lt;100,BF370)</f>
        <v>0</v>
      </c>
      <c r="BO370" s="44" cm="1">
        <f t="array" ref="BO370">_xlfn.IFS(BH370="NA","NA",BH370&gt;100%,"100%",BH370&lt;100,BH370)</f>
        <v>0</v>
      </c>
      <c r="BP370" s="44" t="str" cm="1">
        <f t="array" ref="BP370">_xlfn.IFS(BJ370="NA","NA",BJ370&gt;100%,"100%",BJ370&lt;100,BJ370)</f>
        <v>NA</v>
      </c>
      <c r="BQ370" s="45">
        <v>0.224</v>
      </c>
      <c r="BR370" s="45">
        <f t="shared" si="541"/>
        <v>3.8620689655172416E-2</v>
      </c>
      <c r="BS370" s="45">
        <v>0</v>
      </c>
      <c r="BT370" s="45" t="s">
        <v>115</v>
      </c>
      <c r="BU370" s="45">
        <v>0</v>
      </c>
      <c r="BV370" s="45">
        <f t="shared" ref="BV370:BV374" si="588">(AD370*BQ370)/Q370</f>
        <v>3.8620689655172416E-2</v>
      </c>
      <c r="BW370" s="45">
        <f t="shared" si="551"/>
        <v>3.8620689655172416E-2</v>
      </c>
      <c r="BX370" s="45">
        <f t="shared" si="552"/>
        <v>3.8620689655172416E-2</v>
      </c>
      <c r="BY370" s="45">
        <f t="shared" ref="BY370:BY374" si="589">(AL370*BQ370)/Q370</f>
        <v>0.11586206896551723</v>
      </c>
      <c r="BZ370" s="45">
        <f t="shared" ref="BZ370:BZ374" si="590">IF(BN370="NA","NA",BN370*BY370)</f>
        <v>0</v>
      </c>
      <c r="CA370" s="45">
        <f t="shared" si="542"/>
        <v>0</v>
      </c>
      <c r="CB370" s="45">
        <f t="shared" ref="CB370:CB374" si="591">(AN370*BQ370)/Q370</f>
        <v>6.9517241379310341E-2</v>
      </c>
      <c r="CC370" s="45">
        <f t="shared" ref="CC370:CC374" si="592">IF(BO370="NA","NA",BO370*CB370)</f>
        <v>0</v>
      </c>
      <c r="CD370" s="45">
        <v>0</v>
      </c>
      <c r="CE370" s="45">
        <f>(AP370*BQ370)/Q370</f>
        <v>0</v>
      </c>
      <c r="CF370" s="45" t="str">
        <f>IF(BP370="NA","NA",BP370*CE370)</f>
        <v>NA</v>
      </c>
      <c r="CG370" s="45">
        <v>0</v>
      </c>
      <c r="CH370" s="244"/>
      <c r="CI370" s="244"/>
      <c r="CJ370" s="244"/>
      <c r="CK370" s="244"/>
      <c r="CM370" s="63">
        <v>10</v>
      </c>
    </row>
    <row r="371" spans="1:261" ht="18" hidden="1" customHeight="1">
      <c r="A371" s="260" t="s">
        <v>2335</v>
      </c>
      <c r="B371" s="260" t="s">
        <v>2336</v>
      </c>
      <c r="C371" s="260" t="s">
        <v>2371</v>
      </c>
      <c r="D371" s="260" t="s">
        <v>2372</v>
      </c>
      <c r="E371" s="260" t="s">
        <v>2373</v>
      </c>
      <c r="F371" s="260" t="s">
        <v>2374</v>
      </c>
      <c r="G371" s="260" t="s">
        <v>2375</v>
      </c>
      <c r="H371" s="260" t="s">
        <v>2396</v>
      </c>
      <c r="I371" s="260"/>
      <c r="J371" s="260"/>
      <c r="K371" s="260" t="s">
        <v>2397</v>
      </c>
      <c r="L371" s="260" t="s">
        <v>2398</v>
      </c>
      <c r="M371" s="260" t="s">
        <v>2399</v>
      </c>
      <c r="N371" s="260" t="s">
        <v>111</v>
      </c>
      <c r="O371" s="260" t="s">
        <v>112</v>
      </c>
      <c r="P371" s="10">
        <v>0</v>
      </c>
      <c r="Q371" s="11">
        <v>1</v>
      </c>
      <c r="R371" s="11">
        <f t="shared" si="583"/>
        <v>100.05</v>
      </c>
      <c r="S371" s="11" t="str">
        <f>VLOOKUP(K371,'1113 Planeación'!$K$13:$AK$19,9,0)</f>
        <v>Actualización de la plataforma tecnológica de mapas.cundinamarca.gov.co</v>
      </c>
      <c r="T371" s="11">
        <v>0.05</v>
      </c>
      <c r="U371" s="11">
        <v>0</v>
      </c>
      <c r="V371" s="11">
        <v>0.05</v>
      </c>
      <c r="W371" s="11">
        <v>0</v>
      </c>
      <c r="X371" s="11">
        <v>0.05</v>
      </c>
      <c r="Y371" s="11">
        <v>0</v>
      </c>
      <c r="Z371" s="11">
        <v>0.05</v>
      </c>
      <c r="AA371" s="11" t="s">
        <v>2400</v>
      </c>
      <c r="AB371" s="11" t="s">
        <v>2401</v>
      </c>
      <c r="AC371" s="11" t="s">
        <v>2402</v>
      </c>
      <c r="AD371" s="11">
        <v>0.35</v>
      </c>
      <c r="AE371" s="11">
        <v>0</v>
      </c>
      <c r="AF371" s="11">
        <f>VLOOKUP(K371,'1113 Planeación'!$K$13:$AK$19,22,0)</f>
        <v>100</v>
      </c>
      <c r="AG371" s="11" t="str">
        <f>VLOOKUP(K371,'1113 Planeación'!$K$13:$AK$19,23,0)</f>
        <v> </v>
      </c>
      <c r="AH371" s="11">
        <f t="shared" si="584"/>
        <v>100</v>
      </c>
      <c r="AI371" s="11" t="str">
        <f>VLOOKUP(K371,'1113 Planeación'!$K$13:$AK$19,25,0)</f>
        <v> 19 Aplicaciones web como proyectos geoespaciales de 13 secretarías de la Gobernación de Cundinamarca</v>
      </c>
      <c r="AJ371" s="11" t="str">
        <f>VLOOKUP(K371,'1113 Planeación'!$K$13:$AK$19,26,0)</f>
        <v>datos abiertos publicados en mapas.cundinamarca.gov.co</v>
      </c>
      <c r="AK371" s="11" t="str">
        <f>VLOOKUP(K371,'1113 Planeación'!$K$13:$AK$19,27,0)</f>
        <v>publicación de datasets de información estadístca y geográfica departametnal y municipal en mapas.cundinamarca.gov.co</v>
      </c>
      <c r="AL371" s="11">
        <v>0.35</v>
      </c>
      <c r="AM371" s="11">
        <v>0</v>
      </c>
      <c r="AN371" s="11">
        <v>0.25</v>
      </c>
      <c r="AO371" s="11">
        <v>0</v>
      </c>
      <c r="AP371" s="11">
        <v>0</v>
      </c>
      <c r="AQ371" s="11">
        <v>0</v>
      </c>
      <c r="AR371" s="51">
        <v>333756638</v>
      </c>
      <c r="AS371" s="54">
        <v>0</v>
      </c>
      <c r="AT371" s="54">
        <f t="shared" si="535"/>
        <v>333756638</v>
      </c>
      <c r="AU371" s="51">
        <v>333756638</v>
      </c>
      <c r="AV371" s="243">
        <v>350000000</v>
      </c>
      <c r="AW371" s="244"/>
      <c r="AX371" s="244"/>
      <c r="AY371" s="243">
        <v>335000000</v>
      </c>
      <c r="AZ371" s="44">
        <f>R371/Q371</f>
        <v>100.05</v>
      </c>
      <c r="BA371" s="44">
        <v>0.05</v>
      </c>
      <c r="BB371" s="44">
        <v>1</v>
      </c>
      <c r="BC371" s="44">
        <f t="shared" si="585"/>
        <v>0.35</v>
      </c>
      <c r="BD371" s="44" cm="1">
        <f t="array" ref="BD371">_xlfn.IFS(AD371=0,"NA",AD371&gt;0,AH371/AD371)</f>
        <v>285.71428571428572</v>
      </c>
      <c r="BE371" s="44">
        <f t="shared" si="586"/>
        <v>0.35</v>
      </c>
      <c r="BF371" s="44">
        <v>0</v>
      </c>
      <c r="BG371" s="44">
        <f t="shared" si="587"/>
        <v>0.25</v>
      </c>
      <c r="BH371" s="44">
        <v>0</v>
      </c>
      <c r="BI371" s="44">
        <f>AP371/Q371</f>
        <v>0</v>
      </c>
      <c r="BJ371" s="44" t="s">
        <v>115</v>
      </c>
      <c r="BK371" s="44" t="str">
        <f t="shared" si="536"/>
        <v>100%</v>
      </c>
      <c r="BL371" s="44">
        <v>1</v>
      </c>
      <c r="BM371" s="44" t="str" cm="1">
        <f t="array" ref="BM371">_xlfn.IFS(BD371="NA","NA",BD371&gt;100%,"100%",BD371&lt;100,BD371)</f>
        <v>100%</v>
      </c>
      <c r="BN371" s="44" cm="1">
        <f t="array" ref="BN371">_xlfn.IFS(BF371="NA","NA",BF371&gt;100%,"100%",BF371&lt;100,BF371)</f>
        <v>0</v>
      </c>
      <c r="BO371" s="44" cm="1">
        <f t="array" ref="BO371">_xlfn.IFS(BH371="NA","NA",BH371&gt;100%,"100%",BH371&lt;100,BH371)</f>
        <v>0</v>
      </c>
      <c r="BP371" s="44" t="str" cm="1">
        <f t="array" ref="BP371">_xlfn.IFS(BJ371="NA","NA",BJ371&gt;100%,"100%",BJ371&lt;100,BJ371)</f>
        <v>NA</v>
      </c>
      <c r="BQ371" s="45">
        <v>0.224</v>
      </c>
      <c r="BR371" s="45">
        <f t="shared" si="541"/>
        <v>0.224</v>
      </c>
      <c r="BS371" s="45">
        <v>1.12E-2</v>
      </c>
      <c r="BT371" s="45">
        <v>1.12E-2</v>
      </c>
      <c r="BU371" s="45">
        <v>1.12E-2</v>
      </c>
      <c r="BV371" s="45">
        <f t="shared" si="588"/>
        <v>7.8399999999999997E-2</v>
      </c>
      <c r="BW371" s="45">
        <f t="shared" si="551"/>
        <v>7.8399999999999997E-2</v>
      </c>
      <c r="BX371" s="45">
        <f t="shared" si="552"/>
        <v>0.21280000000000002</v>
      </c>
      <c r="BY371" s="45">
        <f t="shared" si="589"/>
        <v>7.8399999999999997E-2</v>
      </c>
      <c r="BZ371" s="45">
        <f t="shared" si="590"/>
        <v>0</v>
      </c>
      <c r="CA371" s="45">
        <f t="shared" si="542"/>
        <v>0</v>
      </c>
      <c r="CB371" s="45">
        <f t="shared" si="591"/>
        <v>5.6000000000000001E-2</v>
      </c>
      <c r="CC371" s="45">
        <f t="shared" si="592"/>
        <v>0</v>
      </c>
      <c r="CD371" s="45">
        <v>0</v>
      </c>
      <c r="CE371" s="45">
        <f>(AP371*BQ371)/Q371</f>
        <v>0</v>
      </c>
      <c r="CF371" s="45" t="str">
        <f>IF(BP371="NA","NA",BP371*CE371)</f>
        <v>NA</v>
      </c>
      <c r="CG371" s="45">
        <v>0</v>
      </c>
      <c r="CH371" s="244"/>
      <c r="CI371" s="244"/>
      <c r="CJ371" s="244"/>
      <c r="CK371" s="244"/>
      <c r="CM371" s="63">
        <v>80.05</v>
      </c>
    </row>
    <row r="372" spans="1:261" ht="18" hidden="1" customHeight="1">
      <c r="A372" s="260" t="s">
        <v>98</v>
      </c>
      <c r="B372" s="260" t="s">
        <v>99</v>
      </c>
      <c r="C372" s="260" t="s">
        <v>2371</v>
      </c>
      <c r="D372" s="260" t="s">
        <v>2372</v>
      </c>
      <c r="E372" s="260" t="s">
        <v>2373</v>
      </c>
      <c r="F372" s="260" t="s">
        <v>2374</v>
      </c>
      <c r="G372" s="260" t="s">
        <v>2375</v>
      </c>
      <c r="H372" s="260" t="s">
        <v>2403</v>
      </c>
      <c r="I372" s="260" t="s">
        <v>1903</v>
      </c>
      <c r="J372" s="260"/>
      <c r="K372" s="260" t="s">
        <v>2404</v>
      </c>
      <c r="L372" s="260" t="s">
        <v>2405</v>
      </c>
      <c r="M372" s="260" t="s">
        <v>2406</v>
      </c>
      <c r="N372" s="260" t="s">
        <v>123</v>
      </c>
      <c r="O372" s="260" t="s">
        <v>112</v>
      </c>
      <c r="P372" s="10">
        <v>95.7</v>
      </c>
      <c r="Q372" s="11">
        <v>3.3</v>
      </c>
      <c r="R372" s="11">
        <f t="shared" si="583"/>
        <v>0.95</v>
      </c>
      <c r="S372" s="11" t="str">
        <f>VLOOKUP(K372,'1197 Salud'!$K$13:$AK$54,9,0)</f>
        <v xml:space="preserve">El Laboratorio de Salud Pública, para la vigencia  2020 y 2021 realizo logros importantes dirigidos a controlar el impacto de la pandemia ocasionada por SARS Cov-2 (COVID 19) y demás eventos de Salud Pública, en donde se aunaron esfuerzos hacia el fortalecimiento de la infraestructura, el talento humano e insumos, obteniendo como resultados: La inauguración del área de Biología Molecular, el aval por parte del Instituto Nacional de Salud para el procesamiento de COVID 19, la coordinación de la red de laboratorios, bancos de sangre y servicios de transfusión sanguínea del Departamento y la realización de exámenes de laboratorio de interés en salud pública en apoyo a la vigilancia de los eventos de importancia en salud pública, vigilancia y control sanitario. Adicionalmente,  se realizó el procesamiento de muestras de la unidad de vigilancia de eventos de interés en salud pública (clínico), entomología y unidad de factores de riesgo del ambiente y del consumo (alimentos y aguas micro-fisicoquímico), de los 116 municipios del Departamento, obteniendo como resultado
</v>
      </c>
      <c r="T372" s="11">
        <v>0.5</v>
      </c>
      <c r="U372" s="11">
        <v>0</v>
      </c>
      <c r="V372" s="11">
        <v>0.5</v>
      </c>
      <c r="W372" s="11">
        <v>0</v>
      </c>
      <c r="X372" s="11">
        <v>0.5</v>
      </c>
      <c r="Y372" s="11">
        <v>0</v>
      </c>
      <c r="Z372" s="11">
        <v>0.5</v>
      </c>
      <c r="AA372" s="11" t="s">
        <v>2407</v>
      </c>
      <c r="AB372" s="11" t="s">
        <v>2408</v>
      </c>
      <c r="AC372" s="11" t="s">
        <v>2409</v>
      </c>
      <c r="AD372" s="11">
        <v>0.5</v>
      </c>
      <c r="AE372" s="11">
        <v>0</v>
      </c>
      <c r="AF372" s="11">
        <f>VLOOKUP(K372,'1197 Salud'!$K$13:$AK$54,22,0)</f>
        <v>0.45</v>
      </c>
      <c r="AG372" s="11">
        <f>VLOOKUP(K372,'1197 Salud'!$K$13:$AK$54,23,0)</f>
        <v>0</v>
      </c>
      <c r="AH372" s="11">
        <f t="shared" si="584"/>
        <v>0.45</v>
      </c>
      <c r="AI372" s="11" t="str">
        <f>VLOOKUP(K372,'1197 Salud'!$K$13:$AK$54,25,0)</f>
        <v>Sistema de gestión de calidad en el laboratorio</v>
      </c>
      <c r="AJ372" s="11">
        <f>VLOOKUP(K372,'1197 Salud'!$K$13:$AK$54,26,0)</f>
        <v>0</v>
      </c>
      <c r="AK372" s="11" t="str">
        <f>VLOOKUP(K372,'1197 Salud'!$K$13:$AK$54,27,0)</f>
        <v>El Laboratorio de Salud Pública, para la vigencia 2021 realizo logros importantes dirigidos a controlar el impacto de la pandemia ocasionada por SARS Cov-2 (COVID 19) y demás eventos de Salud Pública, en donde se aunaron esfuerzos hacia el fortalecimiento de la infraestructura, el talento humano e insumos, obteniendo como resultados: La inauguración del área de Biología Molecular, el aval por parte del Instituto Nacional de Salud para el procesamiento de COVID 19, la coordinación de la red de laboratorios, bancos de sangre y servicios de transfusión sanguínea del Departamento y la realización de exámenes de laboratorio de interés en salud pública en apoyo a la vigilancia de los eventos de importancia en salud pública, vigilancia y control sanitario. Adicionalmente,  se realizó el procesamiento de muestras de la unidad de vigilancia de eventos de interés en salud pública (clínico), entomología y unidad de factores de riesgo del ambiente y del consumo (alimentos y aguas micro-fisicoquímico), de los 116 municipios del Departamento, obteniendo como resultado</v>
      </c>
      <c r="AL372" s="11">
        <v>0.5</v>
      </c>
      <c r="AM372" s="11">
        <v>0</v>
      </c>
      <c r="AN372" s="11">
        <v>1.8</v>
      </c>
      <c r="AO372" s="11">
        <v>0</v>
      </c>
      <c r="AP372" s="11">
        <v>0</v>
      </c>
      <c r="AQ372" s="11">
        <v>0</v>
      </c>
      <c r="AR372" s="51">
        <v>2404941781</v>
      </c>
      <c r="AS372" s="54">
        <v>0</v>
      </c>
      <c r="AT372" s="54">
        <f t="shared" si="535"/>
        <v>2404941781</v>
      </c>
      <c r="AU372" s="51">
        <v>1463331319</v>
      </c>
      <c r="AV372" s="243">
        <v>7434701984</v>
      </c>
      <c r="AW372" s="244"/>
      <c r="AX372" s="244"/>
      <c r="AY372" s="243">
        <v>6452653696</v>
      </c>
      <c r="AZ372" s="44">
        <f>R372/Q372</f>
        <v>0.2878787878787879</v>
      </c>
      <c r="BA372" s="44">
        <v>0.1515</v>
      </c>
      <c r="BB372" s="44">
        <v>1</v>
      </c>
      <c r="BC372" s="44">
        <f t="shared" si="585"/>
        <v>0.15151515151515152</v>
      </c>
      <c r="BD372" s="44" cm="1">
        <f t="array" ref="BD372">_xlfn.IFS(AD372=0,"NA",AD372&gt;0,AH372/AD372)</f>
        <v>0.9</v>
      </c>
      <c r="BE372" s="44">
        <f t="shared" si="586"/>
        <v>0.15151515151515152</v>
      </c>
      <c r="BF372" s="44">
        <v>0</v>
      </c>
      <c r="BG372" s="44">
        <f t="shared" si="587"/>
        <v>0.54545454545454553</v>
      </c>
      <c r="BH372" s="44">
        <v>0</v>
      </c>
      <c r="BI372" s="44">
        <f>AP372/Q372</f>
        <v>0</v>
      </c>
      <c r="BJ372" s="44" t="s">
        <v>115</v>
      </c>
      <c r="BK372" s="44">
        <f t="shared" si="536"/>
        <v>0.2878787878787879</v>
      </c>
      <c r="BL372" s="44">
        <v>1</v>
      </c>
      <c r="BM372" s="44" cm="1">
        <f t="array" ref="BM372">_xlfn.IFS(BD372="NA","NA",BD372&gt;100%,"100%",BD372&lt;100,BD372)</f>
        <v>0.9</v>
      </c>
      <c r="BN372" s="44" cm="1">
        <f t="array" ref="BN372">_xlfn.IFS(BF372="NA","NA",BF372&gt;100%,"100%",BF372&lt;100,BF372)</f>
        <v>0</v>
      </c>
      <c r="BO372" s="44" cm="1">
        <f t="array" ref="BO372">_xlfn.IFS(BH372="NA","NA",BH372&gt;100%,"100%",BH372&lt;100,BH372)</f>
        <v>0</v>
      </c>
      <c r="BP372" s="44" t="str" cm="1">
        <f t="array" ref="BP372">_xlfn.IFS(BJ372="NA","NA",BJ372&gt;100%,"100%",BJ372&lt;100,BJ372)</f>
        <v>NA</v>
      </c>
      <c r="BQ372" s="45">
        <v>0.224</v>
      </c>
      <c r="BR372" s="45">
        <f t="shared" si="541"/>
        <v>6.4484848484848492E-2</v>
      </c>
      <c r="BS372" s="45">
        <v>3.39E-2</v>
      </c>
      <c r="BT372" s="45">
        <v>3.39E-2</v>
      </c>
      <c r="BU372" s="45">
        <v>3.39E-2</v>
      </c>
      <c r="BV372" s="45">
        <f t="shared" si="588"/>
        <v>3.3939393939393943E-2</v>
      </c>
      <c r="BW372" s="45">
        <f t="shared" si="551"/>
        <v>3.0545454545454549E-2</v>
      </c>
      <c r="BX372" s="45">
        <f t="shared" si="552"/>
        <v>3.0584848484848493E-2</v>
      </c>
      <c r="BY372" s="45">
        <f t="shared" si="589"/>
        <v>3.3939393939393943E-2</v>
      </c>
      <c r="BZ372" s="45">
        <f t="shared" si="590"/>
        <v>0</v>
      </c>
      <c r="CA372" s="45">
        <f t="shared" si="542"/>
        <v>0</v>
      </c>
      <c r="CB372" s="45">
        <f t="shared" si="591"/>
        <v>0.12218181818181818</v>
      </c>
      <c r="CC372" s="45">
        <f t="shared" si="592"/>
        <v>0</v>
      </c>
      <c r="CD372" s="45">
        <v>0</v>
      </c>
      <c r="CE372" s="45">
        <f>(AP372*BQ372)/Q372</f>
        <v>0</v>
      </c>
      <c r="CF372" s="45" t="str">
        <f>IF(BP372="NA","NA",BP372*CE372)</f>
        <v>NA</v>
      </c>
      <c r="CG372" s="45">
        <v>0</v>
      </c>
      <c r="CH372" s="244"/>
      <c r="CI372" s="244"/>
      <c r="CJ372" s="244"/>
      <c r="CK372" s="244"/>
      <c r="CM372" s="63">
        <v>0.83000000000000007</v>
      </c>
    </row>
    <row r="373" spans="1:261" ht="18" hidden="1" customHeight="1">
      <c r="A373" s="260" t="s">
        <v>98</v>
      </c>
      <c r="B373" s="260" t="s">
        <v>99</v>
      </c>
      <c r="C373" s="260" t="s">
        <v>2371</v>
      </c>
      <c r="D373" s="260" t="s">
        <v>2372</v>
      </c>
      <c r="E373" s="260" t="s">
        <v>2373</v>
      </c>
      <c r="F373" s="260" t="s">
        <v>2374</v>
      </c>
      <c r="G373" s="260" t="s">
        <v>2375</v>
      </c>
      <c r="H373" s="260" t="s">
        <v>2410</v>
      </c>
      <c r="I373" s="260" t="s">
        <v>106</v>
      </c>
      <c r="J373" s="260" t="s">
        <v>316</v>
      </c>
      <c r="K373" s="260" t="s">
        <v>2411</v>
      </c>
      <c r="L373" s="260" t="s">
        <v>2412</v>
      </c>
      <c r="M373" s="260" t="s">
        <v>2413</v>
      </c>
      <c r="N373" s="260" t="s">
        <v>123</v>
      </c>
      <c r="O373" s="260" t="s">
        <v>112</v>
      </c>
      <c r="P373" s="10">
        <v>9.4</v>
      </c>
      <c r="Q373" s="11">
        <v>100</v>
      </c>
      <c r="R373" s="11">
        <f t="shared" si="583"/>
        <v>48</v>
      </c>
      <c r="S373" s="11" t="str">
        <f>VLOOKUP(K373,'1197 Salud'!$K$13:$AK$54,9,0)</f>
        <v>Contar con una evaluación de desempeño del sistema obligatorio de garantía de la calidad estructurada, ligada a la meta 382 del Plan Departamental de Desarrollo y al Premio Departamental al Fortalecimiento de la Autoridad Sanitaria. Contar con 14 Planes de mejora de la calidad de las 14 regiones de salud formulados, suscritos por los representantes legales y en proceso de implementación.</v>
      </c>
      <c r="T373" s="11">
        <v>25</v>
      </c>
      <c r="U373" s="11">
        <v>0</v>
      </c>
      <c r="V373" s="11">
        <v>25</v>
      </c>
      <c r="W373" s="11">
        <v>0</v>
      </c>
      <c r="X373" s="11">
        <v>25</v>
      </c>
      <c r="Y373" s="11">
        <v>0</v>
      </c>
      <c r="Z373" s="11">
        <v>25</v>
      </c>
      <c r="AA373" s="11" t="s">
        <v>2413</v>
      </c>
      <c r="AB373" s="11" t="s">
        <v>2414</v>
      </c>
      <c r="AC373" s="11" t="s">
        <v>2415</v>
      </c>
      <c r="AD373" s="11">
        <v>25</v>
      </c>
      <c r="AE373" s="11">
        <v>0</v>
      </c>
      <c r="AF373" s="11">
        <f>VLOOKUP(K373,'1197 Salud'!$K$13:$AK$54,22,0)</f>
        <v>23</v>
      </c>
      <c r="AG373" s="11">
        <f>VLOOKUP(K373,'1197 Salud'!$K$13:$AK$54,23,0)</f>
        <v>0</v>
      </c>
      <c r="AH373" s="11">
        <f t="shared" si="584"/>
        <v>23</v>
      </c>
      <c r="AI373" s="11" t="str">
        <f>VLOOKUP(K373,'1197 Salud'!$K$13:$AK$54,25,0)</f>
        <v>ESE con plan de mejoramiento suscrito</v>
      </c>
      <c r="AJ373" s="11" t="str">
        <f>VLOOKUP(K373,'1197 Salud'!$K$13:$AK$54,26,0)</f>
        <v>Contar con Planes de Mejora de la Calidad articulados con los componentes de la hoja de ruta y los parámetros de evaluación del desempeño del SOGC, Premio Departamental al Fortalecimiento de la Autoridad Sanitaria en su 5ta versión</v>
      </c>
      <c r="AK373" s="11" t="str">
        <f>VLOOKUP(K373,'1197 Salud'!$K$13:$AK$54,27,0)</f>
        <v xml:space="preserve">Escaso talento h​​umano para asumir la totalidad de competencias asignadas. Designación de nuevas actividades relacionadas con la actual situación de emergencia sanitaria lo cual genera recarga de trabajo, nueva función establecida en el Decreto Ordenanza relacionada con el seguimiento a la implementación de las guias de atención la cual sobre pasa lo establecido en el marco legal vigente y la capacidad de respuesta de un grupo de trabajo con 3 personas de planta y 3 de contrato .​ Falta de homogeneidad en experiencia y conocimiento de los integrantes por contrato del grupo. Supervisiones que generan trabajo adicional por seguimiento, evaluación y verificación del cumplimiento del objeto contractual y la presentación de informes. Fallas en la Plataforma del REPS por actualización normativa y parametrización de los cambios normativos. Falta de presupuesto en las ESE para implementar acciones de mejora que permitan el levantamiento de medidas de seguridad y la contratación de talento humano asistencial y referentes de calidad. Modalidad de contratación de referentes de calidad, bajo compromiso de Gerentes frente a temas de calidad conllevando a la perdida de certificación de cumplimiento de condiciones de habilitación y a la imposición de medidas por parte de la Dirección de IVC. </v>
      </c>
      <c r="AL373" s="11">
        <v>25</v>
      </c>
      <c r="AM373" s="11">
        <v>0</v>
      </c>
      <c r="AN373" s="11">
        <v>25</v>
      </c>
      <c r="AO373" s="11">
        <v>0</v>
      </c>
      <c r="AP373" s="11">
        <v>0</v>
      </c>
      <c r="AQ373" s="11">
        <v>0</v>
      </c>
      <c r="AR373" s="51">
        <v>390936976</v>
      </c>
      <c r="AS373" s="54">
        <v>0</v>
      </c>
      <c r="AT373" s="54">
        <f t="shared" si="535"/>
        <v>390936976</v>
      </c>
      <c r="AU373" s="51">
        <v>203435747</v>
      </c>
      <c r="AV373" s="243">
        <v>1894394396</v>
      </c>
      <c r="AW373" s="244"/>
      <c r="AX373" s="244"/>
      <c r="AY373" s="243">
        <v>1334032762</v>
      </c>
      <c r="AZ373" s="44">
        <f>R373/Q373</f>
        <v>0.48</v>
      </c>
      <c r="BA373" s="44">
        <v>0.25</v>
      </c>
      <c r="BB373" s="44">
        <v>1</v>
      </c>
      <c r="BC373" s="44">
        <f t="shared" si="585"/>
        <v>0.25</v>
      </c>
      <c r="BD373" s="44" cm="1">
        <f t="array" ref="BD373">_xlfn.IFS(AD373=0,"NA",AD373&gt;0,AH373/AD373)</f>
        <v>0.92</v>
      </c>
      <c r="BE373" s="44">
        <f t="shared" si="586"/>
        <v>0.25</v>
      </c>
      <c r="BF373" s="44">
        <v>0</v>
      </c>
      <c r="BG373" s="44">
        <f t="shared" si="587"/>
        <v>0.25</v>
      </c>
      <c r="BH373" s="44">
        <v>0</v>
      </c>
      <c r="BI373" s="44">
        <f>AP373/Q373</f>
        <v>0</v>
      </c>
      <c r="BJ373" s="44" t="s">
        <v>115</v>
      </c>
      <c r="BK373" s="44">
        <f t="shared" si="536"/>
        <v>0.48</v>
      </c>
      <c r="BL373" s="44">
        <v>1</v>
      </c>
      <c r="BM373" s="44" cm="1">
        <f t="array" ref="BM373">_xlfn.IFS(BD373="NA","NA",BD373&gt;100%,"100%",BD373&lt;100,BD373)</f>
        <v>0.92</v>
      </c>
      <c r="BN373" s="44" cm="1">
        <f t="array" ref="BN373">_xlfn.IFS(BF373="NA","NA",BF373&gt;100%,"100%",BF373&lt;100,BF373)</f>
        <v>0</v>
      </c>
      <c r="BO373" s="44" cm="1">
        <f t="array" ref="BO373">_xlfn.IFS(BH373="NA","NA",BH373&gt;100%,"100%",BH373&lt;100,BH373)</f>
        <v>0</v>
      </c>
      <c r="BP373" s="44" t="str" cm="1">
        <f t="array" ref="BP373">_xlfn.IFS(BJ373="NA","NA",BJ373&gt;100%,"100%",BJ373&lt;100,BJ373)</f>
        <v>NA</v>
      </c>
      <c r="BQ373" s="45">
        <v>0.224</v>
      </c>
      <c r="BR373" s="45">
        <f t="shared" si="541"/>
        <v>0.10752</v>
      </c>
      <c r="BS373" s="45">
        <v>5.6000000000000001E-2</v>
      </c>
      <c r="BT373" s="45">
        <v>5.6000000000000001E-2</v>
      </c>
      <c r="BU373" s="45">
        <v>5.6000000000000001E-2</v>
      </c>
      <c r="BV373" s="45">
        <f t="shared" si="588"/>
        <v>5.6000000000000008E-2</v>
      </c>
      <c r="BW373" s="45">
        <f t="shared" si="551"/>
        <v>5.152000000000001E-2</v>
      </c>
      <c r="BX373" s="45">
        <f t="shared" si="552"/>
        <v>5.1520000000000003E-2</v>
      </c>
      <c r="BY373" s="45">
        <f t="shared" si="589"/>
        <v>5.6000000000000008E-2</v>
      </c>
      <c r="BZ373" s="45">
        <f t="shared" si="590"/>
        <v>0</v>
      </c>
      <c r="CA373" s="45">
        <f t="shared" si="542"/>
        <v>0</v>
      </c>
      <c r="CB373" s="45">
        <f t="shared" si="591"/>
        <v>5.6000000000000008E-2</v>
      </c>
      <c r="CC373" s="45">
        <f t="shared" si="592"/>
        <v>0</v>
      </c>
      <c r="CD373" s="45">
        <v>0</v>
      </c>
      <c r="CE373" s="45">
        <f>(AP373*BQ373)/Q373</f>
        <v>0</v>
      </c>
      <c r="CF373" s="45" t="str">
        <f>IF(BP373="NA","NA",BP373*CE373)</f>
        <v>NA</v>
      </c>
      <c r="CG373" s="45">
        <v>0</v>
      </c>
      <c r="CH373" s="244"/>
      <c r="CI373" s="244"/>
      <c r="CJ373" s="244"/>
      <c r="CK373" s="244"/>
      <c r="CM373" s="63">
        <v>42</v>
      </c>
    </row>
    <row r="374" spans="1:261" ht="18" hidden="1" customHeight="1">
      <c r="A374" s="260" t="s">
        <v>992</v>
      </c>
      <c r="B374" s="260" t="s">
        <v>993</v>
      </c>
      <c r="C374" s="260" t="s">
        <v>2371</v>
      </c>
      <c r="D374" s="260" t="s">
        <v>2372</v>
      </c>
      <c r="E374" s="260" t="s">
        <v>2416</v>
      </c>
      <c r="F374" s="260" t="s">
        <v>2417</v>
      </c>
      <c r="G374" s="260" t="s">
        <v>2418</v>
      </c>
      <c r="H374" s="260" t="s">
        <v>2419</v>
      </c>
      <c r="I374" s="260"/>
      <c r="J374" s="260"/>
      <c r="K374" s="260" t="s">
        <v>2420</v>
      </c>
      <c r="L374" s="260" t="s">
        <v>2421</v>
      </c>
      <c r="M374" s="260" t="s">
        <v>122</v>
      </c>
      <c r="N374" s="260" t="s">
        <v>111</v>
      </c>
      <c r="O374" s="260" t="s">
        <v>112</v>
      </c>
      <c r="P374" s="10">
        <v>5000</v>
      </c>
      <c r="Q374" s="11">
        <v>5000</v>
      </c>
      <c r="R374" s="11">
        <f t="shared" si="583"/>
        <v>1443</v>
      </c>
      <c r="S374" s="11" t="str">
        <f>VLOOKUP(K374,'1105 Gobierno'!$K$12:$AK$31,9,0)</f>
        <v>1.443 predios en proceso por sesión a título gratuito y 283 declaratoria de titularidad logrando formalizar la propiedad de aquellos predios baldíos y fiscales en eventos como la falsa tradición, ocupación y posesión, estimulando el desarrollo urbano y rural, mejorar la calidad de vida de los ocupantes y poseedores de los predios convirtiendo en patrimonio los predios que ocupan los municipios y los particulares, desarrollando un mercado inmobiliario con seguridad jurídica que funcione en forma abierta, ágil y transparente. Mediante las 300 asistencias técnicas en la formalización de la propiedad de predios baldíos y fiscales, en los 116 municipios del departamento de Cundinamarca, se ha logrado en esta primera etapa de 2020 concientizar y adquirir la cultura por parte de los 538 funcionarios de las administraciones municipales y comunidad cundinamarquesa, de la importancia de la legalización de la titulación de los predios que ocupan. Con lo anterior, se logra en proceso de formalización de predios 1.428 por cesión a título gratuito y 283 por declaratoria. Así mismo, se logró llevar a cabo alianzas estratégicas de apoyo técnico, logístico y humano, con entidades públicas actoras del proceso, como la Superintendencia de Notariado y Registro (SNR), Agencia Nacional de Tierras, Ministerio de Vivienda, Ciudad y Territorio, Instituto Geográfico Agustín Codazzi (IGAC), Secretarías de Educación y Agricultura, y el Instituto Departamental de Acción Comunal (IDACO), todo para el beneficio de la comunidad en su legalización de predios. Para 2021, se llevan 1.111 asistencias técnicas, beneficiando 109 municipios, y se ha logrado la titulación de 41 predios de uso institucional en los municipios de Chipaque (16), El  Colegio (19), Nocaima (05) y Simijacá (01)</v>
      </c>
      <c r="T374" s="11">
        <v>300</v>
      </c>
      <c r="U374" s="11">
        <v>0</v>
      </c>
      <c r="V374" s="11">
        <v>300</v>
      </c>
      <c r="W374" s="11">
        <v>0</v>
      </c>
      <c r="X374" s="11">
        <v>332</v>
      </c>
      <c r="Y374" s="11">
        <v>0</v>
      </c>
      <c r="Z374" s="11">
        <v>332</v>
      </c>
      <c r="AA374" s="11" t="s">
        <v>1106</v>
      </c>
      <c r="AB374" s="11" t="s">
        <v>2422</v>
      </c>
      <c r="AC374" s="11" t="s">
        <v>2423</v>
      </c>
      <c r="AD374" s="11">
        <v>1600</v>
      </c>
      <c r="AE374" s="11">
        <v>0</v>
      </c>
      <c r="AF374" s="11">
        <f>VLOOKUP(K374,'1105 Gobierno'!$K$12:$AK$31,22,0)</f>
        <v>1111</v>
      </c>
      <c r="AG374" s="11" t="str">
        <f>VLOOKUP(K374,'1105 Gobierno'!$K$12:$AK$31,23,0)</f>
        <v> </v>
      </c>
      <c r="AH374" s="11">
        <f t="shared" si="584"/>
        <v>1111</v>
      </c>
      <c r="AI374" s="11" t="str">
        <f>VLOOKUP(K374,'1105 Gobierno'!$K$12:$AK$31,25,0)</f>
        <v>Asistencia técnica</v>
      </c>
      <c r="AJ374" s="11" t="str">
        <f>VLOOKUP(K374,'1105 Gobierno'!$K$12:$AK$31,26,0)</f>
        <v>Se han realizado 1,111 asistencias técnicas y jurídicas entre Enero y  Octubre de 2021 , para la formalización de la propiedad de predios baldíos y fiscales (área urbana y rural) en 109 municipios del departamento de Cundinamarca, en cumplimiento de la meta producto 383 del PDD para la vigencia 2021. Así  mismo, un logro acumulado de 41 predios de uso institucional debidamente saneados y formalizados entre las vigencias de 2020 y 2021.</v>
      </c>
      <c r="AK374" s="11" t="str">
        <f>VLOOKUP(K374,'1105 Gobierno'!$K$12:$AK$31,27,0)</f>
        <v>Falta de recurso humano, técnico, logístíco, ecónómico, voluntad política por parte de los municipios y la pandemia del COVID 19,  han dificultado en la vigencia de 2021 que la meta producto 383 del PDD secumpla en el 100% para la formalización de la propiedad de predios baldíos y fiscales en los municipios del departamento de Cundinamarca (Área urbana y rural).</v>
      </c>
      <c r="AL374" s="11">
        <v>1600</v>
      </c>
      <c r="AM374" s="11">
        <v>0</v>
      </c>
      <c r="AN374" s="11">
        <v>1500</v>
      </c>
      <c r="AO374" s="11">
        <v>0</v>
      </c>
      <c r="AP374" s="11">
        <v>0</v>
      </c>
      <c r="AQ374" s="11">
        <v>0</v>
      </c>
      <c r="AR374" s="51">
        <v>6599085</v>
      </c>
      <c r="AS374" s="54">
        <v>0</v>
      </c>
      <c r="AT374" s="54">
        <f t="shared" si="535"/>
        <v>6599085</v>
      </c>
      <c r="AU374" s="51">
        <v>6599085</v>
      </c>
      <c r="AV374" s="243">
        <v>298200000</v>
      </c>
      <c r="AW374" s="244"/>
      <c r="AX374" s="244"/>
      <c r="AY374" s="243">
        <v>242461405</v>
      </c>
      <c r="AZ374" s="44">
        <f>R374/Q374</f>
        <v>0.28860000000000002</v>
      </c>
      <c r="BA374" s="44">
        <v>0.06</v>
      </c>
      <c r="BB374" s="44">
        <v>1.1067</v>
      </c>
      <c r="BC374" s="44">
        <f t="shared" si="585"/>
        <v>0.32</v>
      </c>
      <c r="BD374" s="44" cm="1">
        <f t="array" ref="BD374">_xlfn.IFS(AD374=0,"NA",AD374&gt;0,AH374/AD374)</f>
        <v>0.69437499999999996</v>
      </c>
      <c r="BE374" s="44">
        <f t="shared" si="586"/>
        <v>0.32</v>
      </c>
      <c r="BF374" s="44">
        <v>0</v>
      </c>
      <c r="BG374" s="44">
        <f t="shared" si="587"/>
        <v>0.3</v>
      </c>
      <c r="BH374" s="44">
        <v>0</v>
      </c>
      <c r="BI374" s="44">
        <f>AP374/Q374</f>
        <v>0</v>
      </c>
      <c r="BJ374" s="44" t="s">
        <v>115</v>
      </c>
      <c r="BK374" s="44">
        <f t="shared" si="536"/>
        <v>0.28860000000000002</v>
      </c>
      <c r="BL374" s="44">
        <v>1</v>
      </c>
      <c r="BM374" s="44" cm="1">
        <f t="array" ref="BM374">_xlfn.IFS(BD374="NA","NA",BD374&gt;100%,"100%",BD374&lt;100,BD374)</f>
        <v>0.69437499999999996</v>
      </c>
      <c r="BN374" s="44" cm="1">
        <f t="array" ref="BN374">_xlfn.IFS(BF374="NA","NA",BF374&gt;100%,"100%",BF374&lt;100,BF374)</f>
        <v>0</v>
      </c>
      <c r="BO374" s="44" cm="1">
        <f t="array" ref="BO374">_xlfn.IFS(BH374="NA","NA",BH374&gt;100%,"100%",BH374&lt;100,BH374)</f>
        <v>0</v>
      </c>
      <c r="BP374" s="44" t="str" cm="1">
        <f t="array" ref="BP374">_xlfn.IFS(BJ374="NA","NA",BJ374&gt;100%,"100%",BJ374&lt;100,BJ374)</f>
        <v>NA</v>
      </c>
      <c r="BQ374" s="45">
        <v>0.224</v>
      </c>
      <c r="BR374" s="45">
        <f t="shared" si="541"/>
        <v>6.4646400000000007E-2</v>
      </c>
      <c r="BS374" s="45">
        <v>1.34E-2</v>
      </c>
      <c r="BT374" s="45">
        <v>1.34E-2</v>
      </c>
      <c r="BU374" s="45">
        <v>1.49E-2</v>
      </c>
      <c r="BV374" s="45">
        <f t="shared" si="588"/>
        <v>7.1680000000000008E-2</v>
      </c>
      <c r="BW374" s="45">
        <f t="shared" si="551"/>
        <v>4.9772800000000006E-2</v>
      </c>
      <c r="BX374" s="45">
        <f t="shared" si="552"/>
        <v>4.974640000000001E-2</v>
      </c>
      <c r="BY374" s="45">
        <f t="shared" si="589"/>
        <v>7.1680000000000008E-2</v>
      </c>
      <c r="BZ374" s="45">
        <f t="shared" si="590"/>
        <v>0</v>
      </c>
      <c r="CA374" s="45">
        <f t="shared" si="542"/>
        <v>0</v>
      </c>
      <c r="CB374" s="45">
        <f t="shared" si="591"/>
        <v>6.7199999999999996E-2</v>
      </c>
      <c r="CC374" s="45">
        <f t="shared" si="592"/>
        <v>0</v>
      </c>
      <c r="CD374" s="45">
        <v>0</v>
      </c>
      <c r="CE374" s="45">
        <f>(AP374*BQ374)/Q374</f>
        <v>0</v>
      </c>
      <c r="CF374" s="45" t="str">
        <f>IF(BP374="NA","NA",BP374*CE374)</f>
        <v>NA</v>
      </c>
      <c r="CG374" s="45">
        <v>0</v>
      </c>
      <c r="CH374" s="244"/>
      <c r="CI374" s="244"/>
      <c r="CJ374" s="244"/>
      <c r="CK374" s="244"/>
      <c r="CM374" s="63">
        <v>1152</v>
      </c>
    </row>
    <row r="375" spans="1:261" ht="18" hidden="1" customHeight="1">
      <c r="A375" s="260" t="s">
        <v>98</v>
      </c>
      <c r="B375" s="260" t="s">
        <v>99</v>
      </c>
      <c r="C375" s="260" t="s">
        <v>2371</v>
      </c>
      <c r="D375" s="260" t="s">
        <v>2372</v>
      </c>
      <c r="E375" s="260" t="s">
        <v>2416</v>
      </c>
      <c r="F375" s="260" t="s">
        <v>2417</v>
      </c>
      <c r="G375" s="260" t="s">
        <v>2418</v>
      </c>
      <c r="H375" s="260" t="s">
        <v>2424</v>
      </c>
      <c r="I375" s="260" t="s">
        <v>106</v>
      </c>
      <c r="J375" s="260" t="s">
        <v>622</v>
      </c>
      <c r="K375" s="260" t="s">
        <v>2425</v>
      </c>
      <c r="L375" s="260" t="s">
        <v>2426</v>
      </c>
      <c r="M375" s="260" t="s">
        <v>2427</v>
      </c>
      <c r="N375" s="260" t="s">
        <v>111</v>
      </c>
      <c r="O375" s="260" t="s">
        <v>124</v>
      </c>
      <c r="P375" s="10">
        <v>53</v>
      </c>
      <c r="Q375" s="11">
        <v>53</v>
      </c>
      <c r="R375" s="11">
        <f>(Z375+AH375)/CL375</f>
        <v>26.5</v>
      </c>
      <c r="S375" s="11" t="str">
        <f>VLOOKUP(K375,'1197 Salud'!$K$13:$AK$54,9,0)</f>
        <v xml:space="preserve">1. Articular actividades de competencias M.E.S con la Secretaria de Función Pública en relación a los resultados de las encuestas de clima organizacional y el trabajo relacionado con los valores, con la participación de 393 colaboradores y representantes de las direcciones y oficinas asesoras de la SSC.
2. Se realizó la inscripción al curso de inducción y reinducción de todos los colaboradores de la secretaría de salud con la participación de 598 funcionarios y contratistas de la secretaría de salud 
3. Realizamos campañas en relación a nuestro valor de cercanía con el aporte de 96 personas en la definición del valor cercanía.
4. Encuentro de bienestar con el secretario de salud para esta ocasión nos acompañaron 15 personas representando a las direcciones, encontrando entre los asistentes un canal de comunicación positiva y la construcción de oportunidades de mejora.
5. Articulación con secretaria de la mujer y género, alta consejería para la felicidad, en el Nodo de Atención Centrada a las Persona con la participación de 1.356 personas de las 53 IPS del departamento las 116 alcaldías, 53 secretarías de salud, academia, Secretaria de salud de Cundinamarca.
6. Se realizó la invitación e inscripción al curso de humanización en la atención materna y perinatal a 106 personas de las ESE, tuvimos la participación de 22 Hospitales.
7. Se aplicó encuesta de satisfacción de cliente externo a 53 Gerentes, 116 alcaldes, 116 líderes del sistema de atención al ciudadano de las alcaldías, 18 veedores, 110 líderes de Comités de Participación Social en Salud, 37 miembros de asociación de usuarios y 160 usuarios del Laboratorio de Salud Pública. 2021 Encuestas de satisfacción al cliente interno de la SSC se evidencio la participación de 510 colaboradores, a la fecha se evidencia la participación de 51 hospitales a las encuestas de cliente externo IPS, 162 encuestas a clientes externos de la SSC.
8. Participamos en la Validación externa de la política pública Nacional de humanización con el Ministerio de Salud realizando aportes al documento técnico y al plan de Acción como ente territorial en (10) reuniones
9. Metodología de la Defensoría del pueblo, tuvimos la participación de las Referentes de Humanización de 51 Hospitales y 27 Alcaldías, entre otros invitados de la Gobernación de Cundinamarca, para un total de 621 participantes en total, Creación y validación de los cuatro módulos de la metodología de Dignificación de Servicios de Salud con enfoque en derechos humanos con la Defensoría del Pueblo Al mes de Noviembre completamos 54 reuniones con la Mesa de dignificación de servicios de salud, de la Defensoría del Pueblo, creando y validando tres módulos, que serán validados con los colaboradores de IPS del departamento de Cundinamarca Curso
</v>
      </c>
      <c r="T375" s="11">
        <v>0</v>
      </c>
      <c r="U375" s="11">
        <v>53</v>
      </c>
      <c r="V375" s="11">
        <v>0</v>
      </c>
      <c r="W375" s="11">
        <v>53</v>
      </c>
      <c r="X375" s="11" t="s">
        <v>115</v>
      </c>
      <c r="Y375" s="11">
        <v>53</v>
      </c>
      <c r="Z375" s="11">
        <v>53</v>
      </c>
      <c r="AA375" s="11" t="s">
        <v>2428</v>
      </c>
      <c r="AB375" s="11" t="s">
        <v>2429</v>
      </c>
      <c r="AC375" s="11" t="s">
        <v>2430</v>
      </c>
      <c r="AD375" s="11">
        <v>0</v>
      </c>
      <c r="AE375" s="11">
        <v>53</v>
      </c>
      <c r="AF375" s="11">
        <f>VLOOKUP(K375,'1197 Salud'!$K$13:$AK$54,22,0)</f>
        <v>0</v>
      </c>
      <c r="AG375" s="11">
        <f>VLOOKUP(K375,'1197 Salud'!$K$13:$AK$54,23,0)</f>
        <v>53</v>
      </c>
      <c r="AH375" s="11">
        <f>AG375</f>
        <v>53</v>
      </c>
      <c r="AI375" s="11" t="str">
        <f>VLOOKUP(K375,'1197 Salud'!$K$13:$AK$54,25,0)</f>
        <v>Hospitales con estrategia de Humanización mantenida</v>
      </c>
      <c r="AJ375" s="11" t="str">
        <f>VLOOKUP(K375,'1197 Salud'!$K$13:$AK$54,26,0)</f>
        <v>A la fecha hemos logrado  
1. Articular actividades de competencias M.E.S con la Secretaria de Función Pública en relación a los resultados de las encuestas de clima organizacional y el trabajo relacionado con los valores, con la participación de 393 colaboradores y representantes de las direcciones y oficinas asesoras de la SSC.
2. Se realizó la inscripción al curso de inducción y reinducción de todos los colaboradores de la secretaría de salud con la participación de 507 funcionarios y contratistas de la secretaría de salud 
3. Realizamos campañas en relación a nuestro valor de cercanía con el aporte de 96 personas en la definición del valor cercanía.
4. Encuentro de bienestar con el secretario de salud para esta ocasión nos acompañaron 15 personas representando a las direcciones, encontrando entre los asistentes un canal de comunicación positiva y la construcción de oportunidades de mejora.
5. Articulación con secretaria de la mujer y género, alta consejería para la felicidad, en el Nodo de Atención Centrada a las Persona con la participación de 526 personas de las 53 IPS del departamento las 116 alcaldías
6. Se realizó la invitación e inscripción al curso de humanización en la atención materna y perinatal a 30 personas de las ESE
7. Encuestas de satisfacción al cliente interno de la SSC se evidencio la participación de 510 colaboradores, a la fecha se evidencia la participación de 51 hospitales a las encuestas de cliente externo IPS, 162 encuestas a clientes externos de la SSC.
8. Participación en reuniones con el MSPS, en relación a la política de humanización.</v>
      </c>
      <c r="AK375" s="11" t="str">
        <f>VLOOKUP(K375,'1197 Salud'!$K$13:$AK$54,27,0)</f>
        <v>1. La virtualidad, la falta de participación de todos los actores (Hospitales) para la muestra, compromiso de parte de los representantes de las instituciones.
2. Recursos para las actividades de Clima Organizacional y Valores.
3. En la programación de la actividad presencial de clima organizacional con función pública algunas personas no pudieron asistir, se encontraban en aislamiento por covid.
4. Los datos de consultas de los hospitales para la muestra de las encuestas de satisfacción no se encuentran completos no todas las IPS  reportan en el SIUS</v>
      </c>
      <c r="AL375" s="11">
        <v>0</v>
      </c>
      <c r="AM375" s="11">
        <v>53</v>
      </c>
      <c r="AN375" s="11">
        <v>0</v>
      </c>
      <c r="AO375" s="11">
        <v>53</v>
      </c>
      <c r="AP375" s="11">
        <v>0</v>
      </c>
      <c r="AQ375" s="11">
        <v>0</v>
      </c>
      <c r="AR375" s="51">
        <v>34520653</v>
      </c>
      <c r="AS375" s="54">
        <v>0</v>
      </c>
      <c r="AT375" s="54">
        <f t="shared" si="535"/>
        <v>34520653</v>
      </c>
      <c r="AU375" s="51">
        <v>27361507</v>
      </c>
      <c r="AV375" s="243">
        <v>218684142</v>
      </c>
      <c r="AW375" s="244"/>
      <c r="AX375" s="244"/>
      <c r="AY375" s="243">
        <v>217289873</v>
      </c>
      <c r="AZ375" s="44" cm="1">
        <f t="array" ref="AZ375">_xlfn.IFS((BA375=0),(BD375/CL375),(BA375&gt;0),((BB375+BD375)/CL375),(BE375&gt;0),((BB375+BD375+BE375)/CL375),(BG375&gt;0),((BB375+BD375+BE375+G375)/CL375))</f>
        <v>0.5</v>
      </c>
      <c r="BA375" s="44">
        <v>0.25</v>
      </c>
      <c r="BB375" s="44">
        <v>1</v>
      </c>
      <c r="BC375" s="44">
        <f>IF(AE375&gt;0,(1/CL375),0)</f>
        <v>0.25</v>
      </c>
      <c r="BD375" s="44" cm="1">
        <f t="array" ref="BD375">_xlfn.IFS(AE375=0,"NA",AE375&gt;0,AH375/AE375)</f>
        <v>1</v>
      </c>
      <c r="BE375" s="44">
        <f>IF(AM375&gt;0,(1/CL375),0)</f>
        <v>0.25</v>
      </c>
      <c r="BF375" s="44">
        <v>0</v>
      </c>
      <c r="BG375" s="44">
        <f>IF(AO375&gt;0,(1/CL375),0)</f>
        <v>0.25</v>
      </c>
      <c r="BH375" s="44">
        <v>0</v>
      </c>
      <c r="BI375" s="44">
        <v>0</v>
      </c>
      <c r="BJ375" s="44" t="s">
        <v>115</v>
      </c>
      <c r="BK375" s="44">
        <f t="shared" si="536"/>
        <v>0.5</v>
      </c>
      <c r="BL375" s="44">
        <v>1</v>
      </c>
      <c r="BM375" s="44" cm="1">
        <f t="array" ref="BM375">_xlfn.IFS(BD375="NA","NA",BD375&gt;100%,"100%",BD375&lt;100,BD375)</f>
        <v>1</v>
      </c>
      <c r="BN375" s="44">
        <v>0</v>
      </c>
      <c r="BO375" s="44">
        <v>0</v>
      </c>
      <c r="BP375" s="44" t="s">
        <v>115</v>
      </c>
      <c r="BQ375" s="45">
        <v>0.224</v>
      </c>
      <c r="BR375" s="45">
        <f t="shared" si="541"/>
        <v>0.112</v>
      </c>
      <c r="BS375" s="45">
        <v>5.6000000000000001E-2</v>
      </c>
      <c r="BT375" s="45">
        <v>5.6000000000000001E-2</v>
      </c>
      <c r="BU375" s="45">
        <v>5.6000000000000001E-2</v>
      </c>
      <c r="BV375" s="45">
        <v>5.6000000000000001E-2</v>
      </c>
      <c r="BW375" s="45">
        <f t="shared" si="551"/>
        <v>5.6000000000000001E-2</v>
      </c>
      <c r="BX375" s="45">
        <f t="shared" si="552"/>
        <v>5.6000000000000001E-2</v>
      </c>
      <c r="BY375" s="45">
        <v>5.6000000000000001E-2</v>
      </c>
      <c r="BZ375" s="45">
        <v>0</v>
      </c>
      <c r="CA375" s="45">
        <f t="shared" si="542"/>
        <v>0</v>
      </c>
      <c r="CB375" s="45">
        <v>5.6000000000000001E-2</v>
      </c>
      <c r="CC375" s="45">
        <v>0</v>
      </c>
      <c r="CD375" s="45">
        <v>0</v>
      </c>
      <c r="CE375" s="45">
        <v>0</v>
      </c>
      <c r="CF375" s="45" t="s">
        <v>115</v>
      </c>
      <c r="CG375" s="45">
        <v>0</v>
      </c>
      <c r="CH375" s="244">
        <f>IF(W375&gt;0,1,0)</f>
        <v>1</v>
      </c>
      <c r="CI375" s="244">
        <f>IF(AE375&gt;0,1,0)</f>
        <v>1</v>
      </c>
      <c r="CJ375" s="244">
        <f>IF(AM375&gt;0,1,0)</f>
        <v>1</v>
      </c>
      <c r="CK375" s="244">
        <f>IF(AO375&gt;0,1,0)</f>
        <v>1</v>
      </c>
      <c r="CL375">
        <f>CH375+CI375+CJ375+CK375</f>
        <v>4</v>
      </c>
      <c r="CM375" s="63">
        <f>AVERAGE(Z375,AH375)</f>
        <v>53</v>
      </c>
    </row>
    <row r="376" spans="1:261" ht="18" hidden="1" customHeight="1">
      <c r="A376" s="198" t="s">
        <v>388</v>
      </c>
      <c r="B376" s="198" t="s">
        <v>389</v>
      </c>
      <c r="C376" s="198" t="s">
        <v>2371</v>
      </c>
      <c r="D376" s="198" t="s">
        <v>2372</v>
      </c>
      <c r="E376" s="198" t="s">
        <v>2416</v>
      </c>
      <c r="F376" s="198" t="s">
        <v>2417</v>
      </c>
      <c r="G376" s="198" t="s">
        <v>2418</v>
      </c>
      <c r="H376" s="198" t="s">
        <v>2431</v>
      </c>
      <c r="I376" s="198" t="s">
        <v>200</v>
      </c>
      <c r="J376" s="198"/>
      <c r="K376" s="198" t="s">
        <v>2432</v>
      </c>
      <c r="L376" s="198" t="s">
        <v>2433</v>
      </c>
      <c r="M376" s="198" t="s">
        <v>131</v>
      </c>
      <c r="N376" s="198" t="s">
        <v>111</v>
      </c>
      <c r="O376" s="198" t="s">
        <v>112</v>
      </c>
      <c r="P376" s="199">
        <v>0</v>
      </c>
      <c r="Q376" s="200">
        <v>1</v>
      </c>
      <c r="R376" s="11">
        <f t="shared" ref="R376:R377" si="593">Z376+AH376</f>
        <v>0.35</v>
      </c>
      <c r="S376" s="200">
        <f>VLOOKUP(K376,'1123 Transporte'!$K$13:$AK$23,9,0)</f>
        <v>0</v>
      </c>
      <c r="T376" s="200">
        <v>0.09</v>
      </c>
      <c r="U376" s="200">
        <v>0</v>
      </c>
      <c r="V376" s="200">
        <v>0.09</v>
      </c>
      <c r="W376" s="200">
        <v>0</v>
      </c>
      <c r="X376" s="200">
        <v>0.09</v>
      </c>
      <c r="Y376" s="200">
        <v>0</v>
      </c>
      <c r="Z376" s="200">
        <v>0.09</v>
      </c>
      <c r="AA376" s="200" t="s">
        <v>2434</v>
      </c>
      <c r="AB376" s="200" t="s">
        <v>2435</v>
      </c>
      <c r="AC376" s="200" t="s">
        <v>2436</v>
      </c>
      <c r="AD376" s="11">
        <v>0.3</v>
      </c>
      <c r="AE376" s="11">
        <v>0</v>
      </c>
      <c r="AF376" s="200">
        <f>VLOOKUP(K376,'1123 Transporte'!$K$13:$AK$23,22,0)</f>
        <v>0.26</v>
      </c>
      <c r="AG376" s="200">
        <f>VLOOKUP(K376,'1123 Transporte'!$K$13:$AK$23,23,0)</f>
        <v>0</v>
      </c>
      <c r="AH376" s="11">
        <f t="shared" ref="AH376:AH377" si="594">AF376</f>
        <v>0.26</v>
      </c>
      <c r="AI376" s="200" t="str">
        <f>VLOOKUP(K376,'1123 Transporte'!$K$13:$AK$23,25,0)</f>
        <v>Recepcion de documentos PQRS en atencion de solicitudes en el menor tiempo posible y despliegue de la unidad movil a los diferentes municipios alejados de las diferentes sedes operativas</v>
      </c>
      <c r="AJ376" s="200" t="str">
        <f>VLOOKUP(K376,'1123 Transporte'!$K$13:$AK$23,26,0)</f>
        <v>Meta 385   
Puesta en marcha de Unidad Móvil de Atención y promoción de servicios de movilidad en los municipios de:
Puesta en marcha de Unidad Móvil de Atención y promoción de servicios de movilidad en los municipios de: 
26 de marzo Supatá (11) beneficiarios 
1 de julio Cabrera (7) beneficiarios
 2 de julio Venecia (6) beneficiarios
 3 de julio Pandi (8) beneficiarios
 8 de julio San Bernardo (5) beneficiarios 
9 de julio Tibacuy (4) beneficiarios 
10 de julio Pasca (10) beneficiarios
25 de agosto ubaque (8) beneficiarios
26 de agosto Fomeque (18) beneficiarios 
27 de agosto Fosca (18) beneficiarios
8 de Septiembre Tibirita (15) beneficiarios
9 de Septiembre Manta (10) beneficiarios
10 de Septiembre Suesca (16) beneficiarios 
11 de Septiembre Sesquilé (8) beneficiarios
16 de Septiembre Viani (20) beneficiarios 
17 de Septiembre Bituima (10) beneficiarios
18 de Septiembre Guayabal de siquima (7) beneficiarios
 4 de Octubre villeta (50) beneficiarios
7 de Octubre Cajica (6) beneficiarios
8 de Octubre Nemocon (21) benificiarios 
9 de Octubre tocancipa (0)
14 de Octubre Guaduas (22) beneficiarios
15 de Octubre Carrapi (14) beneficiarios 
22 de Octubre Paratebueno(19) beneficiarios
23 de Octubre Medina(0)
28 de Octubre Viota ( 11) beneficiarios
29 de Octubre Tena (12) beneficiarios
30 de Octubre Anolaima (8) beneficiarios
 Total,
28 Municipios( 344)  beneficiarios En atención y temáticas de transporte y movilidad.
*COMPONENTE PQRS Mejoramiento en tiempos de respuesta a PQRS por parte de la dirección de servicios sedes operativas en tránsito y sus gerencias, mejorando la satisfacción de nuestros usuarios; es por ello que para el año 2021 a la fecha se han evacuado satisfactoriamente más de  2.195 documentos en PQRS se evidencia la gestión de los documentos en gestión con cuya cantidad son 1516 y con 679 documentos en gestión. Así mismo se ha implementado y fortalecido una atención personaliza y telefónica con nuestros usuarios, a fin de satisfacer sus requerimientos de manera más pronta, por supuesto bajo la salvaguarda de todos los protocolos de bioseguridad y el cuidado a la vida.
Avance mes de Septiembre
COMPONENTE
COMPONENTE
La Secretaría de Transporte y Movilidad de Cundinamarca cuenta con 10 Sedes Operativas activas y la Creación de (3) sedes operativas ubicadas en los municipios de Arbeláez, Puerto Salgar en trámite  Tocancipá, Se han recibido (109.548) solicitudes de enero a  septiembre CAJICA 13080 , LA CALERA 17614, CAQUEZA  3719, CHOCONTA 2213, COTA 45959 , LA  MESA 762 , RICAURTE 8004 ,  EL ROSAL  7432 , SIBATE 7637,  VILLETA 3128  entre los diferentes  tramites de Tránsito que  se encarga de adelantar todos los trámites relacionados con Registro Nacional Automotor (Matrículas; traspasos; cambios de color; etc.), Registro Nacional de Conductores (Licencias de conducción)</v>
      </c>
      <c r="AK376" s="200">
        <f>VLOOKUP(K376,'1123 Transporte'!$K$13:$AK$23,27,0)</f>
        <v>0</v>
      </c>
      <c r="AL376" s="200">
        <v>0.31</v>
      </c>
      <c r="AM376" s="200">
        <v>0</v>
      </c>
      <c r="AN376" s="200">
        <v>0.3</v>
      </c>
      <c r="AO376" s="200">
        <v>0</v>
      </c>
      <c r="AP376" s="200">
        <v>0</v>
      </c>
      <c r="AQ376" s="200">
        <v>0</v>
      </c>
      <c r="AR376" s="201">
        <v>384793223</v>
      </c>
      <c r="AS376" s="202">
        <v>0</v>
      </c>
      <c r="AT376" s="202">
        <f t="shared" si="535"/>
        <v>384793223</v>
      </c>
      <c r="AU376" s="201">
        <v>290000000</v>
      </c>
      <c r="AV376" s="245">
        <v>1200000000</v>
      </c>
      <c r="AW376" s="246"/>
      <c r="AX376" s="246"/>
      <c r="AY376" s="245">
        <v>1200000000</v>
      </c>
      <c r="AZ376" s="203">
        <f>R376/Q376</f>
        <v>0.35</v>
      </c>
      <c r="BA376" s="203">
        <v>0.09</v>
      </c>
      <c r="BB376" s="203">
        <v>1</v>
      </c>
      <c r="BC376" s="44">
        <f t="shared" ref="BC376:BC377" si="595">AD376/Q376</f>
        <v>0.3</v>
      </c>
      <c r="BD376" s="44" cm="1">
        <f t="array" ref="BD376">_xlfn.IFS(AD376=0,"NA",AD376&gt;0,AH376/AD376)</f>
        <v>0.8666666666666667</v>
      </c>
      <c r="BE376" s="44">
        <f t="shared" ref="BE376:BE377" si="596">AL376/Q376</f>
        <v>0.31</v>
      </c>
      <c r="BF376" s="44">
        <v>0</v>
      </c>
      <c r="BG376" s="44">
        <f t="shared" ref="BG376:BG377" si="597">AN376/Q376</f>
        <v>0.3</v>
      </c>
      <c r="BH376" s="44">
        <v>0</v>
      </c>
      <c r="BI376" s="203">
        <f>AP376/Q376</f>
        <v>0</v>
      </c>
      <c r="BJ376" s="203" t="s">
        <v>115</v>
      </c>
      <c r="BK376" s="203">
        <f t="shared" si="536"/>
        <v>0.35</v>
      </c>
      <c r="BL376" s="203">
        <v>1</v>
      </c>
      <c r="BM376" s="203" cm="1">
        <f t="array" ref="BM376">_xlfn.IFS(BD376="NA","NA",BD376&gt;100%,"100%",BD376&lt;100,BD376)</f>
        <v>0.8666666666666667</v>
      </c>
      <c r="BN376" s="203" cm="1">
        <f t="array" ref="BN376">_xlfn.IFS(BF376="NA","NA",BF376&gt;100%,"100%",BF376&lt;100,BF376)</f>
        <v>0</v>
      </c>
      <c r="BO376" s="203" cm="1">
        <f t="array" ref="BO376">_xlfn.IFS(BH376="NA","NA",BH376&gt;100%,"100%",BH376&lt;100,BH376)</f>
        <v>0</v>
      </c>
      <c r="BP376" s="203" t="str" cm="1">
        <f t="array" ref="BP376">_xlfn.IFS(BJ376="NA","NA",BJ376&gt;100%,"100%",BJ376&lt;100,BJ376)</f>
        <v>NA</v>
      </c>
      <c r="BQ376" s="204">
        <v>0.224</v>
      </c>
      <c r="BR376" s="45">
        <f t="shared" si="541"/>
        <v>7.8399999999999997E-2</v>
      </c>
      <c r="BS376" s="204">
        <v>2.0199999999999999E-2</v>
      </c>
      <c r="BT376" s="204">
        <v>2.0199999999999999E-2</v>
      </c>
      <c r="BU376" s="204">
        <v>2.0199999999999999E-2</v>
      </c>
      <c r="BV376" s="45">
        <f t="shared" ref="BV376:BV377" si="598">(AD376*BQ376)/Q376</f>
        <v>6.7199999999999996E-2</v>
      </c>
      <c r="BW376" s="45">
        <f t="shared" si="551"/>
        <v>5.824E-2</v>
      </c>
      <c r="BX376" s="45">
        <f t="shared" si="552"/>
        <v>5.8200000000000002E-2</v>
      </c>
      <c r="BY376" s="45">
        <f t="shared" ref="BY376:BY377" si="599">(AL376*BQ376)/Q376</f>
        <v>6.9440000000000002E-2</v>
      </c>
      <c r="BZ376" s="45">
        <f t="shared" ref="BZ376:BZ377" si="600">IF(BN376="NA","NA",BN376*BY376)</f>
        <v>0</v>
      </c>
      <c r="CA376" s="45">
        <f t="shared" si="542"/>
        <v>0</v>
      </c>
      <c r="CB376" s="45">
        <f t="shared" ref="CB376:CB377" si="601">(AN376*BQ376)/Q376</f>
        <v>6.7199999999999996E-2</v>
      </c>
      <c r="CC376" s="45">
        <f t="shared" ref="CC376:CC377" si="602">IF(BO376="NA","NA",BO376*CB376)</f>
        <v>0</v>
      </c>
      <c r="CD376" s="45">
        <v>0</v>
      </c>
      <c r="CE376" s="204">
        <f>(AP376*BQ376)/Q376</f>
        <v>0</v>
      </c>
      <c r="CF376" s="204" t="str">
        <f>IF(BP376="NA","NA",BP376*CE376)</f>
        <v>NA</v>
      </c>
      <c r="CG376" s="204">
        <v>0</v>
      </c>
      <c r="CH376" s="246"/>
      <c r="CI376" s="246"/>
      <c r="CJ376" s="246"/>
      <c r="CK376" s="246"/>
      <c r="CL376" s="48"/>
      <c r="CM376" s="63">
        <v>0.31</v>
      </c>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48"/>
      <c r="HG376" s="48"/>
      <c r="HH376" s="48"/>
      <c r="HI376" s="48"/>
      <c r="HJ376" s="48"/>
      <c r="HK376" s="48"/>
      <c r="HL376" s="48"/>
      <c r="HM376" s="48"/>
      <c r="HN376" s="48"/>
      <c r="HO376" s="48"/>
      <c r="HP376" s="48"/>
      <c r="HQ376" s="48"/>
      <c r="HR376" s="48"/>
      <c r="HS376" s="48"/>
      <c r="HT376" s="48"/>
      <c r="HU376" s="48"/>
      <c r="HV376" s="48"/>
      <c r="HW376" s="48"/>
      <c r="HX376" s="48"/>
      <c r="HY376" s="48"/>
      <c r="HZ376" s="48"/>
      <c r="IA376" s="48"/>
      <c r="IB376" s="48"/>
      <c r="IC376" s="48"/>
      <c r="ID376" s="48"/>
      <c r="IE376" s="48"/>
      <c r="IF376" s="48"/>
      <c r="IG376" s="48"/>
      <c r="IH376" s="48"/>
      <c r="II376" s="48"/>
      <c r="IJ376" s="48"/>
      <c r="IK376" s="48"/>
      <c r="IL376" s="48"/>
      <c r="IM376" s="48"/>
      <c r="IN376" s="48"/>
      <c r="IO376" s="48"/>
      <c r="IP376" s="48"/>
      <c r="IQ376" s="48"/>
      <c r="IR376" s="48"/>
      <c r="IS376" s="48"/>
      <c r="IT376" s="48"/>
      <c r="IU376" s="48"/>
      <c r="IV376" s="48"/>
      <c r="IW376" s="48"/>
      <c r="IX376" s="48"/>
      <c r="IY376" s="48"/>
      <c r="IZ376" s="48"/>
      <c r="JA376" s="48"/>
    </row>
    <row r="377" spans="1:261" ht="18" hidden="1" customHeight="1">
      <c r="A377" s="260" t="s">
        <v>2437</v>
      </c>
      <c r="B377" s="260" t="s">
        <v>2438</v>
      </c>
      <c r="C377" s="260" t="s">
        <v>2371</v>
      </c>
      <c r="D377" s="260" t="s">
        <v>2372</v>
      </c>
      <c r="E377" s="260" t="s">
        <v>2416</v>
      </c>
      <c r="F377" s="260" t="s">
        <v>2417</v>
      </c>
      <c r="G377" s="260" t="s">
        <v>2418</v>
      </c>
      <c r="H377" s="260" t="s">
        <v>2439</v>
      </c>
      <c r="I377" s="260"/>
      <c r="J377" s="260"/>
      <c r="K377" s="260" t="s">
        <v>2440</v>
      </c>
      <c r="L377" s="260" t="s">
        <v>2441</v>
      </c>
      <c r="M377" s="260" t="s">
        <v>2442</v>
      </c>
      <c r="N377" s="260" t="s">
        <v>123</v>
      </c>
      <c r="O377" s="260" t="s">
        <v>112</v>
      </c>
      <c r="P377" s="10">
        <v>0</v>
      </c>
      <c r="Q377" s="11">
        <v>100</v>
      </c>
      <c r="R377" s="11">
        <f t="shared" si="593"/>
        <v>10</v>
      </c>
      <c r="S377" s="11">
        <f>VLOOKUP(K377,'1103 General'!$K$13:$S$22,9,0)</f>
        <v>0</v>
      </c>
      <c r="T377" s="11">
        <v>0.1</v>
      </c>
      <c r="U377" s="11">
        <v>0</v>
      </c>
      <c r="V377" s="11">
        <v>0.1</v>
      </c>
      <c r="W377" s="11">
        <v>0</v>
      </c>
      <c r="X377" s="11">
        <v>0</v>
      </c>
      <c r="Y377" s="11">
        <v>0</v>
      </c>
      <c r="Z377" s="11">
        <v>0</v>
      </c>
      <c r="AA377" s="11"/>
      <c r="AB377" s="11"/>
      <c r="AC377" s="11"/>
      <c r="AD377" s="11">
        <v>0.4</v>
      </c>
      <c r="AE377" s="11">
        <v>0</v>
      </c>
      <c r="AF377" s="11">
        <f>VLOOKUP(K377,'1103 General'!$K$13:$AK$21,22,0)</f>
        <v>10</v>
      </c>
      <c r="AG377" s="11">
        <f>VLOOKUP(K377,'1103 General'!$K$13:$AK$21,23,0)</f>
        <v>0</v>
      </c>
      <c r="AH377" s="11">
        <f t="shared" si="594"/>
        <v>10</v>
      </c>
      <c r="AI377" s="11" t="str">
        <f>VLOOKUP(K377,'1103 General'!$K$13:$AK$21,25,0)</f>
        <v>Decreto Modernización y estructuración del Comité de Atención al Usuario</v>
      </c>
      <c r="AJ377" s="11" t="str">
        <f>VLOOKUP(K377,'1103 General'!$K$13:$AK$21,26,0)</f>
        <v>Por gestión de la Secretaría General se dio activación del Comité de Atención al Usuario el 29 de Marzo de 2021</v>
      </c>
      <c r="AK377" s="11" t="str">
        <f>VLOOKUP(K377,'1103 General'!$K$13:$AK$21,27,0)</f>
        <v>Dificultad en la asignación de recursos para la vigencia actual</v>
      </c>
      <c r="AL377" s="11">
        <v>0.4</v>
      </c>
      <c r="AM377" s="11">
        <v>0</v>
      </c>
      <c r="AN377" s="11">
        <v>0.1</v>
      </c>
      <c r="AO377" s="11">
        <v>0</v>
      </c>
      <c r="AP377" s="11">
        <v>0</v>
      </c>
      <c r="AQ377" s="11">
        <v>0</v>
      </c>
      <c r="AR377" s="52"/>
      <c r="AS377" s="54">
        <v>0</v>
      </c>
      <c r="AT377" s="54">
        <f t="shared" si="535"/>
        <v>0</v>
      </c>
      <c r="AU377" s="52"/>
      <c r="AV377" s="243">
        <v>12600000</v>
      </c>
      <c r="AW377" s="244"/>
      <c r="AX377" s="244"/>
      <c r="AY377" s="243">
        <v>0</v>
      </c>
      <c r="AZ377" s="44">
        <f>R377/Q377</f>
        <v>0.1</v>
      </c>
      <c r="BA377" s="44">
        <v>0.1</v>
      </c>
      <c r="BB377" s="44">
        <v>0</v>
      </c>
      <c r="BC377" s="44">
        <f t="shared" si="595"/>
        <v>4.0000000000000001E-3</v>
      </c>
      <c r="BD377" s="44" cm="1">
        <f t="array" ref="BD377">_xlfn.IFS(AD377=0,"NA",AD377&gt;0,AH377/AD377)</f>
        <v>25</v>
      </c>
      <c r="BE377" s="44">
        <f t="shared" si="596"/>
        <v>4.0000000000000001E-3</v>
      </c>
      <c r="BF377" s="44">
        <v>0</v>
      </c>
      <c r="BG377" s="44">
        <f t="shared" si="597"/>
        <v>1E-3</v>
      </c>
      <c r="BH377" s="44">
        <v>0</v>
      </c>
      <c r="BI377" s="44">
        <f>AP377/Q377</f>
        <v>0</v>
      </c>
      <c r="BJ377" s="44" t="s">
        <v>115</v>
      </c>
      <c r="BK377" s="44">
        <f t="shared" si="536"/>
        <v>0.1</v>
      </c>
      <c r="BL377" s="44">
        <v>0</v>
      </c>
      <c r="BM377" s="44" t="str" cm="1">
        <f t="array" ref="BM377">_xlfn.IFS(BD377="NA","NA",BD377&gt;100%,"100%",BD377&lt;100,BD377)</f>
        <v>100%</v>
      </c>
      <c r="BN377" s="44" cm="1">
        <f t="array" ref="BN377">_xlfn.IFS(BF377="NA","NA",BF377&gt;100%,"100%",BF377&lt;100,BF377)</f>
        <v>0</v>
      </c>
      <c r="BO377" s="44" cm="1">
        <f t="array" ref="BO377">_xlfn.IFS(BH377="NA","NA",BH377&gt;100%,"100%",BH377&lt;100,BH377)</f>
        <v>0</v>
      </c>
      <c r="BP377" s="44" t="str" cm="1">
        <f t="array" ref="BP377">_xlfn.IFS(BJ377="NA","NA",BJ377&gt;100%,"100%",BJ377&lt;100,BJ377)</f>
        <v>NA</v>
      </c>
      <c r="BQ377" s="45">
        <v>0.224</v>
      </c>
      <c r="BR377" s="45">
        <f t="shared" si="541"/>
        <v>2.2400000000000003E-2</v>
      </c>
      <c r="BS377" s="45">
        <v>2.24E-2</v>
      </c>
      <c r="BT377" s="45">
        <v>0</v>
      </c>
      <c r="BU377" s="45">
        <v>0</v>
      </c>
      <c r="BV377" s="45">
        <f t="shared" si="598"/>
        <v>8.9600000000000009E-4</v>
      </c>
      <c r="BW377" s="45">
        <f t="shared" si="551"/>
        <v>8.9600000000000009E-4</v>
      </c>
      <c r="BX377" s="45">
        <f t="shared" si="552"/>
        <v>2.2400000000000003E-2</v>
      </c>
      <c r="BY377" s="45">
        <f t="shared" si="599"/>
        <v>8.9600000000000009E-4</v>
      </c>
      <c r="BZ377" s="45">
        <f t="shared" si="600"/>
        <v>0</v>
      </c>
      <c r="CA377" s="45">
        <f t="shared" si="542"/>
        <v>0</v>
      </c>
      <c r="CB377" s="45">
        <f t="shared" si="601"/>
        <v>2.2400000000000002E-4</v>
      </c>
      <c r="CC377" s="45">
        <f t="shared" si="602"/>
        <v>0</v>
      </c>
      <c r="CD377" s="45">
        <v>0</v>
      </c>
      <c r="CE377" s="45">
        <f>(AP377*BQ377)/Q377</f>
        <v>0</v>
      </c>
      <c r="CF377" s="45" t="str">
        <f>IF(BP377="NA","NA",BP377*CE377)</f>
        <v>NA</v>
      </c>
      <c r="CG377" s="45">
        <v>0</v>
      </c>
      <c r="CH377" s="244"/>
      <c r="CI377" s="244"/>
      <c r="CJ377" s="244"/>
      <c r="CK377" s="244"/>
      <c r="CM377" s="63">
        <v>10</v>
      </c>
    </row>
    <row r="378" spans="1:261" ht="18" hidden="1" customHeight="1">
      <c r="A378" s="260" t="s">
        <v>2437</v>
      </c>
      <c r="B378" s="260" t="s">
        <v>2438</v>
      </c>
      <c r="C378" s="260" t="s">
        <v>2371</v>
      </c>
      <c r="D378" s="260" t="s">
        <v>2372</v>
      </c>
      <c r="E378" s="260" t="s">
        <v>2416</v>
      </c>
      <c r="F378" s="260" t="s">
        <v>2417</v>
      </c>
      <c r="G378" s="260" t="s">
        <v>2418</v>
      </c>
      <c r="H378" s="260" t="s">
        <v>2443</v>
      </c>
      <c r="I378" s="260"/>
      <c r="J378" s="260"/>
      <c r="K378" s="260" t="s">
        <v>2444</v>
      </c>
      <c r="L378" s="260" t="s">
        <v>2445</v>
      </c>
      <c r="M378" s="260" t="s">
        <v>2446</v>
      </c>
      <c r="N378" s="260" t="s">
        <v>111</v>
      </c>
      <c r="O378" s="260" t="s">
        <v>124</v>
      </c>
      <c r="P378" s="10">
        <v>0</v>
      </c>
      <c r="Q378" s="11">
        <v>3</v>
      </c>
      <c r="R378" s="11">
        <f>(Z378+AH378)/CL378</f>
        <v>1.5</v>
      </c>
      <c r="S378" s="11">
        <f>VLOOKUP(K378,'1103 General'!$K$13:$S$22,9,0)</f>
        <v>0</v>
      </c>
      <c r="T378" s="11">
        <v>0</v>
      </c>
      <c r="U378" s="11">
        <v>3</v>
      </c>
      <c r="V378" s="11">
        <v>0</v>
      </c>
      <c r="W378" s="11">
        <v>3</v>
      </c>
      <c r="X378" s="11" t="s">
        <v>115</v>
      </c>
      <c r="Y378" s="11">
        <v>3</v>
      </c>
      <c r="Z378" s="11">
        <v>3</v>
      </c>
      <c r="AA378" s="11" t="s">
        <v>2447</v>
      </c>
      <c r="AB378" s="11" t="s">
        <v>2448</v>
      </c>
      <c r="AC378" s="11" t="s">
        <v>2449</v>
      </c>
      <c r="AD378" s="11">
        <v>0</v>
      </c>
      <c r="AE378" s="11">
        <v>3</v>
      </c>
      <c r="AF378" s="11">
        <f>VLOOKUP(K378,'1103 General'!$K$13:$AK$21,22,0)</f>
        <v>0</v>
      </c>
      <c r="AG378" s="11">
        <f>VLOOKUP(K378,'1103 General'!$K$13:$AK$21,23,0)</f>
        <v>3</v>
      </c>
      <c r="AH378" s="11">
        <f>AG378</f>
        <v>3</v>
      </c>
      <c r="AI378" s="11" t="str">
        <f>VLOOKUP(K378,'1103 General'!$K$13:$AK$21,25,0)</f>
        <v xml:space="preserve">Mantenimiento del canal virtual, telefonico y presencial. </v>
      </c>
      <c r="AJ378" s="11" t="str">
        <f>VLOOKUP(K378,'1103 General'!$K$13:$AK$21,26,0)</f>
        <v>Canal Virtual: Se puso a disposición (2) dos Salas Virtuales como mecanismo del canal de atención virtual a 
disposición de los usuarios, las cuales son atendidas en tiempo real y sincronizado 
por parte de personal disponible en el horario habilitado para el canal presencial a 
través de la plataforma de comunicación denominada Meet Google.
Canal Presencial: Se ha adelantado los ajustes razonables dentro de las instalaciones de complejo arquitectonico Gobernación de Cundinamarca fortaleciendo los criterios de accesibildad para personas en condicion de discapacidad. De igual forma se realizo capacitacion de Accesibilidad, atención oncluyente y lenguajes de señas y  a 40 funcionarios del Departamento de Cundinamarca.
Canal Telefonico:En la línea de atención telefónica a la fecha se han atendo aproximadamente 
17.000 interacciones. El nivel de atención de la línea telefónica es del 99% lo cual 
quiere decir que hay atención oportuna en cada una de las solicitudes que nos 
generan los usuarios a través de este canal telefónico.</v>
      </c>
      <c r="AK378" s="11">
        <f>VLOOKUP(K378,'1103 General'!$K$13:$AK$21,27,0)</f>
        <v>0</v>
      </c>
      <c r="AL378" s="11">
        <v>0</v>
      </c>
      <c r="AM378" s="11">
        <v>3</v>
      </c>
      <c r="AN378" s="11">
        <v>0</v>
      </c>
      <c r="AO378" s="11">
        <v>3</v>
      </c>
      <c r="AP378" s="11">
        <v>0</v>
      </c>
      <c r="AQ378" s="11">
        <v>0</v>
      </c>
      <c r="AR378" s="51">
        <v>240000000</v>
      </c>
      <c r="AS378" s="54">
        <v>0</v>
      </c>
      <c r="AT378" s="54">
        <f t="shared" si="535"/>
        <v>240000000</v>
      </c>
      <c r="AU378" s="51">
        <v>68029211</v>
      </c>
      <c r="AV378" s="243">
        <v>1417699336</v>
      </c>
      <c r="AW378" s="244"/>
      <c r="AX378" s="244"/>
      <c r="AY378" s="243">
        <v>1219644846</v>
      </c>
      <c r="AZ378" s="44" cm="1">
        <f t="array" ref="AZ378">_xlfn.IFS((BA378=0),(BD378/CL378),(BA378&gt;0),((BB378+BD378)/CL378),(BE378&gt;0),((BB378+BD378+BE378)/CL378),(BG378&gt;0),((BB378+BD378+BE378+G378)/CL378))</f>
        <v>0.5</v>
      </c>
      <c r="BA378" s="44">
        <v>0.25</v>
      </c>
      <c r="BB378" s="44">
        <v>1</v>
      </c>
      <c r="BC378" s="44">
        <f>IF(AE378&gt;0,(1/CL378),0)</f>
        <v>0.25</v>
      </c>
      <c r="BD378" s="44" cm="1">
        <f t="array" ref="BD378">_xlfn.IFS(AE378=0,"NA",AE378&gt;0,AH378/AE378)</f>
        <v>1</v>
      </c>
      <c r="BE378" s="44">
        <f>IF(AM378&gt;0,(1/CL378),0)</f>
        <v>0.25</v>
      </c>
      <c r="BF378" s="44">
        <v>0</v>
      </c>
      <c r="BG378" s="44">
        <f>IF(AO378&gt;0,(1/CL378),0)</f>
        <v>0.25</v>
      </c>
      <c r="BH378" s="44">
        <v>0</v>
      </c>
      <c r="BI378" s="44">
        <v>0</v>
      </c>
      <c r="BJ378" s="44" t="s">
        <v>115</v>
      </c>
      <c r="BK378" s="44">
        <f t="shared" si="536"/>
        <v>0.5</v>
      </c>
      <c r="BL378" s="44">
        <v>1</v>
      </c>
      <c r="BM378" s="44" cm="1">
        <f t="array" ref="BM378">_xlfn.IFS(BD378="NA","NA",BD378&gt;100%,"100%",BD378&lt;100,BD378)</f>
        <v>1</v>
      </c>
      <c r="BN378" s="44">
        <v>0</v>
      </c>
      <c r="BO378" s="44">
        <v>0</v>
      </c>
      <c r="BP378" s="44" t="s">
        <v>115</v>
      </c>
      <c r="BQ378" s="45">
        <v>0.224</v>
      </c>
      <c r="BR378" s="45">
        <f t="shared" si="541"/>
        <v>0.112</v>
      </c>
      <c r="BS378" s="45">
        <v>5.6000000000000001E-2</v>
      </c>
      <c r="BT378" s="45">
        <v>5.6000000000000001E-2</v>
      </c>
      <c r="BU378" s="45">
        <v>5.6000000000000001E-2</v>
      </c>
      <c r="BV378" s="45">
        <v>5.6000000000000001E-2</v>
      </c>
      <c r="BW378" s="45">
        <f t="shared" si="551"/>
        <v>5.6000000000000001E-2</v>
      </c>
      <c r="BX378" s="45">
        <f t="shared" si="552"/>
        <v>5.6000000000000001E-2</v>
      </c>
      <c r="BY378" s="45">
        <v>5.6000000000000001E-2</v>
      </c>
      <c r="BZ378" s="45">
        <v>0</v>
      </c>
      <c r="CA378" s="45">
        <f t="shared" si="542"/>
        <v>0</v>
      </c>
      <c r="CB378" s="45">
        <v>5.6000000000000001E-2</v>
      </c>
      <c r="CC378" s="45">
        <v>0</v>
      </c>
      <c r="CD378" s="45">
        <v>0</v>
      </c>
      <c r="CE378" s="45">
        <v>0</v>
      </c>
      <c r="CF378" s="45" t="s">
        <v>115</v>
      </c>
      <c r="CG378" s="45">
        <v>0</v>
      </c>
      <c r="CH378" s="244">
        <f>IF(W378&gt;0,1,0)</f>
        <v>1</v>
      </c>
      <c r="CI378" s="244">
        <f>IF(AE378&gt;0,1,0)</f>
        <v>1</v>
      </c>
      <c r="CJ378" s="244">
        <f>IF(AM378&gt;0,1,0)</f>
        <v>1</v>
      </c>
      <c r="CK378" s="244">
        <f>IF(AO378&gt;0,1,0)</f>
        <v>1</v>
      </c>
      <c r="CL378">
        <f>CH378+CI378+CJ378+CK378</f>
        <v>4</v>
      </c>
      <c r="CM378" s="63">
        <f>AVERAGE(Z378,AH378)</f>
        <v>3</v>
      </c>
    </row>
    <row r="379" spans="1:261" ht="18" hidden="1" customHeight="1">
      <c r="A379" s="260" t="s">
        <v>2437</v>
      </c>
      <c r="B379" s="260" t="s">
        <v>2438</v>
      </c>
      <c r="C379" s="260" t="s">
        <v>2371</v>
      </c>
      <c r="D379" s="260" t="s">
        <v>2372</v>
      </c>
      <c r="E379" s="260" t="s">
        <v>2416</v>
      </c>
      <c r="F379" s="260" t="s">
        <v>2417</v>
      </c>
      <c r="G379" s="260" t="s">
        <v>2418</v>
      </c>
      <c r="H379" s="260" t="s">
        <v>2450</v>
      </c>
      <c r="I379" s="260"/>
      <c r="J379" s="260"/>
      <c r="K379" s="260" t="s">
        <v>2451</v>
      </c>
      <c r="L379" s="260" t="s">
        <v>2452</v>
      </c>
      <c r="M379" s="260" t="s">
        <v>2453</v>
      </c>
      <c r="N379" s="260" t="s">
        <v>111</v>
      </c>
      <c r="O379" s="260" t="s">
        <v>112</v>
      </c>
      <c r="P379" s="10">
        <v>5</v>
      </c>
      <c r="Q379" s="11">
        <v>15</v>
      </c>
      <c r="R379" s="11">
        <f t="shared" ref="R379:R382" si="603">Z379+AH379</f>
        <v>3</v>
      </c>
      <c r="S379" s="11">
        <f>VLOOKUP(K379,'1103 General'!$K$13:$S$22,9,0)</f>
        <v>0</v>
      </c>
      <c r="T379" s="11">
        <v>0</v>
      </c>
      <c r="U379" s="11">
        <v>0</v>
      </c>
      <c r="V379" s="11">
        <v>0</v>
      </c>
      <c r="W379" s="11">
        <v>0</v>
      </c>
      <c r="X379" s="11">
        <v>0</v>
      </c>
      <c r="Y379" s="11">
        <v>0</v>
      </c>
      <c r="Z379" s="11">
        <v>0</v>
      </c>
      <c r="AA379" s="11"/>
      <c r="AB379" s="11"/>
      <c r="AC379" s="11"/>
      <c r="AD379" s="11">
        <v>3</v>
      </c>
      <c r="AE379" s="11">
        <v>0</v>
      </c>
      <c r="AF379" s="11">
        <f>VLOOKUP(K379,'1103 General'!$K$13:$AK$21,22,0)</f>
        <v>3</v>
      </c>
      <c r="AG379" s="11">
        <f>VLOOKUP(K379,'1103 General'!$K$13:$AK$21,23,0)</f>
        <v>0</v>
      </c>
      <c r="AH379" s="11">
        <f t="shared" ref="AH379:AH382" si="604">AF379</f>
        <v>3</v>
      </c>
      <c r="AI379" s="11" t="str">
        <f>VLOOKUP(K379,'1103 General'!$K$13:$AK$21,25,0)</f>
        <v>Se realizaron ferias virtual orientadas a los siguientes municipios: Suesca,Gachancipá,Beltrán, Gachetá y Lenguazaque.</v>
      </c>
      <c r="AJ379" s="11" t="str">
        <f>VLOOKUP(K379,'1103 General'!$K$13:$AK$21,26,0)</f>
        <v xml:space="preserve">Se realizo feria virtual de servicios atraves de la plataforma de la Emisora Dorado Radio, dando cobertura a (5) municipios del departamento de Cundinamarca. </v>
      </c>
      <c r="AK379" s="11" t="str">
        <f>VLOOKUP(K379,'1103 General'!$K$13:$AK$21,27,0)</f>
        <v xml:space="preserve">Dificultad en la asignación de recursos para la vigencia actual, por lo tanto se esta dado aprovechamiento al canal virtual y Emisora Dorado Radio. </v>
      </c>
      <c r="AL379" s="11">
        <v>5</v>
      </c>
      <c r="AM379" s="11">
        <v>0</v>
      </c>
      <c r="AN379" s="11">
        <v>7</v>
      </c>
      <c r="AO379" s="11">
        <v>0</v>
      </c>
      <c r="AP379" s="11">
        <v>0</v>
      </c>
      <c r="AQ379" s="11">
        <v>0</v>
      </c>
      <c r="AR379" s="52"/>
      <c r="AS379" s="54">
        <v>0</v>
      </c>
      <c r="AT379" s="54">
        <f t="shared" si="535"/>
        <v>0</v>
      </c>
      <c r="AU379" s="52"/>
      <c r="AV379" s="243"/>
      <c r="AW379" s="244"/>
      <c r="AX379" s="244"/>
      <c r="AY379" s="243"/>
      <c r="AZ379" s="44">
        <f>R379/Q379</f>
        <v>0.2</v>
      </c>
      <c r="BA379" s="44">
        <v>0</v>
      </c>
      <c r="BB379" s="44" t="s">
        <v>115</v>
      </c>
      <c r="BC379" s="44">
        <f t="shared" ref="BC379:BC382" si="605">AD379/Q379</f>
        <v>0.2</v>
      </c>
      <c r="BD379" s="44" cm="1">
        <f t="array" ref="BD379">_xlfn.IFS(AD379=0,"NA",AD379&gt;0,AH379/AD379)</f>
        <v>1</v>
      </c>
      <c r="BE379" s="44">
        <f t="shared" ref="BE379:BE382" si="606">AL379/Q379</f>
        <v>0.33333333333333331</v>
      </c>
      <c r="BF379" s="44">
        <v>0</v>
      </c>
      <c r="BG379" s="44">
        <f t="shared" ref="BG379:BG382" si="607">AN379/Q379</f>
        <v>0.46666666666666667</v>
      </c>
      <c r="BH379" s="44">
        <v>0</v>
      </c>
      <c r="BI379" s="44">
        <f>AP379/Q379</f>
        <v>0</v>
      </c>
      <c r="BJ379" s="44" t="s">
        <v>115</v>
      </c>
      <c r="BK379" s="44">
        <f t="shared" si="536"/>
        <v>0.2</v>
      </c>
      <c r="BL379" s="44" t="s">
        <v>115</v>
      </c>
      <c r="BM379" s="44" cm="1">
        <f t="array" ref="BM379">_xlfn.IFS(BD379="NA","NA",BD379&gt;100%,"100%",BD379&lt;100,BD379)</f>
        <v>1</v>
      </c>
      <c r="BN379" s="44" cm="1">
        <f t="array" ref="BN379">_xlfn.IFS(BF379="NA","NA",BF379&gt;100%,"100%",BF379&lt;100,BF379)</f>
        <v>0</v>
      </c>
      <c r="BO379" s="44" cm="1">
        <f t="array" ref="BO379">_xlfn.IFS(BH379="NA","NA",BH379&gt;100%,"100%",BH379&lt;100,BH379)</f>
        <v>0</v>
      </c>
      <c r="BP379" s="44" t="str" cm="1">
        <f t="array" ref="BP379">_xlfn.IFS(BJ379="NA","NA",BJ379&gt;100%,"100%",BJ379&lt;100,BJ379)</f>
        <v>NA</v>
      </c>
      <c r="BQ379" s="45">
        <v>0.224</v>
      </c>
      <c r="BR379" s="45">
        <f t="shared" si="541"/>
        <v>4.4800000000000006E-2</v>
      </c>
      <c r="BS379" s="45">
        <v>0</v>
      </c>
      <c r="BT379" s="45" t="s">
        <v>115</v>
      </c>
      <c r="BU379" s="45">
        <v>0</v>
      </c>
      <c r="BV379" s="45">
        <f t="shared" ref="BV379:BV382" si="608">(AD379*BQ379)/Q379</f>
        <v>4.48E-2</v>
      </c>
      <c r="BW379" s="45">
        <f t="shared" si="551"/>
        <v>4.48E-2</v>
      </c>
      <c r="BX379" s="45">
        <f t="shared" si="552"/>
        <v>4.4800000000000006E-2</v>
      </c>
      <c r="BY379" s="45">
        <f t="shared" ref="BY379:BY382" si="609">(AL379*BQ379)/Q379</f>
        <v>7.4666666666666673E-2</v>
      </c>
      <c r="BZ379" s="45">
        <f t="shared" ref="BZ379:BZ382" si="610">IF(BN379="NA","NA",BN379*BY379)</f>
        <v>0</v>
      </c>
      <c r="CA379" s="45">
        <f t="shared" si="542"/>
        <v>0</v>
      </c>
      <c r="CB379" s="45">
        <f t="shared" ref="CB379:CB382" si="611">(AN379*BQ379)/Q379</f>
        <v>0.10453333333333334</v>
      </c>
      <c r="CC379" s="45">
        <f t="shared" ref="CC379:CC382" si="612">IF(BO379="NA","NA",BO379*CB379)</f>
        <v>0</v>
      </c>
      <c r="CD379" s="45">
        <v>0</v>
      </c>
      <c r="CE379" s="45">
        <f>(AP379*BQ379)/Q379</f>
        <v>0</v>
      </c>
      <c r="CF379" s="45" t="str">
        <f>IF(BP379="NA","NA",BP379*CE379)</f>
        <v>NA</v>
      </c>
      <c r="CG379" s="45">
        <v>0</v>
      </c>
      <c r="CH379" s="244"/>
      <c r="CI379" s="244"/>
      <c r="CJ379" s="244"/>
      <c r="CK379" s="244"/>
      <c r="CM379" s="63">
        <v>3</v>
      </c>
    </row>
    <row r="380" spans="1:261" ht="18" hidden="1" customHeight="1">
      <c r="A380" s="260" t="s">
        <v>2437</v>
      </c>
      <c r="B380" s="260" t="s">
        <v>2438</v>
      </c>
      <c r="C380" s="260" t="s">
        <v>2371</v>
      </c>
      <c r="D380" s="260" t="s">
        <v>2372</v>
      </c>
      <c r="E380" s="260" t="s">
        <v>2416</v>
      </c>
      <c r="F380" s="260" t="s">
        <v>2417</v>
      </c>
      <c r="G380" s="260" t="s">
        <v>2418</v>
      </c>
      <c r="H380" s="260" t="s">
        <v>2454</v>
      </c>
      <c r="I380" s="260"/>
      <c r="J380" s="260"/>
      <c r="K380" s="260" t="s">
        <v>2455</v>
      </c>
      <c r="L380" s="260" t="s">
        <v>2456</v>
      </c>
      <c r="M380" s="260" t="s">
        <v>2457</v>
      </c>
      <c r="N380" s="260" t="s">
        <v>111</v>
      </c>
      <c r="O380" s="260" t="s">
        <v>112</v>
      </c>
      <c r="P380" s="10">
        <v>0</v>
      </c>
      <c r="Q380" s="11">
        <v>4</v>
      </c>
      <c r="R380" s="11">
        <f t="shared" si="603"/>
        <v>0.7</v>
      </c>
      <c r="S380" s="11">
        <f>VLOOKUP(K380,'1103 General'!$K$13:$S$22,9,0)</f>
        <v>0</v>
      </c>
      <c r="T380" s="11">
        <v>0</v>
      </c>
      <c r="U380" s="11">
        <v>0</v>
      </c>
      <c r="V380" s="11">
        <v>0</v>
      </c>
      <c r="W380" s="11">
        <v>0</v>
      </c>
      <c r="X380" s="11">
        <v>0</v>
      </c>
      <c r="Y380" s="11">
        <v>0</v>
      </c>
      <c r="Z380" s="11">
        <v>0</v>
      </c>
      <c r="AA380" s="11"/>
      <c r="AB380" s="11"/>
      <c r="AC380" s="11"/>
      <c r="AD380" s="11">
        <v>1</v>
      </c>
      <c r="AE380" s="11">
        <v>0</v>
      </c>
      <c r="AF380" s="11">
        <f>VLOOKUP(K380,'1103 General'!$K$13:$AK$21,22,0)</f>
        <v>0.7</v>
      </c>
      <c r="AG380" s="11">
        <f>VLOOKUP(K380,'1103 General'!$K$13:$AK$21,23,0)</f>
        <v>0</v>
      </c>
      <c r="AH380" s="11">
        <f t="shared" si="604"/>
        <v>0.7</v>
      </c>
      <c r="AI380" s="11" t="str">
        <f>VLOOKUP(K380,'1103 General'!$K$13:$AK$21,25,0)</f>
        <v xml:space="preserve">implementación de una app </v>
      </c>
      <c r="AJ380" s="11" t="str">
        <f>VLOOKUP(K380,'1103 General'!$K$13:$AK$21,26,0)</f>
        <v>Se han obtenido los siguientes avances:
1. Revisión total de la plantilla entregada por la Secretaría de las TIC, que registra en SAGA.
2. Depuración total de la plantilla consignada en la plataforma SAGA.
3. Consolidación y revisión de la información contenida en la nueva plantilla que será objeto de cargue masivo.
4. Recopilación y suministro de nueva información de georreferenciación.
5Actualización y revisión de la información de bienes inmuebles de propiedad del Departamento
Construcción de la base espacial que contiene la georreferenciación de cada uno de los Bienes
Inmuebles de propiedad del Departamento de Cundinamarca
 Estructuración técnica para la puesta en funcionamiento de la interfaz o visor que permitirá la consulta
de cada uno de los Bienes Inmuebles con los componentes de cada uno de estos.
 Elaboración de los diagramas de flujo de trabajo necesarios para la programación de la herramienta.</v>
      </c>
      <c r="AK380" s="11">
        <f>VLOOKUP(K380,'1103 General'!$K$13:$AK$21,27,0)</f>
        <v>0</v>
      </c>
      <c r="AL380" s="11">
        <v>2</v>
      </c>
      <c r="AM380" s="11">
        <v>0</v>
      </c>
      <c r="AN380" s="11">
        <v>1</v>
      </c>
      <c r="AO380" s="11">
        <v>0</v>
      </c>
      <c r="AP380" s="11">
        <v>0</v>
      </c>
      <c r="AQ380" s="11">
        <v>0</v>
      </c>
      <c r="AR380" s="52"/>
      <c r="AS380" s="54">
        <v>0</v>
      </c>
      <c r="AT380" s="54">
        <f t="shared" si="535"/>
        <v>0</v>
      </c>
      <c r="AU380" s="52"/>
      <c r="AV380" s="243">
        <v>75000000</v>
      </c>
      <c r="AW380" s="244"/>
      <c r="AX380" s="244"/>
      <c r="AY380" s="243">
        <v>75000000</v>
      </c>
      <c r="AZ380" s="44">
        <f>R380/Q380</f>
        <v>0.17499999999999999</v>
      </c>
      <c r="BA380" s="44">
        <v>0</v>
      </c>
      <c r="BB380" s="44" t="s">
        <v>115</v>
      </c>
      <c r="BC380" s="44">
        <f t="shared" si="605"/>
        <v>0.25</v>
      </c>
      <c r="BD380" s="44" cm="1">
        <f t="array" ref="BD380">_xlfn.IFS(AD380=0,"NA",AD380&gt;0,AH380/AD380)</f>
        <v>0.7</v>
      </c>
      <c r="BE380" s="44">
        <f t="shared" si="606"/>
        <v>0.5</v>
      </c>
      <c r="BF380" s="44">
        <v>0</v>
      </c>
      <c r="BG380" s="44">
        <f t="shared" si="607"/>
        <v>0.25</v>
      </c>
      <c r="BH380" s="44">
        <v>0</v>
      </c>
      <c r="BI380" s="44">
        <f>AP380/Q380</f>
        <v>0</v>
      </c>
      <c r="BJ380" s="44" t="s">
        <v>115</v>
      </c>
      <c r="BK380" s="44">
        <f t="shared" si="536"/>
        <v>0.17499999999999999</v>
      </c>
      <c r="BL380" s="44" t="s">
        <v>115</v>
      </c>
      <c r="BM380" s="44" cm="1">
        <f t="array" ref="BM380">_xlfn.IFS(BD380="NA","NA",BD380&gt;100%,"100%",BD380&lt;100,BD380)</f>
        <v>0.7</v>
      </c>
      <c r="BN380" s="44" cm="1">
        <f t="array" ref="BN380">_xlfn.IFS(BF380="NA","NA",BF380&gt;100%,"100%",BF380&lt;100,BF380)</f>
        <v>0</v>
      </c>
      <c r="BO380" s="44" cm="1">
        <f t="array" ref="BO380">_xlfn.IFS(BH380="NA","NA",BH380&gt;100%,"100%",BH380&lt;100,BH380)</f>
        <v>0</v>
      </c>
      <c r="BP380" s="44" t="str" cm="1">
        <f t="array" ref="BP380">_xlfn.IFS(BJ380="NA","NA",BJ380&gt;100%,"100%",BJ380&lt;100,BJ380)</f>
        <v>NA</v>
      </c>
      <c r="BQ380" s="45">
        <v>0.224</v>
      </c>
      <c r="BR380" s="45">
        <f t="shared" si="541"/>
        <v>3.9199999999999999E-2</v>
      </c>
      <c r="BS380" s="45">
        <v>0</v>
      </c>
      <c r="BT380" s="45" t="s">
        <v>115</v>
      </c>
      <c r="BU380" s="45">
        <v>0</v>
      </c>
      <c r="BV380" s="45">
        <f t="shared" si="608"/>
        <v>5.6000000000000001E-2</v>
      </c>
      <c r="BW380" s="45">
        <f t="shared" si="551"/>
        <v>3.9199999999999999E-2</v>
      </c>
      <c r="BX380" s="45">
        <f t="shared" si="552"/>
        <v>3.9199999999999999E-2</v>
      </c>
      <c r="BY380" s="45">
        <f t="shared" si="609"/>
        <v>0.112</v>
      </c>
      <c r="BZ380" s="45">
        <f t="shared" si="610"/>
        <v>0</v>
      </c>
      <c r="CA380" s="45">
        <f t="shared" si="542"/>
        <v>0</v>
      </c>
      <c r="CB380" s="45">
        <f t="shared" si="611"/>
        <v>5.6000000000000001E-2</v>
      </c>
      <c r="CC380" s="45">
        <f t="shared" si="612"/>
        <v>0</v>
      </c>
      <c r="CD380" s="45">
        <v>0</v>
      </c>
      <c r="CE380" s="45">
        <f>(AP380*BQ380)/Q380</f>
        <v>0</v>
      </c>
      <c r="CF380" s="45" t="str">
        <f>IF(BP380="NA","NA",BP380*CE380)</f>
        <v>NA</v>
      </c>
      <c r="CG380" s="45">
        <v>0</v>
      </c>
      <c r="CH380" s="244"/>
      <c r="CI380" s="244"/>
      <c r="CJ380" s="244"/>
      <c r="CK380" s="244"/>
      <c r="CM380" s="63">
        <v>0</v>
      </c>
    </row>
    <row r="381" spans="1:261" ht="18" hidden="1" customHeight="1">
      <c r="A381" s="260" t="s">
        <v>992</v>
      </c>
      <c r="B381" s="260" t="s">
        <v>993</v>
      </c>
      <c r="C381" s="260" t="s">
        <v>2371</v>
      </c>
      <c r="D381" s="260" t="s">
        <v>2372</v>
      </c>
      <c r="E381" s="260" t="s">
        <v>2458</v>
      </c>
      <c r="F381" s="260" t="s">
        <v>2459</v>
      </c>
      <c r="G381" s="260" t="s">
        <v>2460</v>
      </c>
      <c r="H381" s="260" t="s">
        <v>2461</v>
      </c>
      <c r="I381" s="260"/>
      <c r="J381" s="260"/>
      <c r="K381" s="260" t="s">
        <v>2462</v>
      </c>
      <c r="L381" s="260" t="s">
        <v>2463</v>
      </c>
      <c r="M381" s="260" t="s">
        <v>2464</v>
      </c>
      <c r="N381" s="260" t="s">
        <v>123</v>
      </c>
      <c r="O381" s="260" t="s">
        <v>112</v>
      </c>
      <c r="P381" s="10">
        <v>100</v>
      </c>
      <c r="Q381" s="11">
        <v>100</v>
      </c>
      <c r="R381" s="11">
        <f t="shared" si="603"/>
        <v>7</v>
      </c>
      <c r="S381" s="11" t="str">
        <f>VLOOKUP(K381,'1105 Gobierno'!$K$12:$AK$31,9,0)</f>
        <v>Mediante sesión del 24 de marzo de 2020 la junta Departamental de Bomberos de Cundinamarca se reunió de manera virtual y por unanimidad se aprobó que los recursos fueran trasladados a la Unidad Administrativa Especial para la Gestión del Riesgo de Cundinamarca en razón a la emergencia sanitaria COVID-19,  por un valor de $502.140.090; los cuales mediante el Decreto Departamental numero 212 del 24 de abril de 2020 se autorizo el traslado presupuestal.
Para los fines legales pertinentes se anexa copia del acta de junta Departamental de bomberos y el decreto que autoriza el traslado presupuestal.
Se realizó la inscripcion de dignatarios cbv:  gachala, mosquera, gacheta ,suesca, zipaquira, guasca, tenjo, paratebueno,viota , anolaima, simijaca, san juan de rioseco. Se Realizó la arobacion de estatutos cbv: suesca,zipaquira, guasca, tenjo,  Paratebueno , simijaca, Quebradanegra.
Se realizó la creacion de cuerpos de bomberos voluntarios: viota,suesca personeria definitiva , paratebueno personeria definitiva. Se realizó la inscripcion de revisor fiscal gachala,mosquera , gacheta , suesca, guasca,tenjo, paratebueno,viota
Anolaima, simijaca, san juan de rioseco. Se realizó proceso administrativos sancionatorios cbv : ricarte, puli, sibate, cota.
Se realizó la inscripcion de dignatarios cbv:  gachala, mosquera, gacheta ,suesca, zipaquira, guasca, tenjo, paratebueno,viota , anolaima, simijaca, san juan de rioseco, fusagasugá, guayabetal, chía, arbelaez  y chocontá
Se realizó la aprobacion de estatutos cbv: suesca,zipaquira, guasca, tenjo, paratebueno , simijaca.
Se realizó la creacion de cuerpos de bomberos voluntarios: viota,suesca personeria definitiva , paratebueno personeria definitiva.
Se realizó la inscripcion de revisor fiscal gachala,mosquera , gacheta , suesca, guasca,tenjo, paratebueno,viota, anolaima, simijaca, san juan de rioseco.
Se realizó proceso administrativos sancionatorios cbv : ricarte, puli, sibate, cota.
Se realizó informe de condiciones de operatividad en: nocaima, sopó
Se realizó informe de inspección y vigilancia al cuerpo de bomberos voluntarios en: san juan de rioseco, tocancipá
Se realizó seguimiento al plan de mejoramiento cuerpo de bomberos voluntarios de: ricaurte
Se realizó proceso de verificación de condiciones técnicas, operativas, legales, administrativas y financieras del cuerpo de bomberos voluntarios de: zipaquirá.
Solicitud predio bomberos:  respuesta al cbv de utica;  procedimientos y listas de chequeo para el suit función publica gobernación de Cundinamarca:  se elaboran listas de chequeo y procedimientos para los trámites administrativos de los cbv del departamento de Cundinamarca- gestion de calidad.
Apoyo contestación tutela Carlos Julio Rincón : se apoya al doctor Eduardo Ordoñez para contestar tutela adjuntando soportes documentales.
Convocatoria coordinador ejecutivo de bomberos se realiza la convocatoria para recepcionar hojas de vida y se publica. 
certificaciones de cuerpos de bomberos voluntarios: Paratebueno, Guayabetal.</v>
      </c>
      <c r="T381" s="11">
        <v>0</v>
      </c>
      <c r="U381" s="11">
        <v>0</v>
      </c>
      <c r="V381" s="11">
        <v>0</v>
      </c>
      <c r="W381" s="11">
        <v>0</v>
      </c>
      <c r="X381" s="11">
        <v>0</v>
      </c>
      <c r="Y381" s="11">
        <v>0</v>
      </c>
      <c r="Z381" s="11">
        <v>0</v>
      </c>
      <c r="AA381" s="11"/>
      <c r="AB381" s="11"/>
      <c r="AC381" s="11"/>
      <c r="AD381" s="11">
        <v>20</v>
      </c>
      <c r="AE381" s="11">
        <v>0</v>
      </c>
      <c r="AF381" s="11">
        <f>VLOOKUP(K381,'1105 Gobierno'!$K$12:$AK$31,22,0)</f>
        <v>7</v>
      </c>
      <c r="AG381" s="11" t="str">
        <f>VLOOKUP(K381,'1105 Gobierno'!$K$12:$AK$31,23,0)</f>
        <v> </v>
      </c>
      <c r="AH381" s="11">
        <f t="shared" si="604"/>
        <v>7</v>
      </c>
      <c r="AI381" s="11" t="str">
        <f>VLOOKUP(K381,'1105 Gobierno'!$K$12:$AK$31,25,0)</f>
        <v>Asistencia técnica</v>
      </c>
      <c r="AJ381" s="11" t="str">
        <f>VLOOKUP(K381,'1105 Gobierno'!$K$12:$AK$31,26,0)</f>
        <v xml:space="preserve">Se Realizó La Inscripción De Dignatarios Cbv:  Gachalá, Mosquera, Gacheta, Suesca, Zipaquirá, Guasca, Tenjo, Paratebueno, Viotá, Anolaima, Simijaca, San Juan De Rioseco, Tocancipá. Se Realizó La Aprobación De Estatutos Cbv: Suesca, Zipaquirá, Guasca, Tenjo, Paratebueno, Simijaca, Quebrada negra.
Se realizó la creación de cuerpos de bomberos voluntarios: Viotá, Suesca Personería Definitiva, Paratebueno Personería Definitiva. Se Realizó La Inscripción De Revisor Fiscal Gáchala, Mosquera, Gacheta , Suesca, Guasca, Tenjo, Paratebueno ,Viotá ,Anolaima, Simijaca, san juan de Rioseco.
Se realizó procesos administrativos sancionatorios Cbv: Ricaurte, pulí, Sibaté, cota. Se realizó la inscripción de dignatarios Cbv:  Gachalá, Mosquera, Gacheta, Suesca, Zipaquirá, Guasca, Tenjo, Paratebueno, Viotá, Anolaima, Simijaca, San Juan De Rioseco, Fusagasugá, Guayabetal, Chía, Arbeláez, Chocontá y Sibaté. Se realizó la aprobación de estatutos Cbv: Suesca, Zipaquirá, Guasca, Tenjo, Paratebueno, Simijaca. Se realizó la creación de cuerpos de bomberos voluntarios: Viotá, Suesca Personería Definitiva, Paratebueno Personería Definitiva, Pasca Y Tibirita. Se realizó la inscripción de revisor fiscal Gachalá, Mosquera, Gacheta, Suesca, Guasca, Tenjo, Paratebueno, Viotá, Anolaima, Simijaca, San Juan De Rioseco. Se realizó procesos administrativos sancionatorios Cbv: Ricarte, Pulí, Sibaté, Cota. Se realizó informe de condiciones de operatividad en: Nocaima, sopó
Se realizó informe de inspección y vigilancia al cuerpo de bomberos voluntarios en: san juan de Rioseco, Tocancipá. Se realizó seguimiento al plan de mejoramiento cuerpo de bomberos voluntarios de: Ricaurte Se realizó proceso de verificación de condiciones técnicas, operativas, legales, administrativas y financieras del cuerpo de bomberos voluntarios de: Zipaquirá.
Solicitud predio bomberos:  respuesta al Cbv de utica; procedimientos y listas de chequeo para el suit función pública gobernación de Cundinamarca:  se elaboran listas de chequeo y procedimientos para los trámites administrativos de los Cbv del departamento de Cundinamarca- gestión de calidad.
Apoyo contestación tutela Carlos Julio Rincón: se apoya al doctor Eduardo Ordoñez para contestar tutela adjuntando soportes documentales.
Convocatoria coordinador ejecutivo de bomberos se realiza la convocatoria para recepcionar hojas de vida y se publica. 
Certificaciones de cuerpos de bomberos voluntarios: Paratebueno, Guayabetal.
Proceso Administrativos Sancionatorio: 2020-004:  auto 010 de 2021 cierre etapa probatoria, comunicaciones, traslado alegatos de conclusión; 2020-003: auto 009 de 2021 auto decreta cierre de averiguación preliminar 2020-001. se reciben alegados de conclusión, se elaboran comunicaciones, PARA FALLO EN PRIMERA INSTACIA 2020-001
Respuesta derechos de petición veeduría bomberil, respuesta Señor Carlos Julio Rincón Creación De Cuerpos De Bomberos: se resuelve la petición de la alcaldía de Tena.
Capacitación Virtual:  Alcaldía de Zipaquirá tema sobretasa bomberil; Alcaldía de Supatá tema Reactivación CBV de Supatá;
DNBC temas de Competencia de las Secretarias de Gobierno Departamentales  Inscripción De Dignatarios Cbv:  Sibaté
Certificaciones De Cuerpos De Bomberos Voluntarios: Ricaurte.        Respuesta Solicitud Certificación Cbv San Bernardo;  Proceso Administrativo fallo proceso 2020-001 en contra Cbv Ricaurte Respuesta Solicitud Copia De La Personería Jurídica Cbv De Chipaque; Aprobación De Reforma De Estatutos E Inscripción De Dignatarios Cbv La Mesa; Fallo Proceso 2020-004 En Contra Cbv Cota; Respuesta Solicitud De Copias Actas Elección De Dignatarios Cbv Cogua;
Remisión Por Competencia A La Dnbc Quejas De La Alcaldía De Nilo; Se Formulan Cargos Dentro Del Proceso 2020-003 En Contra Cbv Sibate; Certificación Personería Jurídica Cbv De Agua De Dios; Respuesta Cambio De Dignatarios Cbv San Cayetano Se Expidió Circular Departamental Recordando La Inscripción De Los Revisores Fiscales De Los Cbv Por Periodos Anuales. 
 Para el periodo hasta el 31 de octubre se realizó respuesta solicitud certificación cbv tenjo; se realizó constancia de ejecutoria resolución 57 del 06 de septiembre de 2021 proceso administrativo sancionatorio 2020-001 en contra cbv ricaurte; constancia ejecutoria resolución 64 del 13 de septiembre de 2021 proceso administrativo sancionatorio 2020-004 en contra cbv cota; respuesta derecho de petición solicitado por la personería municipal de cota - información en estado de operatividad cbv de cota; solicitud de ejecución sobretasa bomberil cbv de sopo; notificación por aviso auto 011 del 20 de septiembre de 2021  auto de formulación de cargos proceso administrativo sancionatorio 2020-003 en contra cbv de Sibaté; respuesta al cbv de Pandí sobre inscripción de revisor fiscal; se proyecta ayuda memoria junta departamental de bomberos de Cundinamarca,  revisión jurídica a las hojas de vida presentadas para el cargo de coordinador ejecutivo de bomberos; respuestas a las hojas de vida presentadas para el cargo de coordinador ejecutivo de bomberos; remisión por competencia petición hecha al cbv de chia.                                                                                                                                                                            </v>
      </c>
      <c r="AK381" s="11">
        <f>VLOOKUP(K381,'1105 Gobierno'!$K$12:$AK$31,27,0)</f>
        <v>0</v>
      </c>
      <c r="AL381" s="11">
        <v>30</v>
      </c>
      <c r="AM381" s="11">
        <v>0</v>
      </c>
      <c r="AN381" s="11">
        <v>50</v>
      </c>
      <c r="AO381" s="11">
        <v>0</v>
      </c>
      <c r="AP381" s="11">
        <v>0</v>
      </c>
      <c r="AQ381" s="11">
        <v>0</v>
      </c>
      <c r="AR381" s="52"/>
      <c r="AS381" s="54">
        <v>0</v>
      </c>
      <c r="AT381" s="54">
        <f t="shared" si="535"/>
        <v>0</v>
      </c>
      <c r="AU381" s="52"/>
      <c r="AV381" s="243">
        <v>368266944</v>
      </c>
      <c r="AW381" s="244"/>
      <c r="AX381" s="244"/>
      <c r="AY381" s="243">
        <v>0</v>
      </c>
      <c r="AZ381" s="44">
        <f>R381/Q381</f>
        <v>7.0000000000000007E-2</v>
      </c>
      <c r="BA381" s="44">
        <v>0</v>
      </c>
      <c r="BB381" s="44" t="s">
        <v>115</v>
      </c>
      <c r="BC381" s="44">
        <f t="shared" si="605"/>
        <v>0.2</v>
      </c>
      <c r="BD381" s="44" cm="1">
        <f t="array" ref="BD381">_xlfn.IFS(AD381=0,"NA",AD381&gt;0,AH381/AD381)</f>
        <v>0.35</v>
      </c>
      <c r="BE381" s="44">
        <f t="shared" si="606"/>
        <v>0.3</v>
      </c>
      <c r="BF381" s="44">
        <v>0</v>
      </c>
      <c r="BG381" s="44">
        <f t="shared" si="607"/>
        <v>0.5</v>
      </c>
      <c r="BH381" s="44">
        <v>0</v>
      </c>
      <c r="BI381" s="44">
        <f>AP381/Q381</f>
        <v>0</v>
      </c>
      <c r="BJ381" s="44" t="s">
        <v>115</v>
      </c>
      <c r="BK381" s="44">
        <f t="shared" si="536"/>
        <v>7.0000000000000007E-2</v>
      </c>
      <c r="BL381" s="44" t="s">
        <v>115</v>
      </c>
      <c r="BM381" s="44" cm="1">
        <f t="array" ref="BM381">_xlfn.IFS(BD381="NA","NA",BD381&gt;100%,"100%",BD381&lt;100,BD381)</f>
        <v>0.35</v>
      </c>
      <c r="BN381" s="44" cm="1">
        <f t="array" ref="BN381">_xlfn.IFS(BF381="NA","NA",BF381&gt;100%,"100%",BF381&lt;100,BF381)</f>
        <v>0</v>
      </c>
      <c r="BO381" s="44" cm="1">
        <f t="array" ref="BO381">_xlfn.IFS(BH381="NA","NA",BH381&gt;100%,"100%",BH381&lt;100,BH381)</f>
        <v>0</v>
      </c>
      <c r="BP381" s="44" t="str" cm="1">
        <f t="array" ref="BP381">_xlfn.IFS(BJ381="NA","NA",BJ381&gt;100%,"100%",BJ381&lt;100,BJ381)</f>
        <v>NA</v>
      </c>
      <c r="BQ381" s="45">
        <v>0.224</v>
      </c>
      <c r="BR381" s="45">
        <f t="shared" si="541"/>
        <v>1.5680000000000003E-2</v>
      </c>
      <c r="BS381" s="45">
        <v>0</v>
      </c>
      <c r="BT381" s="45" t="s">
        <v>115</v>
      </c>
      <c r="BU381" s="45">
        <v>0</v>
      </c>
      <c r="BV381" s="45">
        <f t="shared" si="608"/>
        <v>4.4800000000000006E-2</v>
      </c>
      <c r="BW381" s="45">
        <f t="shared" si="551"/>
        <v>1.5680000000000003E-2</v>
      </c>
      <c r="BX381" s="45">
        <f t="shared" si="552"/>
        <v>1.5680000000000003E-2</v>
      </c>
      <c r="BY381" s="45">
        <f t="shared" si="609"/>
        <v>6.7199999999999996E-2</v>
      </c>
      <c r="BZ381" s="45">
        <f t="shared" si="610"/>
        <v>0</v>
      </c>
      <c r="CA381" s="45">
        <f t="shared" si="542"/>
        <v>0</v>
      </c>
      <c r="CB381" s="45">
        <f t="shared" si="611"/>
        <v>0.11200000000000002</v>
      </c>
      <c r="CC381" s="45">
        <f t="shared" si="612"/>
        <v>0</v>
      </c>
      <c r="CD381" s="45">
        <v>0</v>
      </c>
      <c r="CE381" s="45">
        <f>(AP381*BQ381)/Q381</f>
        <v>0</v>
      </c>
      <c r="CF381" s="45" t="str">
        <f>IF(BP381="NA","NA",BP381*CE381)</f>
        <v>NA</v>
      </c>
      <c r="CG381" s="45">
        <v>0</v>
      </c>
      <c r="CH381" s="244"/>
      <c r="CI381" s="244"/>
      <c r="CJ381" s="244"/>
      <c r="CK381" s="244"/>
      <c r="CM381" s="63">
        <v>7</v>
      </c>
    </row>
    <row r="382" spans="1:261" ht="18" hidden="1" customHeight="1">
      <c r="A382" s="260" t="s">
        <v>992</v>
      </c>
      <c r="B382" s="260" t="s">
        <v>993</v>
      </c>
      <c r="C382" s="260" t="s">
        <v>2371</v>
      </c>
      <c r="D382" s="260" t="s">
        <v>2372</v>
      </c>
      <c r="E382" s="260" t="s">
        <v>2458</v>
      </c>
      <c r="F382" s="260" t="s">
        <v>2459</v>
      </c>
      <c r="G382" s="260" t="s">
        <v>2460</v>
      </c>
      <c r="H382" s="260" t="s">
        <v>2465</v>
      </c>
      <c r="I382" s="260"/>
      <c r="J382" s="260"/>
      <c r="K382" s="260" t="s">
        <v>2466</v>
      </c>
      <c r="L382" s="260" t="s">
        <v>2467</v>
      </c>
      <c r="M382" s="260" t="s">
        <v>2468</v>
      </c>
      <c r="N382" s="260" t="s">
        <v>111</v>
      </c>
      <c r="O382" s="260" t="s">
        <v>112</v>
      </c>
      <c r="P382" s="10">
        <v>30</v>
      </c>
      <c r="Q382" s="11">
        <v>50</v>
      </c>
      <c r="R382" s="11">
        <f t="shared" si="603"/>
        <v>2</v>
      </c>
      <c r="S382" s="11" t="str">
        <f>VLOOKUP(K382,'1105 Gobierno'!$K$12:$AK$31,9,0)</f>
        <v>Se realiza adición para continuar con la construcción de la casa de Gobierno del municipio de Nimaima, la cual inició desde el periodo de gobierno anterior. Se realiza dotación al municipio de San Juan de Rioseco</v>
      </c>
      <c r="T382" s="11">
        <v>5</v>
      </c>
      <c r="U382" s="11">
        <v>0</v>
      </c>
      <c r="V382" s="11">
        <v>0</v>
      </c>
      <c r="W382" s="11">
        <v>0</v>
      </c>
      <c r="X382" s="11">
        <v>0</v>
      </c>
      <c r="Y382" s="11">
        <v>1</v>
      </c>
      <c r="Z382" s="11">
        <v>1</v>
      </c>
      <c r="AA382" s="11" t="s">
        <v>2469</v>
      </c>
      <c r="AB382" s="11" t="s">
        <v>2470</v>
      </c>
      <c r="AC382" s="11">
        <v>0</v>
      </c>
      <c r="AD382" s="11">
        <v>10</v>
      </c>
      <c r="AE382" s="11">
        <v>0</v>
      </c>
      <c r="AF382" s="11">
        <f>VLOOKUP(K382,'1105 Gobierno'!$K$12:$AK$31,22,0)</f>
        <v>1</v>
      </c>
      <c r="AG382" s="11" t="str">
        <f>VLOOKUP(K382,'1105 Gobierno'!$K$12:$AK$31,23,0)</f>
        <v> </v>
      </c>
      <c r="AH382" s="11">
        <f t="shared" si="604"/>
        <v>1</v>
      </c>
      <c r="AI382" s="11" t="str">
        <f>VLOOKUP(K382,'1105 Gobierno'!$K$12:$AK$31,25,0)</f>
        <v>Asistencia técnica</v>
      </c>
      <c r="AJ382" s="11" t="str">
        <f>VLOOKUP(K382,'1105 Gobierno'!$K$12:$AK$31,26,0)</f>
        <v xml:space="preserve">Se ha realizado la revisión de los proyectos presentados a través de la plataforma bizagi para la confinanciación de casas de gobierno de los municipios de San bernardo, el Peñón, Silvania, Guachetá, Jerusalen, Girardot, Caparrapí, Tabio, Gama. Se realizó la dotación del municipio de San Juan de Rioseco al concejo municipal por un valor de $30.500.000 </v>
      </c>
      <c r="AK382" s="11">
        <f>VLOOKUP(K382,'1105 Gobierno'!$K$12:$AK$31,27,0)</f>
        <v>0</v>
      </c>
      <c r="AL382" s="11">
        <v>10</v>
      </c>
      <c r="AM382" s="11">
        <v>0</v>
      </c>
      <c r="AN382" s="11">
        <v>30</v>
      </c>
      <c r="AO382" s="11">
        <v>0</v>
      </c>
      <c r="AP382" s="11">
        <v>0</v>
      </c>
      <c r="AQ382" s="11">
        <v>0</v>
      </c>
      <c r="AR382" s="51">
        <v>900000000</v>
      </c>
      <c r="AS382" s="54">
        <v>0</v>
      </c>
      <c r="AT382" s="54">
        <f t="shared" si="535"/>
        <v>900000000</v>
      </c>
      <c r="AU382" s="51">
        <v>900000000</v>
      </c>
      <c r="AV382" s="243">
        <v>1000000000</v>
      </c>
      <c r="AW382" s="244"/>
      <c r="AX382" s="244"/>
      <c r="AY382" s="243">
        <v>962230281</v>
      </c>
      <c r="AZ382" s="44">
        <f>R382/Q382</f>
        <v>0.04</v>
      </c>
      <c r="BA382" s="44">
        <v>0</v>
      </c>
      <c r="BB382" s="44" t="s">
        <v>115</v>
      </c>
      <c r="BC382" s="44">
        <f t="shared" si="605"/>
        <v>0.2</v>
      </c>
      <c r="BD382" s="44" cm="1">
        <f t="array" ref="BD382">_xlfn.IFS(AD382=0,"NA",AD382&gt;0,AH382/AD382)</f>
        <v>0.1</v>
      </c>
      <c r="BE382" s="44">
        <f t="shared" si="606"/>
        <v>0.2</v>
      </c>
      <c r="BF382" s="44">
        <v>0</v>
      </c>
      <c r="BG382" s="44">
        <f t="shared" si="607"/>
        <v>0.6</v>
      </c>
      <c r="BH382" s="44">
        <v>0</v>
      </c>
      <c r="BI382" s="44">
        <f>AP382/Q382</f>
        <v>0</v>
      </c>
      <c r="BJ382" s="44" t="s">
        <v>115</v>
      </c>
      <c r="BK382" s="44">
        <f t="shared" si="536"/>
        <v>0.04</v>
      </c>
      <c r="BL382" s="44" t="s">
        <v>115</v>
      </c>
      <c r="BM382" s="44" cm="1">
        <f t="array" ref="BM382">_xlfn.IFS(BD382="NA","NA",BD382&gt;100%,"100%",BD382&lt;100,BD382)</f>
        <v>0.1</v>
      </c>
      <c r="BN382" s="44" cm="1">
        <f t="array" ref="BN382">_xlfn.IFS(BF382="NA","NA",BF382&gt;100%,"100%",BF382&lt;100,BF382)</f>
        <v>0</v>
      </c>
      <c r="BO382" s="44" cm="1">
        <f t="array" ref="BO382">_xlfn.IFS(BH382="NA","NA",BH382&gt;100%,"100%",BH382&lt;100,BH382)</f>
        <v>0</v>
      </c>
      <c r="BP382" s="44" t="str" cm="1">
        <f t="array" ref="BP382">_xlfn.IFS(BJ382="NA","NA",BJ382&gt;100%,"100%",BJ382&lt;100,BJ382)</f>
        <v>NA</v>
      </c>
      <c r="BQ382" s="45">
        <v>0.224</v>
      </c>
      <c r="BR382" s="45">
        <f t="shared" si="541"/>
        <v>8.9600000000000009E-3</v>
      </c>
      <c r="BS382" s="45">
        <v>0</v>
      </c>
      <c r="BT382" s="45" t="s">
        <v>115</v>
      </c>
      <c r="BU382" s="45">
        <v>0</v>
      </c>
      <c r="BV382" s="45">
        <f t="shared" si="608"/>
        <v>4.4800000000000006E-2</v>
      </c>
      <c r="BW382" s="45">
        <f t="shared" si="551"/>
        <v>4.4800000000000005E-3</v>
      </c>
      <c r="BX382" s="45">
        <f t="shared" si="552"/>
        <v>8.9600000000000009E-3</v>
      </c>
      <c r="BY382" s="45">
        <f t="shared" si="609"/>
        <v>4.4800000000000006E-2</v>
      </c>
      <c r="BZ382" s="45">
        <f t="shared" si="610"/>
        <v>0</v>
      </c>
      <c r="CA382" s="45">
        <f t="shared" si="542"/>
        <v>0</v>
      </c>
      <c r="CB382" s="45">
        <f t="shared" si="611"/>
        <v>0.13439999999999999</v>
      </c>
      <c r="CC382" s="45">
        <f t="shared" si="612"/>
        <v>0</v>
      </c>
      <c r="CD382" s="45">
        <v>0</v>
      </c>
      <c r="CE382" s="45">
        <f>(AP382*BQ382)/Q382</f>
        <v>0</v>
      </c>
      <c r="CF382" s="45" t="str">
        <f>IF(BP382="NA","NA",BP382*CE382)</f>
        <v>NA</v>
      </c>
      <c r="CG382" s="45">
        <v>0</v>
      </c>
      <c r="CH382" s="244"/>
      <c r="CI382" s="244"/>
      <c r="CJ382" s="244"/>
      <c r="CK382" s="244"/>
      <c r="CM382" s="63">
        <v>9</v>
      </c>
    </row>
    <row r="383" spans="1:261" ht="18" hidden="1" customHeight="1">
      <c r="A383" s="260" t="s">
        <v>2335</v>
      </c>
      <c r="B383" s="260" t="s">
        <v>2336</v>
      </c>
      <c r="C383" s="260" t="s">
        <v>2371</v>
      </c>
      <c r="D383" s="260" t="s">
        <v>2372</v>
      </c>
      <c r="E383" s="260" t="s">
        <v>2458</v>
      </c>
      <c r="F383" s="260" t="s">
        <v>2459</v>
      </c>
      <c r="G383" s="260" t="s">
        <v>2460</v>
      </c>
      <c r="H383" s="260" t="s">
        <v>2471</v>
      </c>
      <c r="I383" s="260"/>
      <c r="J383" s="260"/>
      <c r="K383" s="260" t="s">
        <v>2472</v>
      </c>
      <c r="L383" s="260" t="s">
        <v>2473</v>
      </c>
      <c r="M383" s="260" t="s">
        <v>2474</v>
      </c>
      <c r="N383" s="260" t="s">
        <v>111</v>
      </c>
      <c r="O383" s="260" t="s">
        <v>124</v>
      </c>
      <c r="P383" s="10">
        <v>1</v>
      </c>
      <c r="Q383" s="11">
        <v>1</v>
      </c>
      <c r="R383" s="11">
        <f t="shared" ref="R383:R388" si="613">(Z383+AH383)/CL383</f>
        <v>0.46250000000000002</v>
      </c>
      <c r="S383" s="11" t="str">
        <f>VLOOKUP(K383,'1113 Planeación'!$K$13:$AK$19,9,0)</f>
        <v> </v>
      </c>
      <c r="T383" s="11">
        <v>0</v>
      </c>
      <c r="U383" s="11">
        <v>1</v>
      </c>
      <c r="V383" s="11">
        <v>0</v>
      </c>
      <c r="W383" s="11">
        <v>1</v>
      </c>
      <c r="X383" s="11" t="s">
        <v>115</v>
      </c>
      <c r="Y383" s="11">
        <v>1</v>
      </c>
      <c r="Z383" s="11">
        <v>1</v>
      </c>
      <c r="AA383" s="11">
        <v>0</v>
      </c>
      <c r="AB383" s="11" t="s">
        <v>2475</v>
      </c>
      <c r="AC383" s="11">
        <v>0</v>
      </c>
      <c r="AD383" s="11">
        <v>0</v>
      </c>
      <c r="AE383" s="11">
        <v>1</v>
      </c>
      <c r="AF383" s="11">
        <f>VLOOKUP(K383,'1113 Planeación'!$K$13:$AK$19,22,0)</f>
        <v>1</v>
      </c>
      <c r="AG383" s="11">
        <f>VLOOKUP(K383,'1113 Planeación'!$K$13:$AK$19,23,0)</f>
        <v>0.85</v>
      </c>
      <c r="AH383" s="11">
        <f t="shared" ref="AH383:AH388" si="614">AG383</f>
        <v>0.85</v>
      </c>
      <c r="AI383" s="11" t="str">
        <f>VLOOKUP(K383,'1113 Planeación'!$K$13:$AK$19,25,0)</f>
        <v> El Plan de Fortalecimiento integral de capacidades de gestión de la administración departamental y sus municpios FIGAD y desde las actividades se presta asistencia técnica al nivel cerntral, descentralizado y los municipios priorizados del departamento.</v>
      </c>
      <c r="AJ383" s="11" t="str">
        <f>VLOOKUP(K383,'1113 Planeación'!$K$13:$AK$19,26,0)</f>
        <v> Se aprobó un Plan de Fortalecimiento integral de capacidades de gestión de la administración departamental y sus municpios FIGAD. Atención a las necesidades de asistencia tecnica a los 116 municipios y entidades del departamento con el fin de fortalecer sus procesos de planeación del territorio y gestión publica. En cuanto al proceso misional de Asistencia técnica se prestaron 1.113 asistencias técnicas derivadas de 64 temas establecidos en el plan de asistencia técnica, viendose beneficiados 4.133 personas. En la prestación de las asistencia técnicasde la secretaría de Planeación se tiene un nivel de satisfacción del 99%.</v>
      </c>
      <c r="AK383" s="11" t="str">
        <f>VLOOKUP(K383,'1113 Planeación'!$K$13:$AK$19,27,0)</f>
        <v> Debilidades en la articulación entre dependencias para la formulación de un plan de fortalecimiento que unifique criterios entorno a los propositos fundamentales de los acompañamientos, capacitaciones y asesorias y que impacten la meta de bienestar.</v>
      </c>
      <c r="AL383" s="11">
        <v>0</v>
      </c>
      <c r="AM383" s="11">
        <v>1</v>
      </c>
      <c r="AN383" s="11">
        <v>0</v>
      </c>
      <c r="AO383" s="11">
        <v>1</v>
      </c>
      <c r="AP383" s="11">
        <v>0</v>
      </c>
      <c r="AQ383" s="11">
        <v>0</v>
      </c>
      <c r="AR383" s="51">
        <v>366000000</v>
      </c>
      <c r="AS383" s="54">
        <v>0</v>
      </c>
      <c r="AT383" s="54">
        <f t="shared" si="535"/>
        <v>366000000</v>
      </c>
      <c r="AU383" s="51">
        <v>340050321</v>
      </c>
      <c r="AV383" s="243">
        <v>2039222327</v>
      </c>
      <c r="AW383" s="244"/>
      <c r="AX383" s="244"/>
      <c r="AY383" s="243">
        <v>1709757336</v>
      </c>
      <c r="AZ383" s="44" cm="2">
        <f t="array" ref="AZ383">_xlfn.IFS((BA383=0),(BD383/CL383),(BA383&gt;0),((BB383+BD383)/CL383),(BE383&gt;0),((BB383+BD383+BE383)/CL383),(BG383&gt;0),((BB383+BD383+BE383+G383)/CL383))</f>
        <v>0.46250000000000002</v>
      </c>
      <c r="BA383" s="44">
        <v>0.25</v>
      </c>
      <c r="BB383" s="44">
        <v>1</v>
      </c>
      <c r="BC383" s="44">
        <f t="shared" ref="BC383:BC388" si="615">IF(AE383&gt;0,(1/CL383),0)</f>
        <v>0.25</v>
      </c>
      <c r="BD383" s="44" cm="1">
        <f t="array" ref="BD383">_xlfn.IFS(AE383=0,"NA",AE383&gt;0,AH383/AE383)</f>
        <v>0.85</v>
      </c>
      <c r="BE383" s="44">
        <f t="shared" ref="BE383:BE388" si="616">IF(AM383&gt;0,(1/CL383),0)</f>
        <v>0.25</v>
      </c>
      <c r="BF383" s="44">
        <v>0</v>
      </c>
      <c r="BG383" s="44">
        <f t="shared" ref="BG383:BG388" si="617">IF(AO383&gt;0,(1/CL383),0)</f>
        <v>0.25</v>
      </c>
      <c r="BH383" s="44">
        <v>0</v>
      </c>
      <c r="BI383" s="44">
        <v>0</v>
      </c>
      <c r="BJ383" s="44" t="s">
        <v>115</v>
      </c>
      <c r="BK383" s="44">
        <f>IF(AZ383&gt;50%,"50%",AZ383)</f>
        <v>0.46250000000000002</v>
      </c>
      <c r="BL383" s="44">
        <v>1</v>
      </c>
      <c r="BM383" s="44" cm="1">
        <f t="array" ref="BM383">_xlfn.IFS(BD383="NA","NA",BD383&gt;100%,"100%",BD383&lt;100,BD383)</f>
        <v>0.85</v>
      </c>
      <c r="BN383" s="44">
        <v>0</v>
      </c>
      <c r="BO383" s="44">
        <v>0</v>
      </c>
      <c r="BP383" s="44" t="s">
        <v>115</v>
      </c>
      <c r="BQ383" s="45">
        <v>0.224</v>
      </c>
      <c r="BR383" s="45">
        <f t="shared" si="541"/>
        <v>0.10360000000000001</v>
      </c>
      <c r="BS383" s="45">
        <v>5.6000000000000001E-2</v>
      </c>
      <c r="BT383" s="45">
        <v>5.6000000000000001E-2</v>
      </c>
      <c r="BU383" s="45">
        <v>5.6000000000000001E-2</v>
      </c>
      <c r="BV383" s="45">
        <v>5.6000000000000001E-2</v>
      </c>
      <c r="BW383" s="45">
        <f t="shared" si="551"/>
        <v>4.7599999999999996E-2</v>
      </c>
      <c r="BX383" s="45">
        <f t="shared" si="552"/>
        <v>4.760000000000001E-2</v>
      </c>
      <c r="BY383" s="45">
        <v>5.6000000000000001E-2</v>
      </c>
      <c r="BZ383" s="45">
        <v>0</v>
      </c>
      <c r="CA383" s="45">
        <f t="shared" si="542"/>
        <v>0</v>
      </c>
      <c r="CB383" s="45">
        <v>5.6000000000000001E-2</v>
      </c>
      <c r="CC383" s="45">
        <v>0</v>
      </c>
      <c r="CD383" s="45">
        <v>0</v>
      </c>
      <c r="CE383" s="45">
        <v>0</v>
      </c>
      <c r="CF383" s="45" t="s">
        <v>115</v>
      </c>
      <c r="CG383" s="45">
        <v>0</v>
      </c>
      <c r="CH383" s="244">
        <f t="shared" ref="CH383:CH388" si="618">IF(W383&gt;0,1,0)</f>
        <v>1</v>
      </c>
      <c r="CI383" s="244">
        <f t="shared" ref="CI383:CI388" si="619">IF(AE383&gt;0,1,0)</f>
        <v>1</v>
      </c>
      <c r="CJ383" s="244">
        <f t="shared" ref="CJ383:CJ388" si="620">IF(AM383&gt;0,1,0)</f>
        <v>1</v>
      </c>
      <c r="CK383" s="244">
        <f t="shared" ref="CK383:CK388" si="621">IF(AO383&gt;0,1,0)</f>
        <v>1</v>
      </c>
      <c r="CL383">
        <f t="shared" ref="CL383:CL388" si="622">CH383+CI383+CJ383+CK383</f>
        <v>4</v>
      </c>
      <c r="CM383" s="63">
        <f t="shared" ref="CM383:CM388" si="623">AVERAGE(Z383,AH383)</f>
        <v>0.92500000000000004</v>
      </c>
    </row>
    <row r="384" spans="1:261" ht="18" hidden="1" customHeight="1">
      <c r="A384" s="260" t="s">
        <v>98</v>
      </c>
      <c r="B384" s="260" t="s">
        <v>99</v>
      </c>
      <c r="C384" s="260" t="s">
        <v>2371</v>
      </c>
      <c r="D384" s="260" t="s">
        <v>2372</v>
      </c>
      <c r="E384" s="260" t="s">
        <v>2458</v>
      </c>
      <c r="F384" s="260" t="s">
        <v>2459</v>
      </c>
      <c r="G384" s="260" t="s">
        <v>2460</v>
      </c>
      <c r="H384" s="260" t="s">
        <v>2476</v>
      </c>
      <c r="I384" s="260"/>
      <c r="J384" s="12" t="s">
        <v>2477</v>
      </c>
      <c r="K384" s="260" t="s">
        <v>2478</v>
      </c>
      <c r="L384" s="260" t="s">
        <v>2479</v>
      </c>
      <c r="M384" s="260" t="s">
        <v>2480</v>
      </c>
      <c r="N384" s="260" t="s">
        <v>123</v>
      </c>
      <c r="O384" s="260" t="s">
        <v>124</v>
      </c>
      <c r="P384" s="10">
        <v>90</v>
      </c>
      <c r="Q384" s="11">
        <v>90</v>
      </c>
      <c r="R384" s="11">
        <f t="shared" si="613"/>
        <v>45</v>
      </c>
      <c r="S384" s="11" t="str">
        <f>VLOOKUP(K384,'1197 Salud'!$K$13:$AK$54,9,0)</f>
        <v>Se mantienen las acciones de inspección de vigilancia y control en los objetos  sanitarios de los municipios categorías  4,5,6</v>
      </c>
      <c r="T384" s="11">
        <v>0</v>
      </c>
      <c r="U384" s="11">
        <v>90</v>
      </c>
      <c r="V384" s="11">
        <v>0</v>
      </c>
      <c r="W384" s="11">
        <v>90</v>
      </c>
      <c r="X384" s="11" t="s">
        <v>115</v>
      </c>
      <c r="Y384" s="11">
        <v>90</v>
      </c>
      <c r="Z384" s="11">
        <v>90</v>
      </c>
      <c r="AA384" s="11" t="s">
        <v>2480</v>
      </c>
      <c r="AB384" s="11" t="s">
        <v>2481</v>
      </c>
      <c r="AC384" s="11" t="s">
        <v>2482</v>
      </c>
      <c r="AD384" s="11">
        <v>0</v>
      </c>
      <c r="AE384" s="11">
        <v>90</v>
      </c>
      <c r="AF384" s="11">
        <f>VLOOKUP(K384,'1197 Salud'!$K$13:$AK$54,22,0)</f>
        <v>0</v>
      </c>
      <c r="AG384" s="11">
        <f>VLOOKUP(K384,'1197 Salud'!$K$13:$AK$54,23,0)</f>
        <v>90</v>
      </c>
      <c r="AH384" s="11">
        <f t="shared" si="614"/>
        <v>90</v>
      </c>
      <c r="AI384" s="11" t="str">
        <f>VLOOKUP(K384,'1197 Salud'!$K$13:$AK$54,25,0)</f>
        <v>Acciones de Inspección, Vigilancia y Control en los objetos sanitarios de los municipios categorías 4,5 y 6.</v>
      </c>
      <c r="AJ384" s="11" t="str">
        <f>VLOOKUP(K384,'1197 Salud'!$K$13:$AK$54,26,0)</f>
        <v>Se mantienen las  acciones de Inspección, Vigilancia y Control en los objetos sanitarios de los municipios categorías 4,5 y 6 en los sujetos de vigilancia de la linea de  aguas, seguridad quimica, alimentos , y establecimientos comerciales y especiales.</v>
      </c>
      <c r="AK384" s="11" t="str">
        <f>VLOOKUP(K384,'1197 Salud'!$K$13:$AK$54,27,0)</f>
        <v>Se presentó dificulta en la movilidad ocasionada por los paros realizados durante el año.</v>
      </c>
      <c r="AL384" s="11">
        <v>0</v>
      </c>
      <c r="AM384" s="11">
        <v>90</v>
      </c>
      <c r="AN384" s="11">
        <v>0</v>
      </c>
      <c r="AO384" s="11">
        <v>90</v>
      </c>
      <c r="AP384" s="11">
        <v>0</v>
      </c>
      <c r="AQ384" s="11">
        <v>0</v>
      </c>
      <c r="AR384" s="51">
        <v>1298000000</v>
      </c>
      <c r="AS384" s="54">
        <v>0</v>
      </c>
      <c r="AT384" s="54">
        <f t="shared" si="535"/>
        <v>1298000000</v>
      </c>
      <c r="AU384" s="51">
        <v>1154964746</v>
      </c>
      <c r="AV384" s="243">
        <v>3100000000</v>
      </c>
      <c r="AW384" s="244"/>
      <c r="AX384" s="244"/>
      <c r="AY384" s="243">
        <v>2796682947</v>
      </c>
      <c r="AZ384" s="44" cm="1">
        <f t="array" ref="AZ384">_xlfn.IFS((BA384=0),(BD384/CL384),(BA384&gt;0),((BB384+BD384)/CL384),(BE384&gt;0),((BB384+BD384+BE384)/CL384),(BG384&gt;0),((BB384+BD384+BE384+G384)/CL384))</f>
        <v>0.5</v>
      </c>
      <c r="BA384" s="44">
        <v>0.25</v>
      </c>
      <c r="BB384" s="44">
        <v>1</v>
      </c>
      <c r="BC384" s="44">
        <f t="shared" si="615"/>
        <v>0.25</v>
      </c>
      <c r="BD384" s="44" cm="1">
        <f t="array" ref="BD384">_xlfn.IFS(AE384=0,"NA",AE384&gt;0,AH384/AE384)</f>
        <v>1</v>
      </c>
      <c r="BE384" s="44">
        <f t="shared" si="616"/>
        <v>0.25</v>
      </c>
      <c r="BF384" s="44">
        <v>0</v>
      </c>
      <c r="BG384" s="44">
        <f t="shared" si="617"/>
        <v>0.25</v>
      </c>
      <c r="BH384" s="44">
        <v>0</v>
      </c>
      <c r="BI384" s="44">
        <v>0</v>
      </c>
      <c r="BJ384" s="44" t="s">
        <v>115</v>
      </c>
      <c r="BK384" s="44">
        <f t="shared" si="536"/>
        <v>0.5</v>
      </c>
      <c r="BL384" s="44">
        <v>1</v>
      </c>
      <c r="BM384" s="44" cm="1">
        <f t="array" ref="BM384">_xlfn.IFS(BD384="NA","NA",BD384&gt;100%,"100%",BD384&lt;100,BD384)</f>
        <v>1</v>
      </c>
      <c r="BN384" s="44">
        <v>0</v>
      </c>
      <c r="BO384" s="44">
        <v>0</v>
      </c>
      <c r="BP384" s="44" t="s">
        <v>115</v>
      </c>
      <c r="BQ384" s="45">
        <v>0.224</v>
      </c>
      <c r="BR384" s="45">
        <f t="shared" si="541"/>
        <v>0.112</v>
      </c>
      <c r="BS384" s="45">
        <v>5.6000000000000001E-2</v>
      </c>
      <c r="BT384" s="45">
        <v>5.6000000000000001E-2</v>
      </c>
      <c r="BU384" s="45">
        <v>5.6000000000000001E-2</v>
      </c>
      <c r="BV384" s="45">
        <v>5.6000000000000001E-2</v>
      </c>
      <c r="BW384" s="45">
        <f t="shared" si="551"/>
        <v>5.6000000000000001E-2</v>
      </c>
      <c r="BX384" s="45">
        <f t="shared" si="552"/>
        <v>5.6000000000000001E-2</v>
      </c>
      <c r="BY384" s="45">
        <v>5.6000000000000001E-2</v>
      </c>
      <c r="BZ384" s="45">
        <v>0</v>
      </c>
      <c r="CA384" s="45">
        <f t="shared" si="542"/>
        <v>0</v>
      </c>
      <c r="CB384" s="45">
        <v>5.6000000000000001E-2</v>
      </c>
      <c r="CC384" s="45">
        <v>0</v>
      </c>
      <c r="CD384" s="45">
        <v>0</v>
      </c>
      <c r="CE384" s="45">
        <v>0</v>
      </c>
      <c r="CF384" s="45" t="s">
        <v>115</v>
      </c>
      <c r="CG384" s="45">
        <v>0</v>
      </c>
      <c r="CH384" s="244">
        <f t="shared" si="618"/>
        <v>1</v>
      </c>
      <c r="CI384" s="244">
        <f t="shared" si="619"/>
        <v>1</v>
      </c>
      <c r="CJ384" s="244">
        <f t="shared" si="620"/>
        <v>1</v>
      </c>
      <c r="CK384" s="244">
        <f t="shared" si="621"/>
        <v>1</v>
      </c>
      <c r="CL384">
        <f t="shared" si="622"/>
        <v>4</v>
      </c>
      <c r="CM384" s="63">
        <f t="shared" si="623"/>
        <v>90</v>
      </c>
    </row>
    <row r="385" spans="1:91" ht="18" hidden="1" customHeight="1">
      <c r="A385" s="260" t="s">
        <v>98</v>
      </c>
      <c r="B385" s="260" t="s">
        <v>99</v>
      </c>
      <c r="C385" s="260" t="s">
        <v>2371</v>
      </c>
      <c r="D385" s="260" t="s">
        <v>2372</v>
      </c>
      <c r="E385" s="260" t="s">
        <v>2458</v>
      </c>
      <c r="F385" s="260" t="s">
        <v>2459</v>
      </c>
      <c r="G385" s="260" t="s">
        <v>2460</v>
      </c>
      <c r="H385" s="260" t="s">
        <v>2483</v>
      </c>
      <c r="I385" s="260"/>
      <c r="J385" s="260"/>
      <c r="K385" s="260" t="s">
        <v>2484</v>
      </c>
      <c r="L385" s="260" t="s">
        <v>2485</v>
      </c>
      <c r="M385" s="260" t="s">
        <v>2486</v>
      </c>
      <c r="N385" s="260" t="s">
        <v>123</v>
      </c>
      <c r="O385" s="260" t="s">
        <v>124</v>
      </c>
      <c r="P385" s="10">
        <v>100</v>
      </c>
      <c r="Q385" s="11">
        <v>100</v>
      </c>
      <c r="R385" s="11">
        <f t="shared" si="613"/>
        <v>47.5</v>
      </c>
      <c r="S385" s="11" t="str">
        <f>VLOOKUP(K385,'1197 Salud'!$K$13:$AK$54,9,0)</f>
        <v>Se realizó adición a los convenios de apalancamiento de los hospitales de: san juan de rio seco: ese hospital san vicente de paul de san juan de rioseco, medina: ese hospital nuestra sra del pilar de medinay puerto salgar: ese hospital diogenes troncoso de puerto salgar asi mismo se apalancaron financieramente anolaima: e.s.e ,hospital san antonio de anolaima,villeta: e.s.e hospital salazar de villeta,arbelaez: e.s.e hospital san antonio de arbelaez,tocaima ese hospital marco felipe afanador de tocaima, la palma :e.s.e hospital san jose de la palma, sasaima: e.s.e hospital hilarlo lugo,vergara:e.s.e hospital santa barbara de vergara, viota :el hospital san francisco de viota,tabio: e.s.e hospital nuestra señora de tabio,sesquile: empresa social del estado hospital san antonio de sesquile, silvania: e.s.e hospital ismael silva de silvania ,san antonio de tequendama:e.s.e. hospital san antonio del tequendama .samaritana zipaquira: e.s.e hospital universitario de la samaritana en la operación del nuevo hospital regional de zipaquirá,se realizó apalancamiento a las 53 E.S.E.s del departamento mediante transferencia de la resolución 970 del 27 de marzo del 2020, con el fin de mitigar en las E.S.E.s el efecto del covid 19, atendiendo la emergencia presentada por la pandemia y se realizo aplancamiento a  la EAPB CONVIDA y las 53 E.S.E.s del departamento para contribuir en el fortalecimiento, mejoramiento y cumplimiento para la prestación de servicios de salud a su cargo impactando en la calidad de los servicios a la población cundinamarquesa.se realizo apalancamiento financiero a ESE HOSPITAL MARIO GAITAN YANGUAS DE SOACHA, ESE HOSPITAL SAN VICENTE DE PAUL DE FOMEQUE.,ESE HOSPITAL MARCO FELIPE AFANADOR DE TOCAIMA,ESE HOSPITAL SAN VICENTE DE PAUL DE SAN JUAN DE RIOSECO,ESE HOSPITAL NUESTRA SEÑORA DEL ROSARIO DE SUESCA,ESE HOSPITAL SAN ANTONIO DE CHIA,ESE HOSPITAL DIOGENES TRONCOSO DE PUERTO SALGAR,ESE NUESTRA SEÑORA DEL PILAR DE MEDINA,ESE HOSPITAL SAN FRANCISCO DE SALES,ESE HOSPITAL SAN ANTONIO DEL TEQUENDAMA,ESE HOSPITAL SAN MARTIN DE PORRES DE CHOCONTA,ESE HOSPITAL  SAN ANTONIO DE SESQUILE,ES,E HOSPITAL SAN ANTONIO DE ANOLAIMA,ESE HOSPITAL UNIVERSITARIO DE LA SAMARITANA,ESE HOSPITAL SANTA MATILDE DE MADRID,ESE HOSPITAL SANTA ROSA DE TENJO,ESE HOSPITAL SAN RAFAEL DE FACATATIVA ,ESE HOSPITAL SAN FRANCISCO DE VIOTA,ESE HOSPITAL SAN RAFAEL DE PACHO,ESE HOSPITAL SAN JOSE DE LA PALMA,ESE HOSPITAL SALAZAR DE VILLETA,ESE HOSPITAL SAN JOSE DE GUACHETA,ESE HOSPITAL MERCEDES TELLEZ DE PRADILLA VIANI,,ESE HOSPITAL HABACUC CALDERON DEL CARMEN DE CARUPA,ESE HOSPITAL EL SALVADOR DE UBATE,ESE SAN ANTONIO DE GUATAVITA,ESE CENTRO DE SALUD SAN JOSE DE NIMAIMA,ESE HOSPITAL SAN RAFAEL DE CAQUEZA,ESE HOSPITAL NUESTRA SEÑORA DE LAS MERCEDES DEL MUNICIPIO DE FUNZA,ESE HOSPITAL SAN VICENTE DE PAUL DE FOMEQUE,ESE NUESTRA SEÑORA DEL CARMEN DEL COLEGIO,ESE CENTRO DE SALUD CUCUNUBA ,ESE HOSPITAL HILARIO LUGO DE SASAIMA,ESE HOSPITAL ISMAEL SILVA DE SILVANIA,ESE CENTRO DE SALUD RICAURTE,ESE HOSPITAL CAYETANO MARIA ROJAS DEL MUNICIPIO DEL PEÑON,ESE HOSPITAL SAN MARTIN DE PORRES DE CHOCONTA,ESE NUESTRA SEÑORA DEL CARMEN DEL COLEGIO,ESE HOSPITAL DIVINO SALVADOR DE SOPO,ESE HOSPITAL SAN RAFAEL DE FACATATIVA ,ESE HOSPITAL SALAZAR DE VILLETA,ESE HOSPITAL LA VEGA, ESES HOSPITAL MARIA AUXILIADORA DE MOSQUERA,ESE HOSPITAL SAN FRANCISCO DE GACHETA,ESE HOSPITAL SAN FRANCISCO DE VIOTA,ESE HOSPITAL SAN RAFAEL DE CAQUEZA,ESE HOSPITAL SAN FRANCISCO DE SALES,ESE HOSPITAL SALAZAR DE VILLETA,ESE NUESTRA SEÑORA DEL PILAR DE MEDINA,ESE HOSPITAL SANTA BARBARA DE VERGARA,ESE HOSPITAL DIOGENES TRONCOSO DE PUERTO SALGAR,ESE HOSPITAL SANTA ROSA DE TENJO</v>
      </c>
      <c r="T385" s="11">
        <v>0</v>
      </c>
      <c r="U385" s="11">
        <v>100</v>
      </c>
      <c r="V385" s="11">
        <v>0</v>
      </c>
      <c r="W385" s="11">
        <v>100</v>
      </c>
      <c r="X385" s="11" t="s">
        <v>115</v>
      </c>
      <c r="Y385" s="11">
        <v>100</v>
      </c>
      <c r="Z385" s="11">
        <v>100</v>
      </c>
      <c r="AA385" s="11" t="s">
        <v>2486</v>
      </c>
      <c r="AB385" s="11" t="s">
        <v>2487</v>
      </c>
      <c r="AC385" s="11" t="s">
        <v>2488</v>
      </c>
      <c r="AD385" s="11">
        <v>0</v>
      </c>
      <c r="AE385" s="11">
        <v>100</v>
      </c>
      <c r="AF385" s="11">
        <f>VLOOKUP(K385,'1197 Salud'!$K$13:$AK$54,22,0)</f>
        <v>0</v>
      </c>
      <c r="AG385" s="11">
        <f>VLOOKUP(K385,'1197 Salud'!$K$13:$AK$54,23,0)</f>
        <v>90</v>
      </c>
      <c r="AH385" s="11">
        <f t="shared" si="614"/>
        <v>90</v>
      </c>
      <c r="AI385" s="11" t="str">
        <f>VLOOKUP(K385,'1197 Salud'!$K$13:$AK$54,25,0)</f>
        <v>ESE apalancadas - EAPB apalancada</v>
      </c>
      <c r="AJ385" s="11" t="str">
        <f>VLOOKUP(K385,'1197 Salud'!$K$13:$AK$54,26,0)</f>
        <v>se realizo apalancamiento financiero a ESE HOSPITAL MARIO GAITAN YANGUAS DE SOACHA, ESE HOSPITAL SAN VICENTE DE PAUL DE FOMEQUE.,ESE HOSPITAL MARCO FELIPE AFANADOR DE TOCAIMA,ESE HOSPITAL SAN VICENTE DE PAUL DE SAN JUAN DE RIOSECO,ESE HOSPITAL NUESTRA SEÑORA DEL ROSARIO DE SUESCA,ESE HOSPITAL SAN ANTONIO DE CHIA,ESE HOSPITAL DIOGENES TRONCOSO DE PUERTO SALGAR,ESE NUESTRA SEÑORA DEL PILAR DE MEDINA,ESE HOSPITAL SAN FRANCISCO DE SALES,ESE HOSPITAL SAN ANTONIO DEL TEQUENDAMA,ESE HOSPITAL SAN MARTIN DE PORRES DE CHOCONTA,ESE HOSPITAL  SAN ANTONIO DE SESQUILE,ES,E HOSPITAL SAN ANTONIO DE ANOLAIMA,ESE HOSPITAL UNIVERSITARIO DE LA SAMARITANA,ESE HOSPITAL SANTA MATILDE DE MADRID,ESE HOSPITAL SANTA ROSA DE TENJO,ESE HOSPITAL SAN RAFAEL DE FACATATIVA ,ESE HOSPITAL SAN FRANCISCO DE VIOTA,ESE HOSPITAL SAN RAFAEL DE PACHO,ESE HOSPITAL SAN JOSE DE LA PALMA,ESE HOSPITAL SALAZAR DE VILLETA,ESE HOSPITAL SAN JOSE DE GUACHETA,ESE HOSPITAL MERCEDES TELLEZ DE PRADILLA VIANI,ESE HOSPITAL HABACUC CALDERON DEL CARMEN DE CARUPA,ESE HOSPITAL EL SALVADOR DE UBATE,ESE SAN ANTONIO DE GUATAVITA,ESE CENTRO DE SALUD SAN JOSE DE NIMAIMA,ESE HOSPITAL SAN RAFAEL DE CAQUEZA,ESE HOSPITAL NUESTRA SEÑORA DE LAS MERCEDES DEL MUNICIPIO DE FUNZA,ESE HOSPITAL SAN VICENTE DE PAUL DE FOMEQUE,ESE NUESTRA SEÑORA DEL CARMEN DEL COLEGIO,ESE CENTRO DE SALUD CUCUNUBA ,ESE HOSPITAL HILARIO LUGO DE SASAIMA,ESE HOSPITAL ISMAEL SILVA DE SILVANIA,ESE CENTRO DE SALUD RICAURTE,ESE HOSPITAL CAYETANO MARIA ROJAS DEL MUNICIPIO DEL PEÑON,ESE HOSPITAL SAN MARTIN DE PORRES DE CHOCONTA,ESE NUESTRA SEÑORA DEL CARMEN DEL COLEGIO,ESE HOSPITAL DIVINO SALVADOR DE SOPO,ESE HOSPITAL SAN RAFAEL DE FACATATIVA ,ESE HOSPITAL SALAZAR DE VILLETA,ESE HOSPITAL LA VEGA, ESES HOSPITAL MARIA AUXILIADORA DE MOSQUERA,ESE HOSPITAL SAN FRANCISCO DE GACHETA,ESE HOSPITAL SAN FRANCISCO DE VIOTA,ESE HOSPITAL SAN RAFAEL DE CAQUEZA,ESE HOSPITAL SAN FRANCISCO DE SALES,ESE HOSPITAL SALAZAR DE VILLETA,ESE NUESTRA SEÑORA DEL PILAR DE MEDINA,ESE HOSPITAL SANTA BARBARA DE VERGARA,ESE HOSPITAL DIOGENES TRONCOSO DE PUERTO SALGAR,ESE HOSPITAL SANTA ROSA DE TENJO,:   ESE HOSPITAL SAN ANTONIO DE SESQUILE,ESE HOSPITAL NUESTRA SRA DEL PILAR DE MEDINA,ESE HOSPITAL SAN ANTONIO DE ANOLAIMA,ESE HOSPITAL SAN ANTONIO DEL TEQUENDAMA,ESE HOSPITAL SAN FRANCISCO DE VIOTA,EMPRESA SOCIAL DEL ESTADO DEL MUNICIPIO DE MOSQUERA,ESE HOSPITAL NUESTRA SRA DE LAS MERCEDES DE FUNZA,ESE HOSPITAL SANTA MATILDE DE MADRID ,ESE HOSPITAL SAN VICENTE DE PAUL DE NEMOCON ,ESE HOSPITAL DIVINO SALVADOR DE SOPÓ,ESE HOSPITAL PEDRO LEON ALVAREZ DIAZ DE LA MESA,ESE HOSPITAL SAN RAFAEL DE PACHO,ESE HOSPITAL EL SALVADOR DE UBATE,ESE HOSPITAL SAN RAFAEL DE FUSAGASUGÁ,ESE HOSPITAL UNIVERSITARIO DE LA SAMARITANA ,ESE HOSPITAL DE LA VEGA 
ESE CENTRO DE SALUD DE FOSCA
ESE CENTRO DE SALUD DE TAUSA
ESE HOSPITAL NUESTRA SENORA DEL ROSARIO DE SUESCA 
ESE CENTRO DE SALUD TIMOTEO REYES DE UNE
ESE HOSPITAL REGIONAL DE ZIPAQUIRÁ – SAMARITANA</v>
      </c>
      <c r="AK385" s="11" t="str">
        <f>VLOOKUP(K385,'1197 Salud'!$K$13:$AK$54,27,0)</f>
        <v>bajo recaudo en los fondos con que se realiza el apalancamiento financiero a la ESE que conforman la red publica del departamento .</v>
      </c>
      <c r="AL385" s="11">
        <v>0</v>
      </c>
      <c r="AM385" s="11">
        <v>100</v>
      </c>
      <c r="AN385" s="11">
        <v>0</v>
      </c>
      <c r="AO385" s="11">
        <v>100</v>
      </c>
      <c r="AP385" s="11">
        <v>0</v>
      </c>
      <c r="AQ385" s="11">
        <v>0</v>
      </c>
      <c r="AR385" s="51">
        <v>91451935307</v>
      </c>
      <c r="AS385" s="54">
        <v>0</v>
      </c>
      <c r="AT385" s="54">
        <f t="shared" si="535"/>
        <v>91451935307</v>
      </c>
      <c r="AU385" s="51">
        <v>75616497714</v>
      </c>
      <c r="AV385" s="243">
        <v>120631015579</v>
      </c>
      <c r="AW385" s="244"/>
      <c r="AX385" s="244"/>
      <c r="AY385" s="243">
        <v>71870840997</v>
      </c>
      <c r="AZ385" s="44" cm="1">
        <f t="array" ref="AZ385">_xlfn.IFS((BA385=0),(BD385/CL385),(BA385&gt;0),((BB385+BD385)/CL385),(BE385&gt;0),((BB385+BD385+BE385)/CL385),(BG385&gt;0),((BB385+BD385+BE385+G385)/CL385))</f>
        <v>0.47499999999999998</v>
      </c>
      <c r="BA385" s="44">
        <v>0.25</v>
      </c>
      <c r="BB385" s="44">
        <v>1</v>
      </c>
      <c r="BC385" s="44">
        <f t="shared" si="615"/>
        <v>0.25</v>
      </c>
      <c r="BD385" s="44" cm="1">
        <f t="array" ref="BD385">_xlfn.IFS(AE385=0,"NA",AE385&gt;0,AH385/AE385)</f>
        <v>0.9</v>
      </c>
      <c r="BE385" s="44">
        <f t="shared" si="616"/>
        <v>0.25</v>
      </c>
      <c r="BF385" s="44">
        <v>0</v>
      </c>
      <c r="BG385" s="44">
        <f t="shared" si="617"/>
        <v>0.25</v>
      </c>
      <c r="BH385" s="44">
        <v>0</v>
      </c>
      <c r="BI385" s="44">
        <v>0</v>
      </c>
      <c r="BJ385" s="44" t="s">
        <v>115</v>
      </c>
      <c r="BK385" s="44">
        <f t="shared" si="536"/>
        <v>0.47499999999999998</v>
      </c>
      <c r="BL385" s="44">
        <v>1</v>
      </c>
      <c r="BM385" s="44" cm="1">
        <f t="array" ref="BM385">_xlfn.IFS(BD385="NA","NA",BD385&gt;100%,"100%",BD385&lt;100,BD385)</f>
        <v>0.9</v>
      </c>
      <c r="BN385" s="44">
        <v>0</v>
      </c>
      <c r="BO385" s="44">
        <v>0</v>
      </c>
      <c r="BP385" s="44" t="s">
        <v>115</v>
      </c>
      <c r="BQ385" s="45">
        <v>0.224</v>
      </c>
      <c r="BR385" s="45">
        <f t="shared" si="541"/>
        <v>0.10639999999999999</v>
      </c>
      <c r="BS385" s="45">
        <v>5.6000000000000001E-2</v>
      </c>
      <c r="BT385" s="45">
        <v>5.6000000000000001E-2</v>
      </c>
      <c r="BU385" s="45">
        <v>5.6000000000000001E-2</v>
      </c>
      <c r="BV385" s="45">
        <v>5.6000000000000001E-2</v>
      </c>
      <c r="BW385" s="45">
        <f t="shared" si="551"/>
        <v>5.04E-2</v>
      </c>
      <c r="BX385" s="45">
        <f t="shared" si="552"/>
        <v>5.0399999999999993E-2</v>
      </c>
      <c r="BY385" s="45">
        <v>5.6000000000000001E-2</v>
      </c>
      <c r="BZ385" s="45">
        <v>0</v>
      </c>
      <c r="CA385" s="45">
        <f t="shared" si="542"/>
        <v>0</v>
      </c>
      <c r="CB385" s="45">
        <v>5.6000000000000001E-2</v>
      </c>
      <c r="CC385" s="45">
        <v>0</v>
      </c>
      <c r="CD385" s="45">
        <v>0</v>
      </c>
      <c r="CE385" s="45">
        <v>0</v>
      </c>
      <c r="CF385" s="45" t="s">
        <v>115</v>
      </c>
      <c r="CG385" s="45">
        <v>0</v>
      </c>
      <c r="CH385" s="244">
        <f t="shared" si="618"/>
        <v>1</v>
      </c>
      <c r="CI385" s="244">
        <f t="shared" si="619"/>
        <v>1</v>
      </c>
      <c r="CJ385" s="244">
        <f t="shared" si="620"/>
        <v>1</v>
      </c>
      <c r="CK385" s="244">
        <f t="shared" si="621"/>
        <v>1</v>
      </c>
      <c r="CL385">
        <f t="shared" si="622"/>
        <v>4</v>
      </c>
      <c r="CM385" s="63">
        <f t="shared" si="623"/>
        <v>95</v>
      </c>
    </row>
    <row r="386" spans="1:91" ht="18" hidden="1" customHeight="1">
      <c r="A386" s="260" t="s">
        <v>98</v>
      </c>
      <c r="B386" s="260" t="s">
        <v>99</v>
      </c>
      <c r="C386" s="260" t="s">
        <v>2371</v>
      </c>
      <c r="D386" s="260" t="s">
        <v>2372</v>
      </c>
      <c r="E386" s="260" t="s">
        <v>2458</v>
      </c>
      <c r="F386" s="260" t="s">
        <v>2459</v>
      </c>
      <c r="G386" s="260" t="s">
        <v>2460</v>
      </c>
      <c r="H386" s="260" t="s">
        <v>2489</v>
      </c>
      <c r="I386" s="260" t="s">
        <v>106</v>
      </c>
      <c r="J386" s="260"/>
      <c r="K386" s="260" t="s">
        <v>2490</v>
      </c>
      <c r="L386" s="260" t="s">
        <v>2491</v>
      </c>
      <c r="M386" s="260" t="s">
        <v>2492</v>
      </c>
      <c r="N386" s="260" t="s">
        <v>123</v>
      </c>
      <c r="O386" s="260" t="s">
        <v>124</v>
      </c>
      <c r="P386" s="10">
        <v>100</v>
      </c>
      <c r="Q386" s="11">
        <v>100</v>
      </c>
      <c r="R386" s="11">
        <f t="shared" si="613"/>
        <v>46.25</v>
      </c>
      <c r="S386" s="11" t="str">
        <f>VLOOKUP(K386,'1197 Salud'!$K$13:$AK$54,9,0)</f>
        <v xml:space="preserve">Mediante las trasferencias de ley realizadas a los tribunales de ética médica, odontológica y enfermería aportamos al cumplimiento de los objetivos propuestos así mismo con las transferencias al hospital universitario de la samaritana y Colciencias para realizar mejores labores en contratos de prestación de servicios como apoyo a la gestión administrativa y financiera de la secretaria de salud </v>
      </c>
      <c r="T386" s="11">
        <v>0</v>
      </c>
      <c r="U386" s="11">
        <v>100</v>
      </c>
      <c r="V386" s="11">
        <v>0</v>
      </c>
      <c r="W386" s="11">
        <v>100</v>
      </c>
      <c r="X386" s="11" t="s">
        <v>115</v>
      </c>
      <c r="Y386" s="11">
        <v>100</v>
      </c>
      <c r="Z386" s="11">
        <v>100</v>
      </c>
      <c r="AA386" s="11" t="s">
        <v>2492</v>
      </c>
      <c r="AB386" s="11" t="s">
        <v>2493</v>
      </c>
      <c r="AC386" s="11" t="s">
        <v>2494</v>
      </c>
      <c r="AD386" s="11">
        <v>0</v>
      </c>
      <c r="AE386" s="11">
        <v>100</v>
      </c>
      <c r="AF386" s="11">
        <f>VLOOKUP(K386,'1197 Salud'!$K$13:$AK$54,22,0)</f>
        <v>0</v>
      </c>
      <c r="AG386" s="11">
        <f>VLOOKUP(K386,'1197 Salud'!$K$13:$AK$54,23,0)</f>
        <v>85</v>
      </c>
      <c r="AH386" s="11">
        <f t="shared" si="614"/>
        <v>85</v>
      </c>
      <c r="AI386" s="11" t="str">
        <f>VLOOKUP(K386,'1197 Salud'!$K$13:$AK$54,25,0)</f>
        <v>ESE con apoyo administrativo y financiero</v>
      </c>
      <c r="AJ386" s="11" t="str">
        <f>VLOOKUP(K386,'1197 Salud'!$K$13:$AK$54,26,0)</f>
        <v>Mediante las trasferencias de ley realizadas a los tribunales de ética médica, odontológica y enfermería aportamos al cumplimiento de los objetivos propuestos así mismo con las transferencias al hospital universitario de la samaritana y Colciencias; ademas se realizaron 39 contratos de prestación de servicios como apoyo a la gestión administrativa y financiera de la secretaria de salud y se realizo adición al convenio No.682 de 2020, para dar continuidad a  la interventoria en terminos de ley  al Contrato de Concesión No.002 de 2003</v>
      </c>
      <c r="AK386" s="11" t="str">
        <f>VLOOKUP(K386,'1197 Salud'!$K$13:$AK$54,27,0)</f>
        <v>se encontraba en recodificacion ante secretaria de hacienda , ya se solicito el respectivo precontractual , para realizar resoluciones.</v>
      </c>
      <c r="AL386" s="11">
        <v>0</v>
      </c>
      <c r="AM386" s="11">
        <v>100</v>
      </c>
      <c r="AN386" s="11">
        <v>0</v>
      </c>
      <c r="AO386" s="11">
        <v>100</v>
      </c>
      <c r="AP386" s="11">
        <v>0</v>
      </c>
      <c r="AQ386" s="11">
        <v>0</v>
      </c>
      <c r="AR386" s="51">
        <v>5424918697</v>
      </c>
      <c r="AS386" s="54">
        <v>0</v>
      </c>
      <c r="AT386" s="54">
        <f t="shared" si="535"/>
        <v>5424918697</v>
      </c>
      <c r="AU386" s="51">
        <v>3609717801</v>
      </c>
      <c r="AV386" s="243">
        <v>13171605432</v>
      </c>
      <c r="AW386" s="244"/>
      <c r="AX386" s="244"/>
      <c r="AY386" s="243">
        <v>10706313596</v>
      </c>
      <c r="AZ386" s="44" cm="1">
        <f t="array" ref="AZ386">_xlfn.IFS((BA386=0),(BD386/CL386),(BA386&gt;0),((BB386+BD386)/CL386),(BE386&gt;0),((BB386+BD386+BE386)/CL386),(BG386&gt;0),((BB386+BD386+BE386+G386)/CL386))</f>
        <v>0.46250000000000002</v>
      </c>
      <c r="BA386" s="44">
        <v>0.25</v>
      </c>
      <c r="BB386" s="44">
        <v>1</v>
      </c>
      <c r="BC386" s="44">
        <f t="shared" si="615"/>
        <v>0.25</v>
      </c>
      <c r="BD386" s="44" cm="1">
        <f t="array" ref="BD386">_xlfn.IFS(AE386=0,"NA",AE386&gt;0,AH386/AE386)</f>
        <v>0.85</v>
      </c>
      <c r="BE386" s="44">
        <f t="shared" si="616"/>
        <v>0.25</v>
      </c>
      <c r="BF386" s="44">
        <v>0</v>
      </c>
      <c r="BG386" s="44">
        <f t="shared" si="617"/>
        <v>0.25</v>
      </c>
      <c r="BH386" s="44">
        <v>0</v>
      </c>
      <c r="BI386" s="44">
        <v>0</v>
      </c>
      <c r="BJ386" s="44" t="s">
        <v>115</v>
      </c>
      <c r="BK386" s="44">
        <f t="shared" si="536"/>
        <v>0.46250000000000002</v>
      </c>
      <c r="BL386" s="44">
        <v>1</v>
      </c>
      <c r="BM386" s="44" cm="1">
        <f t="array" ref="BM386">_xlfn.IFS(BD386="NA","NA",BD386&gt;100%,"100%",BD386&lt;100,BD386)</f>
        <v>0.85</v>
      </c>
      <c r="BN386" s="44">
        <v>0</v>
      </c>
      <c r="BO386" s="44">
        <v>0</v>
      </c>
      <c r="BP386" s="44" t="s">
        <v>115</v>
      </c>
      <c r="BQ386" s="45">
        <v>0.224</v>
      </c>
      <c r="BR386" s="45">
        <f t="shared" si="541"/>
        <v>0.10360000000000001</v>
      </c>
      <c r="BS386" s="45">
        <v>5.6000000000000001E-2</v>
      </c>
      <c r="BT386" s="45">
        <v>5.6000000000000001E-2</v>
      </c>
      <c r="BU386" s="45">
        <v>5.6000000000000001E-2</v>
      </c>
      <c r="BV386" s="45">
        <v>5.6000000000000001E-2</v>
      </c>
      <c r="BW386" s="45">
        <f t="shared" si="551"/>
        <v>4.7599999999999996E-2</v>
      </c>
      <c r="BX386" s="45">
        <f t="shared" si="552"/>
        <v>4.760000000000001E-2</v>
      </c>
      <c r="BY386" s="45">
        <v>5.6000000000000001E-2</v>
      </c>
      <c r="BZ386" s="45">
        <v>0</v>
      </c>
      <c r="CA386" s="45">
        <f t="shared" si="542"/>
        <v>0</v>
      </c>
      <c r="CB386" s="45">
        <v>5.6000000000000001E-2</v>
      </c>
      <c r="CC386" s="45">
        <v>0</v>
      </c>
      <c r="CD386" s="45">
        <v>0</v>
      </c>
      <c r="CE386" s="45">
        <v>0</v>
      </c>
      <c r="CF386" s="45" t="s">
        <v>115</v>
      </c>
      <c r="CG386" s="45">
        <v>0</v>
      </c>
      <c r="CH386" s="244">
        <f t="shared" si="618"/>
        <v>1</v>
      </c>
      <c r="CI386" s="244">
        <f t="shared" si="619"/>
        <v>1</v>
      </c>
      <c r="CJ386" s="244">
        <f t="shared" si="620"/>
        <v>1</v>
      </c>
      <c r="CK386" s="244">
        <f t="shared" si="621"/>
        <v>1</v>
      </c>
      <c r="CL386">
        <f t="shared" si="622"/>
        <v>4</v>
      </c>
      <c r="CM386" s="63">
        <f t="shared" si="623"/>
        <v>92.5</v>
      </c>
    </row>
    <row r="387" spans="1:91" ht="18" hidden="1" customHeight="1">
      <c r="A387" s="260" t="s">
        <v>98</v>
      </c>
      <c r="B387" s="260" t="s">
        <v>99</v>
      </c>
      <c r="C387" s="260" t="s">
        <v>2371</v>
      </c>
      <c r="D387" s="260" t="s">
        <v>2372</v>
      </c>
      <c r="E387" s="260" t="s">
        <v>2458</v>
      </c>
      <c r="F387" s="260" t="s">
        <v>2459</v>
      </c>
      <c r="G387" s="260" t="s">
        <v>2460</v>
      </c>
      <c r="H387" s="260" t="s">
        <v>2495</v>
      </c>
      <c r="I387" s="260" t="s">
        <v>106</v>
      </c>
      <c r="J387" s="260"/>
      <c r="K387" s="260" t="s">
        <v>2496</v>
      </c>
      <c r="L387" s="260" t="s">
        <v>2497</v>
      </c>
      <c r="M387" s="260" t="s">
        <v>2498</v>
      </c>
      <c r="N387" s="260" t="s">
        <v>123</v>
      </c>
      <c r="O387" s="260" t="s">
        <v>124</v>
      </c>
      <c r="P387" s="10">
        <v>100</v>
      </c>
      <c r="Q387" s="11">
        <v>100</v>
      </c>
      <c r="R387" s="11">
        <f t="shared" si="613"/>
        <v>50</v>
      </c>
      <c r="S387" s="11" t="str">
        <f>VLOOKUP(K387,'1197 Salud'!$K$13:$AK$54,9,0)</f>
        <v>1. Se LOGRA que los 52  hospitales de la red pública departamental cuenten con la formulación y seguimiento al Plan Indicativo y POA hospitalario 2020 y 2021.
2. Se ALCANZA que los 116 Entes territoriales municipales cuenten con la formulación del PTS, COAI, PAS y seguimiento al PAS reportada al Ministerio de Salud y Protección Social  en la plataforma web GESTION PDSP.
3. Se CONSIGUE que dependencias de la Secretaria de Salud Departamental cuenten con los los lineamentos para la formulación, y seguimiento de los proyectos y presupuestos;  los formatos para el reporte del SPI y la focalización de la inversión y los lineamentos para el  seguimiento de los planes departamentales (plan indicativo, plan de acción y plan de coherencia) PDD y PTS.</v>
      </c>
      <c r="T387" s="11">
        <v>0</v>
      </c>
      <c r="U387" s="11">
        <v>100</v>
      </c>
      <c r="V387" s="11">
        <v>0</v>
      </c>
      <c r="W387" s="11">
        <v>100</v>
      </c>
      <c r="X387" s="11" t="s">
        <v>115</v>
      </c>
      <c r="Y387" s="11">
        <v>100</v>
      </c>
      <c r="Z387" s="11">
        <v>100</v>
      </c>
      <c r="AA387" s="11" t="s">
        <v>2498</v>
      </c>
      <c r="AB387" s="11" t="s">
        <v>2499</v>
      </c>
      <c r="AC387" s="11" t="s">
        <v>2500</v>
      </c>
      <c r="AD387" s="11">
        <v>0</v>
      </c>
      <c r="AE387" s="11">
        <v>100</v>
      </c>
      <c r="AF387" s="11">
        <f>VLOOKUP(K387,'1197 Salud'!$K$13:$AK$54,22,0)</f>
        <v>0</v>
      </c>
      <c r="AG387" s="11">
        <f>VLOOKUP(K387,'1197 Salud'!$K$13:$AK$54,23,0)</f>
        <v>100</v>
      </c>
      <c r="AH387" s="11">
        <f t="shared" si="614"/>
        <v>100</v>
      </c>
      <c r="AI387" s="11" t="str">
        <f>VLOOKUP(K387,'1197 Salud'!$K$13:$AK$54,25,0)</f>
        <v>Entidades asistidas</v>
      </c>
      <c r="AJ387" s="11" t="str">
        <f>VLOOKUP(K387,'1197 Salud'!$K$13:$AK$54,26,0)</f>
        <v>1. Se LOGRA realizar asistencia técnica a los hospitales de la red pública departamental en el seguimiento al POA 2020, formulación y seguimiento al Plan Indicativo y POA 2021.
2. Se ALCANZA por medio de la asistencia técnica que los 116 Entes territoriales municipales cuenten con la planeación operativa reportada al Ministerio de Salud y Protección Social  en la plataforma web GESTION PDSP.
3. Se CONSIGUE a través de la asistencia técnica a las dependencias de la Secretaria de Salud Departamental socializar los lineamentos para la formulación y seguimiento de los proyectos y presupuestos;  socialización de los formatos para el reporte del SPI y la focalización de la inversión y los lineamentos para el  seguimiento de los planes departamentales (plan indicativo, plan de acción y plan de coherencia) PDD y PTS.</v>
      </c>
      <c r="AK387" s="11" t="str">
        <f>VLOOKUP(K387,'1197 Salud'!$K$13:$AK$54,27,0)</f>
        <v>N/A</v>
      </c>
      <c r="AL387" s="11">
        <v>0</v>
      </c>
      <c r="AM387" s="11">
        <v>100</v>
      </c>
      <c r="AN387" s="11">
        <v>0</v>
      </c>
      <c r="AO387" s="11">
        <v>100</v>
      </c>
      <c r="AP387" s="11">
        <v>0</v>
      </c>
      <c r="AQ387" s="11">
        <v>0</v>
      </c>
      <c r="AR387" s="51">
        <v>119195398</v>
      </c>
      <c r="AS387" s="54">
        <v>0</v>
      </c>
      <c r="AT387" s="54">
        <f t="shared" si="535"/>
        <v>119195398</v>
      </c>
      <c r="AU387" s="51">
        <v>49354905</v>
      </c>
      <c r="AV387" s="243">
        <v>575895019</v>
      </c>
      <c r="AW387" s="244"/>
      <c r="AX387" s="244"/>
      <c r="AY387" s="243">
        <v>567329626</v>
      </c>
      <c r="AZ387" s="44" cm="1">
        <f t="array" ref="AZ387">_xlfn.IFS((BA387=0),(BD387/CL387),(BA387&gt;0),((BB387+BD387)/CL387),(BE387&gt;0),((BB387+BD387+BE387)/CL387),(BG387&gt;0),((BB387+BD387+BE387+G387)/CL387))</f>
        <v>0.5</v>
      </c>
      <c r="BA387" s="44">
        <v>0.25</v>
      </c>
      <c r="BB387" s="44">
        <v>1</v>
      </c>
      <c r="BC387" s="44">
        <f t="shared" si="615"/>
        <v>0.25</v>
      </c>
      <c r="BD387" s="44" cm="1">
        <f t="array" ref="BD387">_xlfn.IFS(AE387=0,"NA",AE387&gt;0,AH387/AE387)</f>
        <v>1</v>
      </c>
      <c r="BE387" s="44">
        <f t="shared" si="616"/>
        <v>0.25</v>
      </c>
      <c r="BF387" s="44">
        <v>0</v>
      </c>
      <c r="BG387" s="44">
        <f t="shared" si="617"/>
        <v>0.25</v>
      </c>
      <c r="BH387" s="44">
        <v>0</v>
      </c>
      <c r="BI387" s="44">
        <v>0</v>
      </c>
      <c r="BJ387" s="44" t="s">
        <v>115</v>
      </c>
      <c r="BK387" s="44">
        <f t="shared" si="536"/>
        <v>0.5</v>
      </c>
      <c r="BL387" s="44">
        <v>1</v>
      </c>
      <c r="BM387" s="44" cm="1">
        <f t="array" ref="BM387">_xlfn.IFS(BD387="NA","NA",BD387&gt;100%,"100%",BD387&lt;100,BD387)</f>
        <v>1</v>
      </c>
      <c r="BN387" s="44">
        <v>0</v>
      </c>
      <c r="BO387" s="44">
        <v>0</v>
      </c>
      <c r="BP387" s="44" t="s">
        <v>115</v>
      </c>
      <c r="BQ387" s="45">
        <v>0.224</v>
      </c>
      <c r="BR387" s="45">
        <f t="shared" si="541"/>
        <v>0.112</v>
      </c>
      <c r="BS387" s="45">
        <v>5.6000000000000001E-2</v>
      </c>
      <c r="BT387" s="45">
        <v>5.6000000000000001E-2</v>
      </c>
      <c r="BU387" s="45">
        <v>5.6000000000000001E-2</v>
      </c>
      <c r="BV387" s="45">
        <v>5.6000000000000001E-2</v>
      </c>
      <c r="BW387" s="45">
        <f t="shared" si="551"/>
        <v>5.6000000000000001E-2</v>
      </c>
      <c r="BX387" s="45">
        <f t="shared" si="552"/>
        <v>5.6000000000000001E-2</v>
      </c>
      <c r="BY387" s="45">
        <v>5.6000000000000001E-2</v>
      </c>
      <c r="BZ387" s="45">
        <v>0</v>
      </c>
      <c r="CA387" s="45">
        <f t="shared" si="542"/>
        <v>0</v>
      </c>
      <c r="CB387" s="45">
        <v>5.6000000000000001E-2</v>
      </c>
      <c r="CC387" s="45">
        <v>0</v>
      </c>
      <c r="CD387" s="45">
        <v>0</v>
      </c>
      <c r="CE387" s="45">
        <v>0</v>
      </c>
      <c r="CF387" s="45" t="s">
        <v>115</v>
      </c>
      <c r="CG387" s="45">
        <v>0</v>
      </c>
      <c r="CH387" s="244">
        <f t="shared" si="618"/>
        <v>1</v>
      </c>
      <c r="CI387" s="244">
        <f t="shared" si="619"/>
        <v>1</v>
      </c>
      <c r="CJ387" s="244">
        <f t="shared" si="620"/>
        <v>1</v>
      </c>
      <c r="CK387" s="244">
        <f t="shared" si="621"/>
        <v>1</v>
      </c>
      <c r="CL387">
        <f t="shared" si="622"/>
        <v>4</v>
      </c>
      <c r="CM387" s="63">
        <f t="shared" si="623"/>
        <v>100</v>
      </c>
    </row>
    <row r="388" spans="1:91" ht="18" hidden="1" customHeight="1">
      <c r="A388" s="260" t="s">
        <v>98</v>
      </c>
      <c r="B388" s="260" t="s">
        <v>99</v>
      </c>
      <c r="C388" s="260" t="s">
        <v>2371</v>
      </c>
      <c r="D388" s="260" t="s">
        <v>2372</v>
      </c>
      <c r="E388" s="260" t="s">
        <v>2458</v>
      </c>
      <c r="F388" s="260" t="s">
        <v>2459</v>
      </c>
      <c r="G388" s="260" t="s">
        <v>2460</v>
      </c>
      <c r="H388" s="260" t="s">
        <v>2501</v>
      </c>
      <c r="I388" s="260" t="s">
        <v>106</v>
      </c>
      <c r="J388" s="260" t="s">
        <v>119</v>
      </c>
      <c r="K388" s="260" t="s">
        <v>2502</v>
      </c>
      <c r="L388" s="260" t="s">
        <v>2503</v>
      </c>
      <c r="M388" s="260" t="s">
        <v>2504</v>
      </c>
      <c r="N388" s="260" t="s">
        <v>111</v>
      </c>
      <c r="O388" s="260" t="s">
        <v>124</v>
      </c>
      <c r="P388" s="10">
        <v>116</v>
      </c>
      <c r="Q388" s="11">
        <v>116</v>
      </c>
      <c r="R388" s="11">
        <f t="shared" si="613"/>
        <v>58</v>
      </c>
      <c r="S388" s="11" t="str">
        <f>VLOOKUP(K388,'1197 Salud'!$K$13:$AK$54,9,0)</f>
        <v>Se logra cofinanciar la unidad de pago por capacitación del Régimen Subsidiado (UPC-S) en los 116 municipios del departamento con el fin de garantizar la afiliación de la población al régimen subsidiado y se efectuó seguimiento para promover acceso a los servicios de salud con oportunidad y calidad en garantizar que sean atendidos en su totalidad los requerimientos de prestación de servicios de tecnologías en salud no incluidos dentro del plan de beneficios solicitados por los usuarios a cargo del departamento.  Y con respecto con el registro contable de la LMA, se debe fortalecer los conceptos. Se propuso la realización de un piloto para avanzar con los secretarios de Hacienda y Contadores de los municipios.</v>
      </c>
      <c r="T388" s="11">
        <v>0</v>
      </c>
      <c r="U388" s="11">
        <v>116</v>
      </c>
      <c r="V388" s="11">
        <v>0</v>
      </c>
      <c r="W388" s="11">
        <v>116</v>
      </c>
      <c r="X388" s="11" t="s">
        <v>115</v>
      </c>
      <c r="Y388" s="11">
        <v>116</v>
      </c>
      <c r="Z388" s="11">
        <v>116</v>
      </c>
      <c r="AA388" s="11" t="s">
        <v>2505</v>
      </c>
      <c r="AB388" s="11" t="s">
        <v>2506</v>
      </c>
      <c r="AC388" s="11">
        <v>0</v>
      </c>
      <c r="AD388" s="11">
        <v>0</v>
      </c>
      <c r="AE388" s="11">
        <v>116</v>
      </c>
      <c r="AF388" s="11">
        <f>VLOOKUP(K388,'1197 Salud'!$K$13:$AK$54,22,0)</f>
        <v>0</v>
      </c>
      <c r="AG388" s="11">
        <f>VLOOKUP(K388,'1197 Salud'!$K$13:$AK$54,23,0)</f>
        <v>116</v>
      </c>
      <c r="AH388" s="11">
        <f t="shared" si="614"/>
        <v>116</v>
      </c>
      <c r="AI388" s="11" t="str">
        <f>VLOOKUP(K388,'1197 Salud'!$K$13:$AK$54,25,0)</f>
        <v>municipios cofinanciados</v>
      </c>
      <c r="AJ388" s="11" t="str">
        <f>VLOOKUP(K388,'1197 Salud'!$K$13:$AK$54,26,0)</f>
        <v>Se logra en los 116 municipios del departamento con el fin ha garantizado la participación en la cofinanciación de la Unidad de Pago por Capitación del régimen Subsidiado UPC-S, con la transferencia de los recursos a la Administradora de los Recursos del Sistema General de Seguridad Social en Salud – ADRES, permitiendo la garantía continuada sobre la afiliación al Régimen Subsidiado y el acceso a los diferentes programas de promoción y mantenimiento de la salud.</v>
      </c>
      <c r="AK388" s="11" t="str">
        <f>VLOOKUP(K388,'1197 Salud'!$K$13:$AK$54,27,0)</f>
        <v xml:space="preserve">Las dificultades se han presentado  para contabilizar los recursos sin situación de fondos lo que ha generado retrasos en la solicitud de los correspondientes registros presupuestales. Esta es una situación que por no depender de la Dirección de Aseguramiento se ha escalado a la Dirección Administrativa y financiera. </v>
      </c>
      <c r="AL388" s="11">
        <v>0</v>
      </c>
      <c r="AM388" s="11">
        <v>116</v>
      </c>
      <c r="AN388" s="11">
        <v>0</v>
      </c>
      <c r="AO388" s="11">
        <v>116</v>
      </c>
      <c r="AP388" s="11">
        <v>0</v>
      </c>
      <c r="AQ388" s="11">
        <v>0</v>
      </c>
      <c r="AR388" s="51">
        <v>129388909334</v>
      </c>
      <c r="AS388" s="54">
        <v>0</v>
      </c>
      <c r="AT388" s="54">
        <f t="shared" si="535"/>
        <v>129388909334</v>
      </c>
      <c r="AU388" s="51">
        <v>92462636594</v>
      </c>
      <c r="AV388" s="243">
        <v>168397057588</v>
      </c>
      <c r="AW388" s="244"/>
      <c r="AX388" s="244"/>
      <c r="AY388" s="243">
        <v>127424923223</v>
      </c>
      <c r="AZ388" s="44" cm="1">
        <f t="array" ref="AZ388">_xlfn.IFS((BA388=0),(BD388/CL388),(BA388&gt;0),((BB388+BD388)/CL388),(BE388&gt;0),((BB388+BD388+BE388)/CL388),(BG388&gt;0),((BB388+BD388+BE388+G388)/CL388))</f>
        <v>0.5</v>
      </c>
      <c r="BA388" s="44">
        <v>0.25</v>
      </c>
      <c r="BB388" s="44">
        <v>1</v>
      </c>
      <c r="BC388" s="44">
        <f t="shared" si="615"/>
        <v>0.25</v>
      </c>
      <c r="BD388" s="44" cm="1">
        <f t="array" ref="BD388">_xlfn.IFS(AE388=0,"NA",AE388&gt;0,AH388/AE388)</f>
        <v>1</v>
      </c>
      <c r="BE388" s="44">
        <f t="shared" si="616"/>
        <v>0.25</v>
      </c>
      <c r="BF388" s="44">
        <v>0</v>
      </c>
      <c r="BG388" s="44">
        <f t="shared" si="617"/>
        <v>0.25</v>
      </c>
      <c r="BH388" s="44">
        <v>0</v>
      </c>
      <c r="BI388" s="44">
        <v>0</v>
      </c>
      <c r="BJ388" s="44" t="s">
        <v>115</v>
      </c>
      <c r="BK388" s="44">
        <f t="shared" si="536"/>
        <v>0.5</v>
      </c>
      <c r="BL388" s="44">
        <v>1</v>
      </c>
      <c r="BM388" s="44" cm="1">
        <f t="array" ref="BM388">_xlfn.IFS(BD388="NA","NA",BD388&gt;100%,"100%",BD388&lt;100,BD388)</f>
        <v>1</v>
      </c>
      <c r="BN388" s="44">
        <v>0</v>
      </c>
      <c r="BO388" s="44">
        <v>0</v>
      </c>
      <c r="BP388" s="44" t="s">
        <v>115</v>
      </c>
      <c r="BQ388" s="45">
        <v>0.224</v>
      </c>
      <c r="BR388" s="45">
        <f t="shared" si="541"/>
        <v>0.112</v>
      </c>
      <c r="BS388" s="45">
        <v>5.6000000000000001E-2</v>
      </c>
      <c r="BT388" s="45">
        <v>5.6000000000000001E-2</v>
      </c>
      <c r="BU388" s="45">
        <v>5.6000000000000001E-2</v>
      </c>
      <c r="BV388" s="45">
        <v>5.6000000000000001E-2</v>
      </c>
      <c r="BW388" s="45">
        <f t="shared" si="551"/>
        <v>5.6000000000000001E-2</v>
      </c>
      <c r="BX388" s="45">
        <f t="shared" si="552"/>
        <v>5.6000000000000001E-2</v>
      </c>
      <c r="BY388" s="45">
        <v>5.6000000000000001E-2</v>
      </c>
      <c r="BZ388" s="45">
        <v>0</v>
      </c>
      <c r="CA388" s="45">
        <f t="shared" si="542"/>
        <v>0</v>
      </c>
      <c r="CB388" s="45">
        <v>5.6000000000000001E-2</v>
      </c>
      <c r="CC388" s="45">
        <v>0</v>
      </c>
      <c r="CD388" s="45">
        <v>0</v>
      </c>
      <c r="CE388" s="45">
        <v>0</v>
      </c>
      <c r="CF388" s="45" t="s">
        <v>115</v>
      </c>
      <c r="CG388" s="45">
        <v>0</v>
      </c>
      <c r="CH388" s="244">
        <f t="shared" si="618"/>
        <v>1</v>
      </c>
      <c r="CI388" s="244">
        <f t="shared" si="619"/>
        <v>1</v>
      </c>
      <c r="CJ388" s="244">
        <f t="shared" si="620"/>
        <v>1</v>
      </c>
      <c r="CK388" s="244">
        <f t="shared" si="621"/>
        <v>1</v>
      </c>
      <c r="CL388">
        <f t="shared" si="622"/>
        <v>4</v>
      </c>
      <c r="CM388" s="63">
        <f t="shared" si="623"/>
        <v>116</v>
      </c>
    </row>
    <row r="389" spans="1:91" ht="18" hidden="1" customHeight="1">
      <c r="A389" s="260" t="s">
        <v>2437</v>
      </c>
      <c r="B389" s="260" t="s">
        <v>2438</v>
      </c>
      <c r="C389" s="260" t="s">
        <v>2371</v>
      </c>
      <c r="D389" s="260" t="s">
        <v>2372</v>
      </c>
      <c r="E389" s="260" t="s">
        <v>2458</v>
      </c>
      <c r="F389" s="260" t="s">
        <v>2459</v>
      </c>
      <c r="G389" s="260" t="s">
        <v>2460</v>
      </c>
      <c r="H389" s="260" t="s">
        <v>2507</v>
      </c>
      <c r="I389" s="260"/>
      <c r="J389" s="260"/>
      <c r="K389" s="260" t="s">
        <v>2508</v>
      </c>
      <c r="L389" s="260" t="s">
        <v>2509</v>
      </c>
      <c r="M389" s="260" t="s">
        <v>2510</v>
      </c>
      <c r="N389" s="260" t="s">
        <v>111</v>
      </c>
      <c r="O389" s="260" t="s">
        <v>112</v>
      </c>
      <c r="P389" s="10">
        <v>10</v>
      </c>
      <c r="Q389" s="11">
        <v>6</v>
      </c>
      <c r="R389" s="11">
        <f t="shared" ref="R389:R390" si="624">Z389+AH389</f>
        <v>2</v>
      </c>
      <c r="S389" s="11">
        <f>VLOOKUP(K389,'1103 General'!$K$13:$S$22,9,0)</f>
        <v>0</v>
      </c>
      <c r="T389" s="11">
        <v>0</v>
      </c>
      <c r="U389" s="11">
        <v>0</v>
      </c>
      <c r="V389" s="11">
        <v>0</v>
      </c>
      <c r="W389" s="11">
        <v>0</v>
      </c>
      <c r="X389" s="11">
        <v>0</v>
      </c>
      <c r="Y389" s="11">
        <v>0</v>
      </c>
      <c r="Z389" s="11">
        <v>0</v>
      </c>
      <c r="AA389" s="11"/>
      <c r="AB389" s="11"/>
      <c r="AC389" s="11"/>
      <c r="AD389" s="11">
        <v>4</v>
      </c>
      <c r="AE389" s="11">
        <v>0</v>
      </c>
      <c r="AF389" s="11">
        <f>VLOOKUP(K389,'1103 General'!$K$13:$AK$21,22,0)</f>
        <v>2</v>
      </c>
      <c r="AG389" s="11">
        <f>VLOOKUP(K389,'1103 General'!$K$13:$AK$21,23,0)</f>
        <v>0</v>
      </c>
      <c r="AH389" s="11">
        <f t="shared" ref="AH389:AH390" si="625">AF389</f>
        <v>2</v>
      </c>
      <c r="AI389" s="11" t="str">
        <f>VLOOKUP(K389,'1103 General'!$K$13:$AK$21,25,0)</f>
        <v xml:space="preserve">bienes muebles adecuados </v>
      </c>
      <c r="AJ389" s="11" t="str">
        <f>VLOOKUP(K389,'1103 General'!$K$13:$AK$21,26,0)</f>
        <v xml:space="preserve">Se ha realizado a la fecha la adecuación de dos bienes inmuebles piso 9 y unidad administrativa especial de gestión del riesgo </v>
      </c>
      <c r="AK389" s="11">
        <f>VLOOKUP(K389,'1103 General'!$K$13:$AK$21,27,0)</f>
        <v>0</v>
      </c>
      <c r="AL389" s="11">
        <v>0</v>
      </c>
      <c r="AM389" s="11">
        <v>0</v>
      </c>
      <c r="AN389" s="11">
        <v>2</v>
      </c>
      <c r="AO389" s="11">
        <v>0</v>
      </c>
      <c r="AP389" s="11">
        <v>0</v>
      </c>
      <c r="AQ389" s="11">
        <v>0</v>
      </c>
      <c r="AR389" s="51">
        <v>400000000</v>
      </c>
      <c r="AS389" s="54">
        <v>-400000000</v>
      </c>
      <c r="AT389" s="54">
        <f t="shared" si="535"/>
        <v>0</v>
      </c>
      <c r="AU389" s="51">
        <v>400000000</v>
      </c>
      <c r="AV389" s="243">
        <v>3719923742</v>
      </c>
      <c r="AW389" s="244"/>
      <c r="AX389" s="244"/>
      <c r="AY389" s="243">
        <v>3719613178</v>
      </c>
      <c r="AZ389" s="44">
        <f>R389/Q389</f>
        <v>0.33333333333333331</v>
      </c>
      <c r="BA389" s="44">
        <v>0</v>
      </c>
      <c r="BB389" s="44" t="s">
        <v>115</v>
      </c>
      <c r="BC389" s="44">
        <f t="shared" ref="BC389:BC390" si="626">AD389/Q389</f>
        <v>0.66666666666666663</v>
      </c>
      <c r="BD389" s="44" cm="1">
        <f t="array" ref="BD389">_xlfn.IFS(AD389=0,"NA",AD389&gt;0,AH389/AD389)</f>
        <v>0.5</v>
      </c>
      <c r="BE389" s="44">
        <f t="shared" ref="BE389:BE390" si="627">AL389/Q389</f>
        <v>0</v>
      </c>
      <c r="BF389" s="44">
        <v>0</v>
      </c>
      <c r="BG389" s="44">
        <f t="shared" ref="BG389:BG390" si="628">AN389/Q389</f>
        <v>0.33333333333333331</v>
      </c>
      <c r="BH389" s="44">
        <v>0</v>
      </c>
      <c r="BI389" s="44">
        <f>AP389/Q389</f>
        <v>0</v>
      </c>
      <c r="BJ389" s="44" t="s">
        <v>115</v>
      </c>
      <c r="BK389" s="44">
        <f t="shared" si="536"/>
        <v>0.33333333333333331</v>
      </c>
      <c r="BL389" s="44" t="s">
        <v>115</v>
      </c>
      <c r="BM389" s="44" cm="1">
        <f t="array" ref="BM389">_xlfn.IFS(BD389="NA","NA",BD389&gt;100%,"100%",BD389&lt;100,BD389)</f>
        <v>0.5</v>
      </c>
      <c r="BN389" s="44" cm="1">
        <f t="array" ref="BN389">_xlfn.IFS(BF389="NA","NA",BF389&gt;100%,"100%",BF389&lt;100,BF389)</f>
        <v>0</v>
      </c>
      <c r="BO389" s="44" cm="1">
        <f t="array" ref="BO389">_xlfn.IFS(BH389="NA","NA",BH389&gt;100%,"100%",BH389&lt;100,BH389)</f>
        <v>0</v>
      </c>
      <c r="BP389" s="44" t="str" cm="1">
        <f t="array" ref="BP389">_xlfn.IFS(BJ389="NA","NA",BJ389&gt;100%,"100%",BJ389&lt;100,BJ389)</f>
        <v>NA</v>
      </c>
      <c r="BQ389" s="45">
        <v>0.224</v>
      </c>
      <c r="BR389" s="45">
        <f t="shared" si="541"/>
        <v>7.4666666666666659E-2</v>
      </c>
      <c r="BS389" s="45">
        <v>0</v>
      </c>
      <c r="BT389" s="45" t="s">
        <v>115</v>
      </c>
      <c r="BU389" s="45">
        <v>0</v>
      </c>
      <c r="BV389" s="45">
        <f t="shared" ref="BV389:BV390" si="629">(AD389*BQ389)/Q389</f>
        <v>0.14933333333333335</v>
      </c>
      <c r="BW389" s="45">
        <f t="shared" si="551"/>
        <v>7.4666666666666673E-2</v>
      </c>
      <c r="BX389" s="45">
        <f t="shared" si="552"/>
        <v>7.4666666666666659E-2</v>
      </c>
      <c r="BY389" s="45">
        <f t="shared" ref="BY389:BY390" si="630">(AL389*BQ389)/Q389</f>
        <v>0</v>
      </c>
      <c r="BZ389" s="45">
        <f t="shared" ref="BZ389:BZ390" si="631">IF(BN389="NA","NA",BN389*BY389)</f>
        <v>0</v>
      </c>
      <c r="CA389" s="45">
        <f t="shared" si="542"/>
        <v>0</v>
      </c>
      <c r="CB389" s="45">
        <f t="shared" ref="CB389:CB390" si="632">(AN389*BQ389)/Q389</f>
        <v>7.4666666666666673E-2</v>
      </c>
      <c r="CC389" s="45">
        <f t="shared" ref="CC389:CC390" si="633">IF(BO389="NA","NA",BO389*CB389)</f>
        <v>0</v>
      </c>
      <c r="CD389" s="45">
        <v>0</v>
      </c>
      <c r="CE389" s="45">
        <f>(AP389*BQ389)/Q389</f>
        <v>0</v>
      </c>
      <c r="CF389" s="45" t="str">
        <f>IF(BP389="NA","NA",BP389*CE389)</f>
        <v>NA</v>
      </c>
      <c r="CG389" s="45">
        <v>0</v>
      </c>
      <c r="CH389" s="244"/>
      <c r="CI389" s="244"/>
      <c r="CJ389" s="244"/>
      <c r="CK389" s="244"/>
      <c r="CM389" s="63">
        <v>2</v>
      </c>
    </row>
    <row r="390" spans="1:91" ht="18" hidden="1" customHeight="1">
      <c r="A390" s="260" t="s">
        <v>2437</v>
      </c>
      <c r="B390" s="260" t="s">
        <v>2438</v>
      </c>
      <c r="C390" s="260" t="s">
        <v>2371</v>
      </c>
      <c r="D390" s="260" t="s">
        <v>2372</v>
      </c>
      <c r="E390" s="260" t="s">
        <v>2458</v>
      </c>
      <c r="F390" s="260" t="s">
        <v>2459</v>
      </c>
      <c r="G390" s="260" t="s">
        <v>2460</v>
      </c>
      <c r="H390" s="260" t="s">
        <v>2511</v>
      </c>
      <c r="I390" s="260"/>
      <c r="J390" s="260"/>
      <c r="K390" s="260" t="s">
        <v>2512</v>
      </c>
      <c r="L390" s="260" t="s">
        <v>2513</v>
      </c>
      <c r="M390" s="260" t="s">
        <v>2514</v>
      </c>
      <c r="N390" s="260" t="s">
        <v>111</v>
      </c>
      <c r="O390" s="260" t="s">
        <v>112</v>
      </c>
      <c r="P390" s="10">
        <v>1017</v>
      </c>
      <c r="Q390" s="11">
        <v>5</v>
      </c>
      <c r="R390" s="11">
        <f t="shared" si="624"/>
        <v>0</v>
      </c>
      <c r="S390" s="11">
        <f>VLOOKUP(K390,'1103 General'!$K$13:$S$22,9,0)</f>
        <v>0</v>
      </c>
      <c r="T390" s="11">
        <v>0</v>
      </c>
      <c r="U390" s="11">
        <v>0</v>
      </c>
      <c r="V390" s="11">
        <v>0</v>
      </c>
      <c r="W390" s="11">
        <v>0</v>
      </c>
      <c r="X390" s="11">
        <v>0</v>
      </c>
      <c r="Y390" s="11">
        <v>0</v>
      </c>
      <c r="Z390" s="11">
        <v>0</v>
      </c>
      <c r="AA390" s="11"/>
      <c r="AB390" s="11"/>
      <c r="AC390" s="11"/>
      <c r="AD390" s="11">
        <v>0</v>
      </c>
      <c r="AE390" s="11">
        <v>0</v>
      </c>
      <c r="AF390" s="11">
        <f>VLOOKUP(K390,'1103 General'!$K$13:$AK$21,22,0)</f>
        <v>0</v>
      </c>
      <c r="AG390" s="11">
        <f>VLOOKUP(K390,'1103 General'!$K$13:$AK$21,23,0)</f>
        <v>0</v>
      </c>
      <c r="AH390" s="11">
        <f t="shared" si="625"/>
        <v>0</v>
      </c>
      <c r="AI390" s="11">
        <f>VLOOKUP(K390,'1103 General'!$K$13:$AK$21,25,0)</f>
        <v>0</v>
      </c>
      <c r="AJ390" s="11">
        <f>VLOOKUP(K390,'1103 General'!$K$13:$AK$21,26,0)</f>
        <v>0</v>
      </c>
      <c r="AK390" s="11">
        <f>VLOOKUP(K390,'1103 General'!$K$13:$AK$21,27,0)</f>
        <v>0</v>
      </c>
      <c r="AL390" s="11">
        <v>1</v>
      </c>
      <c r="AM390" s="11">
        <v>0</v>
      </c>
      <c r="AN390" s="11">
        <v>4</v>
      </c>
      <c r="AO390" s="11">
        <v>0</v>
      </c>
      <c r="AP390" s="11">
        <v>0</v>
      </c>
      <c r="AQ390" s="11">
        <v>0</v>
      </c>
      <c r="AR390" s="52"/>
      <c r="AS390" s="54">
        <v>0</v>
      </c>
      <c r="AT390" s="54">
        <f t="shared" si="535"/>
        <v>0</v>
      </c>
      <c r="AU390" s="52"/>
      <c r="AV390" s="243"/>
      <c r="AW390" s="244"/>
      <c r="AX390" s="244"/>
      <c r="AY390" s="243"/>
      <c r="AZ390" s="44">
        <f>R390/Q390</f>
        <v>0</v>
      </c>
      <c r="BA390" s="44">
        <v>0</v>
      </c>
      <c r="BB390" s="44" t="s">
        <v>115</v>
      </c>
      <c r="BC390" s="44">
        <f t="shared" si="626"/>
        <v>0</v>
      </c>
      <c r="BD390" s="44" t="str" cm="1">
        <f t="array" ref="BD390">_xlfn.IFS(AD390=0,"NA",AD390&gt;0,AH390/AD390)</f>
        <v>NA</v>
      </c>
      <c r="BE390" s="44">
        <f t="shared" si="627"/>
        <v>0.2</v>
      </c>
      <c r="BF390" s="44">
        <v>0</v>
      </c>
      <c r="BG390" s="44">
        <f t="shared" si="628"/>
        <v>0.8</v>
      </c>
      <c r="BH390" s="44">
        <v>0</v>
      </c>
      <c r="BI390" s="44">
        <f>AP390/Q390</f>
        <v>0</v>
      </c>
      <c r="BJ390" s="44" t="s">
        <v>115</v>
      </c>
      <c r="BK390" s="44">
        <f t="shared" si="536"/>
        <v>0</v>
      </c>
      <c r="BL390" s="44" t="s">
        <v>115</v>
      </c>
      <c r="BM390" s="44" t="str" cm="1">
        <f t="array" ref="BM390">_xlfn.IFS(BD390="NA","NA",BD390&gt;100%,"100%",BD390&lt;100,BD390)</f>
        <v>NA</v>
      </c>
      <c r="BN390" s="44" cm="1">
        <f t="array" ref="BN390">_xlfn.IFS(BF390="NA","NA",BF390&gt;100%,"100%",BF390&lt;100,BF390)</f>
        <v>0</v>
      </c>
      <c r="BO390" s="44" cm="1">
        <f t="array" ref="BO390">_xlfn.IFS(BH390="NA","NA",BH390&gt;100%,"100%",BH390&lt;100,BH390)</f>
        <v>0</v>
      </c>
      <c r="BP390" s="44" t="str" cm="1">
        <f t="array" ref="BP390">_xlfn.IFS(BJ390="NA","NA",BJ390&gt;100%,"100%",BJ390&lt;100,BJ390)</f>
        <v>NA</v>
      </c>
      <c r="BQ390" s="45">
        <v>0.224</v>
      </c>
      <c r="BR390" s="45">
        <f t="shared" si="541"/>
        <v>0</v>
      </c>
      <c r="BS390" s="45">
        <v>0</v>
      </c>
      <c r="BT390" s="45" t="s">
        <v>115</v>
      </c>
      <c r="BU390" s="45">
        <v>0</v>
      </c>
      <c r="BV390" s="45">
        <f t="shared" si="629"/>
        <v>0</v>
      </c>
      <c r="BW390" s="45" t="str">
        <f t="shared" si="551"/>
        <v>NA</v>
      </c>
      <c r="BX390" s="45">
        <f t="shared" si="552"/>
        <v>0</v>
      </c>
      <c r="BY390" s="45">
        <f t="shared" si="630"/>
        <v>4.48E-2</v>
      </c>
      <c r="BZ390" s="45">
        <f t="shared" si="631"/>
        <v>0</v>
      </c>
      <c r="CA390" s="45">
        <f t="shared" si="542"/>
        <v>0</v>
      </c>
      <c r="CB390" s="45">
        <f t="shared" si="632"/>
        <v>0.1792</v>
      </c>
      <c r="CC390" s="45">
        <f t="shared" si="633"/>
        <v>0</v>
      </c>
      <c r="CD390" s="45">
        <v>0</v>
      </c>
      <c r="CE390" s="45">
        <f>(AP390*BQ390)/Q390</f>
        <v>0</v>
      </c>
      <c r="CF390" s="45" t="str">
        <f>IF(BP390="NA","NA",BP390*CE390)</f>
        <v>NA</v>
      </c>
      <c r="CG390" s="45">
        <v>0</v>
      </c>
      <c r="CH390" s="244"/>
      <c r="CI390" s="244"/>
      <c r="CJ390" s="244"/>
      <c r="CK390" s="244"/>
      <c r="CM390" s="63">
        <v>0</v>
      </c>
    </row>
    <row r="391" spans="1:91" ht="18" hidden="1" customHeight="1">
      <c r="A391" s="260" t="s">
        <v>2437</v>
      </c>
      <c r="B391" s="260" t="s">
        <v>2438</v>
      </c>
      <c r="C391" s="260" t="s">
        <v>2371</v>
      </c>
      <c r="D391" s="260" t="s">
        <v>2372</v>
      </c>
      <c r="E391" s="260" t="s">
        <v>2515</v>
      </c>
      <c r="F391" s="260" t="s">
        <v>2516</v>
      </c>
      <c r="G391" s="260" t="s">
        <v>2517</v>
      </c>
      <c r="H391" s="260" t="s">
        <v>2518</v>
      </c>
      <c r="I391" s="260"/>
      <c r="J391" s="260"/>
      <c r="K391" s="260" t="s">
        <v>2519</v>
      </c>
      <c r="L391" s="260" t="s">
        <v>2520</v>
      </c>
      <c r="M391" s="260" t="s">
        <v>2521</v>
      </c>
      <c r="N391" s="260" t="s">
        <v>123</v>
      </c>
      <c r="O391" s="260" t="s">
        <v>124</v>
      </c>
      <c r="P391" s="10">
        <v>80</v>
      </c>
      <c r="Q391" s="11">
        <v>100</v>
      </c>
      <c r="R391" s="11">
        <f>(Z391+AH391)/CL391</f>
        <v>48.75</v>
      </c>
      <c r="S391" s="11">
        <f>VLOOKUP(K391,'1103 General'!$K$13:$S$22,9,0)</f>
        <v>0</v>
      </c>
      <c r="T391" s="11">
        <v>0</v>
      </c>
      <c r="U391" s="11">
        <v>100</v>
      </c>
      <c r="V391" s="11">
        <v>0</v>
      </c>
      <c r="W391" s="11">
        <v>100</v>
      </c>
      <c r="X391" s="11" t="s">
        <v>115</v>
      </c>
      <c r="Y391" s="11">
        <v>100</v>
      </c>
      <c r="Z391" s="11">
        <v>100</v>
      </c>
      <c r="AA391" s="11" t="s">
        <v>2522</v>
      </c>
      <c r="AB391" s="11" t="s">
        <v>2523</v>
      </c>
      <c r="AC391" s="11">
        <v>0</v>
      </c>
      <c r="AD391" s="11">
        <v>0</v>
      </c>
      <c r="AE391" s="11">
        <v>100</v>
      </c>
      <c r="AF391" s="11">
        <f>VLOOKUP(K391,'1103 General'!$K$13:$AK$21,22,0)</f>
        <v>0</v>
      </c>
      <c r="AG391" s="11">
        <f>VLOOKUP(K391,'1103 General'!$K$13:$AK$21,23,0)</f>
        <v>95</v>
      </c>
      <c r="AH391" s="11">
        <f>AG391</f>
        <v>95</v>
      </c>
      <c r="AI391" s="11" t="str">
        <f>VLOOKUP(K391,'1103 General'!$K$13:$AK$21,25,0)</f>
        <v>Asistencias técnicas a las dependencias del sector central de la Gobernación de Cundinamarca</v>
      </c>
      <c r="AJ391" s="11" t="str">
        <f>VLOOKUP(K391,'1103 General'!$K$13:$AK$21,26,0)</f>
        <v>La Secretaría General -Dirección de Gestión Documental, para el mes de noviembre 2021, se programaron 20 visitas a dependencias del sector central de la Gobernación de Cundinamarca, a las secretarias de:
• Secretaria de transporte y movilidad: Oficia asesora jurídica, dirección de política sectorial, gerencia de planeación de transporte e infraestructura, gerencia de seguridad vial y comportamiento de tránsito, gerencia de estudios sectoriales y de servicios, dirección de servicios de movilidad sedes operáticas en tránsito, gerencia de coordinación sedes operativas y servicios en tránsito, oficina de procesos administrativos, gerencia de control y vigilancia del transporte.
• Jefatura de gabinete: despacho del secretario, oficina de protocolo, gerencia de buen gobierno.
• Secretaria de privada: despacho del secretario.
• Despacho del gobernador: oficina de control interno disciplinario, oficina de control interno, alta consejería para la felicidad.
• Secretaria de hábitat y vivienda social: oficina financiera, dirección de planeación y gestión de proyectos, dirección de seguimiento y control a la inversión, dirección de política habitacional y titulación predial. Transporte de archivo de la sede central de la Gobernación de Cundinamarca a la bodega de custodia
Se ha realizado el proceso de custodia de 38.419 cajas
Se ha realizado inventario documental de 542 cajas</v>
      </c>
      <c r="AK391" s="11">
        <f>VLOOKUP(K391,'1103 General'!$K$13:$AK$21,27,0)</f>
        <v>0</v>
      </c>
      <c r="AL391" s="11">
        <v>0</v>
      </c>
      <c r="AM391" s="11">
        <v>100</v>
      </c>
      <c r="AN391" s="11">
        <v>0</v>
      </c>
      <c r="AO391" s="11">
        <v>100</v>
      </c>
      <c r="AP391" s="11">
        <v>0</v>
      </c>
      <c r="AQ391" s="11">
        <v>0</v>
      </c>
      <c r="AR391" s="51">
        <v>900000000</v>
      </c>
      <c r="AS391" s="54">
        <v>0</v>
      </c>
      <c r="AT391" s="54">
        <f t="shared" si="535"/>
        <v>900000000</v>
      </c>
      <c r="AU391" s="51">
        <v>900000000</v>
      </c>
      <c r="AV391" s="243">
        <v>1648000000</v>
      </c>
      <c r="AW391" s="244"/>
      <c r="AX391" s="244"/>
      <c r="AY391" s="243">
        <v>1647931418</v>
      </c>
      <c r="AZ391" s="44" cm="1">
        <f t="array" ref="AZ391">_xlfn.IFS((BA391=0),(BD391/CL391),(BA391&gt;0),((BB391+BD391)/CL391),(BE391&gt;0),((BB391+BD391+BE391)/CL391),(BG391&gt;0),((BB391+BD391+BE391+G391)/CL391))</f>
        <v>0.48749999999999999</v>
      </c>
      <c r="BA391" s="44">
        <v>0.25</v>
      </c>
      <c r="BB391" s="44">
        <v>1</v>
      </c>
      <c r="BC391" s="44">
        <f>IF(AE391&gt;0,(1/CL391),0)</f>
        <v>0.25</v>
      </c>
      <c r="BD391" s="44" cm="1">
        <f t="array" ref="BD391">_xlfn.IFS(AE391=0,"NA",AE391&gt;0,AH391/AE391)</f>
        <v>0.95</v>
      </c>
      <c r="BE391" s="44">
        <f>IF(AM391&gt;0,(1/CL391),0)</f>
        <v>0.25</v>
      </c>
      <c r="BF391" s="44">
        <v>0</v>
      </c>
      <c r="BG391" s="44">
        <f>IF(AO391&gt;0,(1/CL391),0)</f>
        <v>0.25</v>
      </c>
      <c r="BH391" s="44">
        <v>0</v>
      </c>
      <c r="BI391" s="44">
        <v>0</v>
      </c>
      <c r="BJ391" s="44" t="s">
        <v>115</v>
      </c>
      <c r="BK391" s="44">
        <f t="shared" si="536"/>
        <v>0.48749999999999999</v>
      </c>
      <c r="BL391" s="44">
        <v>1</v>
      </c>
      <c r="BM391" s="44" cm="1">
        <f t="array" ref="BM391">_xlfn.IFS(BD391="NA","NA",BD391&gt;100%,"100%",BD391&lt;100,BD391)</f>
        <v>0.95</v>
      </c>
      <c r="BN391" s="44">
        <v>0</v>
      </c>
      <c r="BO391" s="44">
        <v>0</v>
      </c>
      <c r="BP391" s="44" t="s">
        <v>115</v>
      </c>
      <c r="BQ391" s="45">
        <v>0.224</v>
      </c>
      <c r="BR391" s="45">
        <f t="shared" si="541"/>
        <v>0.10920000000000001</v>
      </c>
      <c r="BS391" s="45">
        <v>5.6000000000000001E-2</v>
      </c>
      <c r="BT391" s="45">
        <v>5.6000000000000001E-2</v>
      </c>
      <c r="BU391" s="45">
        <v>5.6000000000000001E-2</v>
      </c>
      <c r="BV391" s="45">
        <v>5.6000000000000001E-2</v>
      </c>
      <c r="BW391" s="45">
        <f t="shared" si="551"/>
        <v>5.3199999999999997E-2</v>
      </c>
      <c r="BX391" s="45">
        <f t="shared" si="552"/>
        <v>5.3200000000000004E-2</v>
      </c>
      <c r="BY391" s="45">
        <v>5.6000000000000001E-2</v>
      </c>
      <c r="BZ391" s="45">
        <v>0</v>
      </c>
      <c r="CA391" s="45">
        <f t="shared" si="542"/>
        <v>0</v>
      </c>
      <c r="CB391" s="45">
        <v>5.6000000000000001E-2</v>
      </c>
      <c r="CC391" s="45">
        <v>0</v>
      </c>
      <c r="CD391" s="45">
        <v>0</v>
      </c>
      <c r="CE391" s="45">
        <v>0</v>
      </c>
      <c r="CF391" s="45" t="s">
        <v>115</v>
      </c>
      <c r="CG391" s="45">
        <v>0</v>
      </c>
      <c r="CH391" s="244">
        <f>IF(W391&gt;0,1,0)</f>
        <v>1</v>
      </c>
      <c r="CI391" s="244">
        <f>IF(AE391&gt;0,1,0)</f>
        <v>1</v>
      </c>
      <c r="CJ391" s="244">
        <f>IF(AM391&gt;0,1,0)</f>
        <v>1</v>
      </c>
      <c r="CK391" s="244">
        <f>IF(AO391&gt;0,1,0)</f>
        <v>1</v>
      </c>
      <c r="CL391">
        <f>CH391+CI391+CJ391+CK391</f>
        <v>4</v>
      </c>
      <c r="CM391" s="63">
        <f>AVERAGE(Z391,AH391)</f>
        <v>97.5</v>
      </c>
    </row>
    <row r="392" spans="1:91" ht="18" hidden="1" customHeight="1">
      <c r="A392" s="260" t="s">
        <v>2437</v>
      </c>
      <c r="B392" s="260" t="s">
        <v>2438</v>
      </c>
      <c r="C392" s="260" t="s">
        <v>2371</v>
      </c>
      <c r="D392" s="260" t="s">
        <v>2372</v>
      </c>
      <c r="E392" s="260" t="s">
        <v>2515</v>
      </c>
      <c r="F392" s="260" t="s">
        <v>2516</v>
      </c>
      <c r="G392" s="260" t="s">
        <v>2517</v>
      </c>
      <c r="H392" s="260" t="s">
        <v>2524</v>
      </c>
      <c r="I392" s="260"/>
      <c r="J392" s="260"/>
      <c r="K392" s="260" t="s">
        <v>2525</v>
      </c>
      <c r="L392" s="260" t="s">
        <v>2526</v>
      </c>
      <c r="M392" s="260" t="s">
        <v>2527</v>
      </c>
      <c r="N392" s="260" t="s">
        <v>111</v>
      </c>
      <c r="O392" s="260" t="s">
        <v>112</v>
      </c>
      <c r="P392" s="10">
        <v>1200000</v>
      </c>
      <c r="Q392" s="11">
        <v>750000</v>
      </c>
      <c r="R392" s="11">
        <f>Z392+AH392</f>
        <v>0</v>
      </c>
      <c r="S392" s="11">
        <f>VLOOKUP(K392,'1103 General'!$K$13:$S$22,9,0)</f>
        <v>0</v>
      </c>
      <c r="T392" s="11">
        <v>0</v>
      </c>
      <c r="U392" s="11">
        <v>0</v>
      </c>
      <c r="V392" s="11">
        <v>0</v>
      </c>
      <c r="W392" s="11">
        <v>0</v>
      </c>
      <c r="X392" s="11">
        <v>0</v>
      </c>
      <c r="Y392" s="11">
        <v>0</v>
      </c>
      <c r="Z392" s="11">
        <v>0</v>
      </c>
      <c r="AA392" s="11"/>
      <c r="AB392" s="11"/>
      <c r="AC392" s="11"/>
      <c r="AD392" s="11">
        <v>800000</v>
      </c>
      <c r="AE392" s="11">
        <v>0</v>
      </c>
      <c r="AF392" s="11">
        <f>VLOOKUP(K392,'1103 General'!$K$13:$AK$21,22,0)</f>
        <v>0</v>
      </c>
      <c r="AG392" s="11">
        <f>VLOOKUP(K392,'1103 General'!$K$13:$AK$21,23,0)</f>
        <v>0</v>
      </c>
      <c r="AH392" s="11">
        <f>AF392</f>
        <v>0</v>
      </c>
      <c r="AI392" s="11">
        <f>VLOOKUP(K392,'1103 General'!$K$13:$AK$21,25,0)</f>
        <v>0</v>
      </c>
      <c r="AJ392" s="11">
        <f>VLOOKUP(K392,'1103 General'!$K$13:$AK$21,26,0)</f>
        <v>0</v>
      </c>
      <c r="AK392" s="11">
        <f>VLOOKUP(K392,'1103 General'!$K$13:$AK$21,27,0)</f>
        <v>0</v>
      </c>
      <c r="AL392" s="11">
        <v>800000</v>
      </c>
      <c r="AM392" s="11">
        <v>0</v>
      </c>
      <c r="AN392" s="11">
        <v>0</v>
      </c>
      <c r="AO392" s="11">
        <v>0</v>
      </c>
      <c r="AP392" s="11">
        <v>0</v>
      </c>
      <c r="AQ392" s="11">
        <v>0</v>
      </c>
      <c r="AR392" s="52"/>
      <c r="AS392" s="54">
        <v>0</v>
      </c>
      <c r="AT392" s="54">
        <f t="shared" si="535"/>
        <v>0</v>
      </c>
      <c r="AU392" s="52"/>
      <c r="AV392" s="243">
        <v>0</v>
      </c>
      <c r="AW392" s="244"/>
      <c r="AX392" s="244"/>
      <c r="AY392" s="243">
        <v>0</v>
      </c>
      <c r="AZ392" s="44">
        <f>R392/Q392</f>
        <v>0</v>
      </c>
      <c r="BA392" s="44">
        <v>0</v>
      </c>
      <c r="BB392" s="44" t="s">
        <v>115</v>
      </c>
      <c r="BC392" s="44">
        <f>AD392/Q392</f>
        <v>1.0666666666666667</v>
      </c>
      <c r="BD392" s="44" cm="1">
        <f t="array" ref="BD392">_xlfn.IFS(AD392=0,"NA",AD392&gt;0,AH392/AD392)</f>
        <v>0</v>
      </c>
      <c r="BE392" s="44">
        <f>AL392/Q392</f>
        <v>1.0666666666666667</v>
      </c>
      <c r="BF392" s="44">
        <v>0</v>
      </c>
      <c r="BG392" s="44">
        <f>AN392/Q392</f>
        <v>0</v>
      </c>
      <c r="BH392" s="44">
        <v>0</v>
      </c>
      <c r="BI392" s="44">
        <f>AP392/Q392</f>
        <v>0</v>
      </c>
      <c r="BJ392" s="44" t="s">
        <v>115</v>
      </c>
      <c r="BK392" s="44">
        <f t="shared" si="536"/>
        <v>0</v>
      </c>
      <c r="BL392" s="44" t="s">
        <v>115</v>
      </c>
      <c r="BM392" s="44" cm="1">
        <f t="array" ref="BM392">_xlfn.IFS(BD392="NA","NA",BD392&gt;100%,"100%",BD392&lt;100,BD392)</f>
        <v>0</v>
      </c>
      <c r="BN392" s="44" cm="1">
        <f t="array" ref="BN392">_xlfn.IFS(BF392="NA","NA",BF392&gt;100%,"100%",BF392&lt;100,BF392)</f>
        <v>0</v>
      </c>
      <c r="BO392" s="44" cm="1">
        <f t="array" ref="BO392">_xlfn.IFS(BH392="NA","NA",BH392&gt;100%,"100%",BH392&lt;100,BH392)</f>
        <v>0</v>
      </c>
      <c r="BP392" s="44" t="str" cm="1">
        <f t="array" ref="BP392">_xlfn.IFS(BJ392="NA","NA",BJ392&gt;100%,"100%",BJ392&lt;100,BJ392)</f>
        <v>NA</v>
      </c>
      <c r="BQ392" s="45">
        <v>0.224</v>
      </c>
      <c r="BR392" s="45">
        <f t="shared" si="541"/>
        <v>0</v>
      </c>
      <c r="BS392" s="45">
        <v>0</v>
      </c>
      <c r="BT392" s="45" t="s">
        <v>115</v>
      </c>
      <c r="BU392" s="45">
        <v>0</v>
      </c>
      <c r="BV392" s="45">
        <f>(AD392*BQ392)/Q392</f>
        <v>0.23893333333333333</v>
      </c>
      <c r="BW392" s="45">
        <f t="shared" si="551"/>
        <v>0</v>
      </c>
      <c r="BX392" s="45">
        <f t="shared" si="552"/>
        <v>0</v>
      </c>
      <c r="BY392" s="45">
        <f>(AL392*BQ392)/Q392</f>
        <v>0.23893333333333333</v>
      </c>
      <c r="BZ392" s="45">
        <f>IF(BN392="NA","NA",BN392*BY392)</f>
        <v>0</v>
      </c>
      <c r="CA392" s="45">
        <f t="shared" si="542"/>
        <v>0</v>
      </c>
      <c r="CB392" s="45">
        <f>(AN392*BQ392)/Q392</f>
        <v>0</v>
      </c>
      <c r="CC392" s="45">
        <f>IF(BO392="NA","NA",BO392*CB392)</f>
        <v>0</v>
      </c>
      <c r="CD392" s="45">
        <v>0</v>
      </c>
      <c r="CE392" s="45">
        <f>(AP392*BQ392)/Q392</f>
        <v>0</v>
      </c>
      <c r="CF392" s="45" t="str">
        <f>IF(BP392="NA","NA",BP392*CE392)</f>
        <v>NA</v>
      </c>
      <c r="CG392" s="45">
        <v>0</v>
      </c>
      <c r="CH392" s="244"/>
      <c r="CI392" s="244"/>
      <c r="CJ392" s="244"/>
      <c r="CK392" s="244"/>
      <c r="CM392" s="63">
        <v>0</v>
      </c>
    </row>
    <row r="393" spans="1:91" s="105" customFormat="1" ht="18" hidden="1" customHeight="1">
      <c r="A393" s="96" t="s">
        <v>2437</v>
      </c>
      <c r="B393" s="96" t="s">
        <v>2438</v>
      </c>
      <c r="C393" s="96" t="s">
        <v>2371</v>
      </c>
      <c r="D393" s="96" t="s">
        <v>2372</v>
      </c>
      <c r="E393" s="96" t="s">
        <v>2515</v>
      </c>
      <c r="F393" s="96" t="s">
        <v>2516</v>
      </c>
      <c r="G393" s="96" t="s">
        <v>2517</v>
      </c>
      <c r="H393" s="96" t="s">
        <v>2528</v>
      </c>
      <c r="I393" s="96"/>
      <c r="J393" s="96"/>
      <c r="K393" s="96" t="s">
        <v>2529</v>
      </c>
      <c r="L393" s="96" t="s">
        <v>2530</v>
      </c>
      <c r="M393" s="96" t="s">
        <v>2531</v>
      </c>
      <c r="N393" s="96" t="s">
        <v>111</v>
      </c>
      <c r="O393" s="96" t="s">
        <v>124</v>
      </c>
      <c r="P393" s="249">
        <v>0</v>
      </c>
      <c r="Q393" s="99">
        <v>116</v>
      </c>
      <c r="R393" s="11">
        <f>(Z393+AH393)/CL393</f>
        <v>23</v>
      </c>
      <c r="S393" s="99">
        <f>VLOOKUP(K393,'1103 General'!$K$13:$S$22,9,0)</f>
        <v>0</v>
      </c>
      <c r="T393" s="99">
        <v>100</v>
      </c>
      <c r="U393" s="99">
        <v>0</v>
      </c>
      <c r="V393" s="99">
        <v>20</v>
      </c>
      <c r="W393" s="99">
        <v>0</v>
      </c>
      <c r="X393" s="99">
        <v>20</v>
      </c>
      <c r="Y393" s="99">
        <v>0</v>
      </c>
      <c r="Z393" s="99">
        <v>20</v>
      </c>
      <c r="AA393" s="99" t="s">
        <v>2532</v>
      </c>
      <c r="AB393" s="99" t="s">
        <v>2533</v>
      </c>
      <c r="AC393" s="99" t="s">
        <v>2534</v>
      </c>
      <c r="AD393" s="99">
        <v>0</v>
      </c>
      <c r="AE393" s="99">
        <v>116</v>
      </c>
      <c r="AF393" s="99">
        <f>VLOOKUP(K393,'1103 General'!$K$13:$AK$21,22,0)</f>
        <v>0</v>
      </c>
      <c r="AG393" s="99">
        <f>VLOOKUP(K393,'1103 General'!$K$13:$AK$21,23,0)</f>
        <v>49</v>
      </c>
      <c r="AH393" s="99">
        <f>AG393</f>
        <v>49</v>
      </c>
      <c r="AI393" s="99" t="str">
        <f>VLOOKUP(K393,'1103 General'!$K$13:$AK$21,25,0)</f>
        <v xml:space="preserve">Asistencias técnicas en implementación de la Politica de Gestión Documental </v>
      </c>
      <c r="AJ393" s="99" t="str">
        <f>VLOOKUP(K393,'1103 General'!$K$13:$AK$21,26,0)</f>
        <v>Se realizaron asistencias técnicas a las siguientes entidades: AsoGualiva, para un total de 1 asistencia técnica lo cual equivale a un 1,13% de avance.
Para el día 26 de mayo del presente año de forma conjunta las entidades municipales y descentralizadas, la Dirección de Gestión Documental y en alianza con el Archivo General de la Nación, se realizó una capacitación a entidades Municipales y descentralizadas del Departamento de Cundinamarca, cumpliendo con el 25% y un acumulado del 30,17%. De igual manera en el mes de mayo se realizó una asistencia técnica a la asociación de Gualivá con el objeto de identificar como se elaboran las tablas de retención documental.  En el tercer trimestre del año 2021, el Concejo Departamental de Archivo -CDA-, de acuerdo con una de sus funciones de evaluar Tablas de Retención Documental - TRD y las Tablas de Valoración Documental - TVD de las entidades públicas y privadas que cumplen funciones públicas en el departamento, incluyendo las de los municipios, aprobadas por los Comités Internos de Archivo.
Emitió el concepto favorable de cinco (5) Tablas de retención documental -TRD- y dos (2) Tablas de valoración documental -TVD-
 En el periodo de noviembre, se emitió el concepto favorable por parte del Concejo Departamental de Archivo -CDA- de cinco (10) Tablas de retención documental -TRD- correspondientes a: 
Instituto de vivienda de Chía
Alcaldía de municipal de Ubaté
Alcaldía municipal Zipacón
Concejo municipal de Zipacón
Inmobiliaria de Cundinamarca 
Instituto, deporte, cultura y turismo Subachoque
Empresa de servicios públicos emsertenjo S.A. E.S.P de tengo
Alcaldía municipal de Bituima 
Empresa de acueducto, alcantarillado y aseo de Madrid
Empresa de licores de Cundi
9 tablas de retención documental y 2 tablas de valoración documental al concejo Departamental de archivo a:
Alcaldía municipal de Gachancipa 
Empresa de acueducto y Alcantarillado Funza
Hospital la samaritana 
Empresa de servicios públicos emserchia de chia 
Concejo municipal Mosquera 
Personeria municipal de Funza
Hospital nuestra señora de las Mercedes Funza</v>
      </c>
      <c r="AK393" s="99">
        <f>VLOOKUP(K393,'1103 General'!$K$13:$AK$21,27,0)</f>
        <v>0</v>
      </c>
      <c r="AL393" s="99">
        <v>0</v>
      </c>
      <c r="AM393" s="99">
        <v>116</v>
      </c>
      <c r="AN393" s="99">
        <v>0</v>
      </c>
      <c r="AO393" s="99">
        <v>116</v>
      </c>
      <c r="AP393" s="99">
        <v>0</v>
      </c>
      <c r="AQ393" s="99">
        <v>0</v>
      </c>
      <c r="AR393" s="250">
        <v>120228373</v>
      </c>
      <c r="AS393" s="251">
        <v>0</v>
      </c>
      <c r="AT393" s="251">
        <f t="shared" si="535"/>
        <v>120228373</v>
      </c>
      <c r="AU393" s="250">
        <v>120228000</v>
      </c>
      <c r="AV393" s="243">
        <v>120000000</v>
      </c>
      <c r="AW393" s="244"/>
      <c r="AX393" s="244"/>
      <c r="AY393" s="243">
        <v>110287526</v>
      </c>
      <c r="AZ393" s="44" cm="2">
        <f t="array" ref="AZ393">_xlfn.IFS((BA393=0),(BD393/CL393),(BA393&gt;0),((BB393+BD393)/CL393),(BE393&gt;0),((BB393+BD393+BE393)/CL393),(BG393&gt;0),((BB393+BD393+BE393+G393)/CL393))</f>
        <v>0.47413793103448282</v>
      </c>
      <c r="BA393" s="102">
        <v>0.2</v>
      </c>
      <c r="BB393" s="102">
        <v>1</v>
      </c>
      <c r="BC393" s="102">
        <f>IF(AE393&gt;0,(1/CL393),0)</f>
        <v>0.33333333333333331</v>
      </c>
      <c r="BD393" s="44" cm="1">
        <f t="array" ref="BD393">_xlfn.IFS(AE393=0,"NA",AE393&gt;0,AH393/AE393)</f>
        <v>0.42241379310344829</v>
      </c>
      <c r="BE393" s="102">
        <f>IF(AM393&gt;0,(1/CL393),0)</f>
        <v>0.33333333333333331</v>
      </c>
      <c r="BF393" s="102">
        <v>0</v>
      </c>
      <c r="BG393" s="102">
        <f>IF(AO393&gt;0,(1/CL393),0)</f>
        <v>0.33333333333333331</v>
      </c>
      <c r="BH393" s="102">
        <v>0</v>
      </c>
      <c r="BI393" s="102">
        <f>AP393/Q393</f>
        <v>0</v>
      </c>
      <c r="BJ393" s="102" t="s">
        <v>115</v>
      </c>
      <c r="BK393" s="102">
        <f>IF(AZ393&gt;100%,"100%",AZ393)</f>
        <v>0.47413793103448282</v>
      </c>
      <c r="BL393" s="102">
        <v>1</v>
      </c>
      <c r="BM393" s="102" cm="1">
        <f t="array" ref="BM393">_xlfn.IFS(BD393="NA","NA",BD393&gt;100%,"100%",BD393&lt;100,BD393)</f>
        <v>0.42241379310344829</v>
      </c>
      <c r="BN393" s="102" cm="1">
        <f t="array" ref="BN393">_xlfn.IFS(BF393="NA","NA",BF393&gt;100%,"100%",BF393&lt;100,BF393)</f>
        <v>0</v>
      </c>
      <c r="BO393" s="102" cm="1">
        <f t="array" ref="BO393">_xlfn.IFS(BH393="NA","NA",BH393&gt;100%,"100%",BH393&lt;100,BH393)</f>
        <v>0</v>
      </c>
      <c r="BP393" s="102" t="str" cm="1">
        <f t="array" ref="BP393">_xlfn.IFS(BJ393="NA","NA",BJ393&gt;100%,"100%",BJ393&lt;100,BJ393)</f>
        <v>NA</v>
      </c>
      <c r="BQ393" s="103">
        <v>0.224</v>
      </c>
      <c r="BR393" s="103">
        <f>BQ393*BK393</f>
        <v>0.10620689655172415</v>
      </c>
      <c r="BS393" s="103">
        <v>4.48E-2</v>
      </c>
      <c r="BT393" s="103">
        <v>4.48E-2</v>
      </c>
      <c r="BU393" s="103">
        <v>4.48E-2</v>
      </c>
      <c r="BV393" s="103">
        <v>5.9700000000000003E-2</v>
      </c>
      <c r="BW393" s="103">
        <f t="shared" si="551"/>
        <v>2.5218103448275863E-2</v>
      </c>
      <c r="BX393" s="103">
        <f t="shared" si="552"/>
        <v>6.1406896551724148E-2</v>
      </c>
      <c r="BY393" s="103">
        <v>5.9700000000000003E-2</v>
      </c>
      <c r="BZ393" s="103">
        <f>IF(BN393="NA","NA",BN393*BY393)</f>
        <v>0</v>
      </c>
      <c r="CA393" s="103">
        <f t="shared" ref="CA393:CA434" si="634">BR393-BU393-BX393</f>
        <v>0</v>
      </c>
      <c r="CB393" s="103">
        <v>5.9799999999999999E-2</v>
      </c>
      <c r="CC393" s="103">
        <f>IF(BO393="NA","NA",BO393*CB393)</f>
        <v>0</v>
      </c>
      <c r="CD393" s="103">
        <v>0</v>
      </c>
      <c r="CE393" s="103">
        <f>(AP393*BQ393)/Q393</f>
        <v>0</v>
      </c>
      <c r="CF393" s="103" t="str">
        <f>IF(BP393="NA","NA",BP393*CE393)</f>
        <v>NA</v>
      </c>
      <c r="CG393" s="103">
        <v>0</v>
      </c>
      <c r="CH393" s="252">
        <f>IF(W393&gt;0,1,0)</f>
        <v>0</v>
      </c>
      <c r="CI393" s="252">
        <f>IF(AE393&gt;0,1,0)</f>
        <v>1</v>
      </c>
      <c r="CJ393" s="252">
        <f>IF(AM393&gt;0,1,0)</f>
        <v>1</v>
      </c>
      <c r="CK393" s="252">
        <f>IF(AO393&gt;0,1,0)</f>
        <v>1</v>
      </c>
      <c r="CL393" s="105">
        <f>CH393+CI393+CJ393+CK393</f>
        <v>3</v>
      </c>
      <c r="CM393" s="63">
        <f>AVERAGE(Z393,AH393)</f>
        <v>34.5</v>
      </c>
    </row>
    <row r="394" spans="1:91" ht="18" hidden="1" customHeight="1">
      <c r="A394" s="260" t="s">
        <v>144</v>
      </c>
      <c r="B394" s="260" t="s">
        <v>145</v>
      </c>
      <c r="C394" s="260" t="s">
        <v>2371</v>
      </c>
      <c r="D394" s="260" t="s">
        <v>2372</v>
      </c>
      <c r="E394" s="260" t="s">
        <v>2535</v>
      </c>
      <c r="F394" s="260" t="s">
        <v>2536</v>
      </c>
      <c r="G394" s="260" t="s">
        <v>2537</v>
      </c>
      <c r="H394" s="260" t="s">
        <v>2538</v>
      </c>
      <c r="I394" s="260" t="s">
        <v>106</v>
      </c>
      <c r="J394" s="260"/>
      <c r="K394" s="260" t="s">
        <v>2539</v>
      </c>
      <c r="L394" s="260" t="s">
        <v>2540</v>
      </c>
      <c r="M394" s="260" t="s">
        <v>2541</v>
      </c>
      <c r="N394" s="260" t="s">
        <v>111</v>
      </c>
      <c r="O394" s="260" t="s">
        <v>112</v>
      </c>
      <c r="P394" s="10">
        <v>4</v>
      </c>
      <c r="Q394" s="11">
        <v>4</v>
      </c>
      <c r="R394" s="11">
        <f>Z394+AH394</f>
        <v>2</v>
      </c>
      <c r="S394" s="11" t="str">
        <f>VLOOKUP(K394,'1126 Desarrollo Social'!$K$13:$S$58,9,0)</f>
        <v>Se completo la fase 1 de alistamiento establecida en el decreto 311 de 2018Articulación con planeación del comité técnico de rendición publica de cuentas de NNAEl personal contratado para el desarrollo de las actividades de esta meta con vigencia del plan de desarrollo 2016-2020</v>
      </c>
      <c r="T394" s="11">
        <v>1</v>
      </c>
      <c r="U394" s="11">
        <v>0</v>
      </c>
      <c r="V394" s="11">
        <v>1</v>
      </c>
      <c r="W394" s="11">
        <v>0</v>
      </c>
      <c r="X394" s="11">
        <v>1</v>
      </c>
      <c r="Y394" s="11">
        <v>0</v>
      </c>
      <c r="Z394" s="11">
        <v>1</v>
      </c>
      <c r="AA394" s="11" t="s">
        <v>2542</v>
      </c>
      <c r="AB394" s="11" t="s">
        <v>2543</v>
      </c>
      <c r="AC394" s="11" t="s">
        <v>2544</v>
      </c>
      <c r="AD394" s="11">
        <v>1</v>
      </c>
      <c r="AE394" s="11">
        <v>0</v>
      </c>
      <c r="AF394" s="11">
        <f>VLOOKUP(K394,'1126 Desarrollo Social'!$K$13:$AK$58,22,0)</f>
        <v>1</v>
      </c>
      <c r="AG394" s="11">
        <f>VLOOKUP(K394,'1126 Desarrollo Social'!$K$13:$AK$58,23,0)</f>
        <v>0</v>
      </c>
      <c r="AH394" s="11">
        <f>AF394</f>
        <v>1</v>
      </c>
      <c r="AI394" s="11" t="str">
        <f>VLOOKUP(K394,'1126 Desarrollo Social'!$K$13:$AK$58,25,0)</f>
        <v>ENTREGABLE: UN INFORME DE REALIZACIONES PARA NIÑOS, NIÑAS, ADOLESCENTES Y JÓVENES publicado en la página web de la SDIS</v>
      </c>
      <c r="AJ394" s="11" t="str">
        <f>VLOOKUP(K394,'1126 Desarrollo Social'!$K$13:$AK$58,26,0)</f>
        <v>En ejecucion fases 1,2 y 3 del proceso, 100 municipios asistidos y dos sesiones mesa departamental NNA, ejecución socialización</v>
      </c>
      <c r="AK394" s="11">
        <f>VLOOKUP(K394,'1126 Desarrollo Social'!$K$13:$AK$58,27,0)</f>
        <v>0</v>
      </c>
      <c r="AL394" s="11">
        <v>1</v>
      </c>
      <c r="AM394" s="11">
        <v>0</v>
      </c>
      <c r="AN394" s="11">
        <v>1</v>
      </c>
      <c r="AO394" s="11">
        <v>0</v>
      </c>
      <c r="AP394" s="11">
        <v>0</v>
      </c>
      <c r="AQ394" s="11">
        <v>0</v>
      </c>
      <c r="AR394" s="51">
        <v>51314500</v>
      </c>
      <c r="AS394" s="54">
        <v>0</v>
      </c>
      <c r="AT394" s="54">
        <f t="shared" si="535"/>
        <v>51314500</v>
      </c>
      <c r="AU394" s="51">
        <v>45233346</v>
      </c>
      <c r="AV394" s="243">
        <v>100000000</v>
      </c>
      <c r="AW394" s="244"/>
      <c r="AX394" s="244"/>
      <c r="AY394" s="243">
        <v>70985366</v>
      </c>
      <c r="AZ394" s="44">
        <f>R394/Q394</f>
        <v>0.5</v>
      </c>
      <c r="BA394" s="44">
        <v>0.25</v>
      </c>
      <c r="BB394" s="44">
        <v>1</v>
      </c>
      <c r="BC394" s="44">
        <f>AD394/Q394</f>
        <v>0.25</v>
      </c>
      <c r="BD394" s="44" cm="1">
        <f t="array" ref="BD394">_xlfn.IFS(AD394=0,"NA",AD394&gt;0,AH394/AD394)</f>
        <v>1</v>
      </c>
      <c r="BE394" s="44">
        <f>AL394/Q394</f>
        <v>0.25</v>
      </c>
      <c r="BF394" s="44">
        <v>0</v>
      </c>
      <c r="BG394" s="44">
        <f>AN394/Q394</f>
        <v>0.25</v>
      </c>
      <c r="BH394" s="44">
        <v>0</v>
      </c>
      <c r="BI394" s="44">
        <f>AP394/Q394</f>
        <v>0</v>
      </c>
      <c r="BJ394" s="44" t="s">
        <v>115</v>
      </c>
      <c r="BK394" s="44">
        <f t="shared" si="536"/>
        <v>0.5</v>
      </c>
      <c r="BL394" s="44">
        <v>1</v>
      </c>
      <c r="BM394" s="44" cm="1">
        <f t="array" ref="BM394">_xlfn.IFS(BD394="NA","NA",BD394&gt;100%,"100%",BD394&lt;100,BD394)</f>
        <v>1</v>
      </c>
      <c r="BN394" s="44" cm="1">
        <f t="array" ref="BN394">_xlfn.IFS(BF394="NA","NA",BF394&gt;100%,"100%",BF394&lt;100,BF394)</f>
        <v>0</v>
      </c>
      <c r="BO394" s="44" cm="1">
        <f t="array" ref="BO394">_xlfn.IFS(BH394="NA","NA",BH394&gt;100%,"100%",BH394&lt;100,BH394)</f>
        <v>0</v>
      </c>
      <c r="BP394" s="44" t="str" cm="1">
        <f t="array" ref="BP394">_xlfn.IFS(BJ394="NA","NA",BJ394&gt;100%,"100%",BJ394&lt;100,BJ394)</f>
        <v>NA</v>
      </c>
      <c r="BQ394" s="45">
        <v>0.224</v>
      </c>
      <c r="BR394" s="45">
        <f t="shared" si="541"/>
        <v>0.112</v>
      </c>
      <c r="BS394" s="45">
        <v>5.6000000000000001E-2</v>
      </c>
      <c r="BT394" s="45">
        <v>5.6000000000000001E-2</v>
      </c>
      <c r="BU394" s="45">
        <v>5.6000000000000001E-2</v>
      </c>
      <c r="BV394" s="45">
        <f>(AD394*BQ394)/Q394</f>
        <v>5.6000000000000001E-2</v>
      </c>
      <c r="BW394" s="45">
        <f t="shared" si="551"/>
        <v>5.6000000000000001E-2</v>
      </c>
      <c r="BX394" s="45">
        <f t="shared" si="552"/>
        <v>5.6000000000000001E-2</v>
      </c>
      <c r="BY394" s="45">
        <f>(AL394*BQ394)/Q394</f>
        <v>5.6000000000000001E-2</v>
      </c>
      <c r="BZ394" s="45">
        <f>IF(BN394="NA","NA",BN394*BY394)</f>
        <v>0</v>
      </c>
      <c r="CA394" s="45">
        <f t="shared" si="634"/>
        <v>0</v>
      </c>
      <c r="CB394" s="45">
        <f>(AN394*BQ394)/Q394</f>
        <v>5.6000000000000001E-2</v>
      </c>
      <c r="CC394" s="45">
        <f>IF(BO394="NA","NA",BO394*CB394)</f>
        <v>0</v>
      </c>
      <c r="CD394" s="45">
        <v>0</v>
      </c>
      <c r="CE394" s="45">
        <f>(AP394*BQ394)/Q394</f>
        <v>0</v>
      </c>
      <c r="CF394" s="45" t="str">
        <f>IF(BP394="NA","NA",BP394*CE394)</f>
        <v>NA</v>
      </c>
      <c r="CG394" s="45">
        <v>0</v>
      </c>
      <c r="CH394" s="244"/>
      <c r="CI394" s="244"/>
      <c r="CJ394" s="244"/>
      <c r="CK394" s="244"/>
      <c r="CM394" s="63">
        <v>1.6</v>
      </c>
    </row>
    <row r="395" spans="1:91" ht="18" hidden="1" customHeight="1">
      <c r="A395" s="260" t="s">
        <v>2335</v>
      </c>
      <c r="B395" s="260" t="s">
        <v>2336</v>
      </c>
      <c r="C395" s="260" t="s">
        <v>2371</v>
      </c>
      <c r="D395" s="260" t="s">
        <v>2372</v>
      </c>
      <c r="E395" s="260" t="s">
        <v>2535</v>
      </c>
      <c r="F395" s="260" t="s">
        <v>2536</v>
      </c>
      <c r="G395" s="260" t="s">
        <v>2537</v>
      </c>
      <c r="H395" s="260" t="s">
        <v>2545</v>
      </c>
      <c r="I395" s="260"/>
      <c r="J395" s="260"/>
      <c r="K395" s="260" t="s">
        <v>2546</v>
      </c>
      <c r="L395" s="260" t="s">
        <v>2547</v>
      </c>
      <c r="M395" s="260" t="s">
        <v>2548</v>
      </c>
      <c r="N395" s="260" t="s">
        <v>123</v>
      </c>
      <c r="O395" s="260" t="s">
        <v>124</v>
      </c>
      <c r="P395" s="10">
        <v>100</v>
      </c>
      <c r="Q395" s="11">
        <v>100</v>
      </c>
      <c r="R395" s="11">
        <f>(Z395+AH395)/CL395</f>
        <v>47.5</v>
      </c>
      <c r="S395" s="11" t="str">
        <f>VLOOKUP(K395,'1113 Planeación'!$K$13:$AK$19,9,0)</f>
        <v>La Administración departamental estableció que para el cuatrienio la rendición de cuentas se realizaría bajo el eslogan "Desde Cundinamarca, Rendimos Cuentas", el año 2020 se implemento la estrategia con una satisfacción del 97% a partir de 5 espacios de diálogo y una audiencia General. En el año 2021 se continuó con el eslogan pero se ampliaron los espacios de rendición de cuentas, a la fecha hay una satisfacción del 95%, producto de 22 diálogos radiales y 2 diálogos temáticos virtuales.</v>
      </c>
      <c r="T395" s="11">
        <v>0</v>
      </c>
      <c r="U395" s="11">
        <v>100</v>
      </c>
      <c r="V395" s="11">
        <v>0</v>
      </c>
      <c r="W395" s="11">
        <v>100</v>
      </c>
      <c r="X395" s="11" t="s">
        <v>115</v>
      </c>
      <c r="Y395" s="11">
        <v>100</v>
      </c>
      <c r="Z395" s="11">
        <v>100</v>
      </c>
      <c r="AA395" s="11">
        <v>0</v>
      </c>
      <c r="AB395" s="11" t="s">
        <v>2549</v>
      </c>
      <c r="AC395" s="11">
        <v>0</v>
      </c>
      <c r="AD395" s="11">
        <v>0</v>
      </c>
      <c r="AE395" s="11">
        <v>100</v>
      </c>
      <c r="AF395" s="11">
        <f>VLOOKUP(K395,'1113 Planeación'!$K$13:$AK$19,22,0)</f>
        <v>0</v>
      </c>
      <c r="AG395" s="11">
        <f>VLOOKUP(K395,'1113 Planeación'!$K$13:$AK$19,23,0)</f>
        <v>90</v>
      </c>
      <c r="AH395" s="11">
        <f>AG395</f>
        <v>90</v>
      </c>
      <c r="AI395" s="11" t="str">
        <f>VLOOKUP(K395,'1113 Planeación'!$K$13:$AK$19,25,0)</f>
        <v>Se generaron para la comunidad 38 espacios participación ciudadana y  control social, a través de 34 diálogos radiales y 4 diálogos virtuales de rendición de cuentas en los que se habló de: Salud, Reactivación Económica, Región Metropolitana e Infraestructura. La implementación de la estrategia ha tenido una satisfacción del 95%</v>
      </c>
      <c r="AJ395" s="11" t="str">
        <f>VLOOKUP(K395,'1113 Planeación'!$K$13:$AK$19,26,0)</f>
        <v xml:space="preserve">En el año 2021 comprometidos con ampliar los espacios de participación y garantizar el control social, se desarrolló una estrategia que contempló 34 diálogos radiales y 4 diálogos virtuales en los que se habló de: Salud, Reactivación Económica, Región Metropolitana e Infraestructura y la preparación de una audiencia pública. En dichos espacios se dialogó con la ciudadania en lenguaje claro, se dio respuesta a las inquietudes de la ciudadania y se calificó la satisfacción respecto a estos espacios de rendición de cuentas. Los eventos virtuales contaron con interpretes de lengua de señas para llegar a la población con discapacidad auditiiva. </v>
      </c>
      <c r="AK395" s="11">
        <f>VLOOKUP(K395,'1113 Planeación'!$K$13:$AK$19,27,0)</f>
        <v>0</v>
      </c>
      <c r="AL395" s="11">
        <v>0</v>
      </c>
      <c r="AM395" s="11">
        <v>100</v>
      </c>
      <c r="AN395" s="11">
        <v>0</v>
      </c>
      <c r="AO395" s="11">
        <v>100</v>
      </c>
      <c r="AP395" s="11">
        <v>0</v>
      </c>
      <c r="AQ395" s="11">
        <v>0</v>
      </c>
      <c r="AR395" s="51">
        <v>49238020</v>
      </c>
      <c r="AS395" s="54">
        <v>0</v>
      </c>
      <c r="AT395" s="54">
        <f t="shared" si="535"/>
        <v>49238020</v>
      </c>
      <c r="AU395" s="51">
        <v>49042173</v>
      </c>
      <c r="AV395" s="243">
        <v>60000000</v>
      </c>
      <c r="AW395" s="244"/>
      <c r="AX395" s="244"/>
      <c r="AY395" s="243">
        <v>60000000</v>
      </c>
      <c r="AZ395" s="44" cm="1">
        <f t="array" ref="AZ395">_xlfn.IFS((BA395=0),(BD395/CL395),(BA395&gt;0),((BB395+BD395)/CL395),(BE395&gt;0),((BB395+BD395+BE395)/CL395),(BG395&gt;0),((BB395+BD395+BE395+G395)/CL395))</f>
        <v>0.47499999999999998</v>
      </c>
      <c r="BA395" s="44">
        <v>0.25</v>
      </c>
      <c r="BB395" s="44">
        <v>1</v>
      </c>
      <c r="BC395" s="44">
        <f>IF(AE395&gt;0,(1/CL395),0)</f>
        <v>0.25</v>
      </c>
      <c r="BD395" s="44" cm="1">
        <f t="array" ref="BD395">_xlfn.IFS(AE395=0,"NA",AE395&gt;0,AH395/AE395)</f>
        <v>0.9</v>
      </c>
      <c r="BE395" s="44">
        <f>IF(AM395&gt;0,(1/CL395),0)</f>
        <v>0.25</v>
      </c>
      <c r="BF395" s="44">
        <v>0</v>
      </c>
      <c r="BG395" s="44">
        <f>IF(AO395&gt;0,(1/CL395),0)</f>
        <v>0.25</v>
      </c>
      <c r="BH395" s="44">
        <v>0</v>
      </c>
      <c r="BI395" s="44">
        <v>0</v>
      </c>
      <c r="BJ395" s="44" t="s">
        <v>115</v>
      </c>
      <c r="BK395" s="44">
        <f t="shared" si="536"/>
        <v>0.47499999999999998</v>
      </c>
      <c r="BL395" s="44">
        <v>1</v>
      </c>
      <c r="BM395" s="44" cm="1">
        <f t="array" ref="BM395">_xlfn.IFS(BD395="NA","NA",BD395&gt;100%,"100%",BD395&lt;100,BD395)</f>
        <v>0.9</v>
      </c>
      <c r="BN395" s="44">
        <v>0</v>
      </c>
      <c r="BO395" s="44">
        <v>0</v>
      </c>
      <c r="BP395" s="44" t="s">
        <v>115</v>
      </c>
      <c r="BQ395" s="45">
        <v>0.224</v>
      </c>
      <c r="BR395" s="45">
        <f t="shared" si="541"/>
        <v>0.10639999999999999</v>
      </c>
      <c r="BS395" s="45">
        <v>5.6000000000000001E-2</v>
      </c>
      <c r="BT395" s="45">
        <v>5.6000000000000001E-2</v>
      </c>
      <c r="BU395" s="45">
        <v>5.6000000000000001E-2</v>
      </c>
      <c r="BV395" s="45">
        <v>5.6000000000000001E-2</v>
      </c>
      <c r="BW395" s="45">
        <f t="shared" si="551"/>
        <v>5.04E-2</v>
      </c>
      <c r="BX395" s="45">
        <f t="shared" si="552"/>
        <v>5.0399999999999993E-2</v>
      </c>
      <c r="BY395" s="45">
        <v>5.6000000000000001E-2</v>
      </c>
      <c r="BZ395" s="45">
        <v>0</v>
      </c>
      <c r="CA395" s="45">
        <f t="shared" si="634"/>
        <v>0</v>
      </c>
      <c r="CB395" s="45">
        <v>5.6000000000000001E-2</v>
      </c>
      <c r="CC395" s="45">
        <v>0</v>
      </c>
      <c r="CD395" s="45">
        <v>0</v>
      </c>
      <c r="CE395" s="45">
        <v>0</v>
      </c>
      <c r="CF395" s="45" t="s">
        <v>115</v>
      </c>
      <c r="CG395" s="45">
        <v>0</v>
      </c>
      <c r="CH395" s="244">
        <f>IF(W395&gt;0,1,0)</f>
        <v>1</v>
      </c>
      <c r="CI395" s="244">
        <f>IF(AE395&gt;0,1,0)</f>
        <v>1</v>
      </c>
      <c r="CJ395" s="244">
        <f>IF(AM395&gt;0,1,0)</f>
        <v>1</v>
      </c>
      <c r="CK395" s="244">
        <f>IF(AO395&gt;0,1,0)</f>
        <v>1</v>
      </c>
      <c r="CL395">
        <f>CH395+CI395+CJ395+CK395</f>
        <v>4</v>
      </c>
      <c r="CM395" s="63">
        <f>AVERAGE(Z395,AH395)</f>
        <v>95</v>
      </c>
    </row>
    <row r="396" spans="1:91" ht="18" hidden="1" customHeight="1">
      <c r="A396" s="260" t="s">
        <v>2550</v>
      </c>
      <c r="B396" s="260" t="s">
        <v>2551</v>
      </c>
      <c r="C396" s="260" t="s">
        <v>2371</v>
      </c>
      <c r="D396" s="260" t="s">
        <v>2372</v>
      </c>
      <c r="E396" s="260" t="s">
        <v>2535</v>
      </c>
      <c r="F396" s="260" t="s">
        <v>2552</v>
      </c>
      <c r="G396" s="260" t="s">
        <v>2553</v>
      </c>
      <c r="H396" s="260" t="s">
        <v>2554</v>
      </c>
      <c r="I396" s="260"/>
      <c r="J396" s="260"/>
      <c r="K396" s="260" t="s">
        <v>2555</v>
      </c>
      <c r="L396" s="260" t="s">
        <v>2556</v>
      </c>
      <c r="M396" s="260" t="s">
        <v>2557</v>
      </c>
      <c r="N396" s="260" t="s">
        <v>111</v>
      </c>
      <c r="O396" s="260" t="s">
        <v>112</v>
      </c>
      <c r="P396" s="10">
        <v>1</v>
      </c>
      <c r="Q396" s="11">
        <v>1</v>
      </c>
      <c r="R396" s="11">
        <f t="shared" ref="R396:R397" si="635">Z396+AH396</f>
        <v>0.65</v>
      </c>
      <c r="S396" s="11">
        <f>VLOOKUP(K396,'1104 Jurídica'!$K$13:$AK$13,9,0)</f>
        <v>0</v>
      </c>
      <c r="T396" s="11">
        <v>0.1</v>
      </c>
      <c r="U396" s="11">
        <v>0</v>
      </c>
      <c r="V396" s="11">
        <v>0.34</v>
      </c>
      <c r="W396" s="11">
        <v>0</v>
      </c>
      <c r="X396" s="11">
        <v>0.34</v>
      </c>
      <c r="Y396" s="11">
        <v>0.34</v>
      </c>
      <c r="Z396" s="11">
        <v>0.34</v>
      </c>
      <c r="AA396" s="11" t="s">
        <v>2558</v>
      </c>
      <c r="AB396" s="11" t="s">
        <v>2559</v>
      </c>
      <c r="AC396" s="11">
        <v>0</v>
      </c>
      <c r="AD396" s="11">
        <v>0.45</v>
      </c>
      <c r="AE396" s="11">
        <v>0</v>
      </c>
      <c r="AF396" s="11">
        <f>VLOOKUP(K396,'1104 Jurídica'!$K$13:$AK$13,22,0)</f>
        <v>0.31</v>
      </c>
      <c r="AG396" s="11">
        <f>VLOOKUP(K396,'1104 Jurídica'!$K$13:$AK$13,23,0)</f>
        <v>0</v>
      </c>
      <c r="AH396" s="11">
        <f>AF396</f>
        <v>0.31</v>
      </c>
      <c r="AI396" s="11" t="str">
        <f>VLOOKUP(K396,'1104 Jurídica'!$K$13:$AK$13,25,0)</f>
        <v xml:space="preserve">Durante el mes de abril de 2021, se realizaron tres visitas guiadas virtuales al Congreso de la República, con la Asistencia de 154 estudiantes de 06 colegios de las provincias de Almeidas, Alto Magdalena y Bajo Magdalena. Los días 26, 27 y 28 de mayo de 2021, se realizaron tres visitas guiadas virtuales al Congreso de La República, con 200 estudiantes de IED de las Provincias de Gualivá, Guavio, Magdalena centro.En el mes de junio de 2021, se canceló la suma de $7.000.000 con cargo a la a la invitación pública de mínima cuantía SJ-CMC-001 de 2021. Desde el primero y en el segundo trimestre de 2021, dos estudiantes de las facultades de derecho de las Universidades Libre y de La Sabana, de conformidad con los Convenios Suscritos por la Secretaría de la Función Pública Nos. 046 y 039 de 2020, respectivamente, vienen realizando prácticas laborales en la Secretaría Jurídica. Durante los   días  28, 29 y 30 de julio de 2021, se realizarón tres (03) visitas guiadas virtuales al Congreso de la República, con la asistencia de 180 estudiantes  de IED de las Provincias de Médina, Oriente, Rionegro.   Realizaron prácticas laborales en la Secretaría Jurídica, dos estudiantes de las facultades de derecho de las Universidades Libre y de La Sabana, de conformidad con los Convenios Nos. 046 y 039 de 2020, suscritos por la Secretaría de la Función Pública.       
En el mes de agosto de 2021, los días 25, 26 Y 27 de  agosto de 2021: En cumplimiento de la actividad “Ruta de la Democracia”, se realizaron tres (03) visitas guiadas virtuales al Congreso de la República, con la asistencia de 183 estudiantes de las siguientes Provincias, Municipios y Colegios: Sabana Centro: Tocancipa: “IED Técnico Comercial Tocancipa; “IED Técnico Industrial”, “IED Rural La Fuente-Tocancipa  (30); Tabio: “IERD Diego Gómez de Mena, “IED José de San Martín (33). Sabana Occidente: Mosquera: “IE. Oficiales de Mosquera (30); El Rosal: “IED. Campo Alegre” (30); “IDE José María Obando” (30). Soacha: Sibaté: “Institución Educativa Departamental Sibaté” (30).   Se emitió la Segunda Edición del Boletín Jurídico Virtual,digido a los funcionarios del Sector Central, Descentralizado y a los 116 municipios del Departamento de Cundinamarca,Continene información sobre las Leyes Nos. 2138/2021;2088/2021; Estatutaria 2097 /2021; 2101/2021 ; 2140/ 2021; 2108/2021; Concepto 178131 del 21 de mayo de 2021 del DAFP;Ley 680/2021; Ley 2125/2021; Res.971/2021 MINSALD; Concepto 178131 del 21 de mayo de 2021 del DAFP; Concepto ANDJDE 20211030037751. Realizaron prácticas laborales en la Secretaría Jurídica, dos estudiantes de las facultades de derecho de las Universidades Libre y de La Sabana, de conformidad con los Convenios Nos. 046 y 039 de 2020, respectivamente,  suscritos por la Secretaría de la Función Pública.
En el mes de septiembre de 2021, los días 28, 29 Y 30 de  Septiembre de 2021: En cumplimiento de la actividad “Ruta de la Democracia”, se realizaron tres (03) visitas guiadas virtuales al Congreso de la República, con la asistencia de 176  estudiantes de las siguientes Provincias, Municipios y Colegios: SUMAPAZ: San Bernardo: “IED San Bernardo y IERD Andes”  (30); Silvania: “IED Silvania” (30). TEQUENDAMA:  San Antonio del Tequendama: “IED Mariano Santamaría” y I.E.D. San Antonio del Tequendama” (31); Tena: “IED Fidel Cano” (15). UBATE: Fúquene: “I.E.D. Nacionalizado y I. E Instituto Técnico Comercial Capellanía (40); Cucunubá “IED. Divino Salvador y Peñas” (30). 
(i) Se emitieron dos Boletines Jurídico Virtuales, a cargo de la Dirección de Conceptos y Estudios Jurídicos de la Secretaría Jurídica, dirigido a los funcionarios del Sector Central, Descentralizado y a los 116 municipios del Departamento de Cundinamarca, los cuales contienen información sobre: a) Decreto 952 de 2021, que reconoce la experiencia previa al título como experiencia profesional válida para efectos de los procesos de inserción laboral y productiva de jóvenes entre los 14 y 28 años en el sector público. b) Ley 2144 de 2021, dictó normas encaminadas a salvaguardar, fomentar y reconocer la gastronomía colombiana como integrante del patrimonio cultural. c) Ley 2129 del 4 de agosto de 2021 y la Sentencia C-519 de 2019 los padres podrán elegir el orden de los apellidos de sus hijos en el Registro Civil de Nacimiento. d) Ley 2148 del 24 de agosto de 2021 modificó el artículo 24 de la ley 1551 de 2012 de organización y funcionamiento de los municipios, entre otros. ii) Se realizaron prácticas laborales en la Secretaría Jurídica, dos estudiantes de las facultades de derecho de las Universidades Libre y de La Sabana, de conformidad con los Convenios Nos. 046 y 039 de 2020, suscritos por la Secretaría de la Función Pública, respectivamente,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En el mes de Octubre  de 2021:  i) El día 06 se pagó a través de la Tesorería del Departamento de Cundinamarca, la suma de veinticuatro millones novecientos noventa mil pesos m/cte ($24.990.000.oo), correspondiente a la invitación pública de mínima cuantía REDJURISTA SAS, SJ-CMC-002 de 2021, por la suma de $24.990.000, OBJETO: “Contratar la suscripción de una plataforma de actualización Jurídica, Tributaría, Laboral y Administrativa de interés general , con accerso a códigos, Jurisprudencia y Actualización en tiempo real de los portales Especializados que confdorman la solución informativa". 
ii) Realizaron prácticas laborales en la Secretaría Jurídica, dos estudiantes de las facultades de derecho de las Universidades del Bosque y Externado. 
El 18 de noviembre de 2021, El Secretario Jurídico Dr. Freddy Gustavo Orjuela Hernández, celebró Contrato de prestación de servicios profesionales No. SJ-CPS-024-2021, con la Cámara de Comercio de Bogotá, OBJETO: “PRESTACIÓN DE SERVICIOS PROFESIONALES PARA ADELANTAR TALLERES DE SENSIBILIZACIÓN EN LOS MECANISMOS ALTERNATIVOS DE SOLUCIÓN DE CONFLICTOS - MASC, EN EL MARCO DEL PLAN DEPARTAMENTAL DE DESARROLLO "CUNDINAMARCA, REGIÓN QUE PROGRESA”. Por valor de $ 7.873.299.
Durante el mes de noviembre de 2021: (i) Se emitieron dos Boletines Jurídico Semanales y uno mensual Virtuales, a cargo de la Dirección de Conceptos y Estudios Jurídicos de la Secretaría Jurídica, dirigido a los funcionarios del Sector Central, Descentralizado y a los 116 municipios del Departamento de Cundinamarca, los cuales contienen información sobre: a) Decreto 1408 de 2021, Obligatoria presentación del carnet de vacunación contra el Covid- 19. b) Decreto 1415 de 2021, se reglamenta la protección laboral reforzada para madres o padres cabeza de familia, personas con limitaciones físicas o mentales y los pre pensionados en el sector público. c) Ley 2157 de 2021 ley de “borrón y cuenta nueva”. d)Resolución 4286 de 2021, Reglamentación de las elecciones de Consejos Municipales de Juventudes. e) Fallo de 26/098/2021, Consejo de Estado, Inhabilidad para Contralores Territoriales. f)la incidencia de la ley 2159 de 2021 “ley de presupuesto” en las entidades territoriales. g) Circular 013 de 2021 expedida por el Gobernador del Departamento de Cundinamarca y Circular Conjunta 100-006 De 2021 expedida por el Departamento Administrativo de la Presidencia De La República y el director del Departamento Administrativo de la Función Pública, restricciones en la nómina y en la contratación estatal con ocasión de las elecciones a la presidencia, vicepresidencia y congreso.  entre otros. ii) Se realizó práctica laboral en la Secretaría Jurídica, por parte de una estudiante de la facultad de derecho de las Universidad Externado, de conformidad Convenio, suscrito por la Secretaría de la Función Pública,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v>
      </c>
      <c r="AJ396" s="11" t="str">
        <f>VLOOKUP(K396,'1104 Jurídica'!$K$13:$AK$13,26,0)</f>
        <v xml:space="preserve">En el primer trimestre 2021, se realizaron 04 capacitaciones, Asesoría y Acompañamiento, beneficiando 272 funcionarios de los 116 municipios y  397 del Sector Central y Descentralizado, 02 ESE`s del Deparrtamento de Cundinamarca. Temas: Calificación riesgos y provisión contable en procesos judiciales; diligenciamiento FURAG; liquidación sentencias judiciales;reforma Código  de procedimiento administrativo y de lo contencioso administrativo. Se emitieron 06 boletines jurídicos dirigidos a los 116 municipios, Sector Central y Descentralizado de Cundinamarca; con el ánimo de fortalecer la gestión de las administraciones municipales y departamental de Cundinamarca. Se aceptó la oferta de la firma REDJURISTAS SAS, SJ-CMC-016- de 2021, dentro de la invitación pública de mínima cuantía SJ-CMC-002 de 2021, por la suma de $24.990.000. Durante los días 8, 15 y 22 de junio de 2021, se realizaron tres capacitaciones, cuyo tema fue el Código General Discilinario Ley 1952 de 20219. Durante el segundo trimestre de 2021, se emitieron boletines jurídicos, dirigido a los funcionarios del Sector Central, Descentralizado y  los 116 municipios del Departamento de Cundinamarca. Durante los   días  28, 29 y 30 de julio de 2021, se realizarón tres (03) visitas guiadas virtuales al Congreso de la República, con la asistencia de 180 estudiantes  de IED de las Provincias de Médina, Oriente, Rionegro.   Realizaron prácticas laborales en la Secretaría Jurídica, dos estudiantes de las facultades de derecho de las Universidades Libre y de La Sabana, de conformidad con los Convenios Nos. 046 y 039 de 2020, suscritos por la Secretaría de la Función Pública. En el mes de agosto de 2021: Se realizaron 03 visitas guiadas al Congreso de la república, con la asistencia de 183 alumnos de IED de las Provincias de Sabana Centro, Sabana Occidente, Soacha . Se emitió el segundo boletín jurídico virtual, dirigdo a los funcionarios de la Gobernación y los 116 municipios de Cundinamarca. Dos Estudiantes de las Universidaes Libre y Sabana,  realizaron prácticas laborales en la Secretaría Jurídica.  
En el mes de septiembre de 2021, los días 28, 29 Y 30 de  Septiembre de 2021: En cumplimiento de la actividad “Ruta de la Democracia”, se realizaron tres (03) visitas guiadas virtuales al Congreso de la República, con la asistencia de 176  estudiantes de las siguientes Provincias, Municipios y Colegios: SUMAPAZ: San Bernardo: “IED San Bernardo y IERD Andes”  (30); Silvania: “IED Silvania” (30). TEQUENDAMA:  San Antonio del Tequendama: “IED Mariano Santamaría” y I.E.D. San Antonio del Tequendama” (31); Tena: “IED Fidel Cano” (15). UBATE: Fúquene: “I.E.D. Nacionalizado y I. E Instituto Técnico Comercial Capellanía (40); Cucunubá “IED. Divino Salvador y Peñas” (30). 
(i) Se emitieron dos Boletines Jurídico Virtuales, a cargo de la Dirección de Conceptos y Estudios Jurídicos de la Secretaría Jurídica, dirigido a los funcionarios del Sector Central, Descentralizado y a los 116 municipios del Departamento de Cundinamarca, los cuales contienen información sobre: a) Decreto 952 de 2021, que reconoce la experiencia previa al título como experiencia profesional válida para efectos de los procesos de inserción laboral y productiva de jóvenes entre los 14 y 28 años en el sector público. b) Ley 2144 de 2021, dictó normas encaminadas a salvaguardar, fomentar y reconocer la gastronomía colombiana como integrante del patrimonio cultural. c) Ley 2129 del 4 de agosto de 2021 y la Sentencia C-519 de 2019 los padres podrán elegir el orden de los apellidos de sus hijos en el Registro Civil de Nacimiento. d) Ley 2148 del 24 de agosto de 2021 modificó el artículo 24 de la ley 1551 de 2012 de organización y funcionamiento de los municipios, entre otros. ii) Se realizaron prácticas laborales en la Secretaría Jurídica, dos estudiantes de las facultades de derecho de las Universidades Libre y de La Sabana, de conformidad con los Convenios Nos. 046 y 039 de 2020, suscritos por la Secretaría de la Función Pública, respectivamente,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En el mes de Octubre  de 2021:  i) El día 06 se pagó a través de la Tesorería del Departamento de Cundinamarca, la suma de veinticuatro millones novecientos noventa mil pesos m/cte ($24.990.000.oo), correspondiente a la invitación pública de mínima cuantía REDJURISTA SAS, SJ-CMC-002 de 2021, por la suma de $24.990.000, OBJETO: “Contratar la suscripción de una plataforma de actualización Jurídica, Tributaría, Laboral y Administrativa de interés general , con accerso a códigos, Jurisprudencia y Actualización en tiempo real de los portales Especializados que confdorman la solución informativa". 
ii) Realizaron prácticas laborales en la Secretaría Jurídica, dos estudiantes de las facultades de derecho de las Universidades del Bosque y Externado. 
El 18 de noviembre de 2021, El Secretario Jurídico Dr. Freddy Gustavo Orjuela Hernández, celebró Contrato de prestación de servicios profesionales No. SJ-CPS-024-2021, con la Cámara de Comercio de Bogotá, OBJETO: “PRESTACIÓN DE SERVICIOS PROFESIONALES PARA ADELANTAR TALLERES DE SENSIBILIZACIÓN EN LOS MECANISMOS ALTERNATIVOS DE SOLUCIÓN DE CONFLICTOS - MASC, EN EL MARCO DEL PLAN DEPARTAMENTAL DE DESARROLLO "CUNDINAMARCA, REGIÓN QUE PROGRESA”. Por valor de $ 7.873.299.
Durante el mes de noviembre de 2021: (i) Se emitieron dos Boletines Jurídico Semanales y uno mensual Virtuales, a cargo de la Dirección de Conceptos y Estudios Jurídicos de la Secretaría Jurídica, dirigido a los funcionarios del Sector Central, Descentralizado y a los 116 municipios del Departamento de Cundinamarca, los cuales contienen información sobre: a) Decreto 1408 de 2021, Obligatoria presentación del carnet de vacunación contra el Covid- 19. b) Decreto 1415 de 2021, se reglamenta la protección laboral reforzada para madres o padres cabeza de familia, personas con limitaciones físicas o mentales y los pre pensionados en el sector público. c) Ley 2157 de 2021 ley de “borrón y cuenta nueva”. d)Resolución 4286 de 2021, Reglamentación de las elecciones de Consejos Municipales de Juventudes. e) Fallo de 26/098/2021, Consejo de Estado, Inhabilidad para Contralores Territoriales. f)la incidencia de la ley 2159 de 2021 “ley de presupuesto” en las entidades territoriales. g) Circular 013 de 2021 expedida por el Gobernador del Departamento de Cundinamarca y Circular Conjunta 100-006 De 2021 expedida por el Departamento Administrativo de la Presidencia De La República y el director del Departamento Administrativo de la Función Pública, restricciones en la nómina y en la contratación estatal con ocasión de las elecciones a la presidencia, vicepresidencia y congreso.  entre otros. ii) Se realizó práctica laboral en la Secretaría Jurídica, por parte de una estudiante de la facultad de derecho de las Universidad Externado, de conformidad Convenio, suscrito por la Secretaría de la Función Pública,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v>
      </c>
      <c r="AK396" s="11">
        <f>VLOOKUP(K396,'1104 Jurídica'!$K$13:$AK$13,27,0)</f>
        <v>0</v>
      </c>
      <c r="AL396" s="11">
        <v>0.24</v>
      </c>
      <c r="AM396" s="11">
        <v>0</v>
      </c>
      <c r="AN396" s="11">
        <v>0</v>
      </c>
      <c r="AO396" s="11">
        <v>0</v>
      </c>
      <c r="AP396" s="11">
        <v>0</v>
      </c>
      <c r="AQ396" s="11">
        <v>0</v>
      </c>
      <c r="AR396" s="52"/>
      <c r="AS396" s="54">
        <v>15000000</v>
      </c>
      <c r="AT396" s="54">
        <f t="shared" ref="AT396:AT432" si="636">AR396+AS396</f>
        <v>15000000</v>
      </c>
      <c r="AU396" s="52"/>
      <c r="AV396" s="243">
        <v>100000000</v>
      </c>
      <c r="AW396" s="244"/>
      <c r="AX396" s="244"/>
      <c r="AY396" s="243">
        <v>39863299</v>
      </c>
      <c r="AZ396" s="44">
        <f>R396/Q396</f>
        <v>0.65</v>
      </c>
      <c r="BA396" s="44">
        <v>0.34</v>
      </c>
      <c r="BB396" s="44">
        <v>1</v>
      </c>
      <c r="BC396" s="44">
        <f t="shared" ref="BC396:BC397" si="637">AD396/Q396</f>
        <v>0.45</v>
      </c>
      <c r="BD396" s="44" cm="1">
        <f t="array" ref="BD396">_xlfn.IFS(AD396=0,"NA",AD396&gt;0,AH396/AD396)</f>
        <v>0.68888888888888888</v>
      </c>
      <c r="BE396" s="44">
        <f t="shared" ref="BE396:BE397" si="638">AL396/Q396</f>
        <v>0.24</v>
      </c>
      <c r="BF396" s="44">
        <v>0</v>
      </c>
      <c r="BG396" s="44">
        <f t="shared" ref="BG396:BG397" si="639">AN396/Q396</f>
        <v>0</v>
      </c>
      <c r="BH396" s="44">
        <v>0</v>
      </c>
      <c r="BI396" s="44">
        <f>AP396/Q396</f>
        <v>0</v>
      </c>
      <c r="BJ396" s="44" t="s">
        <v>115</v>
      </c>
      <c r="BK396" s="44">
        <f t="shared" ref="BK396:BK441" si="640">IF(AZ396&gt;100%,"100%",AZ396)</f>
        <v>0.65</v>
      </c>
      <c r="BL396" s="44">
        <v>1</v>
      </c>
      <c r="BM396" s="44" cm="1">
        <f t="array" ref="BM396">_xlfn.IFS(BD396="NA","NA",BD396&gt;100%,"100%",BD396&lt;100,BD396)</f>
        <v>0.68888888888888888</v>
      </c>
      <c r="BN396" s="44" cm="1">
        <f t="array" ref="BN396">_xlfn.IFS(BF396="NA","NA",BF396&gt;100%,"100%",BF396&lt;100,BF396)</f>
        <v>0</v>
      </c>
      <c r="BO396" s="44" cm="1">
        <f t="array" ref="BO396">_xlfn.IFS(BH396="NA","NA",BH396&gt;100%,"100%",BH396&lt;100,BH396)</f>
        <v>0</v>
      </c>
      <c r="BP396" s="44" t="str" cm="1">
        <f t="array" ref="BP396">_xlfn.IFS(BJ396="NA","NA",BJ396&gt;100%,"100%",BJ396&lt;100,BJ396)</f>
        <v>NA</v>
      </c>
      <c r="BQ396" s="45">
        <v>0.224</v>
      </c>
      <c r="BR396" s="45">
        <f t="shared" ref="BR396:BR397" si="641">BQ396*BK396</f>
        <v>0.14560000000000001</v>
      </c>
      <c r="BS396" s="45">
        <v>7.6200000000000004E-2</v>
      </c>
      <c r="BT396" s="45">
        <v>7.6200000000000004E-2</v>
      </c>
      <c r="BU396" s="45">
        <v>7.6200000000000004E-2</v>
      </c>
      <c r="BV396" s="45">
        <f t="shared" ref="BV396:BV397" si="642">(AD396*BQ396)/Q396</f>
        <v>0.1008</v>
      </c>
      <c r="BW396" s="45">
        <f t="shared" ref="BW396:BW397" si="643">IF(BM396="NA","NA",BM396*BV396)</f>
        <v>6.9440000000000002E-2</v>
      </c>
      <c r="BX396" s="45">
        <f t="shared" ref="BX396:BX397" si="644">BR396-BU396</f>
        <v>6.9400000000000003E-2</v>
      </c>
      <c r="BY396" s="45">
        <f t="shared" ref="BY396:BY397" si="645">(AL396*BQ396)/Q396</f>
        <v>5.3760000000000002E-2</v>
      </c>
      <c r="BZ396" s="45">
        <f t="shared" ref="BZ396:BZ397" si="646">IF(BN396="NA","NA",BN396*BY396)</f>
        <v>0</v>
      </c>
      <c r="CA396" s="45">
        <f t="shared" si="634"/>
        <v>0</v>
      </c>
      <c r="CB396" s="45">
        <f t="shared" ref="CB396:CB397" si="647">(AN396*BQ396)/Q396</f>
        <v>0</v>
      </c>
      <c r="CC396" s="45">
        <f t="shared" ref="CC396:CC397" si="648">IF(BO396="NA","NA",BO396*CB396)</f>
        <v>0</v>
      </c>
      <c r="CD396" s="45">
        <v>0</v>
      </c>
      <c r="CE396" s="45">
        <f>(AP396*BQ396)/Q396</f>
        <v>0</v>
      </c>
      <c r="CF396" s="45" t="str">
        <f>IF(BP396="NA","NA",BP396*CE396)</f>
        <v>NA</v>
      </c>
      <c r="CG396" s="45">
        <v>0</v>
      </c>
      <c r="CH396" s="244"/>
      <c r="CI396" s="244"/>
      <c r="CJ396" s="244"/>
      <c r="CK396" s="244"/>
      <c r="CM396" s="63">
        <v>0.54</v>
      </c>
    </row>
    <row r="397" spans="1:91" ht="18" hidden="1" customHeight="1">
      <c r="A397" s="260" t="s">
        <v>2560</v>
      </c>
      <c r="B397" s="260" t="s">
        <v>2561</v>
      </c>
      <c r="C397" s="260" t="s">
        <v>2371</v>
      </c>
      <c r="D397" s="260" t="s">
        <v>2372</v>
      </c>
      <c r="E397" s="260" t="s">
        <v>2562</v>
      </c>
      <c r="F397" s="260" t="s">
        <v>2563</v>
      </c>
      <c r="G397" s="260" t="s">
        <v>2564</v>
      </c>
      <c r="H397" s="260" t="s">
        <v>2565</v>
      </c>
      <c r="I397" s="260"/>
      <c r="J397" s="260"/>
      <c r="K397" s="260" t="s">
        <v>2566</v>
      </c>
      <c r="L397" s="260" t="s">
        <v>2567</v>
      </c>
      <c r="M397" s="260" t="s">
        <v>2568</v>
      </c>
      <c r="N397" s="260" t="s">
        <v>111</v>
      </c>
      <c r="O397" s="260" t="s">
        <v>112</v>
      </c>
      <c r="P397" s="10">
        <v>4</v>
      </c>
      <c r="Q397" s="11">
        <v>4</v>
      </c>
      <c r="R397" s="11">
        <f t="shared" si="635"/>
        <v>2</v>
      </c>
      <c r="S397" s="11" t="str">
        <f>VLOOKUP(K397,'1106 Hacienda'!$K$13:$AK$15,9,0)</f>
        <v>Continuidad durante el cuatrienio del plan de fiscalización tributaria para los tributos departamentales de forma constante, programada y sistemática con el objetivo de establecer que la administración ejerza el control contra la ilegalidad de las rentas departamentales, la lucha contra la evasión y el contrabando, que redunde en mejores ingresos para el departamento de Cundinamarca.</v>
      </c>
      <c r="T397" s="11">
        <v>1</v>
      </c>
      <c r="U397" s="11">
        <v>0</v>
      </c>
      <c r="V397" s="11">
        <v>1</v>
      </c>
      <c r="W397" s="11">
        <v>0</v>
      </c>
      <c r="X397" s="11">
        <v>1</v>
      </c>
      <c r="Y397" s="11">
        <v>1</v>
      </c>
      <c r="Z397" s="11">
        <v>1</v>
      </c>
      <c r="AA397" s="11" t="s">
        <v>2569</v>
      </c>
      <c r="AB397" s="11" t="s">
        <v>2570</v>
      </c>
      <c r="AC397" s="11" t="s">
        <v>2571</v>
      </c>
      <c r="AD397" s="11">
        <v>1</v>
      </c>
      <c r="AE397" s="11">
        <v>0</v>
      </c>
      <c r="AF397" s="11">
        <f>VLOOKUP(K397,'1106 Hacienda'!$K$13:$AK$15,22,0)</f>
        <v>1</v>
      </c>
      <c r="AG397" s="11">
        <f>VLOOKUP(K397,'1106 Hacienda'!$K$13:$AK$15,23,0)</f>
        <v>0</v>
      </c>
      <c r="AH397" s="11">
        <f t="shared" ref="AH397" si="649">AF397</f>
        <v>1</v>
      </c>
      <c r="AI397" s="11" t="str">
        <f>VLOOKUP(K397,'1106 Hacienda'!$K$13:$AK$15,25,0)</f>
        <v>Servicio de fiscalización y procesos de auditarías tributaria -  se previene el riesgo la salud y la vida de los ciudadanos, se previene efectos en salud pública al controlar la ilegalidad.</v>
      </c>
      <c r="AJ397" s="11" t="str">
        <f>VLOOKUP(K397,'1106 Hacienda'!$K$13:$AK$15,26,0)</f>
        <v>Se implementaron las estrategias que permiten orientar el control de los fenómenos que afectan recaudo de los impuesto al consumo como la evasión, la adulteración, falsificación y contrabando y mantuvo los planes de fiscalización tributaria, se permitió promover, impulsar y establecer que la administración ejerza de manera directa el control contra la ilegalidad de las rentas departamentales</v>
      </c>
      <c r="AK397" s="11" t="str">
        <f>VLOOKUP(K397,'1106 Hacienda'!$K$13:$AK$15,27,0)</f>
        <v>Se retrasó los procesos por la pandemia covid -19  por la apertura selectiva de algunos establecimientos abiertos al público de cigarrillo y licor que dificultó el proceso de visitas de control, auditorias y demás procesos de fiscalización.</v>
      </c>
      <c r="AL397" s="11">
        <v>1</v>
      </c>
      <c r="AM397" s="11">
        <v>0</v>
      </c>
      <c r="AN397" s="11">
        <v>1</v>
      </c>
      <c r="AO397" s="11">
        <v>0</v>
      </c>
      <c r="AP397" s="11">
        <v>0</v>
      </c>
      <c r="AQ397" s="11">
        <v>0</v>
      </c>
      <c r="AR397" s="51">
        <v>3303045591</v>
      </c>
      <c r="AS397" s="54">
        <v>271854490</v>
      </c>
      <c r="AT397" s="54">
        <f t="shared" si="636"/>
        <v>3574900081</v>
      </c>
      <c r="AU397" s="51">
        <v>382435852</v>
      </c>
      <c r="AV397" s="243">
        <v>35850522352</v>
      </c>
      <c r="AW397" s="244"/>
      <c r="AX397" s="244"/>
      <c r="AY397" s="243">
        <v>33084712069</v>
      </c>
      <c r="AZ397" s="44">
        <f>R397/Q397</f>
        <v>0.5</v>
      </c>
      <c r="BA397" s="44">
        <v>0.25</v>
      </c>
      <c r="BB397" s="44">
        <v>1</v>
      </c>
      <c r="BC397" s="44">
        <f t="shared" si="637"/>
        <v>0.25</v>
      </c>
      <c r="BD397" s="44" cm="1">
        <f t="array" ref="BD397">_xlfn.IFS(AD397=0,"NA",AD397&gt;0,AH397/AD397)</f>
        <v>1</v>
      </c>
      <c r="BE397" s="44">
        <f t="shared" si="638"/>
        <v>0.25</v>
      </c>
      <c r="BF397" s="44">
        <v>0</v>
      </c>
      <c r="BG397" s="44">
        <f t="shared" si="639"/>
        <v>0.25</v>
      </c>
      <c r="BH397" s="44">
        <v>0</v>
      </c>
      <c r="BI397" s="44">
        <f>AP397/Q397</f>
        <v>0</v>
      </c>
      <c r="BJ397" s="44" t="s">
        <v>115</v>
      </c>
      <c r="BK397" s="44">
        <f t="shared" si="640"/>
        <v>0.5</v>
      </c>
      <c r="BL397" s="44">
        <v>1</v>
      </c>
      <c r="BM397" s="44" cm="1">
        <f t="array" ref="BM397">_xlfn.IFS(BD397="NA","NA",BD397&gt;100%,"100%",BD397&lt;100,BD397)</f>
        <v>1</v>
      </c>
      <c r="BN397" s="44" cm="1">
        <f t="array" ref="BN397">_xlfn.IFS(BF397="NA","NA",BF397&gt;100%,"100%",BF397&lt;100,BF397)</f>
        <v>0</v>
      </c>
      <c r="BO397" s="44" cm="1">
        <f t="array" ref="BO397">_xlfn.IFS(BH397="NA","NA",BH397&gt;100%,"100%",BH397&lt;100,BH397)</f>
        <v>0</v>
      </c>
      <c r="BP397" s="44" t="str" cm="1">
        <f t="array" ref="BP397">_xlfn.IFS(BJ397="NA","NA",BJ397&gt;100%,"100%",BJ397&lt;100,BJ397)</f>
        <v>NA</v>
      </c>
      <c r="BQ397" s="45">
        <v>0.224</v>
      </c>
      <c r="BR397" s="45">
        <f t="shared" si="641"/>
        <v>0.112</v>
      </c>
      <c r="BS397" s="45">
        <v>5.6000000000000001E-2</v>
      </c>
      <c r="BT397" s="45">
        <v>5.6000000000000001E-2</v>
      </c>
      <c r="BU397" s="45">
        <v>5.6000000000000001E-2</v>
      </c>
      <c r="BV397" s="45">
        <f t="shared" si="642"/>
        <v>5.6000000000000001E-2</v>
      </c>
      <c r="BW397" s="45">
        <f t="shared" si="643"/>
        <v>5.6000000000000001E-2</v>
      </c>
      <c r="BX397" s="45">
        <f t="shared" si="644"/>
        <v>5.6000000000000001E-2</v>
      </c>
      <c r="BY397" s="45">
        <f t="shared" si="645"/>
        <v>5.6000000000000001E-2</v>
      </c>
      <c r="BZ397" s="45">
        <f t="shared" si="646"/>
        <v>0</v>
      </c>
      <c r="CA397" s="45">
        <f t="shared" si="634"/>
        <v>0</v>
      </c>
      <c r="CB397" s="45">
        <f t="shared" si="647"/>
        <v>5.6000000000000001E-2</v>
      </c>
      <c r="CC397" s="45">
        <f t="shared" si="648"/>
        <v>0</v>
      </c>
      <c r="CD397" s="45">
        <v>0</v>
      </c>
      <c r="CE397" s="45">
        <f>(AP397*BQ397)/Q397</f>
        <v>0</v>
      </c>
      <c r="CF397" s="45" t="str">
        <f>IF(BP397="NA","NA",BP397*CE397)</f>
        <v>NA</v>
      </c>
      <c r="CG397" s="45">
        <v>0</v>
      </c>
      <c r="CH397" s="244"/>
      <c r="CI397" s="244"/>
      <c r="CJ397" s="244"/>
      <c r="CK397" s="244"/>
      <c r="CM397" s="63">
        <v>1.92</v>
      </c>
    </row>
    <row r="398" spans="1:91" ht="18" hidden="1" customHeight="1">
      <c r="A398" s="260" t="s">
        <v>2560</v>
      </c>
      <c r="B398" s="260" t="s">
        <v>2561</v>
      </c>
      <c r="C398" s="260" t="s">
        <v>2371</v>
      </c>
      <c r="D398" s="260" t="s">
        <v>2372</v>
      </c>
      <c r="E398" s="260" t="s">
        <v>2562</v>
      </c>
      <c r="F398" s="260" t="s">
        <v>2563</v>
      </c>
      <c r="G398" s="260" t="s">
        <v>2564</v>
      </c>
      <c r="H398" s="260" t="s">
        <v>2572</v>
      </c>
      <c r="I398" s="260"/>
      <c r="J398" s="260"/>
      <c r="K398" s="260" t="s">
        <v>2573</v>
      </c>
      <c r="L398" s="260" t="s">
        <v>2574</v>
      </c>
      <c r="M398" s="260" t="s">
        <v>2575</v>
      </c>
      <c r="N398" s="260" t="s">
        <v>111</v>
      </c>
      <c r="O398" s="260" t="s">
        <v>302</v>
      </c>
      <c r="P398" s="10">
        <v>5</v>
      </c>
      <c r="Q398" s="11">
        <v>5</v>
      </c>
      <c r="R398" s="11">
        <f>AVERAGE(Z398,AH398)</f>
        <v>5</v>
      </c>
      <c r="S398" s="11" t="str">
        <f>VLOOKUP(K398,'1106 Hacienda'!$K$13:$AK$15,9,0)</f>
        <v>Continuidad durante el cuatrienio de todas las herramientas y plataformas tecnológicas que faciliten la recaudación tributaria.</v>
      </c>
      <c r="T398" s="11">
        <v>0</v>
      </c>
      <c r="U398" s="11">
        <v>5</v>
      </c>
      <c r="V398" s="11">
        <v>0</v>
      </c>
      <c r="W398" s="11">
        <v>5</v>
      </c>
      <c r="X398" s="11" t="s">
        <v>115</v>
      </c>
      <c r="Y398" s="11">
        <v>5</v>
      </c>
      <c r="Z398" s="11">
        <v>5</v>
      </c>
      <c r="AA398" s="11" t="s">
        <v>2576</v>
      </c>
      <c r="AB398" s="11" t="s">
        <v>2577</v>
      </c>
      <c r="AC398" s="11" t="s">
        <v>2578</v>
      </c>
      <c r="AD398" s="11">
        <v>0</v>
      </c>
      <c r="AE398" s="11">
        <v>5</v>
      </c>
      <c r="AF398" s="11">
        <f>VLOOKUP(K398,'1106 Hacienda'!$K$13:$AK$15,22,0)</f>
        <v>0</v>
      </c>
      <c r="AG398" s="11">
        <f>VLOOKUP(K398,'1106 Hacienda'!$K$13:$AK$15,23,0)</f>
        <v>5</v>
      </c>
      <c r="AH398" s="11">
        <f t="shared" ref="AH398" si="650">AG398</f>
        <v>5</v>
      </c>
      <c r="AI398" s="11" t="str">
        <f>VLOOKUP(K398,'1106 Hacienda'!$K$13:$AK$15,25,0)</f>
        <v>Servicio a la ciudadanía de virtualidad de los servicios de la Secretaría de Hacienda - al recaudo de impuestos y cobro coactivo, aplicación de web service, pago PSE, y salas virtuales, facilitando a los contribuyentes la consulta, liquidación y pago de sus obligaciones tributarias.</v>
      </c>
      <c r="AJ398" s="11" t="str">
        <f>VLOOKUP(K398,'1106 Hacienda'!$K$13:$AK$15,26,0)</f>
        <v>Se logró el fortalecimiento y potenciar los sistemas de información de la Secretaría de Hacienda, que permiten el desarrollo y la continuidad en la operación tecnológica</v>
      </c>
      <c r="AK398" s="11" t="str">
        <f>VLOOKUP(K398,'1106 Hacienda'!$K$13:$AK$15,27,0)</f>
        <v>Se dificultó y retrasó los procesos contractuales relacionados con la meta, debido a la cuarentena nacional decretada por el Gobierno Nacional y Distrital, con ocasión de la pandemia mundial denominada coronavirus – covid -19.</v>
      </c>
      <c r="AL398" s="11">
        <v>0</v>
      </c>
      <c r="AM398" s="11">
        <v>5</v>
      </c>
      <c r="AN398" s="11">
        <v>0</v>
      </c>
      <c r="AO398" s="11">
        <v>5</v>
      </c>
      <c r="AP398" s="11">
        <v>0</v>
      </c>
      <c r="AQ398" s="11">
        <v>0</v>
      </c>
      <c r="AR398" s="51">
        <v>1800657484</v>
      </c>
      <c r="AS398" s="54">
        <v>0</v>
      </c>
      <c r="AT398" s="54">
        <f t="shared" si="636"/>
        <v>1800657484</v>
      </c>
      <c r="AU398" s="51">
        <v>1094187090</v>
      </c>
      <c r="AV398" s="243">
        <v>6088930070</v>
      </c>
      <c r="AW398" s="244"/>
      <c r="AX398" s="244"/>
      <c r="AY398" s="243">
        <v>5794173466</v>
      </c>
      <c r="AZ398" s="44" cm="1">
        <f t="array" ref="AZ398">_xlfn.IFS((BA398=0),(BD398/CL398),(BA398&gt;0),((BB398+BD398)/CL398),(BE398&gt;0),((BB398+BD398+BE398)/CL398),(BG398&gt;0),((BB398+BD398+BE398+G398)/CL398))</f>
        <v>0.45832499999999998</v>
      </c>
      <c r="BA398" s="44">
        <v>0.25</v>
      </c>
      <c r="BB398" s="44">
        <v>1</v>
      </c>
      <c r="BC398" s="44">
        <v>0.25</v>
      </c>
      <c r="BD398" s="44" cm="2">
        <f t="array" ref="BD398">_xlfn.IFS(AE398=0,"NA",AE398&gt;0,((AH398/AE398)*0.8333))</f>
        <v>0.83330000000000004</v>
      </c>
      <c r="BE398" s="44">
        <v>0.25</v>
      </c>
      <c r="BF398" s="44">
        <v>0</v>
      </c>
      <c r="BG398" s="44">
        <v>0.25</v>
      </c>
      <c r="BH398" s="44">
        <v>0</v>
      </c>
      <c r="BI398" s="44">
        <v>0</v>
      </c>
      <c r="BJ398" s="44" t="s">
        <v>115</v>
      </c>
      <c r="BK398" s="44">
        <f t="shared" si="640"/>
        <v>0.45832499999999998</v>
      </c>
      <c r="BL398" s="44">
        <v>1</v>
      </c>
      <c r="BM398" s="44" cm="1">
        <f t="array" ref="BM398">_xlfn.IFS(BD398="NA","NA",BD398&gt;100%,"100%",BD398&lt;100,BD398)</f>
        <v>0.83330000000000004</v>
      </c>
      <c r="BN398" s="44">
        <v>0</v>
      </c>
      <c r="BO398" s="44">
        <v>0</v>
      </c>
      <c r="BP398" s="44" t="s">
        <v>115</v>
      </c>
      <c r="BQ398" s="45">
        <v>0.224</v>
      </c>
      <c r="BR398" s="45">
        <f t="shared" ref="BR398:BR441" si="651">BQ398*BK398</f>
        <v>0.1026648</v>
      </c>
      <c r="BS398" s="45">
        <v>5.6000000000000001E-2</v>
      </c>
      <c r="BT398" s="45">
        <v>5.6000000000000001E-2</v>
      </c>
      <c r="BU398" s="45">
        <v>5.6000000000000001E-2</v>
      </c>
      <c r="BV398" s="45">
        <v>5.6000000000000001E-2</v>
      </c>
      <c r="BW398" s="45">
        <f t="shared" ref="BW398:BW435" si="652">IF(BM398="NA","NA",BM398*BV398)</f>
        <v>4.6664800000000006E-2</v>
      </c>
      <c r="BX398" s="45">
        <f t="shared" ref="BX398:BX435" si="653">BR398-BU398</f>
        <v>4.6664799999999999E-2</v>
      </c>
      <c r="BY398" s="45">
        <v>5.6000000000000001E-2</v>
      </c>
      <c r="BZ398" s="45">
        <v>0</v>
      </c>
      <c r="CA398" s="45">
        <f t="shared" si="634"/>
        <v>0</v>
      </c>
      <c r="CB398" s="45">
        <v>5.6000000000000001E-2</v>
      </c>
      <c r="CC398" s="45">
        <v>0</v>
      </c>
      <c r="CD398" s="45">
        <v>0</v>
      </c>
      <c r="CE398" s="45">
        <v>0</v>
      </c>
      <c r="CF398" s="45" t="s">
        <v>115</v>
      </c>
      <c r="CG398" s="45">
        <v>0</v>
      </c>
      <c r="CH398" s="244">
        <f>IF(W398&gt;0,1,0)</f>
        <v>1</v>
      </c>
      <c r="CI398" s="244">
        <f>IF(AE398&gt;0,1,0)</f>
        <v>1</v>
      </c>
      <c r="CJ398" s="244">
        <f>IF(AM398&gt;0,1,0)</f>
        <v>1</v>
      </c>
      <c r="CK398" s="244">
        <f>IF(AO398&gt;0,1,0)</f>
        <v>1</v>
      </c>
      <c r="CL398">
        <f>CH398+CI398+CJ398+CK398</f>
        <v>4</v>
      </c>
      <c r="CM398" s="63">
        <v>5</v>
      </c>
    </row>
    <row r="399" spans="1:91" ht="18" hidden="1" customHeight="1">
      <c r="A399" s="260" t="s">
        <v>2560</v>
      </c>
      <c r="B399" s="260" t="s">
        <v>2561</v>
      </c>
      <c r="C399" s="260" t="s">
        <v>2371</v>
      </c>
      <c r="D399" s="260" t="s">
        <v>2372</v>
      </c>
      <c r="E399" s="260" t="s">
        <v>2562</v>
      </c>
      <c r="F399" s="260" t="s">
        <v>2563</v>
      </c>
      <c r="G399" s="260" t="s">
        <v>2564</v>
      </c>
      <c r="H399" s="260" t="s">
        <v>2579</v>
      </c>
      <c r="I399" s="260"/>
      <c r="J399" s="260"/>
      <c r="K399" s="260" t="s">
        <v>2580</v>
      </c>
      <c r="L399" s="260" t="s">
        <v>2581</v>
      </c>
      <c r="M399" s="260" t="s">
        <v>2582</v>
      </c>
      <c r="N399" s="260" t="s">
        <v>111</v>
      </c>
      <c r="O399" s="260" t="s">
        <v>124</v>
      </c>
      <c r="P399" s="10">
        <v>5</v>
      </c>
      <c r="Q399" s="11">
        <v>5</v>
      </c>
      <c r="R399" s="11">
        <f>(Z399+AH399)/CL399</f>
        <v>2.5</v>
      </c>
      <c r="S399" s="11" t="str">
        <f>VLOOKUP(K399,'1106 Hacienda'!$K$13:$AK$15,9,0)</f>
        <v>Continuidad durante el cuatrienio de los procesos transversales de la gestión tributaría que permitan el mejoramiento constante en las finanzas departamentales.</v>
      </c>
      <c r="T399" s="11">
        <v>0</v>
      </c>
      <c r="U399" s="11">
        <v>5</v>
      </c>
      <c r="V399" s="11">
        <v>0</v>
      </c>
      <c r="W399" s="11">
        <v>5</v>
      </c>
      <c r="X399" s="11" t="s">
        <v>115</v>
      </c>
      <c r="Y399" s="11">
        <v>5</v>
      </c>
      <c r="Z399" s="11">
        <v>5</v>
      </c>
      <c r="AA399" s="11" t="s">
        <v>2583</v>
      </c>
      <c r="AB399" s="11" t="s">
        <v>2584</v>
      </c>
      <c r="AC399" s="11" t="s">
        <v>2585</v>
      </c>
      <c r="AD399" s="11">
        <v>0</v>
      </c>
      <c r="AE399" s="11">
        <v>5</v>
      </c>
      <c r="AF399" s="11">
        <f>VLOOKUP(K399,'1106 Hacienda'!$K$13:$AK$15,22,0)</f>
        <v>0</v>
      </c>
      <c r="AG399" s="11">
        <f>VLOOKUP(K399,'1106 Hacienda'!$K$13:$AK$15,23,0)</f>
        <v>5</v>
      </c>
      <c r="AH399" s="11">
        <f>AG399</f>
        <v>5</v>
      </c>
      <c r="AI399" s="11" t="str">
        <f>VLOOKUP(K399,'1106 Hacienda'!$K$13:$AK$15,25,0)</f>
        <v>Se logró potenciar la Secretaría de Hacienda en su gestión administrativa y financiera. Así mismo, se logra dinamizar la integración de los distintos procesos administrativos, logrando apoyar al talento humano disponible para contribuir al desarrollo de los procesos.</v>
      </c>
      <c r="AJ399" s="11" t="str">
        <f>VLOOKUP(K399,'1106 Hacienda'!$K$13:$AK$15,26,0)</f>
        <v>Se implementaron las principales estrategias para potencializar los Servicios administrativos de funcionamiento y gestión de la Secretaría de Hacienda</v>
      </c>
      <c r="AK399" s="11" t="str">
        <f>VLOOKUP(K399,'1106 Hacienda'!$K$13:$AK$15,27,0)</f>
        <v>Se dificultó y retrasó los procesos contractuales relacionados con la meta, en especial los de apoyo a la gestión y prestación de servicios, debido a la cuarentena nacional decretada por el Gobierno Nacional y Distrital.</v>
      </c>
      <c r="AL399" s="11">
        <v>0</v>
      </c>
      <c r="AM399" s="11">
        <v>5</v>
      </c>
      <c r="AN399" s="11">
        <v>0</v>
      </c>
      <c r="AO399" s="11">
        <v>5</v>
      </c>
      <c r="AP399" s="11">
        <v>0</v>
      </c>
      <c r="AQ399" s="11">
        <v>0</v>
      </c>
      <c r="AR399" s="51">
        <v>1439919525</v>
      </c>
      <c r="AS399" s="54">
        <v>0</v>
      </c>
      <c r="AT399" s="54">
        <f t="shared" si="636"/>
        <v>1439919525</v>
      </c>
      <c r="AU399" s="51">
        <v>242929122</v>
      </c>
      <c r="AV399" s="243">
        <v>2566876670</v>
      </c>
      <c r="AW399" s="244"/>
      <c r="AX399" s="244"/>
      <c r="AY399" s="243">
        <v>1033303998</v>
      </c>
      <c r="AZ399" s="44" cm="1">
        <f t="array" ref="AZ399">_xlfn.IFS((BA399=0),(BD399/CL399),(BA399&gt;0),((BB399+BD399)/CL399),(BE399&gt;0),((BB399+BD399+BE399)/CL399),(BG399&gt;0),((BB399+BD399+BE399+G399)/CL399))</f>
        <v>0.5</v>
      </c>
      <c r="BA399" s="44">
        <v>0.25</v>
      </c>
      <c r="BB399" s="44">
        <v>1</v>
      </c>
      <c r="BC399" s="44">
        <f>IF(AE399&gt;0,(1/CL399),0)</f>
        <v>0.25</v>
      </c>
      <c r="BD399" s="44" cm="1">
        <f t="array" ref="BD399">_xlfn.IFS(AE399=0,"NA",AE399&gt;0,AH399/AE399)</f>
        <v>1</v>
      </c>
      <c r="BE399" s="44">
        <f>IF(AM399&gt;0,(1/CL399),0)</f>
        <v>0.25</v>
      </c>
      <c r="BF399" s="44">
        <v>0</v>
      </c>
      <c r="BG399" s="44">
        <f>IF(AO399&gt;0,(1/CL399),0)</f>
        <v>0.25</v>
      </c>
      <c r="BH399" s="44">
        <v>0</v>
      </c>
      <c r="BI399" s="44">
        <v>0</v>
      </c>
      <c r="BJ399" s="44" t="s">
        <v>115</v>
      </c>
      <c r="BK399" s="44">
        <f t="shared" si="640"/>
        <v>0.5</v>
      </c>
      <c r="BL399" s="44">
        <v>1</v>
      </c>
      <c r="BM399" s="44" cm="1">
        <f t="array" ref="BM399">_xlfn.IFS(BD399="NA","NA",BD399&gt;100%,"100%",BD399&lt;100,BD399)</f>
        <v>1</v>
      </c>
      <c r="BN399" s="44">
        <v>0</v>
      </c>
      <c r="BO399" s="44">
        <v>0</v>
      </c>
      <c r="BP399" s="44" t="s">
        <v>115</v>
      </c>
      <c r="BQ399" s="45">
        <v>0.224</v>
      </c>
      <c r="BR399" s="45">
        <f t="shared" si="651"/>
        <v>0.112</v>
      </c>
      <c r="BS399" s="45">
        <v>5.6000000000000001E-2</v>
      </c>
      <c r="BT399" s="45">
        <v>5.6000000000000001E-2</v>
      </c>
      <c r="BU399" s="45">
        <v>5.6000000000000001E-2</v>
      </c>
      <c r="BV399" s="45">
        <v>5.6000000000000001E-2</v>
      </c>
      <c r="BW399" s="45">
        <f t="shared" si="652"/>
        <v>5.6000000000000001E-2</v>
      </c>
      <c r="BX399" s="45">
        <f t="shared" si="653"/>
        <v>5.6000000000000001E-2</v>
      </c>
      <c r="BY399" s="45">
        <v>5.6000000000000001E-2</v>
      </c>
      <c r="BZ399" s="45">
        <v>0</v>
      </c>
      <c r="CA399" s="45">
        <f t="shared" si="634"/>
        <v>0</v>
      </c>
      <c r="CB399" s="45">
        <v>5.6000000000000001E-2</v>
      </c>
      <c r="CC399" s="45">
        <v>0</v>
      </c>
      <c r="CD399" s="45">
        <v>0</v>
      </c>
      <c r="CE399" s="45">
        <v>0</v>
      </c>
      <c r="CF399" s="45" t="s">
        <v>115</v>
      </c>
      <c r="CG399" s="45">
        <v>0</v>
      </c>
      <c r="CH399" s="244">
        <f>IF(W399&gt;0,1,0)</f>
        <v>1</v>
      </c>
      <c r="CI399" s="244">
        <f>IF(AE399&gt;0,1,0)</f>
        <v>1</v>
      </c>
      <c r="CJ399" s="244">
        <f>IF(AM399&gt;0,1,0)</f>
        <v>1</v>
      </c>
      <c r="CK399" s="244">
        <f>IF(AO399&gt;0,1,0)</f>
        <v>1</v>
      </c>
      <c r="CL399">
        <f>CH399+CI399+CJ399+CK399</f>
        <v>4</v>
      </c>
      <c r="CM399" s="63">
        <f>AVERAGE(Z399,AH399)</f>
        <v>5</v>
      </c>
    </row>
    <row r="400" spans="1:91" ht="18" hidden="1" customHeight="1">
      <c r="A400" s="260" t="s">
        <v>2586</v>
      </c>
      <c r="B400" s="260" t="s">
        <v>2587</v>
      </c>
      <c r="C400" s="260" t="s">
        <v>2371</v>
      </c>
      <c r="D400" s="260" t="s">
        <v>2588</v>
      </c>
      <c r="E400" s="260" t="s">
        <v>2589</v>
      </c>
      <c r="F400" s="260" t="s">
        <v>2590</v>
      </c>
      <c r="G400" s="260" t="s">
        <v>2591</v>
      </c>
      <c r="H400" s="260" t="s">
        <v>2592</v>
      </c>
      <c r="I400" s="260"/>
      <c r="J400" s="260"/>
      <c r="K400" s="260" t="s">
        <v>2593</v>
      </c>
      <c r="L400" s="260" t="s">
        <v>2594</v>
      </c>
      <c r="M400" s="260" t="s">
        <v>2595</v>
      </c>
      <c r="N400" s="260" t="s">
        <v>111</v>
      </c>
      <c r="O400" s="260" t="s">
        <v>112</v>
      </c>
      <c r="P400" s="10">
        <v>0</v>
      </c>
      <c r="Q400" s="11">
        <v>1</v>
      </c>
      <c r="R400" s="11">
        <f t="shared" ref="R400:R401" si="654">Z400+AH400</f>
        <v>0.38</v>
      </c>
      <c r="S400" s="11" t="str">
        <f>VLOOKUP(K400,'1184 Prensa'!$K$13:$AK$15,9,0)</f>
        <v>Con la misión de llegar a todo el departamento y en aras de articular a Cundinamarca por medio de una red departamental de radio, gracias al programa En Línea con el Gobernador logramos llegar a más de 53 emisoras comunitarias y 2 emisoras regionales. Además, ya tenemos conexión con más de 12 alcaldías municipales, las cuales ya están incluidas en la parrilla de programación del El Dorado Radio.</v>
      </c>
      <c r="T400" s="11">
        <v>0.1</v>
      </c>
      <c r="U400" s="11">
        <v>0</v>
      </c>
      <c r="V400" s="11">
        <v>0.1</v>
      </c>
      <c r="W400" s="11">
        <v>0</v>
      </c>
      <c r="X400" s="11">
        <v>0.1</v>
      </c>
      <c r="Y400" s="11">
        <v>0</v>
      </c>
      <c r="Z400" s="11">
        <v>0.1</v>
      </c>
      <c r="AA400" s="11">
        <v>0</v>
      </c>
      <c r="AB400" s="11" t="s">
        <v>2596</v>
      </c>
      <c r="AC400" s="11" t="s">
        <v>2597</v>
      </c>
      <c r="AD400" s="11">
        <v>0.3</v>
      </c>
      <c r="AE400" s="11">
        <v>0</v>
      </c>
      <c r="AF400" s="11">
        <f>VLOOKUP(K400,'1184 Prensa'!$K$13:$AK$15,22,0)</f>
        <v>0.28000000000000003</v>
      </c>
      <c r="AG400" s="11">
        <f>VLOOKUP(K400,'1184 Prensa'!$K$13:$AK$15,23,0)</f>
        <v>0</v>
      </c>
      <c r="AH400" s="11">
        <f t="shared" ref="AH400:AH401" si="655">AF400</f>
        <v>0.28000000000000003</v>
      </c>
      <c r="AI400" s="11" t="str">
        <f>VLOOKUP(K400,'1184 Prensa'!$K$13:$AK$15,25,0)</f>
        <v xml:space="preserve">A la fecha contamos con 42 programas al aire en la Emisora “El Dorado Radio” divididos en noticieros, programas de entretenimiento, musicales, de emprendimiento, salud, empoderamiento, participación y de secretarías y direcciones de las diferentes entidades de la Gobernación de Cundinamarca; adicional a ello también se efectúan transmisiones de eventos especiales que realiza la gobernación, por ejemplo, Gobernador en Línea, ferias de servicios y rendición de cuentas.  Se han transmitido eventos especiales en la frecuencia 99.5FM y redes sociales (Instagram, Facebook, YouTube y Twitter) teniendo las siguientes estadísticas con tendencia al incremento de seguidores en redes sociales así: Resumen estadísticas Instagram:  Seguidores: 2019, Cuentas alcanzadas: 3.802 Cuentas que interactuaron: 87. Resumen estadísticas twitter: Twitter: 4.336. Resumen estadísticas Facebook: Seguidores: 12,48 k, alcance de publicaciones: 115,7 mil interacciones con las publicaciones: 20,9 mil, nuevos me gusta de la página: 145, nuevos seguidores: 209, alcance de la página: 158,6 mil, visitas a la página: 3.638. Adicional a ello se ha logrado la conexión con 15 municipios para transmisión de programas de interés de cada territorio en la Emisora El Dorado Radio. A través del programa “En línea Con El Gobernador” llegamos a 53 emisoras comunitarias y 2 emisoras regionales. Se ha promovido el apoyo a jóvenes emprendedores del municipio de Gachancipá con la apertura de un espacio radial en la Emisora “El Dorado Radio” en los días viernes de 8pm a 10pm y sábados de 8pm a 11pm. Por último, mencionar que en el marco de la suscripción del contrato interadministrativo con el Fondo de Desarrollo de Proyectos de Cundinamarca- FONDECUN vigencia 2021; se evidencia un avance de ejecución del 78% de los siguientes productos: Radio regional, radio nacional y programa en línea con el Gobernador. </v>
      </c>
      <c r="AJ400" s="11" t="str">
        <f>VLOOKUP(K400,'1184 Prensa'!$K$13:$AK$15,26,0)</f>
        <v xml:space="preserve">Al mes de  noviembre de 2021, la emisora de interés público "El Dorado Radio" tiene al aire 42 programas que están divididos en noticieros, programas de entretenimiento, musicales, de emprendimiento, salud, empoderamiento, participación y de secretarías y direcciones de las diferentes entidades de la Gobernación de Cundinamarca; adicional a ello también se realizan transmisiones de eventos especiales que adelanta la gobernación, por ejemplo, Gobernador en Línea, ferias de servicios, rendición de cuentas, entre otros; tanto en la frecuencia 99.5 FM, como por nuestros diferentes canales virtuales, teniendo las siguientes estadísticas con tendencia al incremento respecto a meses anteriores:             Resumen estadísticas Instagram:                                                                                                                                                                                         Seguidores: 2019                                                                                                                                                                                                                         Cuentas alcanzadas: 3.802                                                                                                                                                                                                         Cuentas que interactuaron: 87                                                                                                                                                                                               Resumen estadísticas twitter:                                                                                                                                                                                                    Twitter: 4.336                                                                                                                                                                                                                               Resumen estadísticas Facebook: 
Seguidores: 12,48 k
Alcance de publicaciones: 115,7 mil 
Interacciones con las publicaciones: 20,9 mil 
Nuevos me gusta de la página: 145 
Nuevos seguidores: 209 
Alcance de la página: 158,6 mil 
Visitas a la página: 3.638
Ahora bien, durante el desarrollo de mesas de dialogo de la Gobernación de Cundinamarca, jóvenes del municipio de Gachancipa con un emprendimiento denominado “Maxi Rumba”, solicitaron un programa radial en la Emisora “El Dorado Radio”, razón por la cual se abrió una franja para tal efecto los días viernes de 8pm a 10pm y sábados de 8pm a 11pm. Por ultima, en el marco de la suscripción del contrato interadministrativo con el Fondo de Desarrollo de Proyectos de Cundinamarca- FONDECUN vigencia 2021, a la fecha se evidencia un avance de ejecución del 77% correspondiente a la ejecución de los siguientes productos:                                                                                    
Radio regional.                                                                                                               
Radio nacional.                                                                                                                    
Programa en Línea con el Gobernador.
</v>
      </c>
      <c r="AK400" s="11">
        <f>VLOOKUP(K400,'1184 Prensa'!$K$13:$AK$15,27,0)</f>
        <v>0</v>
      </c>
      <c r="AL400" s="11">
        <v>0.3</v>
      </c>
      <c r="AM400" s="11">
        <v>0</v>
      </c>
      <c r="AN400" s="11">
        <v>0.3</v>
      </c>
      <c r="AO400" s="11">
        <v>0</v>
      </c>
      <c r="AP400" s="11">
        <v>0</v>
      </c>
      <c r="AQ400" s="11">
        <v>0</v>
      </c>
      <c r="AR400" s="51">
        <v>536723000</v>
      </c>
      <c r="AS400" s="54">
        <v>0</v>
      </c>
      <c r="AT400" s="54">
        <f t="shared" si="636"/>
        <v>536723000</v>
      </c>
      <c r="AU400" s="51">
        <v>512640756</v>
      </c>
      <c r="AV400" s="243">
        <v>2014721077</v>
      </c>
      <c r="AW400" s="244"/>
      <c r="AX400" s="244"/>
      <c r="AY400" s="243">
        <v>2006980909</v>
      </c>
      <c r="AZ400" s="44">
        <f>R400/Q400</f>
        <v>0.38</v>
      </c>
      <c r="BA400" s="44">
        <v>0.1</v>
      </c>
      <c r="BB400" s="44">
        <v>1</v>
      </c>
      <c r="BC400" s="44">
        <f t="shared" ref="BC400:BC401" si="656">AD400/Q400</f>
        <v>0.3</v>
      </c>
      <c r="BD400" s="44" cm="1">
        <f t="array" ref="BD400">_xlfn.IFS(AD400=0,"NA",AD400&gt;0,AH400/AD400)</f>
        <v>0.93333333333333346</v>
      </c>
      <c r="BE400" s="44">
        <f t="shared" ref="BE400:BE401" si="657">AL400/Q400</f>
        <v>0.3</v>
      </c>
      <c r="BF400" s="44">
        <v>0</v>
      </c>
      <c r="BG400" s="44">
        <f t="shared" ref="BG400:BG401" si="658">AN400/Q400</f>
        <v>0.3</v>
      </c>
      <c r="BH400" s="44">
        <v>0</v>
      </c>
      <c r="BI400" s="44">
        <f>AP400/Q400</f>
        <v>0</v>
      </c>
      <c r="BJ400" s="44" t="s">
        <v>115</v>
      </c>
      <c r="BK400" s="44">
        <f t="shared" si="640"/>
        <v>0.38</v>
      </c>
      <c r="BL400" s="44">
        <v>1</v>
      </c>
      <c r="BM400" s="44" cm="1">
        <f t="array" ref="BM400">_xlfn.IFS(BD400="NA","NA",BD400&gt;100%,"100%",BD400&lt;100,BD400)</f>
        <v>0.93333333333333346</v>
      </c>
      <c r="BN400" s="44" cm="1">
        <f t="array" ref="BN400">_xlfn.IFS(BF400="NA","NA",BF400&gt;100%,"100%",BF400&lt;100,BF400)</f>
        <v>0</v>
      </c>
      <c r="BO400" s="44" cm="1">
        <f t="array" ref="BO400">_xlfn.IFS(BH400="NA","NA",BH400&gt;100%,"100%",BH400&lt;100,BH400)</f>
        <v>0</v>
      </c>
      <c r="BP400" s="44" t="str" cm="1">
        <f t="array" ref="BP400">_xlfn.IFS(BJ400="NA","NA",BJ400&gt;100%,"100%",BJ400&lt;100,BJ400)</f>
        <v>NA</v>
      </c>
      <c r="BQ400" s="45">
        <v>0.224</v>
      </c>
      <c r="BR400" s="45">
        <f t="shared" si="651"/>
        <v>8.5120000000000001E-2</v>
      </c>
      <c r="BS400" s="45">
        <v>2.24E-2</v>
      </c>
      <c r="BT400" s="45">
        <v>2.24E-2</v>
      </c>
      <c r="BU400" s="45">
        <v>2.24E-2</v>
      </c>
      <c r="BV400" s="45">
        <f t="shared" ref="BV400:BV401" si="659">(AD400*BQ400)/Q400</f>
        <v>6.7199999999999996E-2</v>
      </c>
      <c r="BW400" s="45">
        <f t="shared" si="652"/>
        <v>6.2719999999999998E-2</v>
      </c>
      <c r="BX400" s="45">
        <f t="shared" si="653"/>
        <v>6.2719999999999998E-2</v>
      </c>
      <c r="BY400" s="45">
        <f t="shared" ref="BY400:BY401" si="660">(AL400*BQ400)/Q400</f>
        <v>6.7199999999999996E-2</v>
      </c>
      <c r="BZ400" s="45">
        <f t="shared" ref="BZ400:BZ401" si="661">IF(BN400="NA","NA",BN400*BY400)</f>
        <v>0</v>
      </c>
      <c r="CA400" s="45">
        <f t="shared" si="634"/>
        <v>0</v>
      </c>
      <c r="CB400" s="45">
        <f t="shared" ref="CB400:CB401" si="662">(AN400*BQ400)/Q400</f>
        <v>6.7199999999999996E-2</v>
      </c>
      <c r="CC400" s="45">
        <f t="shared" ref="CC400:CC401" si="663">IF(BO400="NA","NA",BO400*CB400)</f>
        <v>0</v>
      </c>
      <c r="CD400" s="45">
        <v>0</v>
      </c>
      <c r="CE400" s="45">
        <f>(AP400*BQ400)/Q400</f>
        <v>0</v>
      </c>
      <c r="CF400" s="45" t="str">
        <f>IF(BP400="NA","NA",BP400*CE400)</f>
        <v>NA</v>
      </c>
      <c r="CG400" s="45">
        <v>0</v>
      </c>
      <c r="CH400" s="244"/>
      <c r="CI400" s="244"/>
      <c r="CJ400" s="244"/>
      <c r="CK400" s="244"/>
      <c r="CM400" s="63">
        <v>0.30000000000000004</v>
      </c>
    </row>
    <row r="401" spans="1:91" ht="18" hidden="1" customHeight="1">
      <c r="A401" s="260" t="s">
        <v>2586</v>
      </c>
      <c r="B401" s="260" t="s">
        <v>2587</v>
      </c>
      <c r="C401" s="260" t="s">
        <v>2371</v>
      </c>
      <c r="D401" s="260" t="s">
        <v>2588</v>
      </c>
      <c r="E401" s="260" t="s">
        <v>2589</v>
      </c>
      <c r="F401" s="260" t="s">
        <v>2590</v>
      </c>
      <c r="G401" s="260" t="s">
        <v>2591</v>
      </c>
      <c r="H401" s="260" t="s">
        <v>2598</v>
      </c>
      <c r="I401" s="260"/>
      <c r="J401" s="260"/>
      <c r="K401" s="260" t="s">
        <v>2599</v>
      </c>
      <c r="L401" s="260" t="s">
        <v>2600</v>
      </c>
      <c r="M401" s="260" t="s">
        <v>2601</v>
      </c>
      <c r="N401" s="260" t="s">
        <v>123</v>
      </c>
      <c r="O401" s="260" t="s">
        <v>112</v>
      </c>
      <c r="P401" s="10">
        <v>0</v>
      </c>
      <c r="Q401" s="11">
        <v>50</v>
      </c>
      <c r="R401" s="11">
        <f t="shared" si="654"/>
        <v>20</v>
      </c>
      <c r="S401" s="11" t="str">
        <f>VLOOKUP(K401,'1184 Prensa'!$K$13:$AK$15,9,0)</f>
        <v>Durante la vigencia 2020 a través de la suscripción del Contrato Interadministrativo con el Fondo de Desarrollo de Proyectos de Cundinamarca- FONDECUN, se realizó la caracterización y diagnóstico de los medios de comunicación del departamento identificando 411 medios de comunicación de la región distribuidos de la siguiente manera: Radio 217, medios impresos (prensa) 112, televisión 22 y web y redes sociales 60.                                                                                                                                                                     En el marco de la celebración del día del periodista durante la vigencia 2021 se realizó el evento denominado Reconocimiento "Periodismo Vivo Antonio Nariño", donde se entregaron 7 tablets  Marca Lenovo Tab M8 HDpantalla HD y altavoz con tecnología Dolby Audio, procesador de cuatro núcleos y batería de larga duración  a los periodistas ganadores en las 8 categorías descritas.                                                                                                                                                                                                                                               Por último, en el marco del acompañamiento técnico realizado por la Secretaría de Prensa y Comunicaciones para que los medios de comunicación postularán sus propuestas ante el Ministerio de Tecnologías de la Información y las Comunicaciones- MinTIC para recibir apoyos en transformación digital,  a la fecha se ha logrado impactar a 120 medios regionales, de los cuales 4 culminaron el proceso satisfactoriamente en la plataforma de MinTIC.                                                                                                                                                                                                                                    Además, se dio inició al curso de redacción y ortografía con un total de 54 periodistas inscritos que a la fecha se encuentra en curso.                                                                                                                                                                                                                                      Seguido a ello, hemos logrado impactar a 25 medios de comunicación del departamento en el marco de la convocatoria para capacitar a periodistas; en dicho contexto se entregaron 19 certificaciones de participación y aprobación del Curso Marketing Digital en su primera convocatoria.</v>
      </c>
      <c r="T401" s="11">
        <v>5</v>
      </c>
      <c r="U401" s="11">
        <v>0</v>
      </c>
      <c r="V401" s="11">
        <v>5</v>
      </c>
      <c r="W401" s="11">
        <v>0</v>
      </c>
      <c r="X401" s="11">
        <v>5</v>
      </c>
      <c r="Y401" s="11">
        <v>0</v>
      </c>
      <c r="Z401" s="11">
        <v>5</v>
      </c>
      <c r="AA401" s="11">
        <v>0</v>
      </c>
      <c r="AB401" s="11"/>
      <c r="AC401" s="11">
        <v>0</v>
      </c>
      <c r="AD401" s="11">
        <v>20</v>
      </c>
      <c r="AE401" s="11">
        <v>0</v>
      </c>
      <c r="AF401" s="11">
        <f>VLOOKUP(K401,'1184 Prensa'!$K$13:$AK$15,22,0)</f>
        <v>15</v>
      </c>
      <c r="AG401" s="11">
        <f>VLOOKUP(K401,'1184 Prensa'!$K$13:$AK$15,23,0)</f>
        <v>0</v>
      </c>
      <c r="AH401" s="11">
        <f t="shared" si="655"/>
        <v>15</v>
      </c>
      <c r="AI401" s="11" t="str">
        <f>VLOOKUP(K401,'1184 Prensa'!$K$13:$AK$15,25,0)</f>
        <v>Se realizó la entrega de 7 tablets Marca Lenovo Tab M8 HD pantalla HD y altavoz con tecnología Dolby Audio, procesador de cuatro núcleos y batería a periodistas ganadores de 8 categorías en el marco de la celebración del día del periodista vigencia 2021 denominado Reconocimiento "Periodismo Vivo Antonio Nariño". En dicho contexto el día 04 de octubre de 2021, se dio apertura a la convocatoria de la 2ª versión de la condecoración ‘Periodismo vivo Antonio Nariño de Cundinamarca’ vigencia 2022, un reconocimiento a quienes, por su trabajo y servicio, a través del ejercicio del periodismo, aportan y exaltan el nombre del departamento.  Ahora bien, producto de una alianza estratégica con el Servicio Nacional de Aprendizaje- SENA se desarrollaron los cursos de marketing digital y redacción y ortografía donde se logró impactar a 25 y 41 periodistas de medios de comunicación del departamento. Por ultimo y en el marco de la alianza con la Casa Editorial El Tiempo S.A se desarrolló un taller enfocado en redes sociales, digital y edición de textos que permitió contribuir con la capacitación de 51 periodistas de medios de comunicación del departamento. Además, se realizó acompañamiento técnico a 120 medios de comunicación del departamento para la postulación de propuestas ante el Ministerio de Tecnologías de la Información y las Comunicaciones- MinTIC y así recibir apoyo en transformación digital; 4 de ellos culminaron el proceso exitosamente.</v>
      </c>
      <c r="AJ401" s="11" t="str">
        <f>VLOOKUP(K401,'1184 Prensa'!$K$13:$AK$15,26,0)</f>
        <v xml:space="preserve">En el mes de octubre de 2021 se culminó el cumplimiento a la programación física de la meta para la vigencia. </v>
      </c>
      <c r="AK401" s="11" t="str">
        <f>VLOOKUP(K401,'1184 Prensa'!$K$13:$AK$15,27,0)</f>
        <v xml:space="preserve">En el marco de la celebración del día del periodista, se realizó el evento denominado Reconocimiento "Periodismo Vivo Antonio Nariño", donde se entregaron 7 tablets  Marca Lenovo Tab M8 HDpantalla HD y altavoz con tecnología Dolby Audio, procesador de cuatro núcleos y batería de larga duración  a los periodistas ganadores en las 8 categorías descritas. En el marco de las covocatorias para capacitar a periodistas del departamento se inició con un proceso de preinscripción que culminó el 25 de junio de 2021, con el fin de determinar el número de postulados preinscritos que a la fecha son: 
1. Curso Redacción y ortografía: 180 postulados preinscritos 
2.Curso Marketing digital: 115 postulados preinscritos.
3.Curso Maketing digital (para enlaces de la gobernación): 40 postulados preinscritos. En el marco del acompañamiento técnico realizado por la Secretaría de Prensa y Comunicaciones para que los medios de comunición postulen sus propuestas ante el Ministerio de Tecnologías de la Información y las Comunicaciones- Mintic  y así recibir apoyos en transformación digital a la  fecha se ha logrado impactar a 130 medios regionales, de los cuales 2 han cargado sus documentos satisfactoriamente a la plataforma de Mintic y 4 están haciendo los ajustes pertinentes para postularse.
</v>
      </c>
      <c r="AL401" s="11">
        <v>15</v>
      </c>
      <c r="AM401" s="11">
        <v>0</v>
      </c>
      <c r="AN401" s="11">
        <v>10</v>
      </c>
      <c r="AO401" s="11">
        <v>0</v>
      </c>
      <c r="AP401" s="11">
        <v>0</v>
      </c>
      <c r="AQ401" s="11">
        <v>0</v>
      </c>
      <c r="AR401" s="51">
        <v>168751000</v>
      </c>
      <c r="AS401" s="54">
        <v>0</v>
      </c>
      <c r="AT401" s="54">
        <f t="shared" si="636"/>
        <v>168751000</v>
      </c>
      <c r="AU401" s="51">
        <v>168751000</v>
      </c>
      <c r="AV401" s="243">
        <v>247080333</v>
      </c>
      <c r="AW401" s="244"/>
      <c r="AX401" s="244"/>
      <c r="AY401" s="243">
        <v>247080333</v>
      </c>
      <c r="AZ401" s="44">
        <f>R401/Q401</f>
        <v>0.4</v>
      </c>
      <c r="BA401" s="44">
        <v>0.1</v>
      </c>
      <c r="BB401" s="44">
        <v>1</v>
      </c>
      <c r="BC401" s="44">
        <f t="shared" si="656"/>
        <v>0.4</v>
      </c>
      <c r="BD401" s="44" cm="1">
        <f t="array" ref="BD401">_xlfn.IFS(AD401=0,"NA",AD401&gt;0,AH401/AD401)</f>
        <v>0.75</v>
      </c>
      <c r="BE401" s="44">
        <f t="shared" si="657"/>
        <v>0.3</v>
      </c>
      <c r="BF401" s="44">
        <v>0</v>
      </c>
      <c r="BG401" s="44">
        <f t="shared" si="658"/>
        <v>0.2</v>
      </c>
      <c r="BH401" s="44">
        <v>0</v>
      </c>
      <c r="BI401" s="44">
        <f>AP401/Q401</f>
        <v>0</v>
      </c>
      <c r="BJ401" s="44" t="s">
        <v>115</v>
      </c>
      <c r="BK401" s="44">
        <f t="shared" si="640"/>
        <v>0.4</v>
      </c>
      <c r="BL401" s="44">
        <v>1</v>
      </c>
      <c r="BM401" s="44" cm="1">
        <f t="array" ref="BM401">_xlfn.IFS(BD401="NA","NA",BD401&gt;100%,"100%",BD401&lt;100,BD401)</f>
        <v>0.75</v>
      </c>
      <c r="BN401" s="44" cm="1">
        <f t="array" ref="BN401">_xlfn.IFS(BF401="NA","NA",BF401&gt;100%,"100%",BF401&lt;100,BF401)</f>
        <v>0</v>
      </c>
      <c r="BO401" s="44" cm="1">
        <f t="array" ref="BO401">_xlfn.IFS(BH401="NA","NA",BH401&gt;100%,"100%",BH401&lt;100,BH401)</f>
        <v>0</v>
      </c>
      <c r="BP401" s="44" t="str" cm="1">
        <f t="array" ref="BP401">_xlfn.IFS(BJ401="NA","NA",BJ401&gt;100%,"100%",BJ401&lt;100,BJ401)</f>
        <v>NA</v>
      </c>
      <c r="BQ401" s="45">
        <v>0.224</v>
      </c>
      <c r="BR401" s="45">
        <f t="shared" si="651"/>
        <v>8.9600000000000013E-2</v>
      </c>
      <c r="BS401" s="45">
        <v>2.24E-2</v>
      </c>
      <c r="BT401" s="45">
        <v>2.24E-2</v>
      </c>
      <c r="BU401" s="45">
        <v>2.24E-2</v>
      </c>
      <c r="BV401" s="45">
        <f t="shared" si="659"/>
        <v>8.9600000000000013E-2</v>
      </c>
      <c r="BW401" s="45">
        <f t="shared" si="652"/>
        <v>6.720000000000001E-2</v>
      </c>
      <c r="BX401" s="45">
        <f t="shared" si="653"/>
        <v>6.720000000000001E-2</v>
      </c>
      <c r="BY401" s="45">
        <f t="shared" si="660"/>
        <v>6.7199999999999996E-2</v>
      </c>
      <c r="BZ401" s="45">
        <f t="shared" si="661"/>
        <v>0</v>
      </c>
      <c r="CA401" s="45">
        <f t="shared" si="634"/>
        <v>0</v>
      </c>
      <c r="CB401" s="45">
        <f t="shared" si="662"/>
        <v>4.4800000000000006E-2</v>
      </c>
      <c r="CC401" s="45">
        <f t="shared" si="663"/>
        <v>0</v>
      </c>
      <c r="CD401" s="45">
        <v>0</v>
      </c>
      <c r="CE401" s="45">
        <f>(AP401*BQ401)/Q401</f>
        <v>0</v>
      </c>
      <c r="CF401" s="45" t="str">
        <f>IF(BP401="NA","NA",BP401*CE401)</f>
        <v>NA</v>
      </c>
      <c r="CG401" s="45">
        <v>0</v>
      </c>
      <c r="CH401" s="244"/>
      <c r="CI401" s="244"/>
      <c r="CJ401" s="244"/>
      <c r="CK401" s="244"/>
      <c r="CM401" s="63">
        <v>14</v>
      </c>
    </row>
    <row r="402" spans="1:91" ht="18" hidden="1" customHeight="1">
      <c r="A402" s="260" t="s">
        <v>2586</v>
      </c>
      <c r="B402" s="260" t="s">
        <v>2587</v>
      </c>
      <c r="C402" s="260" t="s">
        <v>2371</v>
      </c>
      <c r="D402" s="260" t="s">
        <v>2588</v>
      </c>
      <c r="E402" s="260" t="s">
        <v>2589</v>
      </c>
      <c r="F402" s="260" t="s">
        <v>2590</v>
      </c>
      <c r="G402" s="260" t="s">
        <v>2591</v>
      </c>
      <c r="H402" s="260" t="s">
        <v>2602</v>
      </c>
      <c r="I402" s="260"/>
      <c r="J402" s="260"/>
      <c r="K402" s="260" t="s">
        <v>2603</v>
      </c>
      <c r="L402" s="260" t="s">
        <v>2604</v>
      </c>
      <c r="M402" s="260" t="s">
        <v>131</v>
      </c>
      <c r="N402" s="260" t="s">
        <v>111</v>
      </c>
      <c r="O402" s="260" t="s">
        <v>124</v>
      </c>
      <c r="P402" s="10">
        <v>1</v>
      </c>
      <c r="Q402" s="11">
        <v>1</v>
      </c>
      <c r="R402" s="11">
        <f>(Z402+AH402)/CL402</f>
        <v>0.47499999999999998</v>
      </c>
      <c r="S402" s="11" t="str">
        <f>VLOOKUP(K402,'1184 Prensa'!$K$13:$AK$15,9,0)</f>
        <v>La Secretaría de Prensa y Comunicaciones a la fecha ha brindado asistencia técnica a 1.305 solicitudes de las diferentes entidades del nivel central y descentralizado durante las vigencias 2020 y 2021 en temas como: acompañamiento de prensa y redes, apoyo de prensa, animación, aprobación y revisión gráfica, aprobación y revisión de piezas, archivo fotográfico y video, acompañamiento de camarógrafo, fotógrafo y presentador, copias fotográficas y de video, cuñas radiales, diseño, revisión y aprobación de piezas gráficas, revisión y edición de video, publicación en redes, entre otros.                                                           Además, se ha adelantado la suscripción de contratos de licencia de uso de la marca de Cundinamarca para productores de la región.                                                                                                                                    En el marco de la suscripción del contrato interadministrativo con el Fondo de Desarrollo de Proyectos de Cundinamarca- FONDECUN vigencia 2021, a la fecha se evidencia un avance de ejecución del 52% correspondiente a la ejecución de los siguientes productos: 
1.Plan de medios regionales y nacionales.                                                                
2.Material POP: Socialización gestión institucional en municipios, lanzamiento Agencia Comercial de Cundinamarca y material publicitario para el patrocinio de la marca “Cundinamarca- El Dorado, La Leyenda Vive” en el marco de la suscripción del Contrato No. SPC-CD-060-2021 con el Club Independiente Santafé S.A.                                                                    
3.Programa productora de televisión.  
La Secretaría de Prensa y Comunicaciones a través de una gestión interinstitucional con la Secretaría de Asuntos Internacionales ha desarrollado las siguientes actividades:                                                                   1. Avance para la suscripción de dos contratos interadministrativos en el fortalecimiento y posicionamiento de las marcas registradas del departamento a través de influencers y youtubers posicionados en redes sociales.
2.Realizar trabajos de campo a través del posicionamiento de la marca de Cundinamarca en el programa de televisión del canal RCN Master Chef con alto rating y transmitido en franja prime en sus dos emisiones en los municipios de Guatavita y Villeta.
3.Diseño y puesta en funcionamiento de un portal web de uso exclusivo de la marca Cundinamarca que permita promover ofertas gastronómicas, artesanales y turísticas del departamento.  
En el marco del posicionamiento y fortalecimiento de la imagen del departamento, se realizó el lanzamiento de la vitrina Kuna Mya donde se impulsan los productos de artesanos y agricultores de la región acompañados del sello dorado de la imagen departamental. Se suscribió Contrato No. SPC-CD-060-2021 con el Club Independiente Santafé S.A. para el patrocinio de la marca “Cundinamarca- El Dorado, La Leyenda Vive” en todos los partidos del equipo profesional femenino de Independiente Santafé en torneos oficiales y amistosos durante el año 2021. A través de la emisión del programa de televisión" Cundinamarca Región que Progresa" segunda temporada en el canal trece en franja prime, se han generado espacios para rendición de cuentas, avances en gestión institucional y promocionando de atractivos turísticos y gastronómicos de los diferentes municipios del departamento donde se realiza su transmisión.</v>
      </c>
      <c r="T402" s="11">
        <v>0</v>
      </c>
      <c r="U402" s="11">
        <v>1</v>
      </c>
      <c r="V402" s="11">
        <v>0</v>
      </c>
      <c r="W402" s="11">
        <v>1</v>
      </c>
      <c r="X402" s="11" t="s">
        <v>115</v>
      </c>
      <c r="Y402" s="11">
        <v>1</v>
      </c>
      <c r="Z402" s="11">
        <v>1</v>
      </c>
      <c r="AA402" s="11">
        <v>0</v>
      </c>
      <c r="AB402" s="11" t="s">
        <v>2605</v>
      </c>
      <c r="AC402" s="11">
        <v>0</v>
      </c>
      <c r="AD402" s="11">
        <v>0</v>
      </c>
      <c r="AE402" s="11">
        <v>1</v>
      </c>
      <c r="AF402" s="11">
        <f>VLOOKUP(K402,'1184 Prensa'!$K$13:$AK$15,22,0)</f>
        <v>0</v>
      </c>
      <c r="AG402" s="11">
        <f>VLOOKUP(K402,'1184 Prensa'!$K$13:$AK$15,23,0)</f>
        <v>0.9</v>
      </c>
      <c r="AH402" s="11">
        <f>AG402</f>
        <v>0.9</v>
      </c>
      <c r="AI402" s="11" t="str">
        <f>VLOOKUP(K402,'1184 Prensa'!$K$13:$AK$15,25,0)</f>
        <v xml:space="preserve">A la fecha se han atendido 1.772 solicitudes de entidades del nivel central y descentralizado atendidas durante la vigencia 2021. Se realizó apoyo técnico para la suscripción de dos contratos de licencia de uso de la marca Cundinamarca para productores de la región.  Se realizó registro ante la Superintendencia de Industria y Comercio de las siguientes marcas: El Sol Dorado de Cundinamarca (figurativa), El Sol Cundinamarca (mixta) y Emisora El Dorado Radio (mixta), en dicho contexto la Superintendencia de Industria y Comercio- SIC concedió los registros marcarios solicitados a nombre del departamento con lo cual se genera una propiedad más mediante estos intangibles, beneficiando a todos nuestros licenciatarios de marca puesto que se les da seguridad jurídica sobre el respectivo uso del sello Dorado. Se adelantó gestión interadministrativa con la Secretaría de Asuntos Internacionales para fortalecimiento y posicionamiento de las marcas registradas del departamento a través de influencers y youtubers posicionados en redes sociales, programa de televisión del canal RCN Master Chef en sus dos emisiones en los municipios de Guatavita y Villeta y diseño y puesta en funcionamiento de un portal web de uso exclusivo de la marca Cundinamarca que permita promover ofertas gastronómicas, artesanales y turísticas del departamento. En cuanto a la emisión del programa de televisión Cundinamarca ¡REGIÓN Que Progresa! durante la vigencia se han emitido 27 capítulos en Suesca, Sopó, San Juan de Rioseco, Anato, Ubaté, Girardot, Nemocón, Villeta, Villapinzón, Tienda Kuna Mya, Vergara, Subachoque, Gobernación de Cundinamarca (2 capitulos), Cáqueza, Silvania, Pacho, Sesquilé, San Francisco, Guachetá, La Mesa, Sibaté, AgroExpo, Ubaque, La Calera, Bojacá y Cogua. Ahora bien, en el marco de la suscripción del contrato interadministrativo con el Fondo de Desarrollo de Proyectos de Cundinamarca- FONDECUN vigencia 2021, a la fecha se evidencia un avance de ejecución del 78% correspondiente a la ejecución de los siguientes productos: 1. Plan de medios regionales y nacionales. 2. Material POP- Socialización gestión institucional en municipios y material publicitario para el patrocinio de la marca “Cundinamarca- El Dorado, La Leyenda Vive” en el marco de la suscripción del Contrato No. SPC-CD-060-2021 con el Club Independiente Santafé S.A. 3. Programa productora de televisión.               </v>
      </c>
      <c r="AJ402" s="11" t="str">
        <f>VLOOKUP(K402,'1184 Prensa'!$K$13:$AK$15,26,0)</f>
        <v xml:space="preserve">En el marco de la ejecución del Contrato No. SPC-CD-060-2021 con el Club Independiente Santafé S.A. para el patrocinio de la marca “Cundinamarca- El Dorado, La Leyenda Vive” el equipo femenino Club Independiente Santafé S.A. participó en la copa libertadores clasificando a la gran final lo que generó un impacto positivo para el departamento y para la marca toda vez que hicimos presencia en diferentes países de Sur América como lo fue Paraguay, Brasil y Ecuador. Una vez solicitados los registros de marca Cundinamarca tanto figurativo como mixto ante la autoridad nacional competente es decir la Superintendencia de Industria y Comercio-SIC se superaron los requisitos formales y se procedió con un estudio de fondo el cual arrojó resultados favorables para el Departamento de Cundinamarca toda vez que mediante los respectivos actos administrativos la SIC concedió los registros marcarios solicitados a nombre del departamento con lo cual se genera una propiedad más mediante estos intangibles, beneficiando a todos nuestros licenciatarios de marca puesto que se les da seguridad jurídica sobre el respectivo uso del sello Dorado. Ahora bien, durante el mes de noviembre se emitieron 4 capítulos del programa de televisión Cundinamarca ¡REGIÓN Que Progresa! en los municipios de Ubaque, La Calera, Bojacá y Cogua. Por último mencionar que durante el mes de noviembre de 2021 se han atendido 152 solicitudes de las diferentes entidades del nivel central y descentralizado en temas como: acompañamiento de prensa y redes,  apoyo de prensa,  animación, aprobación y revisión gráfica,  aprobación y revisión de piezas,  archivo fotográfico y video, acompañamiento de camarógrafo, fotógrafo y presentador, copias fotográficas y de video, cuñas radiales,  diseño, revisión y aprobación de piezas gráficas, revisión y  edición de video, publicación en redes, entre otros. Ahora bien, en el marco de la suscripción del contrato interadministrativo con el Fondo de Desarrollo de Proyectos de Cundinamarca- FONDECUN vigencia 2021, a la fecha se evidencia un avance de ejecución del 77% correspondiente a la ejecución de los siguientes productos: 
1. Plan de medios regionales y nacionales.                                                                
2. Material POP- Socialización gestión institucional en municipios y material publicitario para el patrocinio de la marca “Cundinamarca- El Dorado, La Leyenda Vive” en el marco de la suscripción del Contrato No. SPC-CD-060-2021 con el Club Independiente Santafé S.A.                                                                    
3. Programa productora de televisión.  
</v>
      </c>
      <c r="AK402" s="11">
        <f>VLOOKUP(K402,'1184 Prensa'!$K$13:$AK$15,27,0)</f>
        <v>0</v>
      </c>
      <c r="AL402" s="11">
        <v>0</v>
      </c>
      <c r="AM402" s="11">
        <v>1</v>
      </c>
      <c r="AN402" s="11">
        <v>0</v>
      </c>
      <c r="AO402" s="11">
        <v>1</v>
      </c>
      <c r="AP402" s="11">
        <v>0</v>
      </c>
      <c r="AQ402" s="11">
        <v>0</v>
      </c>
      <c r="AR402" s="51">
        <v>1190106000</v>
      </c>
      <c r="AS402" s="54">
        <v>0</v>
      </c>
      <c r="AT402" s="54">
        <f t="shared" si="636"/>
        <v>1190106000</v>
      </c>
      <c r="AU402" s="51">
        <v>1035942332</v>
      </c>
      <c r="AV402" s="243">
        <v>5772696147</v>
      </c>
      <c r="AW402" s="244"/>
      <c r="AX402" s="244"/>
      <c r="AY402" s="243">
        <v>5772696147</v>
      </c>
      <c r="AZ402" s="44" cm="1">
        <f t="array" ref="AZ402">_xlfn.IFS((BA402=0),(BD402/CL402),(BA402&gt;0),((BB402+BD402)/CL402),(BE402&gt;0),((BB402+BD402+BE402)/CL402),(BG402&gt;0),((BB402+BD402+BE402+G402)/CL402))</f>
        <v>0.47499999999999998</v>
      </c>
      <c r="BA402" s="44">
        <v>0.25</v>
      </c>
      <c r="BB402" s="44">
        <v>1</v>
      </c>
      <c r="BC402" s="255">
        <f>IF(AE402&gt;0,(1/CL402),0)</f>
        <v>0.25</v>
      </c>
      <c r="BD402" s="255" cm="2">
        <f t="array" ref="BD402">_xlfn.IFS(AE402=0,"NA",AE402&gt;0,AH402/AE402)</f>
        <v>0.9</v>
      </c>
      <c r="BE402" s="44">
        <f>IF(AM402&gt;0,(1/CL402),0)</f>
        <v>0.25</v>
      </c>
      <c r="BF402" s="44">
        <v>0</v>
      </c>
      <c r="BG402" s="44">
        <f>IF(AO402&gt;0,(1/CL402),0)</f>
        <v>0.25</v>
      </c>
      <c r="BH402" s="44">
        <v>0</v>
      </c>
      <c r="BI402" s="44">
        <v>0</v>
      </c>
      <c r="BJ402" s="44" t="s">
        <v>115</v>
      </c>
      <c r="BK402" s="44">
        <f t="shared" si="640"/>
        <v>0.47499999999999998</v>
      </c>
      <c r="BL402" s="44">
        <v>1</v>
      </c>
      <c r="BM402" s="44" cm="1">
        <f t="array" ref="BM402">_xlfn.IFS(BD402="NA","NA",BD402&gt;100%,"100%",BD402&lt;100,BD402)</f>
        <v>0.9</v>
      </c>
      <c r="BN402" s="44">
        <v>0</v>
      </c>
      <c r="BO402" s="44">
        <v>0</v>
      </c>
      <c r="BP402" s="44" t="s">
        <v>115</v>
      </c>
      <c r="BQ402" s="45">
        <v>0.224</v>
      </c>
      <c r="BR402" s="45">
        <f t="shared" si="651"/>
        <v>0.10639999999999999</v>
      </c>
      <c r="BS402" s="45">
        <v>5.6000000000000001E-2</v>
      </c>
      <c r="BT402" s="45">
        <v>5.6000000000000001E-2</v>
      </c>
      <c r="BU402" s="45">
        <v>5.6000000000000001E-2</v>
      </c>
      <c r="BV402" s="45">
        <v>5.6000000000000001E-2</v>
      </c>
      <c r="BW402" s="45">
        <f t="shared" si="652"/>
        <v>5.04E-2</v>
      </c>
      <c r="BX402" s="45">
        <f t="shared" si="653"/>
        <v>5.0399999999999993E-2</v>
      </c>
      <c r="BY402" s="45">
        <v>5.6000000000000001E-2</v>
      </c>
      <c r="BZ402" s="45">
        <v>0</v>
      </c>
      <c r="CA402" s="45">
        <f t="shared" si="634"/>
        <v>0</v>
      </c>
      <c r="CB402" s="45">
        <v>5.6000000000000001E-2</v>
      </c>
      <c r="CC402" s="45">
        <v>0</v>
      </c>
      <c r="CD402" s="45">
        <v>0</v>
      </c>
      <c r="CE402" s="45">
        <v>0</v>
      </c>
      <c r="CF402" s="45" t="s">
        <v>115</v>
      </c>
      <c r="CG402" s="45">
        <v>0</v>
      </c>
      <c r="CH402" s="244">
        <f>IF(W402&gt;0,1,0)</f>
        <v>1</v>
      </c>
      <c r="CI402" s="244">
        <f>IF(AE402&gt;0,1,0)</f>
        <v>1</v>
      </c>
      <c r="CJ402" s="244">
        <f>IF(AM402&gt;0,1,0)</f>
        <v>1</v>
      </c>
      <c r="CK402" s="244">
        <f>IF(AO402&gt;0,1,0)</f>
        <v>1</v>
      </c>
      <c r="CL402">
        <f>CH402+CI402+CJ402+CK402</f>
        <v>4</v>
      </c>
      <c r="CM402" s="63">
        <f>AVERAGE(Z402,AH402)</f>
        <v>0.95</v>
      </c>
    </row>
    <row r="403" spans="1:91" ht="18" hidden="1" customHeight="1">
      <c r="A403" s="260" t="s">
        <v>144</v>
      </c>
      <c r="B403" s="260" t="s">
        <v>145</v>
      </c>
      <c r="C403" s="260" t="s">
        <v>2371</v>
      </c>
      <c r="D403" s="260" t="s">
        <v>2588</v>
      </c>
      <c r="E403" s="260" t="s">
        <v>2606</v>
      </c>
      <c r="F403" s="260" t="s">
        <v>2607</v>
      </c>
      <c r="G403" s="260" t="s">
        <v>2608</v>
      </c>
      <c r="H403" s="260" t="s">
        <v>2609</v>
      </c>
      <c r="I403" s="260" t="s">
        <v>677</v>
      </c>
      <c r="J403" s="260"/>
      <c r="K403" s="260" t="s">
        <v>2610</v>
      </c>
      <c r="L403" s="260" t="s">
        <v>2611</v>
      </c>
      <c r="M403" s="260" t="s">
        <v>2612</v>
      </c>
      <c r="N403" s="260" t="s">
        <v>111</v>
      </c>
      <c r="O403" s="260" t="s">
        <v>112</v>
      </c>
      <c r="P403" s="10">
        <v>100</v>
      </c>
      <c r="Q403" s="11">
        <v>116</v>
      </c>
      <c r="R403" s="11">
        <f>Z403+AH403</f>
        <v>42</v>
      </c>
      <c r="S403" s="11" t="str">
        <f>VLOOKUP(K403,'1126 Desarrollo Social'!$K$13:$S$58,9,0)</f>
        <v>Conformación de la plataforma departamental de juventudes. Actualización de las plataformas municipalesEl personal profesional contratado para las actividades de esta meta se realizo con recursos del plan de desarrollo unidos podemos mas</v>
      </c>
      <c r="T403" s="11">
        <v>9</v>
      </c>
      <c r="U403" s="11">
        <v>0</v>
      </c>
      <c r="V403" s="11">
        <v>12</v>
      </c>
      <c r="W403" s="11">
        <v>0</v>
      </c>
      <c r="X403" s="11">
        <v>12</v>
      </c>
      <c r="Y403" s="11">
        <v>0</v>
      </c>
      <c r="Z403" s="11">
        <v>12</v>
      </c>
      <c r="AA403" s="11" t="s">
        <v>2613</v>
      </c>
      <c r="AB403" s="11" t="s">
        <v>2614</v>
      </c>
      <c r="AC403" s="11" t="s">
        <v>2615</v>
      </c>
      <c r="AD403" s="11">
        <v>30</v>
      </c>
      <c r="AE403" s="11">
        <v>0</v>
      </c>
      <c r="AF403" s="11">
        <f>VLOOKUP(K403,'1126 Desarrollo Social'!$K$13:$AK$58,22,0)</f>
        <v>30</v>
      </c>
      <c r="AG403" s="11">
        <f>VLOOKUP(K403,'1126 Desarrollo Social'!$K$13:$AK$58,23,0)</f>
        <v>0</v>
      </c>
      <c r="AH403" s="11">
        <f>AF403</f>
        <v>30</v>
      </c>
      <c r="AI403" s="11">
        <f>VLOOKUP(K403,'1126 Desarrollo Social'!$K$13:$AK$58,25,0)</f>
        <v>0</v>
      </c>
      <c r="AJ403" s="11" t="str">
        <f>VLOOKUP(K403,'1126 Desarrollo Social'!$K$13:$AK$58,26,0)</f>
        <v xml:space="preserve">Se realizó la primera Asamblea Departamental de las Juventudes, en el marco del desarrollo de la Semana de la Juventud y se presento apoyo ala las elecciones de los consejos municipales de Juventud en los 116
</v>
      </c>
      <c r="AK403" s="11">
        <f>VLOOKUP(K403,'1126 Desarrollo Social'!$K$13:$AK$58,27,0)</f>
        <v>0</v>
      </c>
      <c r="AL403" s="11">
        <v>40</v>
      </c>
      <c r="AM403" s="11">
        <v>0</v>
      </c>
      <c r="AN403" s="11">
        <v>34</v>
      </c>
      <c r="AO403" s="11">
        <v>0</v>
      </c>
      <c r="AP403" s="11">
        <v>0</v>
      </c>
      <c r="AQ403" s="11">
        <v>0</v>
      </c>
      <c r="AR403" s="51">
        <v>7800000</v>
      </c>
      <c r="AS403" s="54">
        <v>0</v>
      </c>
      <c r="AT403" s="54">
        <f t="shared" si="636"/>
        <v>7800000</v>
      </c>
      <c r="AU403" s="51">
        <v>7800000</v>
      </c>
      <c r="AV403" s="243">
        <v>105375419</v>
      </c>
      <c r="AW403" s="244"/>
      <c r="AX403" s="244"/>
      <c r="AY403" s="243">
        <v>87182110</v>
      </c>
      <c r="AZ403" s="44">
        <f>R403/Q403</f>
        <v>0.36206896551724138</v>
      </c>
      <c r="BA403" s="44">
        <v>0.10340000000000001</v>
      </c>
      <c r="BB403" s="44">
        <v>1</v>
      </c>
      <c r="BC403" s="44">
        <f>AD403/Q403</f>
        <v>0.25862068965517243</v>
      </c>
      <c r="BD403" s="44" cm="1">
        <f t="array" ref="BD403">_xlfn.IFS(AD403=0,"NA",AD403&gt;0,AH403/AD403)</f>
        <v>1</v>
      </c>
      <c r="BE403" s="44">
        <f>AL403/Q403</f>
        <v>0.34482758620689657</v>
      </c>
      <c r="BF403" s="44">
        <v>0</v>
      </c>
      <c r="BG403" s="44">
        <f>AN403/Q403</f>
        <v>0.29310344827586204</v>
      </c>
      <c r="BH403" s="44">
        <v>0</v>
      </c>
      <c r="BI403" s="44">
        <f>AP403/Q403</f>
        <v>0</v>
      </c>
      <c r="BJ403" s="44" t="s">
        <v>115</v>
      </c>
      <c r="BK403" s="44">
        <f t="shared" si="640"/>
        <v>0.36206896551724138</v>
      </c>
      <c r="BL403" s="44">
        <v>1</v>
      </c>
      <c r="BM403" s="44" cm="1">
        <f t="array" ref="BM403">_xlfn.IFS(BD403="NA","NA",BD403&gt;100%,"100%",BD403&lt;100,BD403)</f>
        <v>1</v>
      </c>
      <c r="BN403" s="44" cm="1">
        <f t="array" ref="BN403">_xlfn.IFS(BF403="NA","NA",BF403&gt;100%,"100%",BF403&lt;100,BF403)</f>
        <v>0</v>
      </c>
      <c r="BO403" s="44" cm="1">
        <f t="array" ref="BO403">_xlfn.IFS(BH403="NA","NA",BH403&gt;100%,"100%",BH403&lt;100,BH403)</f>
        <v>0</v>
      </c>
      <c r="BP403" s="44" t="str" cm="1">
        <f t="array" ref="BP403">_xlfn.IFS(BJ403="NA","NA",BJ403&gt;100%,"100%",BJ403&lt;100,BJ403)</f>
        <v>NA</v>
      </c>
      <c r="BQ403" s="45">
        <v>0.224</v>
      </c>
      <c r="BR403" s="45">
        <f t="shared" si="651"/>
        <v>8.1103448275862078E-2</v>
      </c>
      <c r="BS403" s="45">
        <v>2.3199999999999998E-2</v>
      </c>
      <c r="BT403" s="45">
        <v>2.3199999999999998E-2</v>
      </c>
      <c r="BU403" s="45">
        <v>2.3199999999999998E-2</v>
      </c>
      <c r="BV403" s="45">
        <f>(AD403*BQ403)/Q403</f>
        <v>5.7931034482758617E-2</v>
      </c>
      <c r="BW403" s="45">
        <f t="shared" si="652"/>
        <v>5.7931034482758617E-2</v>
      </c>
      <c r="BX403" s="45">
        <f t="shared" si="653"/>
        <v>5.7903448275862079E-2</v>
      </c>
      <c r="BY403" s="45">
        <f>(AL403*BQ403)/Q403</f>
        <v>7.7241379310344832E-2</v>
      </c>
      <c r="BZ403" s="45">
        <f>IF(BN403="NA","NA",BN403*BY403)</f>
        <v>0</v>
      </c>
      <c r="CA403" s="45">
        <f t="shared" si="634"/>
        <v>0</v>
      </c>
      <c r="CB403" s="45">
        <f>(AN403*BQ403)/Q403</f>
        <v>6.5655172413793109E-2</v>
      </c>
      <c r="CC403" s="45">
        <f>IF(BO403="NA","NA",BO403*CB403)</f>
        <v>0</v>
      </c>
      <c r="CD403" s="45">
        <v>0</v>
      </c>
      <c r="CE403" s="45">
        <f>(AP403*BQ403)/Q403</f>
        <v>0</v>
      </c>
      <c r="CF403" s="45" t="str">
        <f>IF(BP403="NA","NA",BP403*CE403)</f>
        <v>NA</v>
      </c>
      <c r="CG403" s="45">
        <v>0</v>
      </c>
      <c r="CH403" s="244"/>
      <c r="CI403" s="244"/>
      <c r="CJ403" s="244"/>
      <c r="CK403" s="244"/>
      <c r="CM403" s="63">
        <v>42</v>
      </c>
    </row>
    <row r="404" spans="1:91" s="105" customFormat="1" ht="18" hidden="1" customHeight="1">
      <c r="A404" s="96" t="s">
        <v>144</v>
      </c>
      <c r="B404" s="96" t="s">
        <v>145</v>
      </c>
      <c r="C404" s="96" t="s">
        <v>2371</v>
      </c>
      <c r="D404" s="96" t="s">
        <v>2588</v>
      </c>
      <c r="E404" s="96" t="s">
        <v>2606</v>
      </c>
      <c r="F404" s="96" t="s">
        <v>2607</v>
      </c>
      <c r="G404" s="96" t="s">
        <v>2608</v>
      </c>
      <c r="H404" s="96" t="s">
        <v>2616</v>
      </c>
      <c r="I404" s="96" t="s">
        <v>677</v>
      </c>
      <c r="J404" s="96"/>
      <c r="K404" s="96" t="s">
        <v>2617</v>
      </c>
      <c r="L404" s="96" t="s">
        <v>2618</v>
      </c>
      <c r="M404" s="96" t="s">
        <v>2619</v>
      </c>
      <c r="N404" s="96" t="s">
        <v>111</v>
      </c>
      <c r="O404" s="96" t="s">
        <v>112</v>
      </c>
      <c r="P404" s="249">
        <v>14</v>
      </c>
      <c r="Q404" s="99">
        <v>15</v>
      </c>
      <c r="R404" s="11">
        <f>Z404+AH404</f>
        <v>15</v>
      </c>
      <c r="S404" s="99" t="str">
        <f>VLOOKUP(K404,'1126 Desarrollo Social'!$K$13:$S$58,9,0)</f>
        <v>Capacitación de jóvenes rurales con capacitaciónCapacitación a jóvenes de comunidades étnicasEl personal profesional contratado para las actividades de esta meta se realizo con recursos del plan de desarrollo unidos podemos mas</v>
      </c>
      <c r="T404" s="99">
        <v>2</v>
      </c>
      <c r="U404" s="99">
        <v>0</v>
      </c>
      <c r="V404" s="99">
        <v>2</v>
      </c>
      <c r="W404" s="99">
        <v>0</v>
      </c>
      <c r="X404" s="99">
        <v>14</v>
      </c>
      <c r="Y404" s="99">
        <v>0</v>
      </c>
      <c r="Z404" s="99">
        <v>14</v>
      </c>
      <c r="AA404" s="99" t="s">
        <v>2620</v>
      </c>
      <c r="AB404" s="99" t="s">
        <v>2621</v>
      </c>
      <c r="AC404" s="99" t="s">
        <v>2622</v>
      </c>
      <c r="AD404" s="99">
        <v>0</v>
      </c>
      <c r="AE404" s="99">
        <v>15</v>
      </c>
      <c r="AF404" s="99">
        <f>VLOOKUP(K404,'1126 Desarrollo Social'!$K$13:$AK$58,22,0)</f>
        <v>1</v>
      </c>
      <c r="AG404" s="99">
        <f>VLOOKUP(K404,'1126 Desarrollo Social'!$K$13:$AK$58,23,0)</f>
        <v>14</v>
      </c>
      <c r="AH404" s="99">
        <f>AF404</f>
        <v>1</v>
      </c>
      <c r="AI404" s="99">
        <f>VLOOKUP(K404,'1126 Desarrollo Social'!$K$13:$AK$58,25,0)</f>
        <v>0</v>
      </c>
      <c r="AJ404" s="99" t="str">
        <f>VLOOKUP(K404,'1126 Desarrollo Social'!$K$13:$AK$58,26,0)</f>
        <v>Se ha puesto en marcha la escuela de liderazgo, brindando capacitaciones a las y los jóvenes del Departamento en temas como Paz-conflicto, Derechos Humanos, Participación política, Ciudad Región, comunicación política</v>
      </c>
      <c r="AK404" s="99">
        <f>VLOOKUP(K404,'1126 Desarrollo Social'!$K$13:$AK$58,27,0)</f>
        <v>0</v>
      </c>
      <c r="AL404" s="99">
        <v>0</v>
      </c>
      <c r="AM404" s="99">
        <v>15</v>
      </c>
      <c r="AN404" s="99">
        <v>0</v>
      </c>
      <c r="AO404" s="99">
        <v>15</v>
      </c>
      <c r="AP404" s="99">
        <v>0</v>
      </c>
      <c r="AQ404" s="99">
        <v>0</v>
      </c>
      <c r="AR404" s="250">
        <v>15197667</v>
      </c>
      <c r="AS404" s="251">
        <v>0</v>
      </c>
      <c r="AT404" s="251">
        <f t="shared" si="636"/>
        <v>15197667</v>
      </c>
      <c r="AU404" s="250">
        <v>15197667</v>
      </c>
      <c r="AV404" s="243">
        <v>94352332</v>
      </c>
      <c r="AW404" s="244"/>
      <c r="AX404" s="244"/>
      <c r="AY404" s="243">
        <v>92564890</v>
      </c>
      <c r="AZ404" s="44">
        <f>R404/Q404</f>
        <v>1</v>
      </c>
      <c r="BA404" s="102">
        <v>0.1333</v>
      </c>
      <c r="BB404" s="102">
        <v>7</v>
      </c>
      <c r="BC404" s="102">
        <f>AD404/Q404</f>
        <v>0</v>
      </c>
      <c r="BD404" s="44" t="str" cm="1">
        <f t="array" ref="BD404">_xlfn.IFS(AD404=0,"NA",AD404&gt;0,AH404/AD404)</f>
        <v>NA</v>
      </c>
      <c r="BE404" s="102">
        <f>AL404/Q404</f>
        <v>0</v>
      </c>
      <c r="BF404" s="102">
        <v>0</v>
      </c>
      <c r="BG404" s="102">
        <f>AN404/Q404</f>
        <v>0</v>
      </c>
      <c r="BH404" s="102">
        <v>0</v>
      </c>
      <c r="BI404" s="102">
        <f>AP404/Q404</f>
        <v>0</v>
      </c>
      <c r="BJ404" s="102" t="s">
        <v>115</v>
      </c>
      <c r="BK404" s="102">
        <f t="shared" si="640"/>
        <v>1</v>
      </c>
      <c r="BL404" s="102">
        <v>1</v>
      </c>
      <c r="BM404" s="102" t="str" cm="1">
        <f t="array" ref="BM404">_xlfn.IFS(BD404="NA","NA",BD404&gt;100%,"100%",BD404&lt;100,BD404)</f>
        <v>NA</v>
      </c>
      <c r="BN404" s="102" cm="1">
        <f t="array" ref="BN404">_xlfn.IFS(BF404="NA","NA",BF404&gt;100%,"100%",BF404&lt;100,BF404)</f>
        <v>0</v>
      </c>
      <c r="BO404" s="102" cm="1">
        <f t="array" ref="BO404">_xlfn.IFS(BH404="NA","NA",BH404&gt;100%,"100%",BH404&lt;100,BH404)</f>
        <v>0</v>
      </c>
      <c r="BP404" s="102" t="str" cm="1">
        <f t="array" ref="BP404">_xlfn.IFS(BJ404="NA","NA",BJ404&gt;100%,"100%",BJ404&lt;100,BJ404)</f>
        <v>NA</v>
      </c>
      <c r="BQ404" s="103">
        <v>0.224</v>
      </c>
      <c r="BR404" s="103">
        <f t="shared" si="651"/>
        <v>0.224</v>
      </c>
      <c r="BS404" s="103">
        <v>2.9899999999999999E-2</v>
      </c>
      <c r="BT404" s="103">
        <v>2.9899999999999999E-2</v>
      </c>
      <c r="BU404" s="103">
        <v>0.20910000000000001</v>
      </c>
      <c r="BV404" s="103">
        <v>5.6000000000000001E-2</v>
      </c>
      <c r="BW404" s="103" t="str">
        <f t="shared" si="652"/>
        <v>NA</v>
      </c>
      <c r="BX404" s="103">
        <f t="shared" si="653"/>
        <v>1.4899999999999997E-2</v>
      </c>
      <c r="BY404" s="103">
        <f>(AL404*BQ404)/Q404</f>
        <v>0</v>
      </c>
      <c r="BZ404" s="103">
        <f>IF(BN404="NA","NA",BN404*BY404)</f>
        <v>0</v>
      </c>
      <c r="CA404" s="103">
        <f t="shared" si="634"/>
        <v>0</v>
      </c>
      <c r="CB404" s="103">
        <f>(AN404*BQ404)/Q404</f>
        <v>0</v>
      </c>
      <c r="CC404" s="103">
        <f>IF(BO404="NA","NA",BO404*CB404)</f>
        <v>0</v>
      </c>
      <c r="CD404" s="103">
        <v>0</v>
      </c>
      <c r="CE404" s="103">
        <f>(AP404*BQ404)/Q404</f>
        <v>0</v>
      </c>
      <c r="CF404" s="103" t="str">
        <f>IF(BP404="NA","NA",BP404*CE404)</f>
        <v>NA</v>
      </c>
      <c r="CG404" s="103">
        <v>0</v>
      </c>
      <c r="CH404" s="252">
        <f>IF(W404&gt;0,1,0)</f>
        <v>0</v>
      </c>
      <c r="CI404" s="252">
        <f>IF(AE404&gt;0,1,0)</f>
        <v>1</v>
      </c>
      <c r="CJ404" s="252">
        <f>IF(AM404&gt;0,1,0)</f>
        <v>1</v>
      </c>
      <c r="CK404" s="252">
        <f>IF(AO404&gt;0,1,0)</f>
        <v>1</v>
      </c>
      <c r="CL404" s="105">
        <f>CH404+CI404+CJ404+CK404</f>
        <v>3</v>
      </c>
      <c r="CM404" s="63">
        <v>15</v>
      </c>
    </row>
    <row r="405" spans="1:91" ht="18" hidden="1" customHeight="1">
      <c r="A405" s="260" t="s">
        <v>144</v>
      </c>
      <c r="B405" s="260" t="s">
        <v>145</v>
      </c>
      <c r="C405" s="260" t="s">
        <v>2371</v>
      </c>
      <c r="D405" s="260" t="s">
        <v>2588</v>
      </c>
      <c r="E405" s="260" t="s">
        <v>2606</v>
      </c>
      <c r="F405" s="260" t="s">
        <v>2607</v>
      </c>
      <c r="G405" s="260" t="s">
        <v>2608</v>
      </c>
      <c r="H405" s="260" t="s">
        <v>2623</v>
      </c>
      <c r="I405" s="260" t="s">
        <v>677</v>
      </c>
      <c r="J405" s="260"/>
      <c r="K405" s="260" t="s">
        <v>2624</v>
      </c>
      <c r="L405" s="260" t="s">
        <v>2625</v>
      </c>
      <c r="M405" s="260" t="s">
        <v>2626</v>
      </c>
      <c r="N405" s="260" t="s">
        <v>111</v>
      </c>
      <c r="O405" s="260" t="s">
        <v>112</v>
      </c>
      <c r="P405" s="10">
        <v>0</v>
      </c>
      <c r="Q405" s="11">
        <v>116</v>
      </c>
      <c r="R405" s="11">
        <f>Z405+AH405</f>
        <v>116</v>
      </c>
      <c r="S405" s="11" t="str">
        <f>VLOOKUP(K405,'1126 Desarrollo Social'!$K$13:$S$58,9,0)</f>
        <v>Capacitación en elección de concejos municipales de juventud en 20 municipios a los coordinadores de juventud</v>
      </c>
      <c r="T405" s="11">
        <v>30</v>
      </c>
      <c r="U405" s="11">
        <v>0</v>
      </c>
      <c r="V405" s="11">
        <v>30</v>
      </c>
      <c r="W405" s="11">
        <v>0</v>
      </c>
      <c r="X405" s="11">
        <v>30</v>
      </c>
      <c r="Y405" s="11">
        <v>0</v>
      </c>
      <c r="Z405" s="11">
        <v>30</v>
      </c>
      <c r="AA405" s="11" t="s">
        <v>2627</v>
      </c>
      <c r="AB405" s="11" t="s">
        <v>2628</v>
      </c>
      <c r="AC405" s="11" t="s">
        <v>2629</v>
      </c>
      <c r="AD405" s="11">
        <v>50</v>
      </c>
      <c r="AE405" s="11">
        <v>0</v>
      </c>
      <c r="AF405" s="11">
        <f>VLOOKUP(K405,'1126 Desarrollo Social'!$K$13:$AK$59,22,0)</f>
        <v>86</v>
      </c>
      <c r="AG405" s="11">
        <f>VLOOKUP(K405,'1126 Desarrollo Social'!$K$13:$AK$59,23,0)</f>
        <v>30</v>
      </c>
      <c r="AH405" s="11">
        <f>AF405</f>
        <v>86</v>
      </c>
      <c r="AI405" s="11">
        <f>VLOOKUP(K405,'1126 Desarrollo Social'!$K$13:$AK$58,25,0)</f>
        <v>0</v>
      </c>
      <c r="AJ405" s="11" t="str">
        <f>VLOOKUP(K405,'1126 Desarrollo Social'!$K$13:$AK$58,26,0)</f>
        <v>Capacitación de Consejos Municipales de Juventud en 44 municipios del departamento. Promoción de los consejos municipales de juventud en 111 municipios de Cundinamarca.</v>
      </c>
      <c r="AK405" s="11">
        <f>VLOOKUP(K405,'1126 Desarrollo Social'!$K$13:$AK$59,27,0)</f>
        <v>0</v>
      </c>
      <c r="AL405" s="11">
        <v>30</v>
      </c>
      <c r="AM405" s="11">
        <v>0</v>
      </c>
      <c r="AN405" s="11">
        <v>6</v>
      </c>
      <c r="AO405" s="11">
        <v>0</v>
      </c>
      <c r="AP405" s="11">
        <v>0</v>
      </c>
      <c r="AQ405" s="11">
        <v>0</v>
      </c>
      <c r="AR405" s="52"/>
      <c r="AS405" s="54">
        <v>0</v>
      </c>
      <c r="AT405" s="54">
        <f t="shared" si="636"/>
        <v>0</v>
      </c>
      <c r="AU405" s="52"/>
      <c r="AV405" s="243">
        <v>40000000</v>
      </c>
      <c r="AW405" s="244"/>
      <c r="AX405" s="244"/>
      <c r="AY405" s="243">
        <v>36547766</v>
      </c>
      <c r="AZ405" s="44">
        <f>R405/Q405</f>
        <v>1</v>
      </c>
      <c r="BA405" s="44">
        <v>0.2586</v>
      </c>
      <c r="BB405" s="44">
        <v>1</v>
      </c>
      <c r="BC405" s="44">
        <f>AD405/Q405</f>
        <v>0.43103448275862066</v>
      </c>
      <c r="BD405" s="44" cm="1">
        <f t="array" ref="BD405">_xlfn.IFS(AD405=0,"NA",AD405&gt;0,AH405/AD405)</f>
        <v>1.72</v>
      </c>
      <c r="BE405" s="44">
        <f>AL405/Q405</f>
        <v>0.25862068965517243</v>
      </c>
      <c r="BF405" s="44">
        <v>0</v>
      </c>
      <c r="BG405" s="44">
        <f>AN405/Q405</f>
        <v>5.1724137931034482E-2</v>
      </c>
      <c r="BH405" s="44">
        <v>0</v>
      </c>
      <c r="BI405" s="44">
        <f>AP405/Q405</f>
        <v>0</v>
      </c>
      <c r="BJ405" s="44" t="s">
        <v>115</v>
      </c>
      <c r="BK405" s="44">
        <f t="shared" si="640"/>
        <v>1</v>
      </c>
      <c r="BL405" s="44">
        <v>1</v>
      </c>
      <c r="BM405" s="44" t="str" cm="1">
        <f t="array" ref="BM405">_xlfn.IFS(BD405="NA","NA",BD405&gt;100%,"100%",BD405&lt;100,BD405)</f>
        <v>100%</v>
      </c>
      <c r="BN405" s="44" cm="1">
        <f t="array" ref="BN405">_xlfn.IFS(BF405="NA","NA",BF405&gt;100%,"100%",BF405&lt;100,BF405)</f>
        <v>0</v>
      </c>
      <c r="BO405" s="44" cm="1">
        <f t="array" ref="BO405">_xlfn.IFS(BH405="NA","NA",BH405&gt;100%,"100%",BH405&lt;100,BH405)</f>
        <v>0</v>
      </c>
      <c r="BP405" s="44" t="str" cm="1">
        <f t="array" ref="BP405">_xlfn.IFS(BJ405="NA","NA",BJ405&gt;100%,"100%",BJ405&lt;100,BJ405)</f>
        <v>NA</v>
      </c>
      <c r="BQ405" s="45">
        <v>0.224</v>
      </c>
      <c r="BR405" s="45">
        <f t="shared" si="651"/>
        <v>0.224</v>
      </c>
      <c r="BS405" s="45">
        <v>5.79E-2</v>
      </c>
      <c r="BT405" s="45">
        <v>5.79E-2</v>
      </c>
      <c r="BU405" s="45">
        <v>5.79E-2</v>
      </c>
      <c r="BV405" s="45">
        <f>(AD405*BQ405)/Q405</f>
        <v>9.6551724137931047E-2</v>
      </c>
      <c r="BW405" s="45">
        <f t="shared" si="652"/>
        <v>9.6551724137931047E-2</v>
      </c>
      <c r="BX405" s="45">
        <f t="shared" si="653"/>
        <v>0.1661</v>
      </c>
      <c r="BY405" s="45">
        <f>(AL405*BQ405)/Q405</f>
        <v>5.7931034482758617E-2</v>
      </c>
      <c r="BZ405" s="45">
        <f>IF(BN405="NA","NA",BN405*BY405)</f>
        <v>0</v>
      </c>
      <c r="CA405" s="45">
        <f t="shared" si="634"/>
        <v>0</v>
      </c>
      <c r="CB405" s="45">
        <f>(AN405*BQ405)/Q405</f>
        <v>1.1586206896551725E-2</v>
      </c>
      <c r="CC405" s="45">
        <f>IF(BO405="NA","NA",BO405*CB405)</f>
        <v>0</v>
      </c>
      <c r="CD405" s="45">
        <v>0</v>
      </c>
      <c r="CE405" s="45">
        <f>(AP405*BQ405)/Q405</f>
        <v>0</v>
      </c>
      <c r="CF405" s="45" t="str">
        <f>IF(BP405="NA","NA",BP405*CE405)</f>
        <v>NA</v>
      </c>
      <c r="CG405" s="45">
        <v>0</v>
      </c>
      <c r="CH405" s="244"/>
      <c r="CI405" s="244"/>
      <c r="CJ405" s="244"/>
      <c r="CK405" s="244"/>
      <c r="CM405" s="63">
        <v>146</v>
      </c>
    </row>
    <row r="406" spans="1:91" ht="18" hidden="1" customHeight="1">
      <c r="A406" s="260" t="s">
        <v>144</v>
      </c>
      <c r="B406" s="260" t="s">
        <v>145</v>
      </c>
      <c r="C406" s="260" t="s">
        <v>2371</v>
      </c>
      <c r="D406" s="260" t="s">
        <v>2588</v>
      </c>
      <c r="E406" s="260" t="s">
        <v>2606</v>
      </c>
      <c r="F406" s="260" t="s">
        <v>2607</v>
      </c>
      <c r="G406" s="260" t="s">
        <v>2608</v>
      </c>
      <c r="H406" s="260" t="s">
        <v>2630</v>
      </c>
      <c r="I406" s="260" t="s">
        <v>677</v>
      </c>
      <c r="J406" s="260"/>
      <c r="K406" s="260" t="s">
        <v>2631</v>
      </c>
      <c r="L406" s="260" t="s">
        <v>2632</v>
      </c>
      <c r="M406" s="260" t="s">
        <v>2633</v>
      </c>
      <c r="N406" s="260" t="s">
        <v>111</v>
      </c>
      <c r="O406" s="260" t="s">
        <v>124</v>
      </c>
      <c r="P406" s="10">
        <v>117</v>
      </c>
      <c r="Q406" s="11">
        <v>117</v>
      </c>
      <c r="R406" s="11">
        <f t="shared" ref="R406:R407" si="664">(Z406+AH406)/CL406</f>
        <v>53.25</v>
      </c>
      <c r="S406" s="11" t="str">
        <f>VLOOKUP(K406,'1126 Desarrollo Social'!$K$13:$S$58,9,0)</f>
        <v>Reunión del CODEPS DEPARTAMENTALActualización del link en la plataforma de la gobernación de Cundinamarca del CODEPS Convocatoria y conformación de la Mesa Departamental de Inclusión Social (se han realizado tres de las cuatro requeridas)Emisión de circular CODEPS 002 dirigida a los 116 MunicipiosAsistencias técnicas a los COMPOS Municipales Asistencia técnica a 19 COMPOS</v>
      </c>
      <c r="T406" s="11">
        <v>0</v>
      </c>
      <c r="U406" s="11">
        <v>117</v>
      </c>
      <c r="V406" s="11">
        <v>0</v>
      </c>
      <c r="W406" s="11">
        <v>117</v>
      </c>
      <c r="X406" s="11" t="s">
        <v>115</v>
      </c>
      <c r="Y406" s="11">
        <v>96</v>
      </c>
      <c r="Z406" s="11">
        <v>96</v>
      </c>
      <c r="AA406" s="11" t="s">
        <v>2634</v>
      </c>
      <c r="AB406" s="11" t="s">
        <v>2635</v>
      </c>
      <c r="AC406" s="11">
        <v>0</v>
      </c>
      <c r="AD406" s="11">
        <v>0</v>
      </c>
      <c r="AE406" s="11">
        <v>117</v>
      </c>
      <c r="AF406" s="11">
        <f>VLOOKUP(K406,'1126 Desarrollo Social'!$K$13:$AK$58,22,0)</f>
        <v>0</v>
      </c>
      <c r="AG406" s="11">
        <f>VLOOKUP(K406,'1126 Desarrollo Social'!$K$13:$AK$58,23,0)</f>
        <v>117</v>
      </c>
      <c r="AH406" s="11">
        <f t="shared" ref="AH406:AH407" si="665">AG406</f>
        <v>117</v>
      </c>
      <c r="AI406" s="11">
        <f>VLOOKUP(K406,'1126 Desarrollo Social'!$K$13:$AK$58,25,0)</f>
        <v>0</v>
      </c>
      <c r="AJ406" s="11" t="str">
        <f>VLOOKUP(K406,'1126 Desarrollo Social'!$K$13:$AK$58,26,0)</f>
        <v>Instalación de la primera sesión del consejo departamental de política social CODEPS. Fortalecimiento a los 116 Consejos de política social COMPOS del departamento a través del diseño de instrumentos para su actualización.
-Compilacion Normograma del sistema nacional de bienestar familiar. modelo reglamento interno COMPOS, ELABORACION CARTILLA DIGITAL COMPOS
-Decreto de actualización para 116 municipios
Resolución de funcionamiento para 116 COMPOS.</v>
      </c>
      <c r="AK406" s="11">
        <f>VLOOKUP(K406,'1126 Desarrollo Social'!$K$13:$AK$58,27,0)</f>
        <v>0</v>
      </c>
      <c r="AL406" s="11">
        <v>0</v>
      </c>
      <c r="AM406" s="11">
        <v>117</v>
      </c>
      <c r="AN406" s="11">
        <v>0</v>
      </c>
      <c r="AO406" s="11">
        <v>117</v>
      </c>
      <c r="AP406" s="11">
        <v>0</v>
      </c>
      <c r="AQ406" s="11">
        <v>0</v>
      </c>
      <c r="AR406" s="51">
        <v>8804333</v>
      </c>
      <c r="AS406" s="54">
        <v>0</v>
      </c>
      <c r="AT406" s="54">
        <f t="shared" si="636"/>
        <v>8804333</v>
      </c>
      <c r="AU406" s="51">
        <v>3350000</v>
      </c>
      <c r="AV406" s="243">
        <v>90000000</v>
      </c>
      <c r="AW406" s="244"/>
      <c r="AX406" s="244"/>
      <c r="AY406" s="243">
        <v>79966322</v>
      </c>
      <c r="AZ406" s="44" cm="1">
        <f t="array" ref="AZ406">_xlfn.IFS((BA406=0),(BD406/CL406),(BA406&gt;0),((BB406+BD406)/CL406),(BE406&gt;0),((BB406+BD406+BE406)/CL406),(BG406&gt;0),((BB406+BD406+BE406+G406)/CL406))</f>
        <v>0.455125</v>
      </c>
      <c r="BA406" s="44">
        <v>0.25</v>
      </c>
      <c r="BB406" s="44">
        <v>0.82050000000000001</v>
      </c>
      <c r="BC406" s="44">
        <f t="shared" ref="BC406:BC407" si="666">IF(AE406&gt;0,(1/CL406),0)</f>
        <v>0.25</v>
      </c>
      <c r="BD406" s="44" cm="1">
        <f t="array" ref="BD406">_xlfn.IFS(AE406=0,"NA",AE406&gt;0,AH406/AE406)</f>
        <v>1</v>
      </c>
      <c r="BE406" s="44">
        <f t="shared" ref="BE406:BE407" si="667">IF(AM406&gt;0,(1/CL406),0)</f>
        <v>0.25</v>
      </c>
      <c r="BF406" s="44">
        <v>0</v>
      </c>
      <c r="BG406" s="44">
        <f t="shared" ref="BG406:BG407" si="668">IF(AO406&gt;0,(1/CL406),0)</f>
        <v>0.25</v>
      </c>
      <c r="BH406" s="44">
        <v>0</v>
      </c>
      <c r="BI406" s="44">
        <v>0</v>
      </c>
      <c r="BJ406" s="44" t="s">
        <v>115</v>
      </c>
      <c r="BK406" s="44">
        <f t="shared" si="640"/>
        <v>0.455125</v>
      </c>
      <c r="BL406" s="44">
        <v>0.82050000000000001</v>
      </c>
      <c r="BM406" s="44" cm="1">
        <f t="array" ref="BM406">_xlfn.IFS(BD406="NA","NA",BD406&gt;100%,"100%",BD406&lt;100,BD406)</f>
        <v>1</v>
      </c>
      <c r="BN406" s="44">
        <v>0</v>
      </c>
      <c r="BO406" s="44">
        <v>0</v>
      </c>
      <c r="BP406" s="44" t="s">
        <v>115</v>
      </c>
      <c r="BQ406" s="45">
        <v>0.224</v>
      </c>
      <c r="BR406" s="45">
        <f t="shared" si="651"/>
        <v>0.101948</v>
      </c>
      <c r="BS406" s="45">
        <v>5.6000000000000001E-2</v>
      </c>
      <c r="BT406" s="45">
        <v>4.5900000000000003E-2</v>
      </c>
      <c r="BU406" s="45">
        <v>4.5900000000000003E-2</v>
      </c>
      <c r="BV406" s="45">
        <v>5.6000000000000001E-2</v>
      </c>
      <c r="BW406" s="45">
        <f t="shared" si="652"/>
        <v>5.6000000000000001E-2</v>
      </c>
      <c r="BX406" s="45">
        <f t="shared" si="653"/>
        <v>5.6047999999999994E-2</v>
      </c>
      <c r="BY406" s="45">
        <v>5.6000000000000001E-2</v>
      </c>
      <c r="BZ406" s="45">
        <v>0</v>
      </c>
      <c r="CA406" s="45">
        <f t="shared" si="634"/>
        <v>0</v>
      </c>
      <c r="CB406" s="45">
        <v>5.6000000000000001E-2</v>
      </c>
      <c r="CC406" s="45">
        <v>0</v>
      </c>
      <c r="CD406" s="45">
        <v>0</v>
      </c>
      <c r="CE406" s="45">
        <v>0</v>
      </c>
      <c r="CF406" s="45" t="s">
        <v>115</v>
      </c>
      <c r="CG406" s="45">
        <v>0</v>
      </c>
      <c r="CH406" s="244">
        <f t="shared" ref="CH406:CH407" si="669">IF(W406&gt;0,1,0)</f>
        <v>1</v>
      </c>
      <c r="CI406" s="244">
        <f t="shared" ref="CI406:CI407" si="670">IF(AE406&gt;0,1,0)</f>
        <v>1</v>
      </c>
      <c r="CJ406" s="244">
        <f t="shared" ref="CJ406:CJ407" si="671">IF(AM406&gt;0,1,0)</f>
        <v>1</v>
      </c>
      <c r="CK406" s="244">
        <f t="shared" ref="CK406:CK407" si="672">IF(AO406&gt;0,1,0)</f>
        <v>1</v>
      </c>
      <c r="CL406">
        <f t="shared" ref="CL406:CL407" si="673">CH406+CI406+CJ406+CK406</f>
        <v>4</v>
      </c>
      <c r="CM406" s="63">
        <f t="shared" ref="CM406:CM407" si="674">AVERAGE(Z406,AH406)</f>
        <v>106.5</v>
      </c>
    </row>
    <row r="407" spans="1:91" ht="18" hidden="1" customHeight="1">
      <c r="A407" s="260" t="s">
        <v>144</v>
      </c>
      <c r="B407" s="260" t="s">
        <v>145</v>
      </c>
      <c r="C407" s="260" t="s">
        <v>2371</v>
      </c>
      <c r="D407" s="260" t="s">
        <v>2588</v>
      </c>
      <c r="E407" s="260" t="s">
        <v>2606</v>
      </c>
      <c r="F407" s="260" t="s">
        <v>2607</v>
      </c>
      <c r="G407" s="260" t="s">
        <v>2608</v>
      </c>
      <c r="H407" s="260" t="s">
        <v>2636</v>
      </c>
      <c r="I407" s="260" t="s">
        <v>677</v>
      </c>
      <c r="J407" s="260"/>
      <c r="K407" s="260" t="s">
        <v>2637</v>
      </c>
      <c r="L407" s="260" t="s">
        <v>2638</v>
      </c>
      <c r="M407" s="260" t="s">
        <v>2639</v>
      </c>
      <c r="N407" s="260" t="s">
        <v>111</v>
      </c>
      <c r="O407" s="260" t="s">
        <v>124</v>
      </c>
      <c r="P407" s="10">
        <v>116</v>
      </c>
      <c r="Q407" s="11">
        <v>116</v>
      </c>
      <c r="R407" s="11">
        <f t="shared" si="664"/>
        <v>48.5</v>
      </c>
      <c r="S407" s="11" t="str">
        <f>VLOOKUP(K407,'1126 Desarrollo Social'!$K$13:$S$58,9,0)</f>
        <v>Activación de la mesa departamental Participación de NNASe garantizo la participación y asistencia de 6 niños de las instancias de participación al CODEPS departamental.Asistencia técnica a los municipios que no cuentan con la instancia de participación activa</v>
      </c>
      <c r="T407" s="11">
        <v>0</v>
      </c>
      <c r="U407" s="11">
        <v>116</v>
      </c>
      <c r="V407" s="11">
        <v>0</v>
      </c>
      <c r="W407" s="11">
        <v>116</v>
      </c>
      <c r="X407" s="11" t="s">
        <v>115</v>
      </c>
      <c r="Y407" s="11">
        <v>80</v>
      </c>
      <c r="Z407" s="11">
        <v>80</v>
      </c>
      <c r="AA407" s="11" t="s">
        <v>2640</v>
      </c>
      <c r="AB407" s="11" t="s">
        <v>2641</v>
      </c>
      <c r="AC407" s="11" t="s">
        <v>2642</v>
      </c>
      <c r="AD407" s="11">
        <v>0</v>
      </c>
      <c r="AE407" s="11">
        <v>116</v>
      </c>
      <c r="AF407" s="11">
        <f>VLOOKUP(K407,'1126 Desarrollo Social'!$K$13:$AK$58,22,0)</f>
        <v>0</v>
      </c>
      <c r="AG407" s="11">
        <f>VLOOKUP(K407,'1126 Desarrollo Social'!$K$13:$AK$58,23,0)</f>
        <v>114</v>
      </c>
      <c r="AH407" s="11">
        <f t="shared" si="665"/>
        <v>114</v>
      </c>
      <c r="AI407" s="11">
        <f>VLOOKUP(K407,'1126 Desarrollo Social'!$K$13:$AK$58,25,0)</f>
        <v>0</v>
      </c>
      <c r="AJ407" s="11" t="str">
        <f>VLOOKUP(K407,'1126 Desarrollo Social'!$K$13:$AK$58,26,0)</f>
        <v>Seguimiento a los municipios para la verificacion de actividad de las mesas de participación de niñas y adolescentes, asistencia a 11 municipios para establecer estrategias de fortalecimiento. 4 sesiones de la mesa de participacion de niños, niñas y adolescentes</v>
      </c>
      <c r="AK407" s="11">
        <f>VLOOKUP(K407,'1126 Desarrollo Social'!$K$13:$AK$58,27,0)</f>
        <v>0</v>
      </c>
      <c r="AL407" s="11">
        <v>0</v>
      </c>
      <c r="AM407" s="11">
        <v>116</v>
      </c>
      <c r="AN407" s="11">
        <v>0</v>
      </c>
      <c r="AO407" s="11">
        <v>116</v>
      </c>
      <c r="AP407" s="11">
        <v>0</v>
      </c>
      <c r="AQ407" s="11">
        <v>0</v>
      </c>
      <c r="AR407" s="51">
        <v>6500000</v>
      </c>
      <c r="AS407" s="54">
        <v>0</v>
      </c>
      <c r="AT407" s="54">
        <f t="shared" si="636"/>
        <v>6500000</v>
      </c>
      <c r="AU407" s="51">
        <v>6500000</v>
      </c>
      <c r="AV407" s="243">
        <v>20000000</v>
      </c>
      <c r="AW407" s="244"/>
      <c r="AX407" s="244"/>
      <c r="AY407" s="243">
        <v>20000000</v>
      </c>
      <c r="AZ407" s="44" cm="1">
        <f t="array" ref="AZ407">_xlfn.IFS((BA407=0),(BD407/CL407),(BA407&gt;0),((BB407+BD407)/CL407),(BE407&gt;0),((BB407+BD407+BE407)/CL407),(BG407&gt;0),((BB407+BD407+BE407+G407)/CL407))</f>
        <v>0.41811465517241375</v>
      </c>
      <c r="BA407" s="44">
        <v>0.25</v>
      </c>
      <c r="BB407" s="44">
        <v>0.68969999999999998</v>
      </c>
      <c r="BC407" s="44">
        <f t="shared" si="666"/>
        <v>0.25</v>
      </c>
      <c r="BD407" s="44" cm="1">
        <f t="array" ref="BD407">_xlfn.IFS(AE407=0,"NA",AE407&gt;0,AH407/AE407)</f>
        <v>0.98275862068965514</v>
      </c>
      <c r="BE407" s="44">
        <f t="shared" si="667"/>
        <v>0.25</v>
      </c>
      <c r="BF407" s="44">
        <v>0</v>
      </c>
      <c r="BG407" s="44">
        <f t="shared" si="668"/>
        <v>0.25</v>
      </c>
      <c r="BH407" s="44">
        <v>0</v>
      </c>
      <c r="BI407" s="44">
        <v>0</v>
      </c>
      <c r="BJ407" s="44" t="s">
        <v>115</v>
      </c>
      <c r="BK407" s="44">
        <f t="shared" si="640"/>
        <v>0.41811465517241375</v>
      </c>
      <c r="BL407" s="44">
        <v>0.68969999999999998</v>
      </c>
      <c r="BM407" s="44" cm="1">
        <f t="array" ref="BM407">_xlfn.IFS(BD407="NA","NA",BD407&gt;100%,"100%",BD407&lt;100,BD407)</f>
        <v>0.98275862068965514</v>
      </c>
      <c r="BN407" s="44">
        <v>0</v>
      </c>
      <c r="BO407" s="44">
        <v>0</v>
      </c>
      <c r="BP407" s="44" t="s">
        <v>115</v>
      </c>
      <c r="BQ407" s="45">
        <v>0.224</v>
      </c>
      <c r="BR407" s="45">
        <f t="shared" si="651"/>
        <v>9.3657682758620686E-2</v>
      </c>
      <c r="BS407" s="45">
        <v>5.6000000000000001E-2</v>
      </c>
      <c r="BT407" s="45">
        <v>3.8600000000000002E-2</v>
      </c>
      <c r="BU407" s="45">
        <v>3.8600000000000002E-2</v>
      </c>
      <c r="BV407" s="45">
        <v>5.6000000000000001E-2</v>
      </c>
      <c r="BW407" s="45">
        <f t="shared" si="652"/>
        <v>5.503448275862069E-2</v>
      </c>
      <c r="BX407" s="45">
        <f t="shared" si="653"/>
        <v>5.5057682758620684E-2</v>
      </c>
      <c r="BY407" s="45">
        <v>5.6000000000000001E-2</v>
      </c>
      <c r="BZ407" s="45">
        <v>0</v>
      </c>
      <c r="CA407" s="45">
        <f t="shared" si="634"/>
        <v>0</v>
      </c>
      <c r="CB407" s="45">
        <v>5.6000000000000001E-2</v>
      </c>
      <c r="CC407" s="45">
        <v>0</v>
      </c>
      <c r="CD407" s="45">
        <v>0</v>
      </c>
      <c r="CE407" s="45">
        <v>0</v>
      </c>
      <c r="CF407" s="45" t="s">
        <v>115</v>
      </c>
      <c r="CG407" s="45">
        <v>0</v>
      </c>
      <c r="CH407" s="244">
        <f t="shared" si="669"/>
        <v>1</v>
      </c>
      <c r="CI407" s="244">
        <f t="shared" si="670"/>
        <v>1</v>
      </c>
      <c r="CJ407" s="244">
        <f t="shared" si="671"/>
        <v>1</v>
      </c>
      <c r="CK407" s="244">
        <f t="shared" si="672"/>
        <v>1</v>
      </c>
      <c r="CL407">
        <f t="shared" si="673"/>
        <v>4</v>
      </c>
      <c r="CM407" s="63">
        <f t="shared" si="674"/>
        <v>97</v>
      </c>
    </row>
    <row r="408" spans="1:91" ht="18" hidden="1" customHeight="1">
      <c r="A408" s="260" t="s">
        <v>992</v>
      </c>
      <c r="B408" s="260" t="s">
        <v>993</v>
      </c>
      <c r="C408" s="260" t="s">
        <v>2371</v>
      </c>
      <c r="D408" s="260" t="s">
        <v>2588</v>
      </c>
      <c r="E408" s="260" t="s">
        <v>2606</v>
      </c>
      <c r="F408" s="260" t="s">
        <v>2607</v>
      </c>
      <c r="G408" s="260" t="s">
        <v>2608</v>
      </c>
      <c r="H408" s="260" t="s">
        <v>2643</v>
      </c>
      <c r="I408" s="260"/>
      <c r="J408" s="260"/>
      <c r="K408" s="260" t="s">
        <v>2644</v>
      </c>
      <c r="L408" s="260" t="s">
        <v>2645</v>
      </c>
      <c r="M408" s="260" t="s">
        <v>2646</v>
      </c>
      <c r="N408" s="260" t="s">
        <v>123</v>
      </c>
      <c r="O408" s="260" t="s">
        <v>112</v>
      </c>
      <c r="P408" s="10">
        <v>0</v>
      </c>
      <c r="Q408" s="11">
        <v>40</v>
      </c>
      <c r="R408" s="11">
        <f t="shared" ref="R408:R409" si="675">Z408+AH408</f>
        <v>15</v>
      </c>
      <c r="S408" s="11" t="str">
        <f>VLOOKUP(K408,'1105 Gobierno'!$K$12:$AK$31,9,0)</f>
        <v>Cundinamarca llega al cuarto puesto del departamento con el mejor puntaje en la Política de Participación Ciudadana en la Gestión Pública a través de: Garantizar la apropiación de conocimientos y fortalecer de las capacidades de gestión a través de la asistencia técnica de mecanismos de participación, instancias de participación, veedurías ciudadanas y socialización de la política pública a los 116 municipios con 1.763 beneficiados. Posicionamiento del departamento de Cundinamarca entre los mejores a nivel nacional en las iniciativas de participación ciudadana.  premio de “Colombia Participa 2020” Nominados entre los 3 finalistas al premio “Colombia Participa 2020” del Ministerio del Interior Categoría Gobernación. Posicionamiento de los espacios de participación del departamento a través de 2 ferias de servicios realizadas en la provincia de Sumapaz y Tequendama con la presencia de más de 110 asistentes. Fortalecimiento de la participación ciudadana a través del diseño y formulación del Modelo estándar de presupuestos participativos. Creación, instalación y posesión del Consejo Departamental de Participación Ciudadana según decreto 010 de 2018. Acompañamiento técnico, humano y financiero a las elecciones atípicas del municipio de Sutatausa. Con la aplicación CUNCEJAPP se garantiza el acceso a 1.178 concejales y 257 ediles  del departamento con noticias, información de interés en la gestión pública, así como la creación de redes para el intercambio de información relevante.                                                                                                                                                                                                                                                                        Para el periodo 2021, Socialización de la política pública de participación ciudadana en los 116 municipios del Departamento de manera virtual, haciendo sen participes alcaldes, secretarios de gobierno, personeros y concejales de los municipios. Socialización de manera presencial en las provincias del Sumapaz, Tequendama, Gualivá, Bajo Magdalena, Rio Negro y Sabana Centro en todo lo que tiene que ver con los mecanismos de participación dando alcance a 800 personas. Actualización de la aplicación de Cuncejapp y contratación del personal que van a realizar las asesorías y acompañamientos a los concejales a través de la aplicación. Actualización de las bases de datos de los concejales y ediles del Departamento. Asistencias técnicas en tema de veeduría ciudadana. Reunión del primer comité de procesos electorales para la preparación de las próximas elecciones de Senado y Cámara. Alianza estratégica entre el departamento (Secretaría de Gobierno) con la Esap y Fenacon para llevar a cabo diplomado de participación ciudadana. Adelantos en diplomado conjunto con IDACO para los comunales de Departamento. Se han realizado cuatro ferias de servicios para fortalecer la participación ciudadana, contando con la participación de la Contraloría, Registraduría, Feacon y la Esap. Alianza estratégica con la oficina de participación ciudadana del Distrito para apoyar la construcción de un sistema Departamental de participación ciudadana. Diseño y envió del manual de funcionamiento del aplicativo Cuncejapp a personas interesadas en el Departamento de Cundinamarca. Actualización del micrositio en la página de la secretaría de Gobierno. Convocatoria y realización de la primera sesión del Consejo Departamental de Participación Ciudadana para iniciar trabajo con cada una de las mesas creadas en dicho órgano llegando a los 116 municipios del Departamento. Creación del grupo de trabajo que adelantará acciones en cuanto a la elección de Concejos Municipales de Juventud llegando a los 116 municipios del Departamento. Convocatoria a la mesa técnica de seguimiento a indicadores con el fin de acompañar la primera sesión del Consejo Departamental de Participación Ciudadana para continuar con la implementación de la Política Publica de Participación Ciudadana. Establecer las metas relacionadas con la implementación de la política publica de participación ciudadana con las demás secretarías de la gobernación. Adelanto de la creación del grupo de trabajo para la realización de la encuesta bienal sobre participación ciudadana. Adelantó el proceso para la creación del plan de Medios. Adelanto de la construcción del sistema Departamental de Participación Ciudadana. Adelanto de gestiones con la secretaría de las TICS para solicitud de acompañamiento a la creación de la plataforma WEB y la aplicación móvil PARTICIPAAP.                                                                                                                                                                                                                                                                                                                           Capacitación a (Diplomado) a 457 concejales, personeros y ediles del departamento. La fundación Solidaridad por Colombia realiza la socialización de la política publica de participación ciudadana. Revisión del plan de medios. La dirección de asuntos municipales esta al frente de encuesta bienal 2021 en el Departamento, organizando todo lo referente a la misma y realizo un borrador de la encuesta para el plan piloto. Se resuelven las solicitudes recibidas a través de la aplicación cuncejapp.</v>
      </c>
      <c r="T408" s="11">
        <v>5</v>
      </c>
      <c r="U408" s="11">
        <v>0</v>
      </c>
      <c r="V408" s="11">
        <v>5</v>
      </c>
      <c r="W408" s="11">
        <v>0</v>
      </c>
      <c r="X408" s="11">
        <v>5</v>
      </c>
      <c r="Y408" s="11">
        <v>0</v>
      </c>
      <c r="Z408" s="11">
        <v>5</v>
      </c>
      <c r="AA408" s="11" t="s">
        <v>1106</v>
      </c>
      <c r="AB408" s="11" t="s">
        <v>2647</v>
      </c>
      <c r="AC408" s="11" t="s">
        <v>2648</v>
      </c>
      <c r="AD408" s="11">
        <v>12</v>
      </c>
      <c r="AE408" s="11">
        <v>0</v>
      </c>
      <c r="AF408" s="11">
        <f>VLOOKUP(K408,'1105 Gobierno'!$K$12:$AK$31,22,0)</f>
        <v>10</v>
      </c>
      <c r="AG408" s="11" t="str">
        <f>VLOOKUP(K408,'1105 Gobierno'!$K$12:$AK$31,23,0)</f>
        <v> </v>
      </c>
      <c r="AH408" s="11">
        <f t="shared" ref="AH408:AH409" si="676">AF408</f>
        <v>10</v>
      </c>
      <c r="AI408" s="11" t="str">
        <f>VLOOKUP(K408,'1105 Gobierno'!$K$12:$AK$31,25,0)</f>
        <v>Asistencia técnica</v>
      </c>
      <c r="AJ408" s="11" t="str">
        <f>VLOOKUP(K408,'1105 Gobierno'!$K$12:$AK$31,26,0)</f>
        <v xml:space="preserve">Se inició la elaboración y divulgación del plan de medios de la participación ciudadana a través de cronograma provincial de la política pública. Adicional a ello se brindó asistencia técnica presencial a los municipios de la Peña y San Francisco a solicitud de los mismos, para revisar temas relacionados con veedurías ciudadanas. Se actualiza la aplicación Cuncejapp y se lleva a cabo la contratación del personal que va a realizar las asesorías y acompañamiento a los concejales a través de la aplicación, se adelanta la actualización de bases de datos de los concejos y ediles del Departamento. Se socializó La PPPC en cuatro provincias, las cuales son: Gualivá, Bajo Magdalena, Rio negro y sabana centro para un total de 4 socializaciones a 34 municipios. Se brindo asistencia técnica y acompañamiento a los municipios:  puerto salgar y La Peña y San Francisco, especialmente en veedurías ciudadanas. Se realizo el primer comité de procesos electorales para la preparación de las próximas elecciones de senado y cámara. Se realizo una alianza estratégica entre el departamento (secretaria de Gobierno) ESAP y FENACON con el fin de aunar esfuerzos y llevar a cabo el diplomado en participación ciudadana para toda la población que lo quiera adquirir, con el fin de fortalecer la participación ciudadana. Se adelantó un diplomado en conjunto con IDACO para fortalecer a los comunales del departamento.
Se llevaron a cabo 4 ferias de servicios para fortalecer la participación ciudadana en la cual contamos con la participación de la contraloría, Registraduría, Feancon y la ESAP - se realizó el acompañamiento al municipio de San Francisco en la socialización del proyecto 009 de 2020 que se aplicó en esta vigencia. Se adelanto alianza estratégica con la oficina de participación ciudadana del distrito para apoyar la construcción de un sistema departamental de participación ciudadana. Se realizó asistencia técnica incentivando a los municipios para la creación y dotación de las oficinas de participación ciudadana o crear un coordinador municipal de la misma. Para socializar la información con la comunidad en eventos como las rendiciones de cuentas se elaboró requerimiento dirigido a la secretaría de las TIC's solicitando la funcionalidad del aplicativo y pagina web Participapp.
Se inició la elaboración y divulgación del plan de medios de la participación ciudadana a través de cronograma provincial de la política pública. Se actualiza la aplicación Cuncejapp y se lleva a cabo la contratación del personal que va a realizar las asesorías y acompañamiento a los concejales a través de la aplicación. Se diseñó y envió el manual de funcionamiento del aplicativo Cuncejapp a cada uno de los miembros del grupo de trabajo y personas interesadas en el Departamento de Cundinamarca. Adicional se adelantó la actualización del micrositio en la página de la secretaria de Gobierno y se adelanta la actualización de bases de datos de los concejos y ediles del departamento. Se convocó y realizó la primera sesión del Consejo Departamental de Participación Ciudadana con el fin de iniciar el trabajo en cada una de las mesas creadas en dicho órgano llegando a los 116 municipios del Departamento. Se creó el grupo de trabajo que adelantara las acciones en cuanto a la elección de Concejos Municipales de juventud, logrando llegar a los 116 municipios. Se definieron actividades con el asesor a cargo del proceso de la puesta marcha del aplicativo participapp.
Se realizó contratación de profesional en comunicación social para proyectar el plan de medios de participación ciudadana para llegar a los 116 municipios del Departamento. Se realizó asistencia técnica a los municipios con el fin de fundamentar la necesidad de la creación de oficinas municipales que se dediquen a fomentar la participación ciudadana. Se convocó la mesa técnica de seguimiento a indicadores con el fin de acompañar la primera sesión del Consejo Departamental de Participación Ciudadana y continuar en el trabajo de la implementación de la Política Pública de Participación Ciudadana en el Departamento.
Se establecieron las metas relacionadas con la implementación de la política pública de participación ciudadana con las demás secretarias de la Gobernación con el fin de articular el trabajo con los enlaces de cada una de las secretarías. Se adelanto la creación del grupo de trabajo para la realización de la encuesta bienal sobre participación ciudadana en el departamento. Se creó el grupo de trabajo que adelantara las acciones en cuanto a la elección de Concejos Municipales de juventud. Se adelanto la creación del plan de medios.
Se adelanto la construcción del sistema departamental de participación ciudadana. se dio tramite a las solicitudes hechas a través de la aplicación Cuncejapp. 3 de manera telefónica y 11 por medio de WhatsApp. socialización PP participación ciudadana provincias de medina, oriente y alto Magdalena, beneficiando a 20 municipios. socialización elección consejos municipales de juventud, contando con la asistencia de 20 municipios. Se adelanto la creación del plan de medios con el que se busca llegar a los 116 municipios del departamento. Se adelanto la construcción del sistema departamental de participación ciudadana. Se realizó asistencia técnica a 20 municipios con el fin de comunicar y motivar sobre la importancia de la creación y dotación de las oficinas de participación ciudadana, o crear un coordinador municipal de la misma.                                                                                                                                                                                                                                                                                                                             
Se dio tramite a las solicitudes recibidas en el aplicativo cuncejapp. Se realizó seguimiento a la creación de consejos territoriales de planeación en los 116 municipios del Departamento. Se adelanto convenio interinstitucional para realizar la encuesta bianual sobre participación ciudadana. Se realizó sesión del comité para la coordinación y seguimiento de los procesos electorales de Cundinamarca con el fin de rendir informe sobre actualización del calendario electoral e informe de inscripción de listas a elección de consejo municipal y local de juventud. Se dio inicio al Diplomado para capacitar a 457 (concejales, personeros y ediles) del departamento. Se gestionó apoyo económico para la movilidad de los ediles del Departamento al Congreso Nacional de ediles que llevara cabo del 7 al 10 de octubre en Riohacha, se realizó entrega de carnets a los ediles del Departamento. Entrega plan de medios para revisión y socialización.                                                                                                                                                            Se esta llevando a cabo el Diplomado a 457 concejales, personeros y ediles del departamento. A través de la fundación Solidaridad por Colombia se han llevado a cabo socialización de la política publica de participación ciudadana. EL plan de medios se entregó y esta en revisión. La dirección de asuntos municipales  organizo el equipo de trabajo que llevara a cabo la encuesta bienal 2021 en el Departamento, con ello realizo un borrador de la encuesta para el plan piloto. Se dio tramite a las solicitudes realizadas por los municipios a través de la aplicación cuncejapp.                                                                                             </v>
      </c>
      <c r="AK408" s="11">
        <f>VLOOKUP(K408,'1105 Gobierno'!$K$12:$AK$31,27,0)</f>
        <v>0</v>
      </c>
      <c r="AL408" s="11">
        <v>10</v>
      </c>
      <c r="AM408" s="11">
        <v>0</v>
      </c>
      <c r="AN408" s="11">
        <v>13</v>
      </c>
      <c r="AO408" s="11">
        <v>0</v>
      </c>
      <c r="AP408" s="11">
        <v>0</v>
      </c>
      <c r="AQ408" s="11">
        <v>0</v>
      </c>
      <c r="AR408" s="51">
        <v>105475528</v>
      </c>
      <c r="AS408" s="54">
        <v>0</v>
      </c>
      <c r="AT408" s="54">
        <f t="shared" si="636"/>
        <v>105475528</v>
      </c>
      <c r="AU408" s="51">
        <v>105475528</v>
      </c>
      <c r="AV408" s="243">
        <v>1512000000</v>
      </c>
      <c r="AW408" s="244"/>
      <c r="AX408" s="244"/>
      <c r="AY408" s="243">
        <v>1029592707</v>
      </c>
      <c r="AZ408" s="44">
        <f>R408/Q408</f>
        <v>0.375</v>
      </c>
      <c r="BA408" s="44">
        <v>0.125</v>
      </c>
      <c r="BB408" s="44">
        <v>1</v>
      </c>
      <c r="BC408" s="44">
        <f t="shared" ref="BC408:BC409" si="677">AD408/Q408</f>
        <v>0.3</v>
      </c>
      <c r="BD408" s="44" cm="1">
        <f t="array" ref="BD408">_xlfn.IFS(AD408=0,"NA",AD408&gt;0,AH408/AD408)</f>
        <v>0.83333333333333337</v>
      </c>
      <c r="BE408" s="44">
        <f t="shared" ref="BE408:BE409" si="678">AL408/Q408</f>
        <v>0.25</v>
      </c>
      <c r="BF408" s="44">
        <v>0</v>
      </c>
      <c r="BG408" s="44">
        <f t="shared" ref="BG408:BG409" si="679">AN408/Q408</f>
        <v>0.32500000000000001</v>
      </c>
      <c r="BH408" s="44">
        <v>0</v>
      </c>
      <c r="BI408" s="44">
        <f>AP408/Q408</f>
        <v>0</v>
      </c>
      <c r="BJ408" s="44" t="s">
        <v>115</v>
      </c>
      <c r="BK408" s="44">
        <f t="shared" si="640"/>
        <v>0.375</v>
      </c>
      <c r="BL408" s="44">
        <v>1</v>
      </c>
      <c r="BM408" s="44" cm="1">
        <f t="array" ref="BM408">_xlfn.IFS(BD408="NA","NA",BD408&gt;100%,"100%",BD408&lt;100,BD408)</f>
        <v>0.83333333333333337</v>
      </c>
      <c r="BN408" s="44" cm="1">
        <f t="array" ref="BN408">_xlfn.IFS(BF408="NA","NA",BF408&gt;100%,"100%",BF408&lt;100,BF408)</f>
        <v>0</v>
      </c>
      <c r="BO408" s="44" cm="1">
        <f t="array" ref="BO408">_xlfn.IFS(BH408="NA","NA",BH408&gt;100%,"100%",BH408&lt;100,BH408)</f>
        <v>0</v>
      </c>
      <c r="BP408" s="44" t="str" cm="1">
        <f t="array" ref="BP408">_xlfn.IFS(BJ408="NA","NA",BJ408&gt;100%,"100%",BJ408&lt;100,BJ408)</f>
        <v>NA</v>
      </c>
      <c r="BQ408" s="45">
        <v>0.224</v>
      </c>
      <c r="BR408" s="45">
        <f t="shared" si="651"/>
        <v>8.4000000000000005E-2</v>
      </c>
      <c r="BS408" s="45">
        <v>2.8000000000000001E-2</v>
      </c>
      <c r="BT408" s="45">
        <v>2.8000000000000001E-2</v>
      </c>
      <c r="BU408" s="45">
        <v>2.8000000000000001E-2</v>
      </c>
      <c r="BV408" s="45">
        <f t="shared" ref="BV408:BV409" si="680">(AD408*BQ408)/Q408</f>
        <v>6.720000000000001E-2</v>
      </c>
      <c r="BW408" s="45">
        <f t="shared" si="652"/>
        <v>5.6000000000000008E-2</v>
      </c>
      <c r="BX408" s="45">
        <f t="shared" si="653"/>
        <v>5.6000000000000008E-2</v>
      </c>
      <c r="BY408" s="45">
        <f t="shared" ref="BY408:BY409" si="681">(AL408*BQ408)/Q408</f>
        <v>5.6000000000000008E-2</v>
      </c>
      <c r="BZ408" s="45">
        <f t="shared" ref="BZ408:BZ409" si="682">IF(BN408="NA","NA",BN408*BY408)</f>
        <v>0</v>
      </c>
      <c r="CA408" s="45">
        <f t="shared" si="634"/>
        <v>0</v>
      </c>
      <c r="CB408" s="45">
        <f t="shared" ref="CB408:CB409" si="683">(AN408*BQ408)/Q408</f>
        <v>7.2800000000000004E-2</v>
      </c>
      <c r="CC408" s="45">
        <f t="shared" ref="CC408:CC409" si="684">IF(BO408="NA","NA",BO408*CB408)</f>
        <v>0</v>
      </c>
      <c r="CD408" s="45">
        <v>0</v>
      </c>
      <c r="CE408" s="45">
        <f>(AP408*BQ408)/Q408</f>
        <v>0</v>
      </c>
      <c r="CF408" s="45" t="str">
        <f>IF(BP408="NA","NA",BP408*CE408)</f>
        <v>NA</v>
      </c>
      <c r="CG408" s="45">
        <v>0</v>
      </c>
      <c r="CH408" s="244"/>
      <c r="CI408" s="244"/>
      <c r="CJ408" s="244"/>
      <c r="CK408" s="244"/>
      <c r="CM408" s="63">
        <v>12</v>
      </c>
    </row>
    <row r="409" spans="1:91" ht="18" hidden="1" customHeight="1">
      <c r="A409" s="260" t="s">
        <v>992</v>
      </c>
      <c r="B409" s="260" t="s">
        <v>993</v>
      </c>
      <c r="C409" s="260" t="s">
        <v>2371</v>
      </c>
      <c r="D409" s="260" t="s">
        <v>2588</v>
      </c>
      <c r="E409" s="260" t="s">
        <v>2606</v>
      </c>
      <c r="F409" s="260" t="s">
        <v>2607</v>
      </c>
      <c r="G409" s="260" t="s">
        <v>2608</v>
      </c>
      <c r="H409" s="260" t="s">
        <v>2649</v>
      </c>
      <c r="I409" s="260"/>
      <c r="J409" s="260"/>
      <c r="K409" s="260" t="s">
        <v>2650</v>
      </c>
      <c r="L409" s="260" t="s">
        <v>2651</v>
      </c>
      <c r="M409" s="260" t="s">
        <v>2272</v>
      </c>
      <c r="N409" s="260" t="s">
        <v>111</v>
      </c>
      <c r="O409" s="260" t="s">
        <v>112</v>
      </c>
      <c r="P409" s="10">
        <v>0</v>
      </c>
      <c r="Q409" s="11">
        <v>1</v>
      </c>
      <c r="R409" s="11">
        <f t="shared" si="675"/>
        <v>0.25</v>
      </c>
      <c r="S409" s="11" t="str">
        <f>VLOOKUP(K409,'1105 Gobierno'!$K$12:$AK$31,9,0)</f>
        <v>Se realizó la contratación de personal para iniciar la consolidación de documento  del plan de fortalecimiento a la sana convivencia que se avanzó durante el año 2020 y se socializará durante el año 2021. Se elaboró plan de trabajo, se eligieron los municipios a intervenir teniendo en cuenta la existencia de conjuntos residenciales: Madrid, Mosquera, Facatativá, Funza, Fusagasugá, La Mesa, Ricaurte, Girardot, Soacha, Cajicá, Zipaquirá, Chía, Cota, Sopó, Tocancipá y Gachancipá</v>
      </c>
      <c r="T409" s="11">
        <v>0</v>
      </c>
      <c r="U409" s="11">
        <v>0</v>
      </c>
      <c r="V409" s="11">
        <v>0</v>
      </c>
      <c r="W409" s="11">
        <v>0</v>
      </c>
      <c r="X409" s="11">
        <v>0</v>
      </c>
      <c r="Y409" s="11">
        <v>0</v>
      </c>
      <c r="Z409" s="11">
        <v>0</v>
      </c>
      <c r="AA409" s="11"/>
      <c r="AB409" s="11"/>
      <c r="AC409" s="11"/>
      <c r="AD409" s="11">
        <v>0.33</v>
      </c>
      <c r="AE409" s="11">
        <v>0</v>
      </c>
      <c r="AF409" s="11">
        <f>VLOOKUP(K409,'1105 Gobierno'!$K$12:$AK$31,22,0)</f>
        <v>0.25</v>
      </c>
      <c r="AG409" s="11" t="str">
        <f>VLOOKUP(K409,'1105 Gobierno'!$K$12:$AK$31,23,0)</f>
        <v> </v>
      </c>
      <c r="AH409" s="11">
        <f t="shared" si="676"/>
        <v>0.25</v>
      </c>
      <c r="AI409" s="11" t="str">
        <f>VLOOKUP(K409,'1105 Gobierno'!$K$12:$AK$31,25,0)</f>
        <v>Asistencia técnica</v>
      </c>
      <c r="AJ409" s="11" t="str">
        <f>VLOOKUP(K409,'1105 Gobierno'!$K$12:$AK$31,26,0)</f>
        <v>Se realiza asistencia técnica al municipio de Silvania para que mejore su Plan Integral de Seguridad y Convivencia Ciudadana. Adicional a ello, se realizó un convenio interadministrativo para aunar esfuerzos técnicos, administrativos y financieros con el municipio de Fuquene para apoyar a la fuerza pùblica en combustible y mantenimiento del parque automotor garantizando la seguridad en el CAI ambiental del Fuquene en cumplimiento de la acción popular, se entregaron bonos a polícia del señor gobernador.
Durante estos primeros cuatro meses de la vigencia 2021 se ha hecho presencia en 10 provincias del Departamento mediante los Consejos de Seguridad, brindando asistencia técnica con cada uno de los programas y fortaleciendo la imagen institucional
Desde el inicio de año se elaboró un plan de accion que permitiera dar cumplimiento al PISCC Departamental dentro de los plazos concertados, para ello, se alimenta una matriz con cada una de las actividades desarrolladas, que permite evidenciar el porcentaje de avance en cada una de las lineas estrategicas, teniendo un consolidado final
1.El día 16 de abril de2021 se realizó reunión en las instalaciones de la alcaldia del municipio de Guaduas con el el doctor Pablo Andres Neussa Mestre Secretario de gobierno encargado y el doctor Pablo Alexis Ospina Inspector de Policia, en reperesentacion de la secretaria de Gobierno de Cundinamarca estuvo la doctora Lida JannethCaycedo.Se indago sobre la implementación del PISCC , el cual según infomación del doctor Pablo Ospina se implemento desde el mes de diciembre del 2020. Se le infoma a la doctora Lida el cronograma de actividades programadas para el mes de mayo dentro del marco de cumplimiento del PISCC municipal.
Nos encontramos realizando el levantamiento de información con el fin de obtener el diagnóstico de las necesidades de cámaras de seguridad
Se atendieron las diferentes solicitudes de los Municipios Anapoima, Tibacuy, Ubaque recepcionadas por el aplicativo mercurio en temas de fortalecimiento a la seguridad y el orden público , se ha realizado una visita para evaluar solicitud de dotación para el Concejo de Gachetá. La Secretaría  no ha definido recursos para este tipo de intervenciones, Se avanza en el seguimiento de cuatro proyectos de construcción, tres estaciones de policía con el Ministerio  en Cundinamarca en convenios tripartitos y la casa de gobierno de Nimaima que fue adicionada en 2020. Se han delegado contratistas de apoyo para la supervisión de cada uno de los convenios. Los cuatro proyectos son obras nuevas. Se tiene prevista una adición para el convenio de Guasca. Con estas obras se beneficiarán los siguinetes municipios Guasca, Villapinzón, Ricaurte, Nimaima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estudios:Supatá, Tibirita, el Peñon, La Palma, El Rosal, Villagómez. Paime, san Bernardo, Sasaima, Gama, San Antonio del Tequendama, Junín, Caparrapí, Guaduas, el Colegio, Puerto Salgar, Guayabetal
Se realiza supervisión a cuatro(4) convenios interadministrativos en ejecución :Guasca, Villapinzón, Ricaurte, Nimaima, una(1) interventoría de contrato de obra en liquidación SGO SAMC-228- 2019 , CAE- Girardot y  se adelantan venticuatro (24) procesos de liquidación de contratos interadministrativos realizados con los siguientes municipio: simijaca, Cogua, san Fracisco, La vega, gachetá, Zipacón , Une, Zipaquirá, Soacha, Vergara, Quipile, Arbelaez, Facatativá,Susa, Bituima, paratebueno  orientados a infraestructura procesos de liquidación de convenios interadministrativos
Se ha realizado visitas según compromisos del señor Gobernador en trámite de la gestión de proyectos a Diecinueve(19)  proyectos orientados a Casas de Gobierno, Comando Aereo, estaciones de Policía  y casa de Justicía,  en diecisiete (17) municipios de cundinamarca Supatá, Tibirita, el Peñon, La Palma, El Rosal, Villagómez. Paime, san Bernardo, Sasaima, Gama, San Antonio del Tequendama, Junín, Caparrapí, Guaduas, el Colegio, Puerto Salgar, Guayabetal
Se avanza en la evaluación de proyectos de adecuación par tres proyectos: Tibirita( comisaría de familia). San Antonio de tequendama ( casa de Gobierno), Caparrapí ( casa de Gobierno y estación de policía))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arquitectonicos para poder verificar la idoneidad del presupuesto.
 se ha realizado la verificación ambiental , según la resolución 29 de 2020 de la Secretaría de gobierno para adecuación de  dos proyectos San bernardo CASA DE GOBIERNO), sasaima (CASA DE GOBIERNO)
Se atendieron las diferentes solicitudes de los Municipios recepcionadas por el aplicativo mercurio en temas de fortalecimiento a la seguridad y el orden público
1.El día 16 de abril de 2021 se realizó una reunión en las instalaciones de la alcaldía del municipio de Guaduas con el  doctor Pablo Andrés Neussa Mestre Secretario de gobierno encargado y el doctor Pablo Alexis Ospina Inspector de Policía, en representación de la secretaria de Gobierno de Cundinamarca estuvo la doctora Lida JannethCaycedo.Se indago sobre la implementación del PISCC , el cual según información del doctor Pablo Ospina se implemento desde el mes de diciembre del 2020. Se le informa a la doctora Lida el cronograma de actividades programadas para el mes de mayo dentro del marco de cumplimiento del PISCC municipal.                         2.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3.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4.El día 10 de mayo de 2021 se realizo reunión en el municipio de San Antonio del Tequendama con el doctor Fabio Alberto Osuna y el doctor Hernán Tiberio Correa, en dicha reunión se evidencia que la implementación se esta realizando pero el seguimiento no se efectúa a través de la matriz de seguimiento, por lo que de manera inmediata el doctor Hernán propone una capacitación a los actores de manera urgente. 5.El día 10 de mayo de 2021 se lleva a cabo en la alcaldía de la Mesa con la doctora Angelica Cotrino secretaria de gobierno y el doctor Hernán Correa, en este municipio se han llevado acabo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6.El día 19 de mayo de 2021 se realiza capacitación sobre la implementación y seguimiento al PISCC en coordinación con secretaria de  gobierno  de la alcaldía de Zipacón y presidida por del doctor Hernán Correa. 7.El día 19 de mayo se brinda capacitación sobre la implementación y seguimiento al PISCC en la alcaldía de Anolaima por parte del doctor Hernán Correa. 8.El día 20 de mayo se brinda capacitación sobre la implementación y seguimiento al PISCC en la alcaldía de San Antonio del Tequendama por parte del doctor Hernán Correo. 9.El día 11 de mayo de 2021 se llevo acabo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10.El día 12 de mayo de 2021 se llevo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11.El día 14 de mayo se llevo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12. El día 14 de mayo de 2021 se realizo una reunión en la alcaldía de Mesitas del colegio entre secretaría de Gobierno doctora Martha Bibiana Parada Martínez y la doctora Angela Segura Atuesta,la doctora Martha Bibiana Parada Martínez realiza una breve reseña del PISCC y de las líneas estratégicas contempladas en el PISCC;se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trazadas.13.El día 12 de mayo del 2021 se realizo una reunión en la alcaldía del municipio de Nocaima en donde se realizo la presentación por parte del doctor Leoviceldo Beltrán contratista de la secretaria de Gobierno de la Gobernación, se indago con la doctora Paula Velásquez secretaria de gobierno d ella alcaldía respecto a los avances del PISCC municipal.14.El día 18 de mayo de 2021 se realiza reunión en le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mismo.15.El día 5 de mayo del 2021 se llevo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16.El día 15 de mayo de 2021 se llevo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17.El día 21 de mayo de 2021 se desarrolló una reunión en la alcaldía del municipio de la Palma entre la doctora María Paula Cárdenas secretaria de gobierno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18. El día 6 de mayo del 2021 se lleva a cabo una reunión en la alcaldía de Villagoméz,ha dicha reunión asiste la doctora Karen Fajardo Secretaría de Gobierno, el doctor Misael Duarte Alcalde del Municipio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19.El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 metas trazadas.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Se realizó el levantamiento de la información de los grupos de interes de la Dirección, por parte del equipo de territorio del Observatorio de Seguridad y orden Público
Se suscribieron los siguientes convenios: 1. SGO-CMC-290-2021- 2. SGO - CDCVI - 304-2021- 3. SGO-CDCVI-302-2021.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
PISCC JULIO "1-El día 9 de julio de 2021, se realizó reunión en el municipio de Viotá con la  doctora, Sandra Patricia Peñuela, quien se desempeña como secretaria de gobierno y asuntos administrativos y los contratista de la secretaria de Gobierno, Angela Segura y Luis Carlos contratistas de la secretaria de Gobierno,  la reunión se realizó en las instalaciones de la Alcaldía Municipal en donde se tuvo un primer acercamiento, la doctora González  está actualmente al frente del tema PISCC en el municipio. 2- El día 9 de julio, se realizó reunión en el municipio de Apulo  con la  doctora, Claudia Rosas Maldonado, quien se desempeña hace una semana como secretaria general y de gobierno  y los  contratistas Luis Carlos Pinzón  y Angela Segura quien presta asesoría en la implementación y seguimiento a los PISCC municipales, la reunión se realizó en las instalaciones de la Alcaldía Municipal donde se tuvo un primer acercamiento, la doctora Rosas  está actualmente al frente del tema PISCC en el municipio.  3-El día 9 se llevo a cabo una reunión con el doctor José Alfonso Mancera Guerrero quien se desempeña como inspector de policía en la inspección del Triunfo  y los contratistas de la secretaria de Gobierno, Luis Carlos Pinzón y Angela Segura quien hace parte del equipo de PISCC,la reunión se realizó en las instalaciones de la inspección de policía de la inspección del Triunfo Se socializo con el doctor Mancera la matriz de seguimientos de las líneas de acción del PISCC municipal la cual se había enviado el día 2 de junio de 2021.  4-El día 9 de Julio  se realizó reunión con el doctor Gilberto Moreno Vargas secretario de gobierno del municipio de Anapoima y los contratista de la secretaria de Gobierno, Luis Carlos Pinzón y Angela Segura quien brinda asistencia técnica a los PISCC municipales. La reunión se llevo acabo en las instalaciones de la alcaldía de Anapoima.  5-El día 14 de Julio de 2021 se llevo a cabo una reunión virtual con La doctora Carolyn Otalora trabajadora social de la comisaria de Familia, la   doctora, Sandra Patricia Peñuela, y los contratistas de la secretaria de Gobierno, Luis Carlos Pinzón  y Angela Segura quien brinda asistencia técnica en temas del PISCC. En esta reunión se socializo la matriz de seguimiento de las líneas estratégicas del PISCC municipal.  6-El día 10 de julio de 2021 se llevo a cabo la reunión virtual con e contratistas de la secretaria de gobierno de la Gobernación de Cundinamarca: Hernán Tiberio Correa, Jhon Ever Prieto, Diego Ramírez de y Leonardo Rivera, además el señor Secretario de gobierno de Cachipay Dr. Jorge Dicson Gama, la Inspectora de Policía, el Comandante de Policía, el Director de Deportes, y las juntas de acción comunal entre otros, donde se  presto asistencia técnica brindando conocimiento en la implementación y seguimiento del PISCC municipal. de Cachipay.  7-El día 14 de julio de 2021, se realizo reunión en  la Alcaldía de Simijaca, a fin de prestar la asistencia técnica en el tema de implementación y seguimiento del piscc municipal, visita atendida por el Alcalde Municipal, el señor Fiscal, la Comisaría de Familia, el –Comandante de Policía y, el Secretario de Gobierno. 8-El día 14 de Julio de 2021, se realizo reunión en  la Alcaldía de Guachetá, la reunión fue presidida por el contratista Hernán Tiberio Correa y conto con la participación  del señor Alcalde, el Secretario de Gobierno, el encargado del Enlace y Participación Ciudadana, la Almacenista y el Asesor Jurídico del Despacho, a quienes se les brindó asistencia técnica en el tema del PISCC municipal.  9-El día 21 de Julio de 2021, el contratista Hernán Tiberio Correa se reunió en  la Alcaldía del municipio del El Rosal, donde  brindó la asistencia técnica sobre el PISCC municipal. Asistieron el señor Secretario de Gobierno y su asistente.  10-El día 12 de julio del 2021  la contratista Lida Janneth Caycedo  realizó una reunión con la Secretaria de Gobierno del municipio de Guayabal de Siquima, doctora Juana Moreno y la doctora María Fernanda en su calidad de Comisaría de familia del municipio, se revisó el PISCC municipal, y se pactaron con la comisaria una serie de actividades que consisten en capacitaciones en temas que pretenden fortalecer temas tales como la prevención de casos de violencia intrafamiliar.  11- El día 22 de julio de 2021 se llevo a cabo una reunión con la contratista Lida Janneth Caycedo en las instalaciones de la alcaldía municipal de Bajaca, secretaría de gobierno, con el Dr.  Nelson Eduardo Cotes, en su calidad de asesor de despacho, se realizó reunión en compañía de los compañeros de las diferentes estrategias de sabana de occidente, en la cual cada uno presento su estrategia.  12- El día 22 de julio de 2021, se llevo a cabo una reunión  en las instalaciones de la alcaldía municipal de Facatativá, secretaría de gobierno, con el Dr. Oscar Ramírez  en su calidad de secretario de gobierno, la reunión conto con la presencia de  los contratistas  de las diferentes estrategias, por parte de la estrategia PISCC la contratista Lida Janneth Caycedo acordó una segunda reunión para conocer las estrategias a tratar en el municipio y saber el apoyo requerido. 13- El 1 de Julio  el contratista Pablo Bernal de la Secretaria de Gobierno brindo asistencia técnica en el municipio de Guasca por  solicitud de la Doctora Yuli Catherine Rodríguez secretaria de gobierno, asistieron el comandante de estación del municipio el teniente Edison Jiménez, la encargada del “PISCC” Angie Rodríguez Ortiz.  14- El día 08 de Julio se realizó mesa de trabajo presencial en el despacho de la alcaldía municipal de Vergara presidida por el contratista Leoviceldo Beltrán Ramírez, con la participación del secretario de gobierno y la directora de orden público.  15-El día 16 de julio se realizó reunión presencial en el despacho de la alcaldía municipal de Quebradanegra, con la participación del contratista Leoviceldo Beltrán Ramírez de la secretaria de gobierno. En dicha reunión se realizó la elaboración del borrador del POAI para el 2021 y su respectivo borrador del plan de acción para adelantar los procesos de implementación.  16-El día 28 de julio se realiza reunión en el municipio de Subachoque con la presencia del contratista Felipe Tovar de la secretaria de gobierno ,se hace la presentación de cada uno de los servicios ofertados por la Secretaria de Gobierno de Cundinamarca. Para el caso específico del PISCC, se resalta inicialmente el trabajo que se desarrolló en conjunto con la secretaria de gobierno municipal en el año 2020, que conllevo a la formulación del Plan Integral de Seguridad y Convivencia Ciudadana “SUBACHOQUE POR EL CAMINO CORRECTO 2020 – 2023”. 17- El día 28 de julio se reúnen en la alcaldía de Madrid los contratistas de la Secretaria Gobierno de Cundinamarca, para el tema de PISCC asiste el contratista Gerardo Mancera, manifiestan al Doctor Víctor Andrés Rusinque – Coordinador PISCC del Municipio de Madrid, las directrices de la Dirección de Seguridad y orden público de la Secretaria de Gobierno de Cundinamarca.  18- El día 21 de julio se reunieron en la alcaldía del municipio de Cáqueza la doctora Marylin Vergara secretaria de Gobierno y el contratista Xiomara González y Gerardo Mancera, este ultimo realiza su presentación y manifiesta la disposición para brindar las asistencia técnica para la implementación y seguimiento al PISCC municipal.  19-El día 28 de julio se reunieron la doctora Yenny Secretaria de Gobierno del Municipio de Paratebueno y el contratista Gerardo Mancera contratista de la secretaria de Gobierno. El motivo de esta visita es hacer un acompañamiento en la implementación y ejecución del PISCC municipal. 20-El día 29 de julio se llevo acabo una reunión en el municipio de Paime, asistió por parte de la secretaria de gobierno de Cundinamarca el contratista Hugo Chávez , el secretario general y de gobierno de la alcaldía el doctor Walter Riveros y la inspectora de policía Ingrid Díaz, en esta reunión el contratista ofrece sus servicios como asesor en e implementación y seguimiento al PISCC Municipal."
Se atendieron 12 solicitudes recepcionadas por el aplicativo mercurio en temas de fortalecimiento a la seguridad y el orden público
Se brindaron 14 asistencias técnicas en los municipios de Apulo, Anapoima, La Calera,Zipacón,  Cachipay, la mesa, San Antonio de Tequendama, el Rosal, Anolaima, Vergara, Nocaima y Mesitas del Colegio con temas de  seguimiento las actividades propuesta en el PISCC municipal, revisión de la matriz para  ajustar el PISCC, implementación del PISCC municipal,  capacitación sobre los instrumentos de seguimiento y evaluación del PISCC, elaboración del POAI para el 2021 del PISCC municipal.
Se realizo capacitación en el municipio de Mesitas del Colegio sobre Microtráfico, Conformación de frentes de seguridad ciudadana y cultura ciudadana, estas actividades están dentro de las líneas estratégicas contempladas en el PISCC municipal, la capacitación conto con la asistencia de los presidentes, vicepresidentes, secretarios, delegados de las juntas de acción comunal, la secretaria de gobierno de la alcaldía municipal la doctora Martha Parada, con la presencia del doctor Julián Quijano asesor de la secretaria de Gobierno de la Gobernación de Cundinamarca y los contratistas, Luis Carlos Pinzón de la meta de cultura ciudadana, Cesar Rivera microtráfico, Angela Segura PISCC.
INFRAESTRUCTURA Durante el periodo reportado se han realizado solicitudes de diferentes proyectos orientados a estaciones de policía. Se llevo a cabo reunión con el ministerio del interior para la estación de policía Guayabetal, adicionalmente se lleva a cabo el trámite de adición para un convenio con el ministerio del interior para aportar recursos en una adición. Se realizan visitas técnicas y levantamiento arquitectónico del CAI de Fúquene, evaluación de estudios de proyectos en trámite de estructuración. Se adelanta supervisiones de convenios en proceso de ejecución convenios tripartito ministerio del interior en guasca, villa pinzón y Ricaurte. Se realiza acompañamiento a municipios en procesos de gestión de recursos ante el ministerio. Se Brinda acompañamiento a la gestión predial del CAI de Girardot
Los temas ambientales son requisitos de verificación comprendidos en la resolución 029 de 2020 cai ambiental de Fúquene y Se realizan supervisiones a proyectos de vigencias 2017-2018-2019 en proceso de liquidación. trámites de seguimiento a la viabilizarían de proyectos, verificación de requisitos prediales frente a proyectos, verificación de cumplimiento de requisitos ambientales.
Convenios:  Proyecto convenios para aunar esfuerzos técnicos administrativos y financieros para el mantenimiento, combustible y dotación  de  la fuerza púbica.</v>
      </c>
      <c r="AK409" s="11">
        <f>VLOOKUP(K409,'1105 Gobierno'!$K$12:$AK$31,27,0)</f>
        <v>0</v>
      </c>
      <c r="AL409" s="11">
        <v>0.33</v>
      </c>
      <c r="AM409" s="11">
        <v>0</v>
      </c>
      <c r="AN409" s="11">
        <v>0.34</v>
      </c>
      <c r="AO409" s="11">
        <v>0</v>
      </c>
      <c r="AP409" s="11">
        <v>0</v>
      </c>
      <c r="AQ409" s="11">
        <v>0</v>
      </c>
      <c r="AR409" s="52"/>
      <c r="AS409" s="54">
        <v>0</v>
      </c>
      <c r="AT409" s="54">
        <f t="shared" si="636"/>
        <v>0</v>
      </c>
      <c r="AU409" s="52"/>
      <c r="AV409" s="243">
        <v>130000000</v>
      </c>
      <c r="AW409" s="244"/>
      <c r="AX409" s="244"/>
      <c r="AY409" s="243">
        <v>27199953</v>
      </c>
      <c r="AZ409" s="44">
        <f>R409/Q409</f>
        <v>0.25</v>
      </c>
      <c r="BA409" s="44">
        <v>0</v>
      </c>
      <c r="BB409" s="44" t="s">
        <v>115</v>
      </c>
      <c r="BC409" s="44">
        <f t="shared" si="677"/>
        <v>0.33</v>
      </c>
      <c r="BD409" s="44" cm="1">
        <f t="array" ref="BD409">_xlfn.IFS(AD409=0,"NA",AD409&gt;0,AH409/AD409)</f>
        <v>0.75757575757575757</v>
      </c>
      <c r="BE409" s="44">
        <f t="shared" si="678"/>
        <v>0.33</v>
      </c>
      <c r="BF409" s="44">
        <v>0</v>
      </c>
      <c r="BG409" s="44">
        <f t="shared" si="679"/>
        <v>0.34</v>
      </c>
      <c r="BH409" s="44">
        <v>0</v>
      </c>
      <c r="BI409" s="44">
        <f>AP409/Q409</f>
        <v>0</v>
      </c>
      <c r="BJ409" s="44" t="s">
        <v>115</v>
      </c>
      <c r="BK409" s="44">
        <f t="shared" si="640"/>
        <v>0.25</v>
      </c>
      <c r="BL409" s="44" t="s">
        <v>115</v>
      </c>
      <c r="BM409" s="44" cm="1">
        <f t="array" ref="BM409">_xlfn.IFS(BD409="NA","NA",BD409&gt;100%,"100%",BD409&lt;100,BD409)</f>
        <v>0.75757575757575757</v>
      </c>
      <c r="BN409" s="44" cm="1">
        <f t="array" ref="BN409">_xlfn.IFS(BF409="NA","NA",BF409&gt;100%,"100%",BF409&lt;100,BF409)</f>
        <v>0</v>
      </c>
      <c r="BO409" s="44" cm="1">
        <f t="array" ref="BO409">_xlfn.IFS(BH409="NA","NA",BH409&gt;100%,"100%",BH409&lt;100,BH409)</f>
        <v>0</v>
      </c>
      <c r="BP409" s="44" t="str" cm="1">
        <f t="array" ref="BP409">_xlfn.IFS(BJ409="NA","NA",BJ409&gt;100%,"100%",BJ409&lt;100,BJ409)</f>
        <v>NA</v>
      </c>
      <c r="BQ409" s="45">
        <v>0.224</v>
      </c>
      <c r="BR409" s="45">
        <f t="shared" si="651"/>
        <v>5.6000000000000001E-2</v>
      </c>
      <c r="BS409" s="45">
        <v>0</v>
      </c>
      <c r="BT409" s="45" t="s">
        <v>115</v>
      </c>
      <c r="BU409" s="45">
        <v>0</v>
      </c>
      <c r="BV409" s="45">
        <f t="shared" si="680"/>
        <v>7.392E-2</v>
      </c>
      <c r="BW409" s="45">
        <f t="shared" si="652"/>
        <v>5.6000000000000001E-2</v>
      </c>
      <c r="BX409" s="45">
        <f t="shared" si="653"/>
        <v>5.6000000000000001E-2</v>
      </c>
      <c r="BY409" s="45">
        <f t="shared" si="681"/>
        <v>7.392E-2</v>
      </c>
      <c r="BZ409" s="45">
        <f t="shared" si="682"/>
        <v>0</v>
      </c>
      <c r="CA409" s="45">
        <f t="shared" si="634"/>
        <v>0</v>
      </c>
      <c r="CB409" s="45">
        <f t="shared" si="683"/>
        <v>7.6160000000000005E-2</v>
      </c>
      <c r="CC409" s="45">
        <f t="shared" si="684"/>
        <v>0</v>
      </c>
      <c r="CD409" s="45">
        <v>0</v>
      </c>
      <c r="CE409" s="45">
        <f>(AP409*BQ409)/Q409</f>
        <v>0</v>
      </c>
      <c r="CF409" s="45" t="str">
        <f>IF(BP409="NA","NA",BP409*CE409)</f>
        <v>NA</v>
      </c>
      <c r="CG409" s="45">
        <v>0</v>
      </c>
      <c r="CH409" s="244"/>
      <c r="CI409" s="244"/>
      <c r="CJ409" s="244"/>
      <c r="CK409" s="244"/>
      <c r="CM409" s="63">
        <v>0.18</v>
      </c>
    </row>
    <row r="410" spans="1:91" ht="18" hidden="1" customHeight="1">
      <c r="A410" s="260" t="s">
        <v>2335</v>
      </c>
      <c r="B410" s="260" t="s">
        <v>2336</v>
      </c>
      <c r="C410" s="260" t="s">
        <v>2371</v>
      </c>
      <c r="D410" s="260" t="s">
        <v>2588</v>
      </c>
      <c r="E410" s="260" t="s">
        <v>2606</v>
      </c>
      <c r="F410" s="260" t="s">
        <v>2607</v>
      </c>
      <c r="G410" s="260" t="s">
        <v>2608</v>
      </c>
      <c r="H410" s="260" t="s">
        <v>2652</v>
      </c>
      <c r="I410" s="260"/>
      <c r="J410" s="260"/>
      <c r="K410" s="260" t="s">
        <v>2653</v>
      </c>
      <c r="L410" s="260" t="s">
        <v>2654</v>
      </c>
      <c r="M410" s="260" t="s">
        <v>2655</v>
      </c>
      <c r="N410" s="260" t="s">
        <v>111</v>
      </c>
      <c r="O410" s="260" t="s">
        <v>124</v>
      </c>
      <c r="P410" s="10">
        <v>1</v>
      </c>
      <c r="Q410" s="11">
        <v>1</v>
      </c>
      <c r="R410" s="11">
        <f>(Z410+AH410)/CL410</f>
        <v>0.41249999999999998</v>
      </c>
      <c r="S410" s="11" t="str">
        <f>VLOOKUP(K410,'1113 Planeación'!$K$13:$AK$19,9,0)</f>
        <v>El Consejo Territorial de Planeación de Cundinamarca - CTPC, se ha renovado. se han venido capacitando los Consejeros Territoriales lo que ha permitido mayor conocimiento en temas como el Sistema General de Regalias - SGR, Rendición de Cuentas, Plan de Ordenamiento Departamental, Plan de Aguas, entre otras</v>
      </c>
      <c r="T410" s="11">
        <v>0</v>
      </c>
      <c r="U410" s="11">
        <v>1</v>
      </c>
      <c r="V410" s="11">
        <v>0</v>
      </c>
      <c r="W410" s="11">
        <v>1</v>
      </c>
      <c r="X410" s="11" t="s">
        <v>115</v>
      </c>
      <c r="Y410" s="11">
        <v>1</v>
      </c>
      <c r="Z410" s="11">
        <v>1</v>
      </c>
      <c r="AA410" s="11" t="s">
        <v>2656</v>
      </c>
      <c r="AB410" s="11" t="s">
        <v>2657</v>
      </c>
      <c r="AC410" s="11" t="s">
        <v>2658</v>
      </c>
      <c r="AD410" s="11">
        <v>0</v>
      </c>
      <c r="AE410" s="11">
        <v>1</v>
      </c>
      <c r="AF410" s="11">
        <f>VLOOKUP(K410,'1113 Planeación'!$K$13:$AK$19,22,0)</f>
        <v>0.65</v>
      </c>
      <c r="AG410" s="11">
        <f>VLOOKUP(K410,'1113 Planeación'!$K$13:$AK$19,23,0)</f>
        <v>0.65</v>
      </c>
      <c r="AH410" s="11">
        <f>AG410</f>
        <v>0.65</v>
      </c>
      <c r="AI410" s="11" t="str">
        <f>VLOOKUP(K410,'1113 Planeación'!$K$13:$AK$19,25,0)</f>
        <v>Consejeros Territoriales capacitados con mayores conocimientos en temas como el Sistema General de Regalías - SGR, Socialización de la Estrategia Desde Cundinamarca Rendimos Cuentas, Formulación Plan de Ordenamiento Departamental –POD y “Consejo Territorial de Planeación, en los procesos de participación Territorial”, Plan Departamental de Aguas.</v>
      </c>
      <c r="AJ410" s="11" t="str">
        <f>VLOOKUP(K410,'1113 Planeación'!$K$13:$AK$19,26,0)</f>
        <v>Consejo Territorial de Planeación de Cundinamarca - CTPC, renovado. Consejeros Territoriales capacitados y con mayor conocimiento en temas como el Sistema General de Regalías - SGR, Estrategia Desde Cundinamarca Rendimos Cuentas, Formulación Plan de Ordenamiento Departamental –POD y “Consejo Territorial de Planeación, en los procesos de participación Territorial” , Plan Departamental de Aguas. Se ha realizado el proceso contractual para la realización de las actividades; Realización del XV Congreso Departamental de Consejeros Territoriales de Planeación, participación de los Consejeros en el Congreso del Sistema Nacional de Planeación y Apoyo administrativo y logístico al CTPC</v>
      </c>
      <c r="AK410" s="11" t="str">
        <f>VLOOKUP(K410,'1113 Planeación'!$K$13:$AK$19,27,0)</f>
        <v>Bajo interés de participación de los Consejeros territoriales , no se conectan a las capacitaciones</v>
      </c>
      <c r="AL410" s="11">
        <v>0</v>
      </c>
      <c r="AM410" s="11">
        <v>1</v>
      </c>
      <c r="AN410" s="11">
        <v>0</v>
      </c>
      <c r="AO410" s="11">
        <v>1</v>
      </c>
      <c r="AP410" s="11">
        <v>0</v>
      </c>
      <c r="AQ410" s="11">
        <v>0</v>
      </c>
      <c r="AR410" s="52"/>
      <c r="AS410" s="54">
        <v>0</v>
      </c>
      <c r="AT410" s="54">
        <f t="shared" si="636"/>
        <v>0</v>
      </c>
      <c r="AU410" s="52"/>
      <c r="AV410" s="243">
        <v>100000000</v>
      </c>
      <c r="AW410" s="244"/>
      <c r="AX410" s="244"/>
      <c r="AY410" s="243">
        <v>41080000</v>
      </c>
      <c r="AZ410" s="44" cm="1">
        <f t="array" ref="AZ410">_xlfn.IFS((BA410=0),(BD410/CL410),(BA410&gt;0),((BB410+BD410)/CL410),(BE410&gt;0),((BB410+BD410+BE410)/CL410),(BG410&gt;0),((BB410+BD410+BE410+G410)/CL410))</f>
        <v>0.41249999999999998</v>
      </c>
      <c r="BA410" s="44">
        <v>0.25</v>
      </c>
      <c r="BB410" s="44">
        <v>1</v>
      </c>
      <c r="BC410" s="44">
        <f>IF(AE410&gt;0,(1/CL410),0)</f>
        <v>0.25</v>
      </c>
      <c r="BD410" s="44" cm="1">
        <f t="array" ref="BD410">_xlfn.IFS(AE410=0,"NA",AE410&gt;0,AH410/AE410)</f>
        <v>0.65</v>
      </c>
      <c r="BE410" s="44">
        <f>IF(AM410&gt;0,(1/CL410),0)</f>
        <v>0.25</v>
      </c>
      <c r="BF410" s="44">
        <v>0</v>
      </c>
      <c r="BG410" s="44">
        <f>IF(AO410&gt;0,(1/CL410),0)</f>
        <v>0.25</v>
      </c>
      <c r="BH410" s="44">
        <v>0</v>
      </c>
      <c r="BI410" s="44">
        <v>0</v>
      </c>
      <c r="BJ410" s="44" t="s">
        <v>115</v>
      </c>
      <c r="BK410" s="44">
        <f t="shared" si="640"/>
        <v>0.41249999999999998</v>
      </c>
      <c r="BL410" s="44">
        <v>1</v>
      </c>
      <c r="BM410" s="44" cm="1">
        <f t="array" ref="BM410">_xlfn.IFS(BD410="NA","NA",BD410&gt;100%,"100%",BD410&lt;100,BD410)</f>
        <v>0.65</v>
      </c>
      <c r="BN410" s="44">
        <v>0</v>
      </c>
      <c r="BO410" s="44">
        <v>0</v>
      </c>
      <c r="BP410" s="44" t="s">
        <v>115</v>
      </c>
      <c r="BQ410" s="45">
        <v>0.224</v>
      </c>
      <c r="BR410" s="45">
        <f t="shared" si="651"/>
        <v>9.2399999999999996E-2</v>
      </c>
      <c r="BS410" s="45">
        <v>5.6000000000000001E-2</v>
      </c>
      <c r="BT410" s="45">
        <v>5.6000000000000001E-2</v>
      </c>
      <c r="BU410" s="45">
        <v>5.6000000000000001E-2</v>
      </c>
      <c r="BV410" s="45">
        <v>5.6000000000000001E-2</v>
      </c>
      <c r="BW410" s="45">
        <f t="shared" si="652"/>
        <v>3.6400000000000002E-2</v>
      </c>
      <c r="BX410" s="45">
        <f t="shared" si="653"/>
        <v>3.6399999999999995E-2</v>
      </c>
      <c r="BY410" s="45">
        <v>5.6000000000000001E-2</v>
      </c>
      <c r="BZ410" s="45">
        <v>0</v>
      </c>
      <c r="CA410" s="45">
        <f t="shared" si="634"/>
        <v>0</v>
      </c>
      <c r="CB410" s="45">
        <v>5.6000000000000001E-2</v>
      </c>
      <c r="CC410" s="45">
        <v>0</v>
      </c>
      <c r="CD410" s="45">
        <v>0</v>
      </c>
      <c r="CE410" s="45">
        <v>0</v>
      </c>
      <c r="CF410" s="45" t="s">
        <v>115</v>
      </c>
      <c r="CG410" s="45">
        <v>0</v>
      </c>
      <c r="CH410" s="244">
        <f>IF(W410&gt;0,1,0)</f>
        <v>1</v>
      </c>
      <c r="CI410" s="244">
        <f>IF(AE410&gt;0,1,0)</f>
        <v>1</v>
      </c>
      <c r="CJ410" s="244">
        <f>IF(AM410&gt;0,1,0)</f>
        <v>1</v>
      </c>
      <c r="CK410" s="244">
        <f>IF(AO410&gt;0,1,0)</f>
        <v>1</v>
      </c>
      <c r="CL410">
        <f>CH410+CI410+CJ410+CK410</f>
        <v>4</v>
      </c>
      <c r="CM410" s="63">
        <f>AVERAGE(Z410,AH410)</f>
        <v>0.82499999999999996</v>
      </c>
    </row>
    <row r="411" spans="1:91" ht="18" hidden="1" customHeight="1">
      <c r="A411" s="260" t="s">
        <v>98</v>
      </c>
      <c r="B411" s="260" t="s">
        <v>99</v>
      </c>
      <c r="C411" s="260" t="s">
        <v>2371</v>
      </c>
      <c r="D411" s="260" t="s">
        <v>2588</v>
      </c>
      <c r="E411" s="260" t="s">
        <v>2606</v>
      </c>
      <c r="F411" s="260" t="s">
        <v>2607</v>
      </c>
      <c r="G411" s="260" t="s">
        <v>2608</v>
      </c>
      <c r="H411" s="260" t="s">
        <v>2659</v>
      </c>
      <c r="I411" s="260" t="s">
        <v>677</v>
      </c>
      <c r="J411" s="260" t="s">
        <v>1895</v>
      </c>
      <c r="K411" s="260" t="s">
        <v>2660</v>
      </c>
      <c r="L411" s="260" t="s">
        <v>2661</v>
      </c>
      <c r="M411" s="260" t="s">
        <v>2662</v>
      </c>
      <c r="N411" s="260" t="s">
        <v>111</v>
      </c>
      <c r="O411" s="260" t="s">
        <v>112</v>
      </c>
      <c r="P411" s="10">
        <v>0</v>
      </c>
      <c r="Q411" s="11">
        <v>53</v>
      </c>
      <c r="R411" s="11">
        <f t="shared" ref="R411:R418" si="685">Z411+AH411</f>
        <v>0</v>
      </c>
      <c r="S411" s="11" t="str">
        <f>VLOOKUP(K411,'1197 Salud'!$K$13:$AK$54,9,0)</f>
        <v xml:space="preserve">Se logra que los 53 hospitales y 116 municipios mantengan activas y funcionando las formas de participacion social en salud, mediante comunicacion y asistencia tecnica efectiva continua y permanente con la oficina de participacion social </v>
      </c>
      <c r="T411" s="11">
        <v>8</v>
      </c>
      <c r="U411" s="11">
        <v>0</v>
      </c>
      <c r="V411" s="11">
        <v>8</v>
      </c>
      <c r="W411" s="11">
        <v>0</v>
      </c>
      <c r="X411" s="11">
        <v>0</v>
      </c>
      <c r="Y411" s="11">
        <v>0</v>
      </c>
      <c r="Z411" s="11">
        <v>0</v>
      </c>
      <c r="AA411" s="11" t="s">
        <v>2662</v>
      </c>
      <c r="AB411" s="11" t="s">
        <v>2663</v>
      </c>
      <c r="AC411" s="11" t="s">
        <v>2664</v>
      </c>
      <c r="AD411" s="11">
        <v>23</v>
      </c>
      <c r="AE411" s="11">
        <v>0</v>
      </c>
      <c r="AF411" s="11">
        <f>VLOOKUP(K411,'1197 Salud'!$K$13:$AK$54,22,0)</f>
        <v>0</v>
      </c>
      <c r="AG411" s="11">
        <f>VLOOKUP(K411,'1197 Salud'!$K$13:$AK$54,23,0)</f>
        <v>0</v>
      </c>
      <c r="AH411" s="11">
        <f t="shared" ref="AH411:AH418" si="686">AF411</f>
        <v>0</v>
      </c>
      <c r="AI411" s="11" t="str">
        <f>VLOOKUP(K411,'1197 Salud'!$K$13:$AK$54,25,0)</f>
        <v>Juntas asesoras conformadas</v>
      </c>
      <c r="AJ411" s="11" t="str">
        <f>VLOOKUP(K411,'1197 Salud'!$K$13:$AK$54,26,0)</f>
        <v xml:space="preserve">Se logra adelantar asistencia tecnica a los hospitales y alcaldias del Departamento (169) según distribucion de regiones de salud, para que tengan creadas activas y funcionanado sus formas de participacion social en salud  </v>
      </c>
      <c r="AK411" s="11" t="str">
        <f>VLOOKUP(K411,'1197 Salud'!$K$13:$AK$54,27,0)</f>
        <v>Demoras  por parte del Ministerio, Secretaria Juridica de la Gobernacion, Oficina de asuntos juridicos de la Secretaria de Salud, Direccion de Desarrollo de Servicios, en la revision de aspectos tecnicos y juridicos de los documentos para reglamentar los aspectos de la reorganizacion de la red, ademas de dificultades de conectividad y de recursos que garanticen la continuidad del recurso humano de referentes en paticipacion y atencion a los usuarios y comunidad, en los hospitales y alcaldias.</v>
      </c>
      <c r="AL411" s="11">
        <v>15</v>
      </c>
      <c r="AM411" s="11">
        <v>0</v>
      </c>
      <c r="AN411" s="11">
        <v>15</v>
      </c>
      <c r="AO411" s="11">
        <v>0</v>
      </c>
      <c r="AP411" s="11">
        <v>0</v>
      </c>
      <c r="AQ411" s="11">
        <v>0</v>
      </c>
      <c r="AR411" s="51">
        <v>18463840</v>
      </c>
      <c r="AS411" s="54">
        <v>0</v>
      </c>
      <c r="AT411" s="54">
        <f t="shared" si="636"/>
        <v>18463840</v>
      </c>
      <c r="AU411" s="51">
        <v>13739868</v>
      </c>
      <c r="AV411" s="243">
        <v>262100050</v>
      </c>
      <c r="AW411" s="244"/>
      <c r="AX411" s="244"/>
      <c r="AY411" s="243">
        <v>240330643</v>
      </c>
      <c r="AZ411" s="44">
        <f t="shared" ref="AZ411:AZ418" si="687">R411/Q411</f>
        <v>0</v>
      </c>
      <c r="BA411" s="44">
        <v>0.15090000000000001</v>
      </c>
      <c r="BB411" s="44">
        <v>0</v>
      </c>
      <c r="BC411" s="44">
        <f t="shared" ref="BC411:BC418" si="688">AD411/Q411</f>
        <v>0.43396226415094341</v>
      </c>
      <c r="BD411" s="44" cm="1">
        <f t="array" ref="BD411">_xlfn.IFS(AD411=0,"NA",AD411&gt;0,AH411/AD411)</f>
        <v>0</v>
      </c>
      <c r="BE411" s="44">
        <f t="shared" ref="BE411:BE418" si="689">AL411/Q411</f>
        <v>0.28301886792452829</v>
      </c>
      <c r="BF411" s="44">
        <v>0</v>
      </c>
      <c r="BG411" s="44">
        <f t="shared" ref="BG411:BG418" si="690">AN411/Q411</f>
        <v>0.28301886792452829</v>
      </c>
      <c r="BH411" s="44">
        <v>0</v>
      </c>
      <c r="BI411" s="44">
        <f t="shared" ref="BI411:BI418" si="691">AP411/Q411</f>
        <v>0</v>
      </c>
      <c r="BJ411" s="44" t="s">
        <v>115</v>
      </c>
      <c r="BK411" s="44">
        <f t="shared" si="640"/>
        <v>0</v>
      </c>
      <c r="BL411" s="44">
        <v>0</v>
      </c>
      <c r="BM411" s="44" cm="1">
        <f t="array" ref="BM411">_xlfn.IFS(BD411="NA","NA",BD411&gt;100%,"100%",BD411&lt;100,BD411)</f>
        <v>0</v>
      </c>
      <c r="BN411" s="44" cm="1">
        <f t="array" ref="BN411">_xlfn.IFS(BF411="NA","NA",BF411&gt;100%,"100%",BF411&lt;100,BF411)</f>
        <v>0</v>
      </c>
      <c r="BO411" s="44" cm="1">
        <f t="array" ref="BO411">_xlfn.IFS(BH411="NA","NA",BH411&gt;100%,"100%",BH411&lt;100,BH411)</f>
        <v>0</v>
      </c>
      <c r="BP411" s="44" t="str" cm="1">
        <f t="array" ref="BP411">_xlfn.IFS(BJ411="NA","NA",BJ411&gt;100%,"100%",BJ411&lt;100,BJ411)</f>
        <v>NA</v>
      </c>
      <c r="BQ411" s="45">
        <v>0.224</v>
      </c>
      <c r="BR411" s="45">
        <f t="shared" si="651"/>
        <v>0</v>
      </c>
      <c r="BS411" s="45">
        <v>3.3799999999999997E-2</v>
      </c>
      <c r="BT411" s="45">
        <v>0</v>
      </c>
      <c r="BU411" s="45">
        <v>0</v>
      </c>
      <c r="BV411" s="45">
        <f t="shared" ref="BV411:BV418" si="692">(AD411*BQ411)/Q411</f>
        <v>9.7207547169811323E-2</v>
      </c>
      <c r="BW411" s="45">
        <f t="shared" si="652"/>
        <v>0</v>
      </c>
      <c r="BX411" s="45">
        <f t="shared" si="653"/>
        <v>0</v>
      </c>
      <c r="BY411" s="45">
        <f t="shared" ref="BY411:BY418" si="693">(AL411*BQ411)/Q411</f>
        <v>6.3396226415094334E-2</v>
      </c>
      <c r="BZ411" s="45">
        <f t="shared" ref="BZ411:BZ418" si="694">IF(BN411="NA","NA",BN411*BY411)</f>
        <v>0</v>
      </c>
      <c r="CA411" s="45">
        <f t="shared" si="634"/>
        <v>0</v>
      </c>
      <c r="CB411" s="45">
        <f t="shared" ref="CB411:CB418" si="695">(AN411*BQ411)/Q411</f>
        <v>6.3396226415094334E-2</v>
      </c>
      <c r="CC411" s="45">
        <f t="shared" ref="CC411:CC418" si="696">IF(BO411="NA","NA",BO411*CB411)</f>
        <v>0</v>
      </c>
      <c r="CD411" s="45">
        <v>0</v>
      </c>
      <c r="CE411" s="45">
        <f t="shared" ref="CE411:CE418" si="697">(AP411*BQ411)/Q411</f>
        <v>0</v>
      </c>
      <c r="CF411" s="45" t="str">
        <f t="shared" ref="CF411:CF418" si="698">IF(BP411="NA","NA",BP411*CE411)</f>
        <v>NA</v>
      </c>
      <c r="CG411" s="45">
        <v>0</v>
      </c>
      <c r="CH411" s="244"/>
      <c r="CI411" s="244"/>
      <c r="CJ411" s="244"/>
      <c r="CK411" s="244"/>
      <c r="CM411" s="63">
        <v>0</v>
      </c>
    </row>
    <row r="412" spans="1:91" ht="18" hidden="1" customHeight="1">
      <c r="A412" s="260" t="s">
        <v>2665</v>
      </c>
      <c r="B412" s="260" t="s">
        <v>2666</v>
      </c>
      <c r="C412" s="260" t="s">
        <v>2371</v>
      </c>
      <c r="D412" s="260" t="s">
        <v>2588</v>
      </c>
      <c r="E412" s="260" t="s">
        <v>2667</v>
      </c>
      <c r="F412" s="260" t="s">
        <v>2668</v>
      </c>
      <c r="G412" s="260" t="s">
        <v>2669</v>
      </c>
      <c r="H412" s="260" t="s">
        <v>2670</v>
      </c>
      <c r="I412" s="260"/>
      <c r="J412" s="260"/>
      <c r="K412" s="260" t="s">
        <v>2671</v>
      </c>
      <c r="L412" s="260" t="s">
        <v>2672</v>
      </c>
      <c r="M412" s="260" t="s">
        <v>2673</v>
      </c>
      <c r="N412" s="260" t="s">
        <v>111</v>
      </c>
      <c r="O412" s="260" t="s">
        <v>112</v>
      </c>
      <c r="P412" s="10">
        <v>2000</v>
      </c>
      <c r="Q412" s="11">
        <v>3000</v>
      </c>
      <c r="R412" s="11">
        <f t="shared" si="685"/>
        <v>1312</v>
      </c>
      <c r="S412" s="11" t="str">
        <f>VLOOKUP(K412,'1204 IDACO'!$K$12:$AK$17,9,0)</f>
        <v>Se desarrollaron actividades de formación y capacitación dirigidas a afiliados de las organizaciones comunales del Departamento. Los temas tratados son relacionados con el proceso de elecciones comunales 2021, constitución de juntas, emprendimiento comunal, capacitación en convivencia y conciliación, asesorías y capacitación en temas legales.  Se llevaron a cabo jornadas de capacitación en 116 municipios del Departamento, en las cuales participaron 17446 personas afiliadas a 1312 organismos de acción comunal.</v>
      </c>
      <c r="T412" s="11">
        <v>0</v>
      </c>
      <c r="U412" s="11">
        <v>0</v>
      </c>
      <c r="V412" s="11">
        <v>200</v>
      </c>
      <c r="W412" s="11">
        <v>0</v>
      </c>
      <c r="X412" s="11">
        <v>217</v>
      </c>
      <c r="Y412" s="11">
        <v>0</v>
      </c>
      <c r="Z412" s="11">
        <v>217</v>
      </c>
      <c r="AA412" s="11" t="s">
        <v>2674</v>
      </c>
      <c r="AB412" s="11" t="s">
        <v>2675</v>
      </c>
      <c r="AC412" s="11" t="s">
        <v>2676</v>
      </c>
      <c r="AD412" s="11">
        <v>1000</v>
      </c>
      <c r="AE412" s="11">
        <v>0</v>
      </c>
      <c r="AF412" s="11">
        <f>VLOOKUP(K412,'1204 IDACO'!$K$12:$AK$17,22,0)</f>
        <v>1095</v>
      </c>
      <c r="AG412" s="11">
        <f>VLOOKUP(K412,'1204 IDACO'!$K$12:$AK$17,23,0)</f>
        <v>0</v>
      </c>
      <c r="AH412" s="11">
        <f t="shared" si="686"/>
        <v>1095</v>
      </c>
      <c r="AI412" s="11" t="str">
        <f>VLOOKUP(K412,'1204 IDACO'!$K$12:$AK$17,25,0)</f>
        <v>Capacitación y formación a afiliados de organizaciones comunales de Cundinamarca, en temas relacionados con el proceso de elecciones comunales 2021, constitución de juntas, emprendimiento comunal, capacitación en convivencia y conciliación, asesorías y capacitación en temas legales.</v>
      </c>
      <c r="AJ412" s="11" t="str">
        <f>VLOOKUP(K412,'1204 IDACO'!$K$12:$AK$17,26,0)</f>
        <v>Se desarrollaron actividades de formación y capacitación dirigidas a afiliados de las organizaciones comunales del Departamento. Los temas tratados son relacionados con el proceso de elecciones comunales 2021, constitución de juntas, emprendimiento comunal, capacitación en convivencia y conciliación, asesorías y capacitación en temas legales.  Se llevaron a cabo jornadas de capacitación en 116 municipios del Departamento, en las cuales participaron 15834 personas afiliadas a 1095 organismos de acción comunal</v>
      </c>
      <c r="AK412" s="11" t="str">
        <f>VLOOKUP(K412,'1204 IDACO'!$K$12:$AK$17,27,0)</f>
        <v>Limitados desplazamientos y participación de funcionarios y afiliados a organismos comunales por disposiciones gubernamentales, período de vacaciones de funcionarios.</v>
      </c>
      <c r="AL412" s="11">
        <v>900</v>
      </c>
      <c r="AM412" s="11">
        <v>0</v>
      </c>
      <c r="AN412" s="11">
        <v>900</v>
      </c>
      <c r="AO412" s="11">
        <v>0</v>
      </c>
      <c r="AP412" s="11">
        <v>0</v>
      </c>
      <c r="AQ412" s="11">
        <v>0</v>
      </c>
      <c r="AR412" s="52"/>
      <c r="AS412" s="54">
        <v>2000000</v>
      </c>
      <c r="AT412" s="54">
        <f t="shared" si="636"/>
        <v>2000000</v>
      </c>
      <c r="AU412" s="52"/>
      <c r="AV412" s="243">
        <v>100000000</v>
      </c>
      <c r="AW412" s="244"/>
      <c r="AX412" s="244"/>
      <c r="AY412" s="243">
        <v>99946500</v>
      </c>
      <c r="AZ412" s="44">
        <f t="shared" si="687"/>
        <v>0.43733333333333335</v>
      </c>
      <c r="BA412" s="44">
        <v>6.6699999999999995E-2</v>
      </c>
      <c r="BB412" s="44">
        <v>1.085</v>
      </c>
      <c r="BC412" s="44">
        <f t="shared" si="688"/>
        <v>0.33333333333333331</v>
      </c>
      <c r="BD412" s="44" cm="1">
        <f t="array" ref="BD412">_xlfn.IFS(AD412=0,"NA",AD412&gt;0,AH412/AD412)</f>
        <v>1.095</v>
      </c>
      <c r="BE412" s="44">
        <f t="shared" si="689"/>
        <v>0.3</v>
      </c>
      <c r="BF412" s="44">
        <v>0</v>
      </c>
      <c r="BG412" s="44">
        <f t="shared" si="690"/>
        <v>0.3</v>
      </c>
      <c r="BH412" s="44">
        <v>0</v>
      </c>
      <c r="BI412" s="44">
        <f t="shared" si="691"/>
        <v>0</v>
      </c>
      <c r="BJ412" s="44" t="s">
        <v>115</v>
      </c>
      <c r="BK412" s="44">
        <f t="shared" si="640"/>
        <v>0.43733333333333335</v>
      </c>
      <c r="BL412" s="44">
        <v>1</v>
      </c>
      <c r="BM412" s="44" t="str" cm="1">
        <f t="array" ref="BM412">_xlfn.IFS(BD412="NA","NA",BD412&gt;100%,"100%",BD412&lt;100,BD412)</f>
        <v>100%</v>
      </c>
      <c r="BN412" s="44" cm="1">
        <f t="array" ref="BN412">_xlfn.IFS(BF412="NA","NA",BF412&gt;100%,"100%",BF412&lt;100,BF412)</f>
        <v>0</v>
      </c>
      <c r="BO412" s="44" cm="1">
        <f t="array" ref="BO412">_xlfn.IFS(BH412="NA","NA",BH412&gt;100%,"100%",BH412&lt;100,BH412)</f>
        <v>0</v>
      </c>
      <c r="BP412" s="44" t="str" cm="1">
        <f t="array" ref="BP412">_xlfn.IFS(BJ412="NA","NA",BJ412&gt;100%,"100%",BJ412&lt;100,BJ412)</f>
        <v>NA</v>
      </c>
      <c r="BQ412" s="45">
        <v>0.224</v>
      </c>
      <c r="BR412" s="45">
        <f t="shared" si="651"/>
        <v>9.796266666666667E-2</v>
      </c>
      <c r="BS412" s="45">
        <v>1.49E-2</v>
      </c>
      <c r="BT412" s="45">
        <v>1.49E-2</v>
      </c>
      <c r="BU412" s="45">
        <v>1.6199999999999999E-2</v>
      </c>
      <c r="BV412" s="45">
        <f t="shared" si="692"/>
        <v>7.4666666666666673E-2</v>
      </c>
      <c r="BW412" s="45">
        <f t="shared" si="652"/>
        <v>7.4666666666666673E-2</v>
      </c>
      <c r="BX412" s="45">
        <f t="shared" si="653"/>
        <v>8.1762666666666678E-2</v>
      </c>
      <c r="BY412" s="45">
        <f t="shared" si="693"/>
        <v>6.7199999999999996E-2</v>
      </c>
      <c r="BZ412" s="45">
        <f t="shared" si="694"/>
        <v>0</v>
      </c>
      <c r="CA412" s="45">
        <f t="shared" si="634"/>
        <v>0</v>
      </c>
      <c r="CB412" s="45">
        <f t="shared" si="695"/>
        <v>6.7199999999999996E-2</v>
      </c>
      <c r="CC412" s="45">
        <f t="shared" si="696"/>
        <v>0</v>
      </c>
      <c r="CD412" s="45">
        <v>0</v>
      </c>
      <c r="CE412" s="45">
        <f t="shared" si="697"/>
        <v>0</v>
      </c>
      <c r="CF412" s="45" t="str">
        <f t="shared" si="698"/>
        <v>NA</v>
      </c>
      <c r="CG412" s="45">
        <v>0</v>
      </c>
      <c r="CH412" s="244"/>
      <c r="CI412" s="244"/>
      <c r="CJ412" s="244"/>
      <c r="CK412" s="244"/>
      <c r="CM412" s="63">
        <v>1287</v>
      </c>
    </row>
    <row r="413" spans="1:91" ht="18" hidden="1" customHeight="1">
      <c r="A413" s="260" t="s">
        <v>2665</v>
      </c>
      <c r="B413" s="260" t="s">
        <v>2666</v>
      </c>
      <c r="C413" s="260" t="s">
        <v>2371</v>
      </c>
      <c r="D413" s="260" t="s">
        <v>2588</v>
      </c>
      <c r="E413" s="260" t="s">
        <v>2667</v>
      </c>
      <c r="F413" s="260" t="s">
        <v>2668</v>
      </c>
      <c r="G413" s="260" t="s">
        <v>2669</v>
      </c>
      <c r="H413" s="260" t="s">
        <v>2677</v>
      </c>
      <c r="I413" s="260"/>
      <c r="J413" s="260"/>
      <c r="K413" s="260" t="s">
        <v>2678</v>
      </c>
      <c r="L413" s="260" t="s">
        <v>2679</v>
      </c>
      <c r="M413" s="260" t="s">
        <v>2680</v>
      </c>
      <c r="N413" s="260" t="s">
        <v>111</v>
      </c>
      <c r="O413" s="260" t="s">
        <v>112</v>
      </c>
      <c r="P413" s="10">
        <v>1</v>
      </c>
      <c r="Q413" s="11">
        <v>3</v>
      </c>
      <c r="R413" s="11">
        <f t="shared" si="685"/>
        <v>1</v>
      </c>
      <c r="S413" s="11" t="str">
        <f>VLOOKUP(K413,'1204 IDACO'!$K$12:$AK$17,9,0)</f>
        <v xml:space="preserve"> Teniendo en cuenta el llamado de las comunidades en torno al desarrollo e integración local, el Instituto lleva a cabo los V Juegos deportivos y recreativos comunales. </v>
      </c>
      <c r="T413" s="11">
        <v>0</v>
      </c>
      <c r="U413" s="11">
        <v>0</v>
      </c>
      <c r="V413" s="11">
        <v>0</v>
      </c>
      <c r="W413" s="11">
        <v>0</v>
      </c>
      <c r="X413" s="11">
        <v>0</v>
      </c>
      <c r="Y413" s="11">
        <v>0</v>
      </c>
      <c r="Z413" s="11">
        <v>0</v>
      </c>
      <c r="AA413" s="11"/>
      <c r="AB413" s="11"/>
      <c r="AC413" s="11"/>
      <c r="AD413" s="11">
        <v>1</v>
      </c>
      <c r="AE413" s="11">
        <v>0</v>
      </c>
      <c r="AF413" s="11">
        <f>VLOOKUP(K413,'1204 IDACO'!$K$12:$AK$17,22,0)</f>
        <v>1</v>
      </c>
      <c r="AG413" s="11">
        <f>VLOOKUP(K413,'1204 IDACO'!$K$12:$AK$17,23,0)</f>
        <v>0</v>
      </c>
      <c r="AH413" s="11">
        <f t="shared" si="686"/>
        <v>1</v>
      </c>
      <c r="AI413" s="11" t="str">
        <f>VLOOKUP(K413,'1204 IDACO'!$K$12:$AK$17,25,0)</f>
        <v>Encuentros comunales con participación de representantes de organizaciones de acción comunal del Departamento.</v>
      </c>
      <c r="AJ413" s="11" t="str">
        <f>VLOOKUP(K413,'1204 IDACO'!$K$12:$AK$17,26,0)</f>
        <v xml:space="preserve">Teniendo en cuenta el llamado de las comunidades en torno al desarrollo e integración local, el Instituto lleva a cabo los V Juegos deportivos y recreativos comunales. </v>
      </c>
      <c r="AK413" s="11" t="str">
        <f>VLOOKUP(K413,'1204 IDACO'!$K$12:$AK$17,27,0)</f>
        <v>Limitados desplazamientos y participación de funcionarios y afiliados a organismos comunales por disposiciones gubernamentales, período de vacaciones de funcionarios.</v>
      </c>
      <c r="AL413" s="11">
        <v>1</v>
      </c>
      <c r="AM413" s="11">
        <v>0</v>
      </c>
      <c r="AN413" s="11">
        <v>1</v>
      </c>
      <c r="AO413" s="11">
        <v>0</v>
      </c>
      <c r="AP413" s="11">
        <v>0</v>
      </c>
      <c r="AQ413" s="11">
        <v>0</v>
      </c>
      <c r="AR413" s="52"/>
      <c r="AS413" s="54">
        <v>0</v>
      </c>
      <c r="AT413" s="54">
        <f t="shared" si="636"/>
        <v>0</v>
      </c>
      <c r="AU413" s="52"/>
      <c r="AV413" s="243">
        <v>270000000</v>
      </c>
      <c r="AW413" s="244"/>
      <c r="AX413" s="244"/>
      <c r="AY413" s="243">
        <v>224989248</v>
      </c>
      <c r="AZ413" s="44">
        <f t="shared" si="687"/>
        <v>0.33333333333333331</v>
      </c>
      <c r="BA413" s="44">
        <v>0</v>
      </c>
      <c r="BB413" s="44" t="s">
        <v>115</v>
      </c>
      <c r="BC413" s="44">
        <f t="shared" si="688"/>
        <v>0.33333333333333331</v>
      </c>
      <c r="BD413" s="44" cm="1">
        <f t="array" ref="BD413">_xlfn.IFS(AD413=0,"NA",AD413&gt;0,AH413/AD413)</f>
        <v>1</v>
      </c>
      <c r="BE413" s="44">
        <f t="shared" si="689"/>
        <v>0.33333333333333331</v>
      </c>
      <c r="BF413" s="44">
        <v>0</v>
      </c>
      <c r="BG413" s="44">
        <f t="shared" si="690"/>
        <v>0.33333333333333331</v>
      </c>
      <c r="BH413" s="44">
        <v>0</v>
      </c>
      <c r="BI413" s="44">
        <f t="shared" si="691"/>
        <v>0</v>
      </c>
      <c r="BJ413" s="44" t="s">
        <v>115</v>
      </c>
      <c r="BK413" s="44">
        <f t="shared" si="640"/>
        <v>0.33333333333333331</v>
      </c>
      <c r="BL413" s="44" t="s">
        <v>115</v>
      </c>
      <c r="BM413" s="44" cm="1">
        <f t="array" ref="BM413">_xlfn.IFS(BD413="NA","NA",BD413&gt;100%,"100%",BD413&lt;100,BD413)</f>
        <v>1</v>
      </c>
      <c r="BN413" s="44" cm="1">
        <f t="array" ref="BN413">_xlfn.IFS(BF413="NA","NA",BF413&gt;100%,"100%",BF413&lt;100,BF413)</f>
        <v>0</v>
      </c>
      <c r="BO413" s="44" cm="1">
        <f t="array" ref="BO413">_xlfn.IFS(BH413="NA","NA",BH413&gt;100%,"100%",BH413&lt;100,BH413)</f>
        <v>0</v>
      </c>
      <c r="BP413" s="44" t="str" cm="1">
        <f t="array" ref="BP413">_xlfn.IFS(BJ413="NA","NA",BJ413&gt;100%,"100%",BJ413&lt;100,BJ413)</f>
        <v>NA</v>
      </c>
      <c r="BQ413" s="45">
        <v>0.224</v>
      </c>
      <c r="BR413" s="45">
        <f t="shared" si="651"/>
        <v>7.4666666666666659E-2</v>
      </c>
      <c r="BS413" s="45">
        <v>0</v>
      </c>
      <c r="BT413" s="45" t="s">
        <v>115</v>
      </c>
      <c r="BU413" s="45">
        <v>0</v>
      </c>
      <c r="BV413" s="45">
        <f t="shared" si="692"/>
        <v>7.4666666666666673E-2</v>
      </c>
      <c r="BW413" s="45">
        <f t="shared" si="652"/>
        <v>7.4666666666666673E-2</v>
      </c>
      <c r="BX413" s="45">
        <f t="shared" si="653"/>
        <v>7.4666666666666659E-2</v>
      </c>
      <c r="BY413" s="45">
        <f t="shared" si="693"/>
        <v>7.4666666666666673E-2</v>
      </c>
      <c r="BZ413" s="45">
        <f t="shared" si="694"/>
        <v>0</v>
      </c>
      <c r="CA413" s="45">
        <f t="shared" si="634"/>
        <v>0</v>
      </c>
      <c r="CB413" s="45">
        <f t="shared" si="695"/>
        <v>7.4666666666666673E-2</v>
      </c>
      <c r="CC413" s="45">
        <f t="shared" si="696"/>
        <v>0</v>
      </c>
      <c r="CD413" s="45">
        <v>0</v>
      </c>
      <c r="CE413" s="45">
        <f t="shared" si="697"/>
        <v>0</v>
      </c>
      <c r="CF413" s="45" t="str">
        <f t="shared" si="698"/>
        <v>NA</v>
      </c>
      <c r="CG413" s="45">
        <v>0</v>
      </c>
      <c r="CH413" s="244"/>
      <c r="CI413" s="244"/>
      <c r="CJ413" s="244"/>
      <c r="CK413" s="244"/>
      <c r="CM413" s="63">
        <v>0</v>
      </c>
    </row>
    <row r="414" spans="1:91" ht="18" hidden="1" customHeight="1">
      <c r="A414" s="260" t="s">
        <v>2665</v>
      </c>
      <c r="B414" s="260" t="s">
        <v>2666</v>
      </c>
      <c r="C414" s="260" t="s">
        <v>2371</v>
      </c>
      <c r="D414" s="260" t="s">
        <v>2588</v>
      </c>
      <c r="E414" s="260" t="s">
        <v>2667</v>
      </c>
      <c r="F414" s="260" t="s">
        <v>2668</v>
      </c>
      <c r="G414" s="260" t="s">
        <v>2669</v>
      </c>
      <c r="H414" s="260" t="s">
        <v>2681</v>
      </c>
      <c r="I414" s="260"/>
      <c r="J414" s="260"/>
      <c r="K414" s="260" t="s">
        <v>2682</v>
      </c>
      <c r="L414" s="260" t="s">
        <v>2683</v>
      </c>
      <c r="M414" s="260" t="s">
        <v>2684</v>
      </c>
      <c r="N414" s="260" t="s">
        <v>123</v>
      </c>
      <c r="O414" s="260" t="s">
        <v>112</v>
      </c>
      <c r="P414" s="10">
        <v>0</v>
      </c>
      <c r="Q414" s="11">
        <v>1</v>
      </c>
      <c r="R414" s="11">
        <f t="shared" si="685"/>
        <v>1</v>
      </c>
      <c r="S414" s="11" t="str">
        <f>VLOOKUP(K414,'1204 IDACO'!$K$12:$AK$17,9,0)</f>
        <v xml:space="preserve">Se llevaron a cabo actividades de recolección de información en campo y levantamiento de un diagnostico  para el diseño e implementación de un modelo de gestión, control, vigilancia y red de apoyo para las organizaciones comunales.  Se ha llevado a cabo la etapa de diseño e implementación del modelo de gestión, la cual se encuentra ejecutada en un 100%  dando cumplimiento a lo programado y encontrandose en pleno funcionamiento el sistema de apoyo y gestión: Idaconecta. </v>
      </c>
      <c r="T414" s="11">
        <v>0</v>
      </c>
      <c r="U414" s="11">
        <v>0</v>
      </c>
      <c r="V414" s="11">
        <v>0.1</v>
      </c>
      <c r="W414" s="11">
        <v>0</v>
      </c>
      <c r="X414" s="11">
        <v>0.1</v>
      </c>
      <c r="Y414" s="11">
        <v>0</v>
      </c>
      <c r="Z414" s="11">
        <v>0.1</v>
      </c>
      <c r="AA414" s="11">
        <v>0</v>
      </c>
      <c r="AB414" s="11" t="s">
        <v>2685</v>
      </c>
      <c r="AC414" s="11" t="s">
        <v>2676</v>
      </c>
      <c r="AD414" s="11">
        <v>0.9</v>
      </c>
      <c r="AE414" s="11">
        <v>0</v>
      </c>
      <c r="AF414" s="11">
        <f>VLOOKUP(K414,'1204 IDACO'!$K$12:$AK$17,22,0)</f>
        <v>0.9</v>
      </c>
      <c r="AG414" s="11">
        <f>VLOOKUP(K414,'1204 IDACO'!$K$12:$AK$17,23,0)</f>
        <v>0</v>
      </c>
      <c r="AH414" s="11">
        <f t="shared" si="686"/>
        <v>0.9</v>
      </c>
      <c r="AI414" s="11" t="str">
        <f>VLOOKUP(K414,'1204 IDACO'!$K$12:$AK$17,25,0)</f>
        <v xml:space="preserve"> Modelo de gestión, control, vigilancia y red de apoyo para las organizaciones comunales.</v>
      </c>
      <c r="AJ414" s="11" t="str">
        <f>VLOOKUP(K414,'1204 IDACO'!$K$12:$AK$17,26,0)</f>
        <v xml:space="preserve">Se llevaron a cabo actividades de recolección de información en campo y levantamiento de un diagnostico  para el diseño e implementación de un modelo de gestión, control, vigilancia y red de apoyo para las organizaciones comunales.  En esta vigencia, se ha llevado a cabo la etapa de diseño e implementación del modelo de gestión, la cual se encuentra ejecutada en un  90%  dando cumplimiento en un 100% a lo programado para esta vigencia y encontrandose en pleno funcionamiento el sistema de apoyo y gestión Idaconecta. </v>
      </c>
      <c r="AK414" s="11" t="str">
        <f>VLOOKUP(K414,'1204 IDACO'!$K$12:$AK$17,27,0)</f>
        <v>Limitados desplazamientos y participación de funcionarios y afiliados a organismos comunales por disposiciones gubernamentales. Funcionarios en período de vacaciones.</v>
      </c>
      <c r="AL414" s="11">
        <v>0</v>
      </c>
      <c r="AM414" s="11">
        <v>1</v>
      </c>
      <c r="AN414" s="11">
        <v>0</v>
      </c>
      <c r="AO414" s="11">
        <v>1</v>
      </c>
      <c r="AP414" s="11">
        <v>0</v>
      </c>
      <c r="AQ414" s="11">
        <v>0</v>
      </c>
      <c r="AR414" s="52"/>
      <c r="AS414" s="54">
        <v>2000000</v>
      </c>
      <c r="AT414" s="54">
        <f t="shared" si="636"/>
        <v>2000000</v>
      </c>
      <c r="AU414" s="52"/>
      <c r="AV414" s="243">
        <v>110000000</v>
      </c>
      <c r="AW414" s="244"/>
      <c r="AX414" s="244"/>
      <c r="AY414" s="243">
        <v>109936250</v>
      </c>
      <c r="AZ414" s="44">
        <f t="shared" si="687"/>
        <v>1</v>
      </c>
      <c r="BA414" s="44">
        <v>0.1</v>
      </c>
      <c r="BB414" s="44">
        <v>1</v>
      </c>
      <c r="BC414" s="44">
        <f t="shared" si="688"/>
        <v>0.9</v>
      </c>
      <c r="BD414" s="44" cm="1">
        <f t="array" ref="BD414">_xlfn.IFS(AD414=0,"NA",AD414&gt;0,AH414/AD414)</f>
        <v>1</v>
      </c>
      <c r="BE414" s="44">
        <f t="shared" si="689"/>
        <v>0</v>
      </c>
      <c r="BF414" s="44">
        <v>0</v>
      </c>
      <c r="BG414" s="44">
        <f t="shared" si="690"/>
        <v>0</v>
      </c>
      <c r="BH414" s="44">
        <v>0</v>
      </c>
      <c r="BI414" s="44">
        <f t="shared" si="691"/>
        <v>0</v>
      </c>
      <c r="BJ414" s="44" t="s">
        <v>115</v>
      </c>
      <c r="BK414" s="44">
        <f t="shared" si="640"/>
        <v>1</v>
      </c>
      <c r="BL414" s="44">
        <v>1</v>
      </c>
      <c r="BM414" s="44" cm="1">
        <f t="array" ref="BM414">_xlfn.IFS(BD414="NA","NA",BD414&gt;100%,"100%",BD414&lt;100,BD414)</f>
        <v>1</v>
      </c>
      <c r="BN414" s="44" cm="1">
        <f t="array" ref="BN414">_xlfn.IFS(BF414="NA","NA",BF414&gt;100%,"100%",BF414&lt;100,BF414)</f>
        <v>0</v>
      </c>
      <c r="BO414" s="44" cm="1">
        <f t="array" ref="BO414">_xlfn.IFS(BH414="NA","NA",BH414&gt;100%,"100%",BH414&lt;100,BH414)</f>
        <v>0</v>
      </c>
      <c r="BP414" s="44" t="str" cm="1">
        <f t="array" ref="BP414">_xlfn.IFS(BJ414="NA","NA",BJ414&gt;100%,"100%",BJ414&lt;100,BJ414)</f>
        <v>NA</v>
      </c>
      <c r="BQ414" s="45">
        <v>0.224</v>
      </c>
      <c r="BR414" s="45">
        <f t="shared" si="651"/>
        <v>0.224</v>
      </c>
      <c r="BS414" s="45">
        <v>2.24E-2</v>
      </c>
      <c r="BT414" s="45">
        <v>2.24E-2</v>
      </c>
      <c r="BU414" s="45">
        <v>2.24E-2</v>
      </c>
      <c r="BV414" s="45">
        <f t="shared" si="692"/>
        <v>0.2016</v>
      </c>
      <c r="BW414" s="45">
        <f t="shared" si="652"/>
        <v>0.2016</v>
      </c>
      <c r="BX414" s="45">
        <f t="shared" si="653"/>
        <v>0.2016</v>
      </c>
      <c r="BY414" s="45">
        <f t="shared" si="693"/>
        <v>0</v>
      </c>
      <c r="BZ414" s="45">
        <f t="shared" si="694"/>
        <v>0</v>
      </c>
      <c r="CA414" s="45">
        <f t="shared" si="634"/>
        <v>0</v>
      </c>
      <c r="CB414" s="45">
        <f t="shared" si="695"/>
        <v>0</v>
      </c>
      <c r="CC414" s="45">
        <f t="shared" si="696"/>
        <v>0</v>
      </c>
      <c r="CD414" s="45">
        <v>0</v>
      </c>
      <c r="CE414" s="45">
        <f t="shared" si="697"/>
        <v>0</v>
      </c>
      <c r="CF414" s="45" t="str">
        <f t="shared" si="698"/>
        <v>NA</v>
      </c>
      <c r="CG414" s="45">
        <v>0</v>
      </c>
      <c r="CH414" s="244"/>
      <c r="CI414" s="244"/>
      <c r="CJ414" s="244"/>
      <c r="CK414" s="244"/>
      <c r="CM414" s="63">
        <v>0.85</v>
      </c>
    </row>
    <row r="415" spans="1:91" ht="18" hidden="1" customHeight="1">
      <c r="A415" s="260" t="s">
        <v>2665</v>
      </c>
      <c r="B415" s="260" t="s">
        <v>2666</v>
      </c>
      <c r="C415" s="260" t="s">
        <v>2371</v>
      </c>
      <c r="D415" s="260" t="s">
        <v>2588</v>
      </c>
      <c r="E415" s="260" t="s">
        <v>2667</v>
      </c>
      <c r="F415" s="260" t="s">
        <v>2668</v>
      </c>
      <c r="G415" s="260" t="s">
        <v>2669</v>
      </c>
      <c r="H415" s="260" t="s">
        <v>2686</v>
      </c>
      <c r="I415" s="260"/>
      <c r="J415" s="260"/>
      <c r="K415" s="260" t="s">
        <v>2687</v>
      </c>
      <c r="L415" s="260" t="s">
        <v>2688</v>
      </c>
      <c r="M415" s="260" t="s">
        <v>2689</v>
      </c>
      <c r="N415" s="260" t="s">
        <v>111</v>
      </c>
      <c r="O415" s="260" t="s">
        <v>112</v>
      </c>
      <c r="P415" s="10">
        <v>620</v>
      </c>
      <c r="Q415" s="11">
        <v>1450</v>
      </c>
      <c r="R415" s="11">
        <f t="shared" si="685"/>
        <v>254</v>
      </c>
      <c r="S415" s="11" t="str">
        <f>VLOOKUP(K415,'1204 IDACO'!$K$12:$AK$17,9,0)</f>
        <v xml:space="preserve">A 30 de Noviembre de 2021 se han entregado 254 obras ejecutadas en un 100 %.   Con el propósito de promover la participación y el desarrollo comunal, además de una reactivación económica de las Juntas de acción comunal y de los municipios del Departamento, a través de la ejecución de estas obras de desarrollo comunitario y de impacto social. En desarrollo del cronograma de las convocatorias 001 y 002 de 2021,  se llevó a cabo la firma de contrato interadministrativo de gerencia integral del proyecto con Fondecun.   A la fecha se han firmado convenios solidarios para la ejecución de 665 Placas huellas, 18 alcantarillas y/o Box Culvert, 28 escenarios deportivos, 35 mejoramientos
comunales, 33 parques andenes y alamedas, para un total de 779 obras en 114 municipios correspondientes a las provincias de: Almeidas, Alto Magdalena, Bajo Magdalena, Gualivá, Guavio, Magdalena Centro, Medina, Oriente, Rionegro, Sabana Centro, Sabana Occidente, Soacha, Sumapaz, Tequendama    y Ubaté.   Correspondientes a esta convocatoria se han ejecutado en un 100%,  93 obras en 41 municipios del departamento.
</v>
      </c>
      <c r="T415" s="11">
        <v>0</v>
      </c>
      <c r="U415" s="11">
        <v>0</v>
      </c>
      <c r="V415" s="11">
        <v>150</v>
      </c>
      <c r="W415" s="11">
        <v>0</v>
      </c>
      <c r="X415" s="11">
        <v>126</v>
      </c>
      <c r="Y415" s="11">
        <v>0</v>
      </c>
      <c r="Z415" s="11">
        <v>126</v>
      </c>
      <c r="AA415" s="11" t="s">
        <v>2690</v>
      </c>
      <c r="AB415" s="11" t="s">
        <v>2691</v>
      </c>
      <c r="AC415" s="11" t="s">
        <v>2676</v>
      </c>
      <c r="AD415" s="11">
        <v>200</v>
      </c>
      <c r="AE415" s="11">
        <v>0</v>
      </c>
      <c r="AF415" s="11">
        <f>VLOOKUP(K415,'1204 IDACO'!$K$12:$AK$17,22,0)</f>
        <v>128</v>
      </c>
      <c r="AG415" s="11">
        <f>VLOOKUP(K415,'1204 IDACO'!$K$12:$AK$17,23,0)</f>
        <v>0</v>
      </c>
      <c r="AH415" s="11">
        <f t="shared" si="686"/>
        <v>128</v>
      </c>
      <c r="AI415" s="11" t="str">
        <f>VLOOKUP(K415,'1204 IDACO'!$K$12:$AK$17,25,0)</f>
        <v>Desarrollo de las Juntas de acción comunal y de los municipios del Departamento, promoviendo la participación de los diferentes sectores de la comunidad, a través de la ejecución de obras de desarrollo comunitario y de impacto social.</v>
      </c>
      <c r="AJ415" s="11" t="str">
        <f>VLOOKUP(K415,'1204 IDACO'!$K$12:$AK$17,26,0)</f>
        <v xml:space="preserve">128 obras de impacto social y comunitario se entregaron con una ejecución del 100% y con la participación de los diferentes sectores que conforman las comunidades beneficiadas.  Con el propósito de promover la participación y el desarrollo comunal, además de una reactivación económica de las Juntas de acción comunal y de los municipios del Departamento, a través de la ejecución de estas obras de desarrollo comunitario y de impacto social. En desarrollo del cronograma de las convocatorias 001 y 002 de 2021,  se llevó a cabo la firma de contrato interadministrativo de gerencia integral del proyecto con Fondecun.   A la fecha se han firmado convenios solidarios para la ejecución de 665 Placas huellas, 18 alcantarillas y/o Box Culvert, 28 escenarios deportivos, 35 mejoramientos de espacios comunales, 33 parques andenes y alamedas, para un total de 779 obras en 114 municipios correspondientes a las provincias de: Almeidas, Alto Magdalena, Bajo Magdalena, Gualivá, Guavio, Magdalena Centro, Medina, Oriente, Rionegro, Sabana Centro, Sabana Occidente, Soacha, Sumapaz, Tequendama    y Ubaté.   Correspondientes a esta convocatoria se han ejecutado en un 100%,  93 obras en 41 municipios del departamento.
</v>
      </c>
      <c r="AK415" s="11" t="str">
        <f>VLOOKUP(K415,'1204 IDACO'!$K$12:$AK$17,27,0)</f>
        <v>Limitados desplazamientos y participación de funcionarios y afiliados a organismos comunales por disposiciones gubernamentales. Funcionarios en período de vacaciones.</v>
      </c>
      <c r="AL415" s="11">
        <v>200</v>
      </c>
      <c r="AM415" s="11">
        <v>0</v>
      </c>
      <c r="AN415" s="11">
        <v>100</v>
      </c>
      <c r="AO415" s="11">
        <v>0</v>
      </c>
      <c r="AP415" s="11">
        <v>0</v>
      </c>
      <c r="AQ415" s="11">
        <v>0</v>
      </c>
      <c r="AR415" s="51">
        <v>8000000000</v>
      </c>
      <c r="AS415" s="54">
        <v>0</v>
      </c>
      <c r="AT415" s="54">
        <f t="shared" si="636"/>
        <v>8000000000</v>
      </c>
      <c r="AU415" s="51">
        <v>8000000000</v>
      </c>
      <c r="AV415" s="243">
        <v>42800000000</v>
      </c>
      <c r="AW415" s="244"/>
      <c r="AX415" s="244"/>
      <c r="AY415" s="243">
        <v>42799932700</v>
      </c>
      <c r="AZ415" s="44">
        <f t="shared" si="687"/>
        <v>0.17517241379310344</v>
      </c>
      <c r="BA415" s="44">
        <v>0.23080000000000001</v>
      </c>
      <c r="BB415" s="44">
        <v>0.84</v>
      </c>
      <c r="BC415" s="44">
        <f t="shared" si="688"/>
        <v>0.13793103448275862</v>
      </c>
      <c r="BD415" s="44" cm="1">
        <f t="array" ref="BD415">_xlfn.IFS(AD415=0,"NA",AD415&gt;0,AH415/AD415)</f>
        <v>0.64</v>
      </c>
      <c r="BE415" s="44">
        <f t="shared" si="689"/>
        <v>0.13793103448275862</v>
      </c>
      <c r="BF415" s="44">
        <v>0</v>
      </c>
      <c r="BG415" s="44">
        <f t="shared" si="690"/>
        <v>6.8965517241379309E-2</v>
      </c>
      <c r="BH415" s="44">
        <v>0</v>
      </c>
      <c r="BI415" s="44">
        <f t="shared" si="691"/>
        <v>0</v>
      </c>
      <c r="BJ415" s="44" t="s">
        <v>115</v>
      </c>
      <c r="BK415" s="44">
        <f t="shared" si="640"/>
        <v>0.17517241379310344</v>
      </c>
      <c r="BL415" s="44">
        <v>0.84</v>
      </c>
      <c r="BM415" s="44" cm="1">
        <f t="array" ref="BM415">_xlfn.IFS(BD415="NA","NA",BD415&gt;100%,"100%",BD415&lt;100,BD415)</f>
        <v>0.64</v>
      </c>
      <c r="BN415" s="44" cm="1">
        <f t="array" ref="BN415">_xlfn.IFS(BF415="NA","NA",BF415&gt;100%,"100%",BF415&lt;100,BF415)</f>
        <v>0</v>
      </c>
      <c r="BO415" s="44" cm="1">
        <f t="array" ref="BO415">_xlfn.IFS(BH415="NA","NA",BH415&gt;100%,"100%",BH415&lt;100,BH415)</f>
        <v>0</v>
      </c>
      <c r="BP415" s="44" t="str" cm="1">
        <f t="array" ref="BP415">_xlfn.IFS(BJ415="NA","NA",BJ415&gt;100%,"100%",BJ415&lt;100,BJ415)</f>
        <v>NA</v>
      </c>
      <c r="BQ415" s="45">
        <v>0.224</v>
      </c>
      <c r="BR415" s="45">
        <f t="shared" si="651"/>
        <v>3.9238620689655175E-2</v>
      </c>
      <c r="BS415" s="45">
        <v>5.1700000000000003E-2</v>
      </c>
      <c r="BT415" s="45">
        <v>4.3400000000000001E-2</v>
      </c>
      <c r="BU415" s="262">
        <v>1.9400000000000001E-2</v>
      </c>
      <c r="BV415" s="45">
        <f t="shared" si="692"/>
        <v>3.0896551724137935E-2</v>
      </c>
      <c r="BW415" s="45">
        <f t="shared" si="652"/>
        <v>1.9773793103448279E-2</v>
      </c>
      <c r="BX415" s="45">
        <f t="shared" si="653"/>
        <v>1.9838620689655175E-2</v>
      </c>
      <c r="BY415" s="45">
        <f t="shared" si="693"/>
        <v>3.0896551724137935E-2</v>
      </c>
      <c r="BZ415" s="45">
        <f t="shared" si="694"/>
        <v>0</v>
      </c>
      <c r="CA415" s="45">
        <f t="shared" si="634"/>
        <v>0</v>
      </c>
      <c r="CB415" s="45">
        <f t="shared" si="695"/>
        <v>1.5448275862068967E-2</v>
      </c>
      <c r="CC415" s="45">
        <f t="shared" si="696"/>
        <v>0</v>
      </c>
      <c r="CD415" s="45">
        <v>0</v>
      </c>
      <c r="CE415" s="45">
        <f t="shared" si="697"/>
        <v>0</v>
      </c>
      <c r="CF415" s="45" t="str">
        <f t="shared" si="698"/>
        <v>NA</v>
      </c>
      <c r="CG415" s="45">
        <v>0</v>
      </c>
      <c r="CH415" s="244"/>
      <c r="CI415" s="244"/>
      <c r="CJ415" s="244"/>
      <c r="CK415" s="244"/>
      <c r="CM415" s="63">
        <v>161</v>
      </c>
    </row>
    <row r="416" spans="1:91" ht="18" hidden="1" customHeight="1">
      <c r="A416" s="260" t="s">
        <v>2665</v>
      </c>
      <c r="B416" s="260" t="s">
        <v>2666</v>
      </c>
      <c r="C416" s="260" t="s">
        <v>2371</v>
      </c>
      <c r="D416" s="260" t="s">
        <v>2588</v>
      </c>
      <c r="E416" s="260" t="s">
        <v>2667</v>
      </c>
      <c r="F416" s="260" t="s">
        <v>2668</v>
      </c>
      <c r="G416" s="260" t="s">
        <v>2669</v>
      </c>
      <c r="H416" s="260" t="s">
        <v>2692</v>
      </c>
      <c r="I416" s="260"/>
      <c r="J416" s="260"/>
      <c r="K416" s="260" t="s">
        <v>2693</v>
      </c>
      <c r="L416" s="260" t="s">
        <v>2694</v>
      </c>
      <c r="M416" s="260" t="s">
        <v>2695</v>
      </c>
      <c r="N416" s="260" t="s">
        <v>111</v>
      </c>
      <c r="O416" s="260" t="s">
        <v>112</v>
      </c>
      <c r="P416" s="10">
        <v>2000</v>
      </c>
      <c r="Q416" s="11">
        <v>2200</v>
      </c>
      <c r="R416" s="11">
        <f t="shared" si="685"/>
        <v>777</v>
      </c>
      <c r="S416" s="11" t="str">
        <f>VLOOKUP(K416,'1204 IDACO'!$K$12:$AK$17,9,0)</f>
        <v>Se han realizado 777 dotaciones a organizaciones comunales del Departamento:  106 organismos comunales (Asojuntas municipales) de 106 municipios, dotados con elementos, herramientas, materiales y equipos para la  gestión, funcionamiento y el ejercicio pleno de la acción comunal. Teniendo en cuenta el llamado de las comunidades en torno al desarrollo e integración local, el Instituto lleva a cabo los V Juegos deportivos y recreativos comunales. Para lo cual  se realizó la dotación de uniformes y elementos deportivos con destino a  671 organizaciones comunales que participan en el mencionado evento.
Se han realizado 310 dotaciones a organizaciones comunales del Departamento:  106 organismos comunales (Asojuntas municipales) de 106 municipios, dotados con elementos, herramientas, materiales y equipos para la  gestión, funcionamiento y el ejercicio pleno de la acción comunal. En 2021, teniendo en cuenta el llamado de las comunidades en torno al desarrollo e integración local, el Instituto lleva a cabo los V Juegos deportivos y recreativos comunales. Para lo cual  se realizó la dotación de uniformes y elementos deportivos con destino a  204 organizaciones comunales que participan en el mencionado evento.</v>
      </c>
      <c r="T416" s="11">
        <v>0</v>
      </c>
      <c r="U416" s="11">
        <v>0</v>
      </c>
      <c r="V416" s="11">
        <v>40</v>
      </c>
      <c r="W416" s="11">
        <v>0</v>
      </c>
      <c r="X416" s="11">
        <v>0</v>
      </c>
      <c r="Y416" s="11">
        <v>0</v>
      </c>
      <c r="Z416" s="11">
        <v>0</v>
      </c>
      <c r="AA416" s="11">
        <v>0</v>
      </c>
      <c r="AB416" s="11" t="s">
        <v>2696</v>
      </c>
      <c r="AC416" s="11" t="s">
        <v>2676</v>
      </c>
      <c r="AD416" s="11">
        <v>760</v>
      </c>
      <c r="AE416" s="11">
        <v>0</v>
      </c>
      <c r="AF416" s="11">
        <f>VLOOKUP(K416,'1204 IDACO'!$K$12:$AK$17,22,0)</f>
        <v>777</v>
      </c>
      <c r="AG416" s="11">
        <f>VLOOKUP(K416,'1204 IDACO'!$K$12:$AK$17,23,0)</f>
        <v>0</v>
      </c>
      <c r="AH416" s="11">
        <f t="shared" si="686"/>
        <v>777</v>
      </c>
      <c r="AI416" s="11" t="str">
        <f>VLOOKUP(K416,'1204 IDACO'!$K$12:$AK$17,25,0)</f>
        <v xml:space="preserve">Elementos, herramientas, materiales y equipos para la  gestión, funcionamiento y el ejercicio pleno de la acción comunal y  la participación por parte de las organizaciones comunales de Cundinamarca. </v>
      </c>
      <c r="AJ416" s="11" t="str">
        <f>VLOOKUP(K416,'1204 IDACO'!$K$12:$AK$17,26,0)</f>
        <v>Se han realizado 777 dotaciones a organizaciones comunales del Departamento:  106 organismos comunales (Asojuntas municipales) de 106 municipios, dotados con elementos, herramientas, materiales y equipos para la  gestión, funcionamiento y el ejercicio pleno de la acción comunal. Teniendo en cuenta el llamado de las comunidades en torno al desarrollo e integración local, el Instituto lleva a cabo los V Juegos deportivos y recreativos comunales. Para lo cual  se realizó la dotación de uniformes y elementos deportivos con destino a  671 organizaciones comunales que participan en el mencionado evento.</v>
      </c>
      <c r="AK416" s="11" t="str">
        <f>VLOOKUP(K416,'1204 IDACO'!$K$12:$AK$17,27,0)</f>
        <v>Limitados desplazamientos y participación de funcionarios y afiliados a organismos comunales por disposiciones gubernamentales. Funcionarios en período de vacaciones.</v>
      </c>
      <c r="AL416" s="11">
        <v>700</v>
      </c>
      <c r="AM416" s="11">
        <v>0</v>
      </c>
      <c r="AN416" s="11">
        <v>700</v>
      </c>
      <c r="AO416" s="11">
        <v>0</v>
      </c>
      <c r="AP416" s="11">
        <v>0</v>
      </c>
      <c r="AQ416" s="11">
        <v>0</v>
      </c>
      <c r="AR416" s="51">
        <v>200000000</v>
      </c>
      <c r="AS416" s="54">
        <v>0</v>
      </c>
      <c r="AT416" s="54">
        <f t="shared" si="636"/>
        <v>200000000</v>
      </c>
      <c r="AU416" s="51">
        <v>200000000</v>
      </c>
      <c r="AV416" s="243">
        <v>676777673</v>
      </c>
      <c r="AW416" s="244"/>
      <c r="AX416" s="244"/>
      <c r="AY416" s="243">
        <v>616000000</v>
      </c>
      <c r="AZ416" s="44">
        <f t="shared" si="687"/>
        <v>0.35318181818181821</v>
      </c>
      <c r="BA416" s="44">
        <v>1.8200000000000001E-2</v>
      </c>
      <c r="BB416" s="44">
        <v>0</v>
      </c>
      <c r="BC416" s="44">
        <f t="shared" si="688"/>
        <v>0.34545454545454546</v>
      </c>
      <c r="BD416" s="44" cm="1">
        <f t="array" ref="BD416">_xlfn.IFS(AD416=0,"NA",AD416&gt;0,AH416/AD416)</f>
        <v>1.0223684210526316</v>
      </c>
      <c r="BE416" s="44">
        <f t="shared" si="689"/>
        <v>0.31818181818181818</v>
      </c>
      <c r="BF416" s="44">
        <v>0</v>
      </c>
      <c r="BG416" s="44">
        <f t="shared" si="690"/>
        <v>0.31818181818181818</v>
      </c>
      <c r="BH416" s="44">
        <v>0</v>
      </c>
      <c r="BI416" s="44">
        <f t="shared" si="691"/>
        <v>0</v>
      </c>
      <c r="BJ416" s="44" t="s">
        <v>115</v>
      </c>
      <c r="BK416" s="44">
        <f t="shared" si="640"/>
        <v>0.35318181818181821</v>
      </c>
      <c r="BL416" s="44">
        <v>0</v>
      </c>
      <c r="BM416" s="44" t="str" cm="1">
        <f t="array" ref="BM416">_xlfn.IFS(BD416="NA","NA",BD416&gt;100%,"100%",BD416&lt;100,BD416)</f>
        <v>100%</v>
      </c>
      <c r="BN416" s="44" cm="1">
        <f t="array" ref="BN416">_xlfn.IFS(BF416="NA","NA",BF416&gt;100%,"100%",BF416&lt;100,BF416)</f>
        <v>0</v>
      </c>
      <c r="BO416" s="44" cm="1">
        <f t="array" ref="BO416">_xlfn.IFS(BH416="NA","NA",BH416&gt;100%,"100%",BH416&lt;100,BH416)</f>
        <v>0</v>
      </c>
      <c r="BP416" s="44" t="str" cm="1">
        <f t="array" ref="BP416">_xlfn.IFS(BJ416="NA","NA",BJ416&gt;100%,"100%",BJ416&lt;100,BJ416)</f>
        <v>NA</v>
      </c>
      <c r="BQ416" s="45">
        <v>0.224</v>
      </c>
      <c r="BR416" s="45">
        <f t="shared" si="651"/>
        <v>7.9112727272727279E-2</v>
      </c>
      <c r="BS416" s="45">
        <v>4.1000000000000003E-3</v>
      </c>
      <c r="BT416" s="45">
        <v>0</v>
      </c>
      <c r="BU416" s="45">
        <v>0</v>
      </c>
      <c r="BV416" s="45">
        <f t="shared" si="692"/>
        <v>7.738181818181819E-2</v>
      </c>
      <c r="BW416" s="45">
        <f t="shared" si="652"/>
        <v>7.738181818181819E-2</v>
      </c>
      <c r="BX416" s="45">
        <f t="shared" si="653"/>
        <v>7.9112727272727279E-2</v>
      </c>
      <c r="BY416" s="45">
        <f t="shared" si="693"/>
        <v>7.1272727272727279E-2</v>
      </c>
      <c r="BZ416" s="45">
        <f t="shared" si="694"/>
        <v>0</v>
      </c>
      <c r="CA416" s="45">
        <f t="shared" si="634"/>
        <v>0</v>
      </c>
      <c r="CB416" s="45">
        <f t="shared" si="695"/>
        <v>7.1272727272727279E-2</v>
      </c>
      <c r="CC416" s="45">
        <f t="shared" si="696"/>
        <v>0</v>
      </c>
      <c r="CD416" s="45">
        <v>0</v>
      </c>
      <c r="CE416" s="45">
        <f t="shared" si="697"/>
        <v>0</v>
      </c>
      <c r="CF416" s="45" t="str">
        <f t="shared" si="698"/>
        <v>NA</v>
      </c>
      <c r="CG416" s="45">
        <v>0</v>
      </c>
      <c r="CH416" s="244"/>
      <c r="CI416" s="244"/>
      <c r="CJ416" s="244"/>
      <c r="CK416" s="244"/>
      <c r="CM416" s="63">
        <v>30</v>
      </c>
    </row>
    <row r="417" spans="1:91" ht="18" hidden="1" customHeight="1">
      <c r="A417" s="260" t="s">
        <v>2665</v>
      </c>
      <c r="B417" s="260" t="s">
        <v>2666</v>
      </c>
      <c r="C417" s="260" t="s">
        <v>2371</v>
      </c>
      <c r="D417" s="260" t="s">
        <v>2588</v>
      </c>
      <c r="E417" s="260" t="s">
        <v>2667</v>
      </c>
      <c r="F417" s="260" t="s">
        <v>2668</v>
      </c>
      <c r="G417" s="260" t="s">
        <v>2669</v>
      </c>
      <c r="H417" s="260" t="s">
        <v>2697</v>
      </c>
      <c r="I417" s="260"/>
      <c r="J417" s="260"/>
      <c r="K417" s="260" t="s">
        <v>2698</v>
      </c>
      <c r="L417" s="260" t="s">
        <v>2699</v>
      </c>
      <c r="M417" s="260" t="s">
        <v>2700</v>
      </c>
      <c r="N417" s="260" t="s">
        <v>111</v>
      </c>
      <c r="O417" s="260" t="s">
        <v>112</v>
      </c>
      <c r="P417" s="10">
        <v>165</v>
      </c>
      <c r="Q417" s="11">
        <v>170</v>
      </c>
      <c r="R417" s="11">
        <f t="shared" si="685"/>
        <v>44</v>
      </c>
      <c r="S417" s="11" t="str">
        <f>VLOOKUP(K417,'1204 IDACO'!$K$12:$AK$17,9,0)</f>
        <v>Se ejecutó en un 100%  el proyecto de innovación comunal, conformación de empresa y buenas practicas para el desarrollo sostenible presentado por la Asociación de Juntas de acción comunal ASORURALVI del municipio de Villeta.  En 2021 se han ejecutado en un 100% , 44 proyectos de innovación comunal, conformación de empresa y buenas practicas para el desarrollo sostenible presentados por Juntas de acción comunal del Departamento.  Se llevó a cabo la  Convocatoria Nº 003 de 2021 “PROYECTO DE FOMENTO Y FORTALECIMIENTO DEL EMPRENDIMIENTO PRODUCTIVO COMUNAL” , a la cual se postularon organizaciones comunales.  Actualmente se han ejecutado 44 proyectos.</v>
      </c>
      <c r="T417" s="11">
        <v>0</v>
      </c>
      <c r="U417" s="11">
        <v>0</v>
      </c>
      <c r="V417" s="11">
        <v>1</v>
      </c>
      <c r="W417" s="11">
        <v>0</v>
      </c>
      <c r="X417" s="11">
        <v>0</v>
      </c>
      <c r="Y417" s="11">
        <v>0</v>
      </c>
      <c r="Z417" s="11">
        <v>0</v>
      </c>
      <c r="AA417" s="11">
        <v>0</v>
      </c>
      <c r="AB417" s="11" t="s">
        <v>2701</v>
      </c>
      <c r="AC417" s="11" t="s">
        <v>2676</v>
      </c>
      <c r="AD417" s="11">
        <v>44</v>
      </c>
      <c r="AE417" s="11">
        <v>0</v>
      </c>
      <c r="AF417" s="11">
        <f>VLOOKUP(K417,'1204 IDACO'!$K$12:$AK$17,22,0)</f>
        <v>44</v>
      </c>
      <c r="AG417" s="11">
        <f>VLOOKUP(K417,'1204 IDACO'!$K$12:$AK$17,23,0)</f>
        <v>0</v>
      </c>
      <c r="AH417" s="11">
        <f t="shared" si="686"/>
        <v>44</v>
      </c>
      <c r="AI417" s="11" t="str">
        <f>VLOOKUP(K417,'1204 IDACO'!$K$12:$AK$17,25,0)</f>
        <v>Realización de proyectos de innovación comunal, conformación de empresa y buenas practicas para el desarrollo sostenible presentados por organizaciones de acción comunal.</v>
      </c>
      <c r="AJ417" s="11" t="str">
        <f>VLOOKUP(K417,'1204 IDACO'!$K$12:$AK$17,26,0)</f>
        <v>Se han ejecutado en un 100% , 44 proyectos de innovación comunal, conformación de empresa y buenas practicas para el desarrollo sostenible presentados por Juntas de acción comunal del Departamento.  Se dió apertura a la Convocatoria Nº 003 de 2021 del “PROYECTO DE FOMENTO Y FORTALECIMIENTO DEL EMPRENDIMIENTO PRODUCTIVO COMUNAL” , a la cual se postularon organizaciones comunales.  Actualmente se han ejecutado 44 proyectos.</v>
      </c>
      <c r="AK417" s="11" t="str">
        <f>VLOOKUP(K417,'1204 IDACO'!$K$12:$AK$17,27,0)</f>
        <v>Limitados desplazamientos y participación de funcionarios y afiliados a organismos comunales por disposiciones gubernamentales. Funcionarios en período de vacaciones.</v>
      </c>
      <c r="AL417" s="11">
        <v>63</v>
      </c>
      <c r="AM417" s="11">
        <v>0</v>
      </c>
      <c r="AN417" s="11">
        <v>63</v>
      </c>
      <c r="AO417" s="11">
        <v>0</v>
      </c>
      <c r="AP417" s="11">
        <v>0</v>
      </c>
      <c r="AQ417" s="11">
        <v>0</v>
      </c>
      <c r="AR417" s="51">
        <v>300000000</v>
      </c>
      <c r="AS417" s="54">
        <v>0</v>
      </c>
      <c r="AT417" s="54">
        <f t="shared" si="636"/>
        <v>300000000</v>
      </c>
      <c r="AU417" s="51">
        <v>300000000</v>
      </c>
      <c r="AV417" s="243">
        <v>400000000</v>
      </c>
      <c r="AW417" s="244"/>
      <c r="AX417" s="244"/>
      <c r="AY417" s="243">
        <v>278360571</v>
      </c>
      <c r="AZ417" s="44">
        <f t="shared" si="687"/>
        <v>0.25882352941176473</v>
      </c>
      <c r="BA417" s="44">
        <v>5.8999999999999999E-3</v>
      </c>
      <c r="BB417" s="44">
        <v>0</v>
      </c>
      <c r="BC417" s="44">
        <f t="shared" si="688"/>
        <v>0.25882352941176473</v>
      </c>
      <c r="BD417" s="44" cm="1">
        <f t="array" ref="BD417">_xlfn.IFS(AD417=0,"NA",AD417&gt;0,AH417/AD417)</f>
        <v>1</v>
      </c>
      <c r="BE417" s="44">
        <f t="shared" si="689"/>
        <v>0.37058823529411766</v>
      </c>
      <c r="BF417" s="44">
        <v>0</v>
      </c>
      <c r="BG417" s="44">
        <f t="shared" si="690"/>
        <v>0.37058823529411766</v>
      </c>
      <c r="BH417" s="44">
        <v>0</v>
      </c>
      <c r="BI417" s="44">
        <f t="shared" si="691"/>
        <v>0</v>
      </c>
      <c r="BJ417" s="44" t="s">
        <v>115</v>
      </c>
      <c r="BK417" s="44">
        <f t="shared" si="640"/>
        <v>0.25882352941176473</v>
      </c>
      <c r="BL417" s="44">
        <v>0</v>
      </c>
      <c r="BM417" s="44" cm="1">
        <f t="array" ref="BM417">_xlfn.IFS(BD417="NA","NA",BD417&gt;100%,"100%",BD417&lt;100,BD417)</f>
        <v>1</v>
      </c>
      <c r="BN417" s="44" cm="1">
        <f t="array" ref="BN417">_xlfn.IFS(BF417="NA","NA",BF417&gt;100%,"100%",BF417&lt;100,BF417)</f>
        <v>0</v>
      </c>
      <c r="BO417" s="44" cm="1">
        <f t="array" ref="BO417">_xlfn.IFS(BH417="NA","NA",BH417&gt;100%,"100%",BH417&lt;100,BH417)</f>
        <v>0</v>
      </c>
      <c r="BP417" s="44" t="str" cm="1">
        <f t="array" ref="BP417">_xlfn.IFS(BJ417="NA","NA",BJ417&gt;100%,"100%",BJ417&lt;100,BJ417)</f>
        <v>NA</v>
      </c>
      <c r="BQ417" s="45">
        <v>0.224</v>
      </c>
      <c r="BR417" s="45">
        <f t="shared" si="651"/>
        <v>5.7976470588235303E-2</v>
      </c>
      <c r="BS417" s="45">
        <v>1.2999999999999999E-3</v>
      </c>
      <c r="BT417" s="45">
        <v>0</v>
      </c>
      <c r="BU417" s="45">
        <v>0</v>
      </c>
      <c r="BV417" s="45">
        <f t="shared" si="692"/>
        <v>5.7976470588235296E-2</v>
      </c>
      <c r="BW417" s="45">
        <f t="shared" si="652"/>
        <v>5.7976470588235296E-2</v>
      </c>
      <c r="BX417" s="45">
        <f t="shared" si="653"/>
        <v>5.7976470588235303E-2</v>
      </c>
      <c r="BY417" s="45">
        <f t="shared" si="693"/>
        <v>8.3011764705882354E-2</v>
      </c>
      <c r="BZ417" s="45">
        <f t="shared" si="694"/>
        <v>0</v>
      </c>
      <c r="CA417" s="45">
        <f t="shared" si="634"/>
        <v>0</v>
      </c>
      <c r="CB417" s="45">
        <f t="shared" si="695"/>
        <v>8.3011764705882354E-2</v>
      </c>
      <c r="CC417" s="45">
        <f t="shared" si="696"/>
        <v>0</v>
      </c>
      <c r="CD417" s="45">
        <v>0</v>
      </c>
      <c r="CE417" s="45">
        <f t="shared" si="697"/>
        <v>0</v>
      </c>
      <c r="CF417" s="45" t="str">
        <f t="shared" si="698"/>
        <v>NA</v>
      </c>
      <c r="CG417" s="45">
        <v>0</v>
      </c>
      <c r="CH417" s="244"/>
      <c r="CI417" s="244"/>
      <c r="CJ417" s="244"/>
      <c r="CK417" s="244"/>
      <c r="CM417" s="63">
        <v>1</v>
      </c>
    </row>
    <row r="418" spans="1:91" ht="18" hidden="1" customHeight="1">
      <c r="A418" s="260" t="s">
        <v>98</v>
      </c>
      <c r="B418" s="260" t="s">
        <v>99</v>
      </c>
      <c r="C418" s="260" t="s">
        <v>2371</v>
      </c>
      <c r="D418" s="260" t="s">
        <v>2702</v>
      </c>
      <c r="E418" s="260" t="s">
        <v>2703</v>
      </c>
      <c r="F418" s="260" t="s">
        <v>2704</v>
      </c>
      <c r="G418" s="260" t="s">
        <v>2705</v>
      </c>
      <c r="H418" s="260" t="s">
        <v>2706</v>
      </c>
      <c r="I418" s="260" t="s">
        <v>106</v>
      </c>
      <c r="J418" s="12" t="s">
        <v>2707</v>
      </c>
      <c r="K418" s="260" t="s">
        <v>2708</v>
      </c>
      <c r="L418" s="260" t="s">
        <v>2709</v>
      </c>
      <c r="M418" s="260" t="s">
        <v>2710</v>
      </c>
      <c r="N418" s="260" t="s">
        <v>123</v>
      </c>
      <c r="O418" s="260" t="s">
        <v>112</v>
      </c>
      <c r="P418" s="10">
        <v>50</v>
      </c>
      <c r="Q418" s="11">
        <v>30</v>
      </c>
      <c r="R418" s="11">
        <f t="shared" si="685"/>
        <v>19.100000000000001</v>
      </c>
      <c r="S418" s="11" t="str">
        <f>VLOOKUP(K418,'1197 Salud'!$K$13:$AK$54,9,0)</f>
        <v>1. Se logró el  apoyo en la revisión de las actividades propuestas en la matriz del plan de acción de acuerdo a las competencias del equipo de sistemas de información de la secretaria de salud en lo referente a la construcción e implementación de las RIAS, proponiendo la modificación de las actividades relacionadas inicialmente, elaboración de la encuesta para el seguimiento de la implementación de las RIAS en las IPS´S, a través de un formulario de Google.
2. Se realizó el  seguimiento de evidencias  a las ESEs del departamento en la instalación y adecuación de los equipos entregados por la gobernación,  
3. Se logró  el levantamiento de las condiciones y requerimientos de la infraestructura tecnológica del  Fondo Rotatorio de Estupefacientes de Cundinamarca, como soporte del proceso de venta y distribución de medicamentos controlados.
4. Se realizó el proceso de contratación del mantenimiento y soporte del sistema de gestión documental "DATADOC", utilizado por la dirección administrativa y financiera de la Secretaria de Salud.  
5. Se realizó la entrega y seguimiento de 1344 computadores para la optimización de la prestación del servicio, procesamiento de información y fortalecimiento de la infraestructura tecnológica en los hospitales de la red pública departamental, que serán insumo fundamental para cada una de las etapas del proceso de vacunación contra el Covid-19. 
6. Se logró la depuración y adaptación de los datos referentes a las dosis entregadas, dosis aplicadas y discriminación de primeras y segundas dosis, por cada uno de los Municipios del Departamento, del proceso de vacunación contra la covid-19, para el cargue de la información a la base de datos de la plataforma radar salud. 
7. Se realizó el levantamiento del inventario del software y la actualización de los servicios tics de la red pública del departamento, se da inicio a la nueva funcionalidad de la plataforma radar salud las cuales serán para el tema de brindar datos sobre el plan maestro de vacunación.
8. Se hizo entrega formal de los formatos de metadatos de los indicadores SALUDATA propuestos por el distrito además de  reuniones  de  TICs en la implementación de SALUD DATA DIGITAL a las redes  RED  DE SALUD NORORIENTE, NOROCCIDENTE,  RED REGIÓN DE SALUD MEDINA, RED REGIÓN DE SALUD SOACHA, REDES DE SABANA CENTRO, REDES DE SALUD BAJO MAGDALENA Y LA RED DE SALUD SUR. 
9. Se consolido el  soporte y seguimiento al aplicativo SIUS, Mango, ficha familiar y telemedicina, por parte de las ESES del departamento, garantizando la estabilidad y disponibilidad de la aplicación.
10. Se realizó apoyo en asistencia técnica en el modelo de prestación de servicios bajo la modalidad de telemedicina 2021 para centros de referencia en la nueva red pública de prestadores de salud del departamento de Cundinamarca. 
11. Se apoyó en la implementación del tablero de control crue y formulario uci, se realizó el seguimiento al proceso de adquisición de equipos, por parte de la dirección de IVC, para la implementación del fondo rotatorio de estupefacientes de Cundinamarca.</v>
      </c>
      <c r="T418" s="11">
        <v>10</v>
      </c>
      <c r="U418" s="11">
        <v>0</v>
      </c>
      <c r="V418" s="11">
        <v>10</v>
      </c>
      <c r="W418" s="11">
        <v>0</v>
      </c>
      <c r="X418" s="11">
        <v>10</v>
      </c>
      <c r="Y418" s="11">
        <v>0</v>
      </c>
      <c r="Z418" s="11">
        <v>10</v>
      </c>
      <c r="AA418" s="11" t="s">
        <v>2711</v>
      </c>
      <c r="AB418" s="11" t="s">
        <v>2712</v>
      </c>
      <c r="AC418" s="11" t="s">
        <v>2713</v>
      </c>
      <c r="AD418" s="11">
        <v>10</v>
      </c>
      <c r="AE418" s="11">
        <v>0</v>
      </c>
      <c r="AF418" s="11">
        <f>VLOOKUP(K418,'1197 Salud'!$K$13:$AK$54,22,0)</f>
        <v>9.1</v>
      </c>
      <c r="AG418" s="11">
        <f>VLOOKUP(K418,'1197 Salud'!$K$13:$AK$54,23,0)</f>
        <v>0</v>
      </c>
      <c r="AH418" s="11">
        <f t="shared" si="686"/>
        <v>9.1</v>
      </c>
      <c r="AI418" s="11" t="str">
        <f>VLOOKUP(K418,'1197 Salud'!$K$13:$AK$54,25,0)</f>
        <v>Plan de acción implementado</v>
      </c>
      <c r="AJ418" s="11" t="str">
        <f>VLOOKUP(K418,'1197 Salud'!$K$13:$AK$54,26,0)</f>
        <v xml:space="preserve">1. Se logró el  apoyo en la revisión de las actividades propuestas en la matriz del plan de acción de acuerdo a las competencias del equipo de sistemas de información de la secretaria de salud en lo referente a la construcción e implementación de las RIAS, proponiendo la modificación de las actividades relacionadas inicialmente, elaboración de la encuesta para el seguimiento de la implementación de las RIAS en las IPS´S, a través de un formulario de Google.
2.  Se realizó el  seguimiento de evidencias  a las ESEs del departamento en la instalación y adecuación de los equipos entregados por la gobernación,  
3. Se logró  el levantamiento de las condiciones y requerimientos de la infraestructura tecnológica del  Fondo Rotatorio de Estupefacientes de Cundinamarca, como soporte del proceso de venta y distribución de medicamentos controlados.
4.  Se realizó el proceso de contratación del mantenimiento y soporte del sistema de gestión documental "DATADOC", utilizado por la dirección administrativa y financiera de la Secretaria de Salud.  
5. Se realizó la entrega y seguimiento de 1344 computadores para la optimización de la prestación del servicio, procesamiento de información y fortalecimiento de la infraestructura tecnológica en los hospitales de la red pública departamental, que serán insumo fundamental para cada una de las etapas del proceso de vacunación contra el Covid-19. 
6. Se logró la depuración y adaptación de los datos referentes a las dosis entregadas, dosis aplicadas y discriminación de primeras y segundas dosis, por cada uno de los Municipios del Departamento, del proceso de vacunación contra la covid-19, para el cargue de la información a la base de datos de la plataforma radar salud. 
7. Se realizó el levantamiento del inventario del software y la actualización de los servicios tics de la red pública del departamento, se da inicio a la nueva funcionalidad de la plataforma radar salud las cuales serán para el tema de brindar datos sobre el plan maestro de vacunación.
8. Se hizo entrega formal de los formatos de metadatos de los indicadores SALUDATA propuestos por el distrito además de  reuniones  de  TICs en la implementación de SALUD DATA DIGITAL a las redes  RED  DE SALUD NORORIENTE, NOROCCIDENTE,  RED REGIÓN DE SALUD MEDINA, RED REGIÓN DE SALUD SOACHA, REDES DE SABANA CENTRO, REDES DE SALUD BAJO MAGDALENA Y LA RED DE SALUD SUR. 
9. Se consolido el  soporte y seguimiento al aplicativo SIUS, Mango, ficha familiar y telemedicina, por parte de las ESES del departamento, garantizando la estabilidad y disponibilidad de la aplicación. </v>
      </c>
      <c r="AK418" s="11" t="str">
        <f>VLOOKUP(K418,'1197 Salud'!$K$13:$AK$54,27,0)</f>
        <v xml:space="preserve">Levantamiento de informacion </v>
      </c>
      <c r="AL418" s="11">
        <v>5</v>
      </c>
      <c r="AM418" s="11">
        <v>0</v>
      </c>
      <c r="AN418" s="11">
        <v>5</v>
      </c>
      <c r="AO418" s="11">
        <v>0</v>
      </c>
      <c r="AP418" s="11">
        <v>0</v>
      </c>
      <c r="AQ418" s="11">
        <v>0</v>
      </c>
      <c r="AR418" s="51">
        <v>9906862374</v>
      </c>
      <c r="AS418" s="54">
        <v>0</v>
      </c>
      <c r="AT418" s="54">
        <f t="shared" si="636"/>
        <v>9906862374</v>
      </c>
      <c r="AU418" s="51">
        <v>9889317758</v>
      </c>
      <c r="AV418" s="243">
        <v>18427221140</v>
      </c>
      <c r="AW418" s="244"/>
      <c r="AX418" s="244"/>
      <c r="AY418" s="243">
        <v>6788359289</v>
      </c>
      <c r="AZ418" s="44">
        <f t="shared" si="687"/>
        <v>0.63666666666666671</v>
      </c>
      <c r="BA418" s="44">
        <v>0.33329999999999999</v>
      </c>
      <c r="BB418" s="44">
        <v>1</v>
      </c>
      <c r="BC418" s="44">
        <f t="shared" si="688"/>
        <v>0.33333333333333331</v>
      </c>
      <c r="BD418" s="44" cm="1">
        <f t="array" ref="BD418">_xlfn.IFS(AD418=0,"NA",AD418&gt;0,AH418/AD418)</f>
        <v>0.90999999999999992</v>
      </c>
      <c r="BE418" s="44">
        <f t="shared" si="689"/>
        <v>0.16666666666666666</v>
      </c>
      <c r="BF418" s="44">
        <v>0</v>
      </c>
      <c r="BG418" s="44">
        <f t="shared" si="690"/>
        <v>0.16666666666666666</v>
      </c>
      <c r="BH418" s="44">
        <v>0</v>
      </c>
      <c r="BI418" s="44">
        <f t="shared" si="691"/>
        <v>0</v>
      </c>
      <c r="BJ418" s="44" t="s">
        <v>115</v>
      </c>
      <c r="BK418" s="44">
        <f t="shared" si="640"/>
        <v>0.63666666666666671</v>
      </c>
      <c r="BL418" s="44">
        <v>1</v>
      </c>
      <c r="BM418" s="44" cm="1">
        <f t="array" ref="BM418">_xlfn.IFS(BD418="NA","NA",BD418&gt;100%,"100%",BD418&lt;100,BD418)</f>
        <v>0.90999999999999992</v>
      </c>
      <c r="BN418" s="44" cm="1">
        <f t="array" ref="BN418">_xlfn.IFS(BF418="NA","NA",BF418&gt;100%,"100%",BF418&lt;100,BF418)</f>
        <v>0</v>
      </c>
      <c r="BO418" s="44" cm="1">
        <f t="array" ref="BO418">_xlfn.IFS(BH418="NA","NA",BH418&gt;100%,"100%",BH418&lt;100,BH418)</f>
        <v>0</v>
      </c>
      <c r="BP418" s="44" t="str" cm="1">
        <f t="array" ref="BP418">_xlfn.IFS(BJ418="NA","NA",BJ418&gt;100%,"100%",BJ418&lt;100,BJ418)</f>
        <v>NA</v>
      </c>
      <c r="BQ418" s="45">
        <v>0.224</v>
      </c>
      <c r="BR418" s="45">
        <f t="shared" si="651"/>
        <v>0.14261333333333334</v>
      </c>
      <c r="BS418" s="45">
        <v>7.4700000000000003E-2</v>
      </c>
      <c r="BT418" s="45">
        <v>7.4700000000000003E-2</v>
      </c>
      <c r="BU418" s="45">
        <v>7.4700000000000003E-2</v>
      </c>
      <c r="BV418" s="45">
        <f t="shared" si="692"/>
        <v>7.4666666666666673E-2</v>
      </c>
      <c r="BW418" s="45">
        <f t="shared" si="652"/>
        <v>6.7946666666666669E-2</v>
      </c>
      <c r="BX418" s="45">
        <f t="shared" si="653"/>
        <v>6.7913333333333339E-2</v>
      </c>
      <c r="BY418" s="45">
        <f t="shared" si="693"/>
        <v>3.7333333333333336E-2</v>
      </c>
      <c r="BZ418" s="45">
        <f t="shared" si="694"/>
        <v>0</v>
      </c>
      <c r="CA418" s="45">
        <f t="shared" si="634"/>
        <v>0</v>
      </c>
      <c r="CB418" s="45">
        <f t="shared" si="695"/>
        <v>3.7333333333333336E-2</v>
      </c>
      <c r="CC418" s="45">
        <f t="shared" si="696"/>
        <v>0</v>
      </c>
      <c r="CD418" s="45">
        <v>0</v>
      </c>
      <c r="CE418" s="45">
        <f t="shared" si="697"/>
        <v>0</v>
      </c>
      <c r="CF418" s="45" t="str">
        <f t="shared" si="698"/>
        <v>NA</v>
      </c>
      <c r="CG418" s="45">
        <v>0</v>
      </c>
      <c r="CH418" s="244"/>
      <c r="CI418" s="244"/>
      <c r="CJ418" s="244"/>
      <c r="CK418" s="244"/>
      <c r="CM418" s="63">
        <v>16.66</v>
      </c>
    </row>
    <row r="419" spans="1:91" ht="18" hidden="1" customHeight="1">
      <c r="A419" s="260" t="s">
        <v>1434</v>
      </c>
      <c r="B419" s="260" t="s">
        <v>1435</v>
      </c>
      <c r="C419" s="260" t="s">
        <v>2371</v>
      </c>
      <c r="D419" s="260" t="s">
        <v>2702</v>
      </c>
      <c r="E419" s="260" t="s">
        <v>2703</v>
      </c>
      <c r="F419" s="260" t="s">
        <v>2704</v>
      </c>
      <c r="G419" s="260" t="s">
        <v>2705</v>
      </c>
      <c r="H419" s="260" t="s">
        <v>2714</v>
      </c>
      <c r="I419" s="260"/>
      <c r="J419" s="260"/>
      <c r="K419" s="260" t="s">
        <v>2715</v>
      </c>
      <c r="L419" s="260" t="s">
        <v>2716</v>
      </c>
      <c r="M419" s="260" t="s">
        <v>2717</v>
      </c>
      <c r="N419" s="260" t="s">
        <v>123</v>
      </c>
      <c r="O419" s="260" t="s">
        <v>124</v>
      </c>
      <c r="P419" s="10">
        <v>100</v>
      </c>
      <c r="Q419" s="11">
        <v>100</v>
      </c>
      <c r="R419" s="11">
        <f t="shared" ref="R419:R422" si="699">(Z419+AH419)/CL419</f>
        <v>50</v>
      </c>
      <c r="S419" s="11" t="str">
        <f>VLOOKUP(K419,'1128 TICS'!$K$13:$AK$27,9,0)</f>
        <v>Articulación con 25 dependencias del sector central de la Gobernación de Cundinamarca, se desarrollaron actividades de capacitación, soporte técnico en micrositios del portal web institucional, y revisión de proyectos TIC.</v>
      </c>
      <c r="T419" s="11">
        <v>0</v>
      </c>
      <c r="U419" s="11">
        <v>100</v>
      </c>
      <c r="V419" s="11">
        <v>0</v>
      </c>
      <c r="W419" s="11">
        <v>100</v>
      </c>
      <c r="X419" s="11" t="s">
        <v>115</v>
      </c>
      <c r="Y419" s="11">
        <v>100</v>
      </c>
      <c r="Z419" s="11">
        <v>100</v>
      </c>
      <c r="AA419" s="11" t="s">
        <v>2718</v>
      </c>
      <c r="AB419" s="11" t="s">
        <v>2719</v>
      </c>
      <c r="AC419" s="11">
        <v>0</v>
      </c>
      <c r="AD419" s="11">
        <v>0</v>
      </c>
      <c r="AE419" s="11">
        <v>100</v>
      </c>
      <c r="AF419" s="11">
        <f>VLOOKUP(K419,'1128 TICS'!$K$13:$AK$27,22,0)</f>
        <v>0</v>
      </c>
      <c r="AG419" s="11">
        <f>VLOOKUP(K419,'1128 TICS'!$K$13:$AK$27,23,0)</f>
        <v>100</v>
      </c>
      <c r="AH419" s="11">
        <f t="shared" ref="AH419:AH421" si="700">AG419</f>
        <v>100</v>
      </c>
      <c r="AI419" s="11" t="str">
        <f>VLOOKUP(K419,'1128 TICS'!$K$13:$AK$27,25,0)</f>
        <v>Todas las 26 entidades del departamento se han atendido con capacitación en temas de Gobierno Digital</v>
      </c>
      <c r="AJ419" s="11" t="str">
        <f>VLOOKUP(K419,'1128 TICS'!$K$13:$AK$27,26,0)</f>
        <v>Todas las 26 entidades del departamento se han atendido con capacitación en temas de Gobierno Digital</v>
      </c>
      <c r="AK419" s="11">
        <f>VLOOKUP(K419,'1128 TICS'!$K$13:$AK$27,27,0)</f>
        <v>0</v>
      </c>
      <c r="AL419" s="11">
        <v>0</v>
      </c>
      <c r="AM419" s="11">
        <v>100</v>
      </c>
      <c r="AN419" s="11">
        <v>0</v>
      </c>
      <c r="AO419" s="11">
        <v>100</v>
      </c>
      <c r="AP419" s="11">
        <v>0</v>
      </c>
      <c r="AQ419" s="11">
        <v>0</v>
      </c>
      <c r="AR419" s="51">
        <v>262500000</v>
      </c>
      <c r="AS419" s="54">
        <v>0</v>
      </c>
      <c r="AT419" s="54">
        <f t="shared" si="636"/>
        <v>262500000</v>
      </c>
      <c r="AU419" s="51">
        <v>262466667</v>
      </c>
      <c r="AV419" s="243">
        <v>474000000</v>
      </c>
      <c r="AW419" s="244"/>
      <c r="AX419" s="244"/>
      <c r="AY419" s="243">
        <v>80330000</v>
      </c>
      <c r="AZ419" s="44" cm="1">
        <f t="array" ref="AZ419">_xlfn.IFS((BA419=0),(BD419/CL419),(BA419&gt;0),((BB419+BD419)/CL419),(BE419&gt;0),((BB419+BD419+BE419)/CL419),(BG419&gt;0),((BB419+BD419+BE419+G419)/CL419))</f>
        <v>0.5</v>
      </c>
      <c r="BA419" s="44">
        <v>0.25</v>
      </c>
      <c r="BB419" s="44">
        <v>1</v>
      </c>
      <c r="BC419" s="44">
        <f t="shared" ref="BC419:BC423" si="701">IF(AE419&gt;0,(1/CL419),0)</f>
        <v>0.25</v>
      </c>
      <c r="BD419" s="44" cm="1">
        <f t="array" ref="BD419">_xlfn.IFS(AE419=0,"NA",AE419&gt;0,AH419/AE419)</f>
        <v>1</v>
      </c>
      <c r="BE419" s="44">
        <f t="shared" ref="BE419:BE423" si="702">IF(AM419&gt;0,(1/CL419),0)</f>
        <v>0.25</v>
      </c>
      <c r="BF419" s="44">
        <v>0</v>
      </c>
      <c r="BG419" s="44">
        <f t="shared" ref="BG419:BG423" si="703">IF(AO419&gt;0,(1/CL419),0)</f>
        <v>0.25</v>
      </c>
      <c r="BH419" s="44">
        <v>0</v>
      </c>
      <c r="BI419" s="44">
        <v>0</v>
      </c>
      <c r="BJ419" s="44" t="s">
        <v>115</v>
      </c>
      <c r="BK419" s="44">
        <f t="shared" si="640"/>
        <v>0.5</v>
      </c>
      <c r="BL419" s="44">
        <v>1</v>
      </c>
      <c r="BM419" s="44" cm="1">
        <f t="array" ref="BM419">_xlfn.IFS(BD419="NA","NA",BD419&gt;100%,"100%",BD419&lt;100,BD419)</f>
        <v>1</v>
      </c>
      <c r="BN419" s="44">
        <v>0</v>
      </c>
      <c r="BO419" s="44">
        <v>0</v>
      </c>
      <c r="BP419" s="44" t="s">
        <v>115</v>
      </c>
      <c r="BQ419" s="45">
        <v>0.224</v>
      </c>
      <c r="BR419" s="45">
        <f t="shared" si="651"/>
        <v>0.112</v>
      </c>
      <c r="BS419" s="45">
        <v>5.6000000000000001E-2</v>
      </c>
      <c r="BT419" s="45">
        <v>5.6000000000000001E-2</v>
      </c>
      <c r="BU419" s="45">
        <v>5.6000000000000001E-2</v>
      </c>
      <c r="BV419" s="45">
        <v>5.6000000000000001E-2</v>
      </c>
      <c r="BW419" s="45">
        <f t="shared" si="652"/>
        <v>5.6000000000000001E-2</v>
      </c>
      <c r="BX419" s="45">
        <f t="shared" si="653"/>
        <v>5.6000000000000001E-2</v>
      </c>
      <c r="BY419" s="45">
        <v>5.6000000000000001E-2</v>
      </c>
      <c r="BZ419" s="45">
        <v>0</v>
      </c>
      <c r="CA419" s="45">
        <f t="shared" si="634"/>
        <v>0</v>
      </c>
      <c r="CB419" s="45">
        <v>5.6000000000000001E-2</v>
      </c>
      <c r="CC419" s="45">
        <v>0</v>
      </c>
      <c r="CD419" s="45">
        <v>0</v>
      </c>
      <c r="CE419" s="45">
        <v>0</v>
      </c>
      <c r="CF419" s="45" t="s">
        <v>115</v>
      </c>
      <c r="CG419" s="45">
        <v>0</v>
      </c>
      <c r="CH419" s="244">
        <f t="shared" ref="CH419:CH422" si="704">IF(W419&gt;0,1,0)</f>
        <v>1</v>
      </c>
      <c r="CI419" s="244">
        <f t="shared" ref="CI419:CI423" si="705">IF(AE419&gt;0,1,0)</f>
        <v>1</v>
      </c>
      <c r="CJ419" s="244">
        <f t="shared" ref="CJ419:CJ423" si="706">IF(AM419&gt;0,1,0)</f>
        <v>1</v>
      </c>
      <c r="CK419" s="244">
        <f t="shared" ref="CK419:CK423" si="707">IF(AO419&gt;0,1,0)</f>
        <v>1</v>
      </c>
      <c r="CL419">
        <f t="shared" ref="CL419:CL423" si="708">CH419+CI419+CJ419+CK419</f>
        <v>4</v>
      </c>
      <c r="CM419" s="63">
        <f t="shared" ref="CM419:CM423" si="709">AVERAGE(Z419,AH419)</f>
        <v>100</v>
      </c>
    </row>
    <row r="420" spans="1:91" ht="18" hidden="1" customHeight="1">
      <c r="A420" s="260" t="s">
        <v>1434</v>
      </c>
      <c r="B420" s="260" t="s">
        <v>1435</v>
      </c>
      <c r="C420" s="260" t="s">
        <v>2371</v>
      </c>
      <c r="D420" s="260" t="s">
        <v>2702</v>
      </c>
      <c r="E420" s="260" t="s">
        <v>2703</v>
      </c>
      <c r="F420" s="260" t="s">
        <v>2704</v>
      </c>
      <c r="G420" s="260" t="s">
        <v>2705</v>
      </c>
      <c r="H420" s="260" t="s">
        <v>2720</v>
      </c>
      <c r="I420" s="260"/>
      <c r="J420" s="260"/>
      <c r="K420" s="260" t="s">
        <v>2721</v>
      </c>
      <c r="L420" s="260" t="s">
        <v>2722</v>
      </c>
      <c r="M420" s="260" t="s">
        <v>2723</v>
      </c>
      <c r="N420" s="260" t="s">
        <v>111</v>
      </c>
      <c r="O420" s="260" t="s">
        <v>124</v>
      </c>
      <c r="P420" s="10">
        <v>116</v>
      </c>
      <c r="Q420" s="11">
        <v>116</v>
      </c>
      <c r="R420" s="11">
        <f t="shared" si="699"/>
        <v>58</v>
      </c>
      <c r="S420" s="11" t="str">
        <f>VLOOKUP(K420,'1128 TICS'!$K$13:$AK$27,9,0)</f>
        <v>Se desarrollan capacitaciones, relacionadas con los componentes de la Política de Gobierno Digital, en todos los Municipios del Departamento</v>
      </c>
      <c r="T420" s="11">
        <v>0</v>
      </c>
      <c r="U420" s="11">
        <v>116</v>
      </c>
      <c r="V420" s="11">
        <v>0</v>
      </c>
      <c r="W420" s="11">
        <v>116</v>
      </c>
      <c r="X420" s="11" t="s">
        <v>115</v>
      </c>
      <c r="Y420" s="11">
        <v>116</v>
      </c>
      <c r="Z420" s="11">
        <v>116</v>
      </c>
      <c r="AA420" s="11" t="s">
        <v>2724</v>
      </c>
      <c r="AB420" s="11" t="s">
        <v>2725</v>
      </c>
      <c r="AC420" s="11">
        <v>0</v>
      </c>
      <c r="AD420" s="11">
        <v>0</v>
      </c>
      <c r="AE420" s="11">
        <v>116</v>
      </c>
      <c r="AF420" s="11">
        <f>VLOOKUP(K420,'1128 TICS'!$K$13:$AK$27,22,0)</f>
        <v>0</v>
      </c>
      <c r="AG420" s="11">
        <f>VLOOKUP(K420,'1128 TICS'!$K$13:$AK$27,23,0)</f>
        <v>116</v>
      </c>
      <c r="AH420" s="11">
        <f t="shared" si="700"/>
        <v>116</v>
      </c>
      <c r="AI420" s="11" t="str">
        <f>VLOOKUP(K420,'1128 TICS'!$K$13:$AK$27,25,0)</f>
        <v>Se han atendido las solicitudes efectuadas por los 116 municipios</v>
      </c>
      <c r="AJ420" s="11" t="str">
        <f>VLOOKUP(K420,'1128 TICS'!$K$13:$AK$27,26,0)</f>
        <v>Se han atendido las solicitudes efectuadas por los 116 municipios</v>
      </c>
      <c r="AK420" s="11">
        <f>VLOOKUP(K420,'1128 TICS'!$K$13:$AK$27,27,0)</f>
        <v>0</v>
      </c>
      <c r="AL420" s="11">
        <v>0</v>
      </c>
      <c r="AM420" s="11">
        <v>116</v>
      </c>
      <c r="AN420" s="11">
        <v>0</v>
      </c>
      <c r="AO420" s="11">
        <v>116</v>
      </c>
      <c r="AP420" s="11">
        <v>0</v>
      </c>
      <c r="AQ420" s="11">
        <v>0</v>
      </c>
      <c r="AR420" s="51">
        <v>26385545</v>
      </c>
      <c r="AS420" s="54">
        <v>0</v>
      </c>
      <c r="AT420" s="54">
        <f t="shared" si="636"/>
        <v>26385545</v>
      </c>
      <c r="AU420" s="51">
        <v>26385545</v>
      </c>
      <c r="AV420" s="243">
        <v>130000000</v>
      </c>
      <c r="AW420" s="244"/>
      <c r="AX420" s="244"/>
      <c r="AY420" s="243">
        <v>109756266</v>
      </c>
      <c r="AZ420" s="44" cm="1">
        <f t="array" ref="AZ420">_xlfn.IFS((BA420=0),(BD420/CL420),(BA420&gt;0),((BB420+BD420)/CL420),(BE420&gt;0),((BB420+BD420+BE420)/CL420),(BG420&gt;0),((BB420+BD420+BE420+G420)/CL420))</f>
        <v>0.5</v>
      </c>
      <c r="BA420" s="44">
        <v>0.25</v>
      </c>
      <c r="BB420" s="44">
        <v>1</v>
      </c>
      <c r="BC420" s="44">
        <f t="shared" si="701"/>
        <v>0.25</v>
      </c>
      <c r="BD420" s="44" cm="1">
        <f t="array" ref="BD420">_xlfn.IFS(AE420=0,"NA",AE420&gt;0,AH420/AE420)</f>
        <v>1</v>
      </c>
      <c r="BE420" s="44">
        <f t="shared" si="702"/>
        <v>0.25</v>
      </c>
      <c r="BF420" s="44">
        <v>0</v>
      </c>
      <c r="BG420" s="44">
        <f t="shared" si="703"/>
        <v>0.25</v>
      </c>
      <c r="BH420" s="44">
        <v>0</v>
      </c>
      <c r="BI420" s="44">
        <v>0</v>
      </c>
      <c r="BJ420" s="44" t="s">
        <v>115</v>
      </c>
      <c r="BK420" s="44">
        <f t="shared" si="640"/>
        <v>0.5</v>
      </c>
      <c r="BL420" s="44">
        <v>1</v>
      </c>
      <c r="BM420" s="44" cm="1">
        <f t="array" ref="BM420">_xlfn.IFS(BD420="NA","NA",BD420&gt;100%,"100%",BD420&lt;100,BD420)</f>
        <v>1</v>
      </c>
      <c r="BN420" s="44">
        <v>0</v>
      </c>
      <c r="BO420" s="44">
        <v>0</v>
      </c>
      <c r="BP420" s="44" t="s">
        <v>115</v>
      </c>
      <c r="BQ420" s="45">
        <v>0.224</v>
      </c>
      <c r="BR420" s="45">
        <f t="shared" si="651"/>
        <v>0.112</v>
      </c>
      <c r="BS420" s="45">
        <v>5.6000000000000001E-2</v>
      </c>
      <c r="BT420" s="45">
        <v>5.6000000000000001E-2</v>
      </c>
      <c r="BU420" s="45">
        <v>5.6000000000000001E-2</v>
      </c>
      <c r="BV420" s="45">
        <v>5.6000000000000001E-2</v>
      </c>
      <c r="BW420" s="45">
        <f t="shared" si="652"/>
        <v>5.6000000000000001E-2</v>
      </c>
      <c r="BX420" s="45">
        <f t="shared" si="653"/>
        <v>5.6000000000000001E-2</v>
      </c>
      <c r="BY420" s="45">
        <v>5.6000000000000001E-2</v>
      </c>
      <c r="BZ420" s="45">
        <v>0</v>
      </c>
      <c r="CA420" s="45">
        <f t="shared" si="634"/>
        <v>0</v>
      </c>
      <c r="CB420" s="45">
        <v>5.6000000000000001E-2</v>
      </c>
      <c r="CC420" s="45">
        <v>0</v>
      </c>
      <c r="CD420" s="45">
        <v>0</v>
      </c>
      <c r="CE420" s="45">
        <v>0</v>
      </c>
      <c r="CF420" s="45" t="s">
        <v>115</v>
      </c>
      <c r="CG420" s="45">
        <v>0</v>
      </c>
      <c r="CH420" s="244">
        <f t="shared" si="704"/>
        <v>1</v>
      </c>
      <c r="CI420" s="244">
        <f t="shared" si="705"/>
        <v>1</v>
      </c>
      <c r="CJ420" s="244">
        <f t="shared" si="706"/>
        <v>1</v>
      </c>
      <c r="CK420" s="244">
        <f t="shared" si="707"/>
        <v>1</v>
      </c>
      <c r="CL420">
        <f t="shared" si="708"/>
        <v>4</v>
      </c>
      <c r="CM420" s="63">
        <f t="shared" si="709"/>
        <v>116</v>
      </c>
    </row>
    <row r="421" spans="1:91" ht="18" hidden="1" customHeight="1">
      <c r="A421" s="260" t="s">
        <v>1434</v>
      </c>
      <c r="B421" s="260" t="s">
        <v>1435</v>
      </c>
      <c r="C421" s="260" t="s">
        <v>2371</v>
      </c>
      <c r="D421" s="260" t="s">
        <v>2702</v>
      </c>
      <c r="E421" s="260" t="s">
        <v>2703</v>
      </c>
      <c r="F421" s="260" t="s">
        <v>2704</v>
      </c>
      <c r="G421" s="260" t="s">
        <v>2705</v>
      </c>
      <c r="H421" s="260" t="s">
        <v>2726</v>
      </c>
      <c r="I421" s="260"/>
      <c r="J421" s="260"/>
      <c r="K421" s="260" t="s">
        <v>2727</v>
      </c>
      <c r="L421" s="260" t="s">
        <v>2728</v>
      </c>
      <c r="M421" s="260" t="s">
        <v>2729</v>
      </c>
      <c r="N421" s="260" t="s">
        <v>111</v>
      </c>
      <c r="O421" s="260" t="s">
        <v>124</v>
      </c>
      <c r="P421" s="10">
        <v>9</v>
      </c>
      <c r="Q421" s="11">
        <v>9</v>
      </c>
      <c r="R421" s="11">
        <f t="shared" si="699"/>
        <v>4.5</v>
      </c>
      <c r="S421" s="11" t="str">
        <f>VLOOKUP(K421,'1128 TICS'!$K$13:$AK$27,9,0)</f>
        <v>Se han mantenido disponibles los servicios soportados en los sistemas de información: mercurio, isolución, Sistema de seguimiento al plan de desarrollo,  kactus, SAGA, integración registraduría, supervisa y banco de proyectos.</v>
      </c>
      <c r="T421" s="11">
        <v>0</v>
      </c>
      <c r="U421" s="11">
        <v>9</v>
      </c>
      <c r="V421" s="11">
        <v>0</v>
      </c>
      <c r="W421" s="11">
        <v>9</v>
      </c>
      <c r="X421" s="11" t="s">
        <v>115</v>
      </c>
      <c r="Y421" s="11">
        <v>9</v>
      </c>
      <c r="Z421" s="11">
        <v>9</v>
      </c>
      <c r="AA421" s="11" t="s">
        <v>2730</v>
      </c>
      <c r="AB421" s="11" t="s">
        <v>2731</v>
      </c>
      <c r="AC421" s="11">
        <v>0</v>
      </c>
      <c r="AD421" s="11">
        <v>0</v>
      </c>
      <c r="AE421" s="11">
        <v>9</v>
      </c>
      <c r="AF421" s="11">
        <f>VLOOKUP(K421,'1128 TICS'!$K$13:$AK$27,22,0)</f>
        <v>0</v>
      </c>
      <c r="AG421" s="11">
        <f>VLOOKUP(K421,'1128 TICS'!$K$13:$AK$27,23,0)</f>
        <v>9</v>
      </c>
      <c r="AH421" s="11">
        <f t="shared" si="700"/>
        <v>9</v>
      </c>
      <c r="AI421" s="11" t="str">
        <f>VLOOKUP(K421,'1128 TICS'!$K$13:$AK$27,25,0)</f>
        <v>Se han mantenido disponibles los servicios asociados a los 9  sistemas de información: 1. MERCURIO, 2. ISOLUCIÓN, 3. SISTEMA DE SEGUIMIENTO AL PLAN DE DESARROLLO, 4. KACTUS, 5. SAGA, 6. INTEGRACIÓN REGISTRADURÍA, 7. SUPERVISA, 8. BANCO DE PROYECTOS, 9. SWIM. Mediante la renovación de los contratos de soporte y mantenimiento con los proveedores y/o fabricantes. y la contratación del personal capacitado que brindan el soporte y administración de las plataformas que lo requieran.</v>
      </c>
      <c r="AJ421" s="11" t="str">
        <f>VLOOKUP(K421,'1128 TICS'!$K$13:$AK$27,26,0)</f>
        <v>Se han mantenido disponibles los servicios asociados a los 9  sistemas de información: 1. MERCURIO, 2. ISOLUCIÓN, 3. SISTEMA DE SEGUIMIENTO AL PLAN DE DESARROLLO, 4. KACTUS, 5. SAGA, 6. INTEGRACIÓN REGISTRADURÍA, 7. SUPERVISA, 8. BANCO DE PROYECTOS, 9. SWIM. Mediante la renovación de los contratos de soporte y mantenimiento con los proveedores y/o fabricantes. y la contratación del personal capacitado que brindan el soporte y administración de las plataformas que lo requieran.</v>
      </c>
      <c r="AK421" s="11">
        <f>VLOOKUP(K421,'1128 TICS'!$K$13:$AK$27,27,0)</f>
        <v>0</v>
      </c>
      <c r="AL421" s="11">
        <v>0</v>
      </c>
      <c r="AM421" s="11">
        <v>9</v>
      </c>
      <c r="AN421" s="11">
        <v>0</v>
      </c>
      <c r="AO421" s="11">
        <v>9</v>
      </c>
      <c r="AP421" s="11">
        <v>0</v>
      </c>
      <c r="AQ421" s="11">
        <v>0</v>
      </c>
      <c r="AR421" s="51">
        <v>546000000</v>
      </c>
      <c r="AS421" s="54">
        <v>0</v>
      </c>
      <c r="AT421" s="54">
        <f t="shared" si="636"/>
        <v>546000000</v>
      </c>
      <c r="AU421" s="51">
        <v>422692950</v>
      </c>
      <c r="AV421" s="243">
        <v>1550000000</v>
      </c>
      <c r="AW421" s="244"/>
      <c r="AX421" s="244"/>
      <c r="AY421" s="243">
        <v>1122627395</v>
      </c>
      <c r="AZ421" s="44" cm="1">
        <f t="array" ref="AZ421">_xlfn.IFS((BA421=0),(BD421/CL421),(BA421&gt;0),((BB421+BD421)/CL421),(BE421&gt;0),((BB421+BD421+BE421)/CL421),(BG421&gt;0),((BB421+BD421+BE421+G421)/CL421))</f>
        <v>0.5</v>
      </c>
      <c r="BA421" s="44">
        <v>0.25</v>
      </c>
      <c r="BB421" s="44">
        <v>1</v>
      </c>
      <c r="BC421" s="44">
        <f t="shared" si="701"/>
        <v>0.25</v>
      </c>
      <c r="BD421" s="44" cm="1">
        <f t="array" ref="BD421">_xlfn.IFS(AE421=0,"NA",AE421&gt;0,AH421/AE421)</f>
        <v>1</v>
      </c>
      <c r="BE421" s="44">
        <f t="shared" si="702"/>
        <v>0.25</v>
      </c>
      <c r="BF421" s="44">
        <v>0</v>
      </c>
      <c r="BG421" s="44">
        <f t="shared" si="703"/>
        <v>0.25</v>
      </c>
      <c r="BH421" s="44">
        <v>0</v>
      </c>
      <c r="BI421" s="44">
        <v>0</v>
      </c>
      <c r="BJ421" s="44" t="s">
        <v>115</v>
      </c>
      <c r="BK421" s="44">
        <f t="shared" si="640"/>
        <v>0.5</v>
      </c>
      <c r="BL421" s="44">
        <v>1</v>
      </c>
      <c r="BM421" s="44" cm="1">
        <f t="array" ref="BM421">_xlfn.IFS(BD421="NA","NA",BD421&gt;100%,"100%",BD421&lt;100,BD421)</f>
        <v>1</v>
      </c>
      <c r="BN421" s="44">
        <v>0</v>
      </c>
      <c r="BO421" s="44">
        <v>0</v>
      </c>
      <c r="BP421" s="44" t="s">
        <v>115</v>
      </c>
      <c r="BQ421" s="45">
        <v>0.224</v>
      </c>
      <c r="BR421" s="45">
        <f t="shared" si="651"/>
        <v>0.112</v>
      </c>
      <c r="BS421" s="45">
        <v>5.6000000000000001E-2</v>
      </c>
      <c r="BT421" s="45">
        <v>5.6000000000000001E-2</v>
      </c>
      <c r="BU421" s="45">
        <v>5.6000000000000001E-2</v>
      </c>
      <c r="BV421" s="45">
        <v>5.6000000000000001E-2</v>
      </c>
      <c r="BW421" s="45">
        <f t="shared" si="652"/>
        <v>5.6000000000000001E-2</v>
      </c>
      <c r="BX421" s="45">
        <f t="shared" si="653"/>
        <v>5.6000000000000001E-2</v>
      </c>
      <c r="BY421" s="45">
        <v>5.6000000000000001E-2</v>
      </c>
      <c r="BZ421" s="45">
        <v>0</v>
      </c>
      <c r="CA421" s="45">
        <f t="shared" si="634"/>
        <v>0</v>
      </c>
      <c r="CB421" s="45">
        <v>5.6000000000000001E-2</v>
      </c>
      <c r="CC421" s="45">
        <v>0</v>
      </c>
      <c r="CD421" s="45">
        <v>0</v>
      </c>
      <c r="CE421" s="45">
        <v>0</v>
      </c>
      <c r="CF421" s="45" t="s">
        <v>115</v>
      </c>
      <c r="CG421" s="45">
        <v>0</v>
      </c>
      <c r="CH421" s="244">
        <f t="shared" si="704"/>
        <v>1</v>
      </c>
      <c r="CI421" s="244">
        <f t="shared" si="705"/>
        <v>1</v>
      </c>
      <c r="CJ421" s="244">
        <f t="shared" si="706"/>
        <v>1</v>
      </c>
      <c r="CK421" s="244">
        <f t="shared" si="707"/>
        <v>1</v>
      </c>
      <c r="CL421">
        <f t="shared" si="708"/>
        <v>4</v>
      </c>
      <c r="CM421" s="63">
        <f t="shared" si="709"/>
        <v>9</v>
      </c>
    </row>
    <row r="422" spans="1:91" ht="18" hidden="1" customHeight="1">
      <c r="A422" s="260" t="s">
        <v>1434</v>
      </c>
      <c r="B422" s="260" t="s">
        <v>1435</v>
      </c>
      <c r="C422" s="260" t="s">
        <v>2371</v>
      </c>
      <c r="D422" s="260" t="s">
        <v>2702</v>
      </c>
      <c r="E422" s="260" t="s">
        <v>2703</v>
      </c>
      <c r="F422" s="260" t="s">
        <v>2704</v>
      </c>
      <c r="G422" s="260" t="s">
        <v>2705</v>
      </c>
      <c r="H422" s="260" t="s">
        <v>2732</v>
      </c>
      <c r="I422" s="260"/>
      <c r="J422" s="260"/>
      <c r="K422" s="260" t="s">
        <v>2733</v>
      </c>
      <c r="L422" s="260" t="s">
        <v>2734</v>
      </c>
      <c r="M422" s="260" t="s">
        <v>2735</v>
      </c>
      <c r="N422" s="260" t="s">
        <v>111</v>
      </c>
      <c r="O422" s="260" t="s">
        <v>124</v>
      </c>
      <c r="P422" s="10">
        <v>1</v>
      </c>
      <c r="Q422" s="11">
        <v>1</v>
      </c>
      <c r="R422" s="11">
        <f t="shared" si="699"/>
        <v>0.5</v>
      </c>
      <c r="S422" s="11" t="str">
        <f>VLOOKUP(K422,'1128 TICS'!$K$13:$AK$27,9,0)</f>
        <v>Se ha dado continuidad a la atención de requerimientos por concepto técnico o de viabilidad técnica de proyectos estructurados por dependencias del sector central desde la PMO.
Se avanza con actividades incluidas en plan de actualización del Petic.</v>
      </c>
      <c r="T422" s="11">
        <v>0.05</v>
      </c>
      <c r="U422" s="11">
        <v>0</v>
      </c>
      <c r="V422" s="337">
        <v>0</v>
      </c>
      <c r="W422" s="337">
        <v>1</v>
      </c>
      <c r="X422" s="337">
        <v>0</v>
      </c>
      <c r="Y422" s="337">
        <v>1</v>
      </c>
      <c r="Z422" s="337">
        <v>1</v>
      </c>
      <c r="AA422" s="11"/>
      <c r="AB422" s="11"/>
      <c r="AC422" s="11"/>
      <c r="AD422" s="11">
        <v>0</v>
      </c>
      <c r="AE422" s="11">
        <v>1</v>
      </c>
      <c r="AF422" s="11">
        <f>VLOOKUP(K422,'1128 TICS'!$K$13:$AK$27,22,0)</f>
        <v>0</v>
      </c>
      <c r="AG422" s="11">
        <f>VLOOKUP(K422,'1128 TICS'!$K$13:$AK$27,23,0)</f>
        <v>1</v>
      </c>
      <c r="AH422" s="11">
        <f>AG422</f>
        <v>1</v>
      </c>
      <c r="AI422" s="11" t="str">
        <f>VLOOKUP(K422,'1128 TICS'!$K$13:$AK$27,25,0)</f>
        <v>Se han atendido requerimientos por concepto técnico o de viabilidad técnica de proyectos estructurados por entidades del sector central.</v>
      </c>
      <c r="AJ422" s="11" t="str">
        <f>VLOOKUP(K422,'1128 TICS'!$K$13:$AK$27,26,0)</f>
        <v>Se han atendido requerimientos por concepto técnico o de viabilidad técnica de proyectos estructurados por entidades del sector central.</v>
      </c>
      <c r="AK422" s="11">
        <f>VLOOKUP(K422,'1128 TICS'!$K$13:$AK$27,27,0)</f>
        <v>0</v>
      </c>
      <c r="AL422" s="11">
        <v>0</v>
      </c>
      <c r="AM422" s="11">
        <v>1</v>
      </c>
      <c r="AN422" s="11">
        <v>0</v>
      </c>
      <c r="AO422" s="11">
        <v>1</v>
      </c>
      <c r="AP422" s="11">
        <v>0</v>
      </c>
      <c r="AQ422" s="11">
        <v>0</v>
      </c>
      <c r="AR422" s="52"/>
      <c r="AS422" s="54">
        <v>0</v>
      </c>
      <c r="AT422" s="54">
        <f t="shared" si="636"/>
        <v>0</v>
      </c>
      <c r="AU422" s="52"/>
      <c r="AV422" s="243">
        <v>130000000</v>
      </c>
      <c r="AW422" s="244"/>
      <c r="AX422" s="244"/>
      <c r="AY422" s="243">
        <v>69133333</v>
      </c>
      <c r="AZ422" s="44" cm="1">
        <f t="array" ref="AZ422">_xlfn.IFS((BA422=0),(BD422/CL422),(BA422&gt;0),((BB422+BD422)/CL422),(BE422&gt;0),((BB422+BD422+BE422)/CL422),(BG422&gt;0),((BB422+BD422+BE422+G422)/CL422))</f>
        <v>0.5</v>
      </c>
      <c r="BA422" s="44">
        <v>0.25</v>
      </c>
      <c r="BB422" s="44">
        <v>1</v>
      </c>
      <c r="BC422" s="44">
        <f t="shared" si="701"/>
        <v>0.25</v>
      </c>
      <c r="BD422" s="44" cm="1">
        <f t="array" ref="BD422">_xlfn.IFS(AE422=0,"NA",AE422&gt;0,AH422/AE422)</f>
        <v>1</v>
      </c>
      <c r="BE422" s="44">
        <f t="shared" si="702"/>
        <v>0.25</v>
      </c>
      <c r="BF422" s="44">
        <v>0</v>
      </c>
      <c r="BG422" s="44">
        <f t="shared" si="703"/>
        <v>0.25</v>
      </c>
      <c r="BH422" s="44">
        <v>0</v>
      </c>
      <c r="BI422" s="44">
        <f>AP422/Q422</f>
        <v>0</v>
      </c>
      <c r="BJ422" s="44" t="s">
        <v>115</v>
      </c>
      <c r="BK422" s="44">
        <f t="shared" si="640"/>
        <v>0.5</v>
      </c>
      <c r="BL422" s="44">
        <v>0</v>
      </c>
      <c r="BM422" s="44" cm="1">
        <f t="array" ref="BM422">_xlfn.IFS(BD422="NA","NA",BD422&gt;100%,"100%",BD422&lt;100,BD422)</f>
        <v>1</v>
      </c>
      <c r="BN422" s="44" cm="1">
        <f t="array" ref="BN422">_xlfn.IFS(BF422="NA","NA",BF422&gt;100%,"100%",BF422&lt;100,BF422)</f>
        <v>0</v>
      </c>
      <c r="BO422" s="44" cm="1">
        <f t="array" ref="BO422">_xlfn.IFS(BH422="NA","NA",BH422&gt;100%,"100%",BH422&lt;100,BH422)</f>
        <v>0</v>
      </c>
      <c r="BP422" s="44" t="str" cm="1">
        <f t="array" ref="BP422">_xlfn.IFS(BJ422="NA","NA",BJ422&gt;100%,"100%",BJ422&lt;100,BJ422)</f>
        <v>NA</v>
      </c>
      <c r="BQ422" s="45">
        <v>0.224</v>
      </c>
      <c r="BR422" s="45">
        <f t="shared" si="651"/>
        <v>0.112</v>
      </c>
      <c r="BS422" s="262">
        <v>5.6000000000000001E-2</v>
      </c>
      <c r="BT422" s="45">
        <v>5.6000000000000001E-2</v>
      </c>
      <c r="BU422" s="45">
        <v>5.6000000000000001E-2</v>
      </c>
      <c r="BV422" s="262">
        <v>5.6000000000000001E-2</v>
      </c>
      <c r="BW422" s="45">
        <f t="shared" si="652"/>
        <v>5.6000000000000001E-2</v>
      </c>
      <c r="BX422" s="45">
        <f>BR422-BU422</f>
        <v>5.6000000000000001E-2</v>
      </c>
      <c r="BY422" s="262">
        <v>5.6000000000000001E-2</v>
      </c>
      <c r="BZ422" s="45">
        <f>IF(BN422="NA","NA",BN422*BY422)</f>
        <v>0</v>
      </c>
      <c r="CA422" s="45">
        <f t="shared" si="634"/>
        <v>0</v>
      </c>
      <c r="CB422" s="262">
        <v>5.6000000000000001E-2</v>
      </c>
      <c r="CC422" s="45">
        <f>IF(BO422="NA","NA",BO422*CB422)</f>
        <v>0</v>
      </c>
      <c r="CD422" s="45">
        <v>0</v>
      </c>
      <c r="CE422" s="45">
        <f>(AP422*BQ422)/Q422</f>
        <v>0</v>
      </c>
      <c r="CF422" s="45" t="str">
        <f>IF(BP422="NA","NA",BP422*CE422)</f>
        <v>NA</v>
      </c>
      <c r="CG422" s="45">
        <v>0</v>
      </c>
      <c r="CH422" s="244">
        <f t="shared" si="704"/>
        <v>1</v>
      </c>
      <c r="CI422" s="244">
        <f t="shared" si="705"/>
        <v>1</v>
      </c>
      <c r="CJ422" s="244">
        <f t="shared" si="706"/>
        <v>1</v>
      </c>
      <c r="CK422" s="244">
        <f t="shared" si="707"/>
        <v>1</v>
      </c>
      <c r="CL422">
        <f t="shared" si="708"/>
        <v>4</v>
      </c>
      <c r="CM422" s="63">
        <f t="shared" si="709"/>
        <v>1</v>
      </c>
    </row>
    <row r="423" spans="1:91" ht="18" hidden="1" customHeight="1">
      <c r="A423" s="260" t="s">
        <v>1434</v>
      </c>
      <c r="B423" s="260" t="s">
        <v>1435</v>
      </c>
      <c r="C423" s="260" t="s">
        <v>2371</v>
      </c>
      <c r="D423" s="260" t="s">
        <v>2702</v>
      </c>
      <c r="E423" s="260" t="s">
        <v>2736</v>
      </c>
      <c r="F423" s="260" t="s">
        <v>2737</v>
      </c>
      <c r="G423" s="260" t="s">
        <v>2738</v>
      </c>
      <c r="H423" s="260" t="s">
        <v>2739</v>
      </c>
      <c r="I423" s="260"/>
      <c r="J423" s="260"/>
      <c r="K423" s="260" t="s">
        <v>2740</v>
      </c>
      <c r="L423" s="260" t="s">
        <v>2741</v>
      </c>
      <c r="M423" s="260" t="s">
        <v>2742</v>
      </c>
      <c r="N423" s="260" t="s">
        <v>123</v>
      </c>
      <c r="O423" s="260" t="s">
        <v>124</v>
      </c>
      <c r="P423" s="10">
        <v>0</v>
      </c>
      <c r="Q423" s="11">
        <v>100</v>
      </c>
      <c r="R423" s="11">
        <f>(100+AH423)/CL423</f>
        <v>50</v>
      </c>
      <c r="S423" s="11" t="str">
        <f>VLOOKUP(K423,'1128 TICS'!$K$13:$AK$27,9,0)</f>
        <v>SE EXTIENDE LA GARANTÍA DE LOS EQUIPOS DEL DATACENTER PRINCIPAL.  SE ADQUIRIERON CINTAS CINTAS BACKUP. Y SE ADJUDICÓ EL PROCESO EXTENSIÓN DE GARANTÍAS DE LA UNIDAD DE POTENCIA ININTERRUMPIDA (UPS) QUE ALIMENTA EL DATACENTER PRINCIPAL</v>
      </c>
      <c r="T423" s="11">
        <v>2</v>
      </c>
      <c r="U423" s="11">
        <v>0</v>
      </c>
      <c r="V423" s="11">
        <v>2</v>
      </c>
      <c r="W423" s="11">
        <v>0</v>
      </c>
      <c r="X423" s="11">
        <v>2</v>
      </c>
      <c r="Y423" s="11">
        <v>0</v>
      </c>
      <c r="Z423" s="11">
        <v>2</v>
      </c>
      <c r="AA423" s="11" t="s">
        <v>2743</v>
      </c>
      <c r="AB423" s="11" t="s">
        <v>2744</v>
      </c>
      <c r="AC423" s="11">
        <v>0</v>
      </c>
      <c r="AD423" s="11">
        <v>0</v>
      </c>
      <c r="AE423" s="11">
        <v>100</v>
      </c>
      <c r="AF423" s="11">
        <f>VLOOKUP(K423,'1128 TICS'!$K$13:$AK$27,22,0)</f>
        <v>0</v>
      </c>
      <c r="AG423" s="11">
        <f>VLOOKUP(K423,'1128 TICS'!$K$13:$AK$27,23,0)</f>
        <v>100</v>
      </c>
      <c r="AH423" s="11">
        <f>AG423</f>
        <v>100</v>
      </c>
      <c r="AI423" s="11" t="str">
        <f>VLOOKUP(K423,'1128 TICS'!$K$13:$AK$27,25,0)</f>
        <v>SE MANTIENE PERMENETEMENTE EL FUNCIONAMIENTO DEL 100% DE LOS DATACENTER PRINCIPAL Y ALTERNO, ESTA EN PROCESO LA CONTRATACIÓN DE MANERA INTEGRADA DEL LICENCIAMIENTO DE EXTENSIÓN DE GARANTÍAS PARA LOS DIFERENTES SISTEMAS UBICADOS EN EL DATACENTER PRINCIPAL DE LA GOBERNACIÓN.</v>
      </c>
      <c r="AJ423" s="11" t="str">
        <f>VLOOKUP(K423,'1128 TICS'!$K$13:$AK$27,26,0)</f>
        <v>SE MANTIENE PERMENETEMENTE EL FUNCIONAMIENTO DEL 100% DE LOS DATACENTER PRINCIPAL Y ALTERNO, ESTA EN PROCESO LA CONTRATACIÓN DE MANERA INTEGRADA DEL LICENCIAMIENTO DE EXTENSIÓN DE GARANTÍAS PARA LOS DIFERENTES SISTEMAS UBICADOS EN EL DATACENTER PRINCIPAL DE LA GOBERNACIÓN.</v>
      </c>
      <c r="AK423" s="11">
        <f>VLOOKUP(K423,'1128 TICS'!$K$13:$AK$27,27,0)</f>
        <v>0</v>
      </c>
      <c r="AL423" s="11">
        <v>0</v>
      </c>
      <c r="AM423" s="11">
        <v>100</v>
      </c>
      <c r="AN423" s="11">
        <v>0</v>
      </c>
      <c r="AO423" s="11">
        <v>100</v>
      </c>
      <c r="AP423" s="11">
        <v>0</v>
      </c>
      <c r="AQ423" s="11">
        <v>0</v>
      </c>
      <c r="AR423" s="51">
        <v>893901000</v>
      </c>
      <c r="AS423" s="54">
        <v>0</v>
      </c>
      <c r="AT423" s="54">
        <f t="shared" si="636"/>
        <v>893901000</v>
      </c>
      <c r="AU423" s="51">
        <v>832231140</v>
      </c>
      <c r="AV423" s="243">
        <v>966000000</v>
      </c>
      <c r="AW423" s="244"/>
      <c r="AX423" s="244"/>
      <c r="AY423" s="243">
        <v>0</v>
      </c>
      <c r="AZ423" s="44" cm="1">
        <f t="array" ref="AZ423">_xlfn.IFS((BA423=0),(BD423/CL423),(BA423&gt;0),((BB423+BD423)/CL423),(BE423&gt;0),((BB423+BD423+BE423)/CL423),(BG423&gt;0),((BB423+BD423+BE423+G423)/CL423))</f>
        <v>0.5</v>
      </c>
      <c r="BA423" s="258">
        <v>0.25</v>
      </c>
      <c r="BB423" s="44">
        <v>1</v>
      </c>
      <c r="BC423" s="44">
        <f t="shared" si="701"/>
        <v>0.25</v>
      </c>
      <c r="BD423" s="44" cm="1">
        <f t="array" ref="BD423">_xlfn.IFS(AE423=0,"NA",AE423&gt;0,AH423/AE423)</f>
        <v>1</v>
      </c>
      <c r="BE423" s="44">
        <f t="shared" si="702"/>
        <v>0.25</v>
      </c>
      <c r="BF423" s="44">
        <v>0</v>
      </c>
      <c r="BG423" s="44">
        <f t="shared" si="703"/>
        <v>0.25</v>
      </c>
      <c r="BH423" s="44">
        <v>0</v>
      </c>
      <c r="BI423" s="44">
        <f>AP423/Q423</f>
        <v>0</v>
      </c>
      <c r="BJ423" s="44" t="s">
        <v>115</v>
      </c>
      <c r="BK423" s="44">
        <f t="shared" si="640"/>
        <v>0.5</v>
      </c>
      <c r="BL423" s="44">
        <v>1</v>
      </c>
      <c r="BM423" s="44" cm="1">
        <f t="array" ref="BM423">_xlfn.IFS(BD423="NA","NA",BD423&gt;100%,"100%",BD423&lt;100,BD423)</f>
        <v>1</v>
      </c>
      <c r="BN423" s="44" cm="1">
        <f t="array" ref="BN423">_xlfn.IFS(BF423="NA","NA",BF423&gt;100%,"100%",BF423&lt;100,BF423)</f>
        <v>0</v>
      </c>
      <c r="BO423" s="44" cm="1">
        <f t="array" ref="BO423">_xlfn.IFS(BH423="NA","NA",BH423&gt;100%,"100%",BH423&lt;100,BH423)</f>
        <v>0</v>
      </c>
      <c r="BP423" s="44" t="str" cm="1">
        <f t="array" ref="BP423">_xlfn.IFS(BJ423="NA","NA",BJ423&gt;100%,"100%",BJ423&lt;100,BJ423)</f>
        <v>NA</v>
      </c>
      <c r="BQ423" s="45">
        <v>0.224</v>
      </c>
      <c r="BR423" s="45">
        <f t="shared" si="651"/>
        <v>0.112</v>
      </c>
      <c r="BS423" s="45">
        <v>4.48E-2</v>
      </c>
      <c r="BT423" s="45">
        <v>4.48E-2</v>
      </c>
      <c r="BU423" s="45">
        <v>4.48E-2</v>
      </c>
      <c r="BV423" s="256">
        <v>5.9700000000000003E-2</v>
      </c>
      <c r="BW423" s="45">
        <f t="shared" si="652"/>
        <v>5.9700000000000003E-2</v>
      </c>
      <c r="BX423" s="45">
        <f>BR423-BU423</f>
        <v>6.720000000000001E-2</v>
      </c>
      <c r="BY423" s="256">
        <v>5.9700000000000003E-2</v>
      </c>
      <c r="BZ423" s="45">
        <f>IF(BN423="NA","NA",BN423*BY423)</f>
        <v>0</v>
      </c>
      <c r="CA423" s="45">
        <f t="shared" si="634"/>
        <v>0</v>
      </c>
      <c r="CB423" s="256">
        <v>5.9799999999999999E-2</v>
      </c>
      <c r="CC423" s="45">
        <f>IF(BO423="NA","NA",BO423*CB423)</f>
        <v>0</v>
      </c>
      <c r="CD423" s="45">
        <v>0</v>
      </c>
      <c r="CE423" s="45">
        <f>(AP423*BQ423)/Q423</f>
        <v>0</v>
      </c>
      <c r="CF423" s="45" t="str">
        <f>IF(BP423="NA","NA",BP423*CE423)</f>
        <v>NA</v>
      </c>
      <c r="CG423" s="45">
        <v>0</v>
      </c>
      <c r="CH423" s="244">
        <v>1</v>
      </c>
      <c r="CI423" s="244">
        <f t="shared" si="705"/>
        <v>1</v>
      </c>
      <c r="CJ423" s="244">
        <f t="shared" si="706"/>
        <v>1</v>
      </c>
      <c r="CK423" s="244">
        <f t="shared" si="707"/>
        <v>1</v>
      </c>
      <c r="CL423">
        <f t="shared" si="708"/>
        <v>4</v>
      </c>
      <c r="CM423" s="63">
        <f t="shared" si="709"/>
        <v>51</v>
      </c>
    </row>
    <row r="424" spans="1:91" ht="18" hidden="1" customHeight="1">
      <c r="A424" s="260" t="s">
        <v>1434</v>
      </c>
      <c r="B424" s="260" t="s">
        <v>1435</v>
      </c>
      <c r="C424" s="260" t="s">
        <v>2371</v>
      </c>
      <c r="D424" s="260" t="s">
        <v>2702</v>
      </c>
      <c r="E424" s="260" t="s">
        <v>2736</v>
      </c>
      <c r="F424" s="260" t="s">
        <v>2737</v>
      </c>
      <c r="G424" s="260" t="s">
        <v>2738</v>
      </c>
      <c r="H424" s="260" t="s">
        <v>2745</v>
      </c>
      <c r="I424" s="260"/>
      <c r="J424" s="260"/>
      <c r="K424" s="260" t="s">
        <v>2746</v>
      </c>
      <c r="L424" s="260" t="s">
        <v>2747</v>
      </c>
      <c r="M424" s="260" t="s">
        <v>2748</v>
      </c>
      <c r="N424" s="260" t="s">
        <v>111</v>
      </c>
      <c r="O424" s="260" t="s">
        <v>112</v>
      </c>
      <c r="P424" s="10">
        <v>20</v>
      </c>
      <c r="Q424" s="11">
        <v>120</v>
      </c>
      <c r="R424" s="11">
        <f>Z424+AH424</f>
        <v>35</v>
      </c>
      <c r="S424" s="11" t="str">
        <f>VLOOKUP(K424,'1128 TICS'!$K$13:$AK$27,9,0)</f>
        <v>SE ADQUIRIERON 35 COMPUTADORES PARA EL SERVICIO DE LOS FUNCIONARIOS DEL NIVEL CENTRAL DE LA GOBERNACIÓN</v>
      </c>
      <c r="T424" s="11">
        <v>2.48</v>
      </c>
      <c r="U424" s="11">
        <v>0</v>
      </c>
      <c r="V424" s="337">
        <v>50</v>
      </c>
      <c r="W424" s="337">
        <v>0</v>
      </c>
      <c r="X424" s="337">
        <v>35</v>
      </c>
      <c r="Y424" s="337">
        <v>0</v>
      </c>
      <c r="Z424" s="337">
        <v>35</v>
      </c>
      <c r="AA424" s="11" t="s">
        <v>2749</v>
      </c>
      <c r="AB424" s="11" t="s">
        <v>2750</v>
      </c>
      <c r="AC424" s="11">
        <v>0</v>
      </c>
      <c r="AD424" s="11">
        <v>35</v>
      </c>
      <c r="AE424" s="11">
        <v>0</v>
      </c>
      <c r="AF424" s="11">
        <f>VLOOKUP(K424,'1128 TICS'!$K$13:$AK$27,22,0)</f>
        <v>0</v>
      </c>
      <c r="AG424" s="11">
        <f>VLOOKUP(K424,'1128 TICS'!$K$13:$AK$27,23,0)</f>
        <v>0</v>
      </c>
      <c r="AH424" s="11">
        <f>AF424</f>
        <v>0</v>
      </c>
      <c r="AI424" s="11" t="str">
        <f>VLOOKUP(K424,'1128 TICS'!$K$13:$AK$27,25,0)</f>
        <v>SE ESTA ESTRUCTURANDO LA DOCUMENTACIÓN NECESARIA PARA ADQUIRIR INFRAESTRUCTURA COMPUTACIONAL, UNA VEZ TERMINADA SE  ENVIARÁ A LA UNIDAD DE CONTRATACIÓN PARA REVISIÓN.</v>
      </c>
      <c r="AJ424" s="11" t="str">
        <f>VLOOKUP(K424,'1128 TICS'!$K$13:$AK$27,26,0)</f>
        <v>SE ESTA ESTRUCTURANDO LA DOCUMENTACIÓN NECESARIA PARA ADQUIRIR INFRAESTRUCTURA COMPUTACIONAL, UNA VEZ TERMINADA SE  ENVIARÁ A LA UNIDAD DE CONTRATACIÓN PARA REVISIÓN.</v>
      </c>
      <c r="AK424" s="11">
        <f>VLOOKUP(K424,'1128 TICS'!$K$13:$AK$27,27,0)</f>
        <v>0</v>
      </c>
      <c r="AL424" s="11">
        <v>55</v>
      </c>
      <c r="AM424" s="11">
        <v>0</v>
      </c>
      <c r="AN424" s="11">
        <v>30</v>
      </c>
      <c r="AO424" s="11">
        <v>0</v>
      </c>
      <c r="AP424" s="11">
        <v>0</v>
      </c>
      <c r="AQ424" s="11">
        <v>0</v>
      </c>
      <c r="AR424" s="51">
        <v>197118951</v>
      </c>
      <c r="AS424" s="54">
        <v>0</v>
      </c>
      <c r="AT424" s="54">
        <f t="shared" si="636"/>
        <v>197118951</v>
      </c>
      <c r="AU424" s="51">
        <v>158955315</v>
      </c>
      <c r="AV424" s="243">
        <v>31000000</v>
      </c>
      <c r="AW424" s="244"/>
      <c r="AX424" s="244"/>
      <c r="AY424" s="243">
        <v>31000000</v>
      </c>
      <c r="AZ424" s="44">
        <f>R424/Q424</f>
        <v>0.29166666666666669</v>
      </c>
      <c r="BA424" s="341">
        <v>0.41670000000000001</v>
      </c>
      <c r="BB424" s="44">
        <v>0.7016</v>
      </c>
      <c r="BC424" s="44">
        <f>AD424/Q424</f>
        <v>0.29166666666666669</v>
      </c>
      <c r="BD424" s="44" cm="1">
        <f t="array" ref="BD424">_xlfn.IFS(AD424=0,"NA",AD424&gt;0,AH424/AD424)</f>
        <v>0</v>
      </c>
      <c r="BE424" s="44">
        <f>AL424/Q424</f>
        <v>0.45833333333333331</v>
      </c>
      <c r="BF424" s="44">
        <v>0</v>
      </c>
      <c r="BG424" s="44">
        <f>AN424/Q424</f>
        <v>0.25</v>
      </c>
      <c r="BH424" s="44">
        <v>0</v>
      </c>
      <c r="BI424" s="44">
        <f>AP424/Q424</f>
        <v>0</v>
      </c>
      <c r="BJ424" s="44" t="s">
        <v>115</v>
      </c>
      <c r="BK424" s="44">
        <f t="shared" si="640"/>
        <v>0.29166666666666669</v>
      </c>
      <c r="BL424" s="44">
        <v>0.7016</v>
      </c>
      <c r="BM424" s="44" cm="1">
        <f t="array" ref="BM424">_xlfn.IFS(BD424="NA","NA",BD424&gt;100%,"100%",BD424&lt;100,BD424)</f>
        <v>0</v>
      </c>
      <c r="BN424" s="44" cm="1">
        <f t="array" ref="BN424">_xlfn.IFS(BF424="NA","NA",BF424&gt;100%,"100%",BF424&lt;100,BF424)</f>
        <v>0</v>
      </c>
      <c r="BO424" s="44" cm="1">
        <f t="array" ref="BO424">_xlfn.IFS(BH424="NA","NA",BH424&gt;100%,"100%",BH424&lt;100,BH424)</f>
        <v>0</v>
      </c>
      <c r="BP424" s="44" t="str" cm="1">
        <f t="array" ref="BP424">_xlfn.IFS(BJ424="NA","NA",BJ424&gt;100%,"100%",BJ424&lt;100,BJ424)</f>
        <v>NA</v>
      </c>
      <c r="BQ424" s="45">
        <v>0.224</v>
      </c>
      <c r="BR424" s="45">
        <f t="shared" si="651"/>
        <v>6.533333333333334E-2</v>
      </c>
      <c r="BS424" s="262">
        <v>9.3399999999999997E-2</v>
      </c>
      <c r="BT424" s="45">
        <v>1.95E-2</v>
      </c>
      <c r="BU424" s="45">
        <v>1.95E-2</v>
      </c>
      <c r="BV424" s="262">
        <v>5.3800000000000001E-2</v>
      </c>
      <c r="BW424" s="45">
        <f t="shared" si="652"/>
        <v>0</v>
      </c>
      <c r="BX424" s="45">
        <f t="shared" si="653"/>
        <v>4.5833333333333337E-2</v>
      </c>
      <c r="BY424" s="262">
        <v>4.6100000000000002E-2</v>
      </c>
      <c r="BZ424" s="45">
        <f>IF(BN424="NA","NA",BN424*BY424)</f>
        <v>0</v>
      </c>
      <c r="CA424" s="45">
        <f t="shared" si="634"/>
        <v>0</v>
      </c>
      <c r="CB424" s="262">
        <v>3.0700000000000002E-2</v>
      </c>
      <c r="CC424" s="45">
        <f>IF(BO424="NA","NA",BO424*CB424)</f>
        <v>0</v>
      </c>
      <c r="CD424" s="45">
        <v>0</v>
      </c>
      <c r="CE424" s="45">
        <f>(AP424*BQ424)/Q424</f>
        <v>0</v>
      </c>
      <c r="CF424" s="45" t="str">
        <f>IF(BP424="NA","NA",BP424*CE424)</f>
        <v>NA</v>
      </c>
      <c r="CG424" s="45">
        <v>0</v>
      </c>
      <c r="CH424" s="244"/>
      <c r="CI424" s="244"/>
      <c r="CJ424" s="244"/>
      <c r="CK424" s="244"/>
      <c r="CM424" s="63">
        <v>1.74</v>
      </c>
    </row>
    <row r="425" spans="1:91" ht="18" hidden="1" customHeight="1">
      <c r="A425" s="260" t="s">
        <v>1434</v>
      </c>
      <c r="B425" s="260" t="s">
        <v>1435</v>
      </c>
      <c r="C425" s="260" t="s">
        <v>2371</v>
      </c>
      <c r="D425" s="260" t="s">
        <v>2702</v>
      </c>
      <c r="E425" s="260" t="s">
        <v>2736</v>
      </c>
      <c r="F425" s="260" t="s">
        <v>2737</v>
      </c>
      <c r="G425" s="260" t="s">
        <v>2738</v>
      </c>
      <c r="H425" s="260" t="s">
        <v>2751</v>
      </c>
      <c r="I425" s="260"/>
      <c r="J425" s="260"/>
      <c r="K425" s="260" t="s">
        <v>2752</v>
      </c>
      <c r="L425" s="260" t="s">
        <v>2753</v>
      </c>
      <c r="M425" s="260" t="s">
        <v>2754</v>
      </c>
      <c r="N425" s="260" t="s">
        <v>111</v>
      </c>
      <c r="O425" s="260" t="s">
        <v>124</v>
      </c>
      <c r="P425" s="10">
        <v>4</v>
      </c>
      <c r="Q425" s="11">
        <v>6</v>
      </c>
      <c r="R425" s="11">
        <f t="shared" ref="R425:R426" si="710">(Z425+AH425)/CL425</f>
        <v>3</v>
      </c>
      <c r="S425" s="11" t="str">
        <f>VLOOKUP(K425,'1128 TICS'!$K$13:$AK$27,9,0)</f>
        <v>SE HA DADO SOPORTE PARA GARANTIZAR EL FUNCIONAMIENTO DE LAS SIGUIENTES PLATAFORMAS    1. VIDEOCONFERENCIA DEPARTAMENTAL. 2. SEGRIDAD INFORMATICA. 3. REPUESTOS PARA LA INFRAESTRUCTURA DE CÓMPUTO DEL NIVEL CENTRAL, 4.  LICENCIAMIENTO PARA EL DEPARTAMENTO DE CUNDINAMARCA. 5. CORREO ELECTRÓNICO (ALMACENAMIENTO) 6. INFRAESTRUCTURA DE DATOS (IPV6)</v>
      </c>
      <c r="T425" s="11">
        <v>0</v>
      </c>
      <c r="U425" s="11">
        <v>6</v>
      </c>
      <c r="V425" s="11">
        <v>0</v>
      </c>
      <c r="W425" s="11">
        <v>6</v>
      </c>
      <c r="X425" s="11" t="s">
        <v>115</v>
      </c>
      <c r="Y425" s="11">
        <v>6</v>
      </c>
      <c r="Z425" s="11">
        <v>6</v>
      </c>
      <c r="AA425" s="11" t="s">
        <v>2755</v>
      </c>
      <c r="AB425" s="11" t="s">
        <v>2756</v>
      </c>
      <c r="AC425" s="11">
        <v>0</v>
      </c>
      <c r="AD425" s="11">
        <v>0</v>
      </c>
      <c r="AE425" s="11">
        <v>6</v>
      </c>
      <c r="AF425" s="11">
        <f>VLOOKUP(K425,'1128 TICS'!$K$13:$AK$27,22,0)</f>
        <v>0</v>
      </c>
      <c r="AG425" s="11">
        <f>VLOOKUP(K425,'1128 TICS'!$K$13:$AK$27,23,0)</f>
        <v>6</v>
      </c>
      <c r="AH425" s="11">
        <f t="shared" ref="AH425:AH426" si="711">AG425</f>
        <v>6</v>
      </c>
      <c r="AI425" s="11" t="str">
        <f>VLOOKUP(K425,'1128 TICS'!$K$13:$AK$27,25,0)</f>
        <v>se soportan permanentemente las 6 plataformas de uso de la Gobernación.  1. VIDEOCONFERENCIA DEPARTAMENTAL. 2. SEGURIDAD INFORMATICA. 3. MESA DE AYUDA DE LA INFRAESTRUCTURA DE CÓMPUTO DEL NIVEL CENTRAL, 4.  LICENCIAMIENTO SOFTWARE  5. CORREO ELECTRÓNICO (ALMACENAMIENTO) 6. IMPLEMENTACION INFRAESTRUCTURA DE DATOS (IPV6). Mediante la renovación de los contratos de soporte y mantenimiento con los proveedores y/o fabricantes. y la contratación del personal capacitado que brindan el soporte y administración de las plataformas que lo requieran.</v>
      </c>
      <c r="AJ425" s="11" t="str">
        <f>VLOOKUP(K425,'1128 TICS'!$K$13:$AK$27,26,0)</f>
        <v>se soportan permanentemente las 6 plataformas de uso de la Gobernación.  1. VIDEOCONFERENCIA DEPARTAMENTAL. 2. SEGURIDAD INFORMATICA. 3. MESA DE AYUDA DE LA INFRAESTRUCTURA DE CÓMPUTO DEL NIVEL CENTRAL, 4.  LICENCIAMIENTO SOFTWARE  5. CORREO ELECTRÓNICO (ALMACENAMIENTO) 6. IMPLEMENTACION INFRAESTRUCTURA DE DATOS (IPV6). Mediante la renovación de los contratos de soporte y mantenimiento con los proveedores y/o fabricantes. y la contratación del personal capacitado que brindan el soporte y administración de las plataformas que lo requieran.</v>
      </c>
      <c r="AK425" s="11">
        <f>VLOOKUP(K425,'1128 TICS'!$K$13:$AK$27,27,0)</f>
        <v>0</v>
      </c>
      <c r="AL425" s="11">
        <v>0</v>
      </c>
      <c r="AM425" s="11">
        <v>6</v>
      </c>
      <c r="AN425" s="11">
        <v>0</v>
      </c>
      <c r="AO425" s="11">
        <v>6</v>
      </c>
      <c r="AP425" s="11">
        <v>0</v>
      </c>
      <c r="AQ425" s="11">
        <v>0</v>
      </c>
      <c r="AR425" s="51">
        <v>869000000</v>
      </c>
      <c r="AS425" s="54">
        <v>0</v>
      </c>
      <c r="AT425" s="54">
        <f t="shared" si="636"/>
        <v>869000000</v>
      </c>
      <c r="AU425" s="51">
        <v>749738410</v>
      </c>
      <c r="AV425" s="243">
        <v>1290000000</v>
      </c>
      <c r="AW425" s="244"/>
      <c r="AX425" s="244"/>
      <c r="AY425" s="243">
        <v>951475332</v>
      </c>
      <c r="AZ425" s="44" cm="1">
        <f t="array" ref="AZ425">_xlfn.IFS((BA425=0),(BD425/CL425),(BA425&gt;0),((BB425+BD425)/CL425),(BE425&gt;0),((BB425+BD425+BE425)/CL425),(BG425&gt;0),((BB425+BD425+BE425+G425)/CL425))</f>
        <v>0.5</v>
      </c>
      <c r="BA425" s="44">
        <v>0.25</v>
      </c>
      <c r="BB425" s="44">
        <v>1</v>
      </c>
      <c r="BC425" s="44">
        <f t="shared" ref="BC425:BC426" si="712">IF(AE425&gt;0,(1/CL425),0)</f>
        <v>0.25</v>
      </c>
      <c r="BD425" s="44" cm="1">
        <f t="array" ref="BD425">_xlfn.IFS(AE425=0,"NA",AE425&gt;0,AH425/AE425)</f>
        <v>1</v>
      </c>
      <c r="BE425" s="44">
        <f t="shared" ref="BE425:BE426" si="713">IF(AM425&gt;0,(1/CL425),0)</f>
        <v>0.25</v>
      </c>
      <c r="BF425" s="44">
        <v>0</v>
      </c>
      <c r="BG425" s="44">
        <f t="shared" ref="BG425:BG426" si="714">IF(AO425&gt;0,(1/CL425),0)</f>
        <v>0.25</v>
      </c>
      <c r="BH425" s="44">
        <v>0</v>
      </c>
      <c r="BI425" s="44">
        <v>0</v>
      </c>
      <c r="BJ425" s="44" t="s">
        <v>115</v>
      </c>
      <c r="BK425" s="44">
        <f t="shared" si="640"/>
        <v>0.5</v>
      </c>
      <c r="BL425" s="44">
        <v>1</v>
      </c>
      <c r="BM425" s="44" cm="1">
        <f t="array" ref="BM425">_xlfn.IFS(BD425="NA","NA",BD425&gt;100%,"100%",BD425&lt;100,BD425)</f>
        <v>1</v>
      </c>
      <c r="BN425" s="44">
        <v>0</v>
      </c>
      <c r="BO425" s="44">
        <v>0</v>
      </c>
      <c r="BP425" s="44" t="s">
        <v>115</v>
      </c>
      <c r="BQ425" s="45">
        <v>0.224</v>
      </c>
      <c r="BR425" s="45">
        <f t="shared" si="651"/>
        <v>0.112</v>
      </c>
      <c r="BS425" s="45">
        <v>5.6000000000000001E-2</v>
      </c>
      <c r="BT425" s="45">
        <v>5.6000000000000001E-2</v>
      </c>
      <c r="BU425" s="45">
        <v>5.6000000000000001E-2</v>
      </c>
      <c r="BV425" s="45">
        <v>5.6000000000000001E-2</v>
      </c>
      <c r="BW425" s="45">
        <f t="shared" si="652"/>
        <v>5.6000000000000001E-2</v>
      </c>
      <c r="BX425" s="45">
        <f t="shared" si="653"/>
        <v>5.6000000000000001E-2</v>
      </c>
      <c r="BY425" s="45">
        <v>5.6000000000000001E-2</v>
      </c>
      <c r="BZ425" s="45">
        <v>0</v>
      </c>
      <c r="CA425" s="45">
        <f t="shared" si="634"/>
        <v>0</v>
      </c>
      <c r="CB425" s="45">
        <v>5.6000000000000001E-2</v>
      </c>
      <c r="CC425" s="45">
        <v>0</v>
      </c>
      <c r="CD425" s="45">
        <v>0</v>
      </c>
      <c r="CE425" s="45">
        <v>0</v>
      </c>
      <c r="CF425" s="45" t="s">
        <v>115</v>
      </c>
      <c r="CG425" s="45">
        <v>0</v>
      </c>
      <c r="CH425" s="244">
        <f t="shared" ref="CH425:CH426" si="715">IF(W425&gt;0,1,0)</f>
        <v>1</v>
      </c>
      <c r="CI425" s="244">
        <f t="shared" ref="CI425:CI426" si="716">IF(AE425&gt;0,1,0)</f>
        <v>1</v>
      </c>
      <c r="CJ425" s="244">
        <f t="shared" ref="CJ425:CJ426" si="717">IF(AM425&gt;0,1,0)</f>
        <v>1</v>
      </c>
      <c r="CK425" s="244">
        <f t="shared" ref="CK425:CK426" si="718">IF(AO425&gt;0,1,0)</f>
        <v>1</v>
      </c>
      <c r="CL425">
        <f t="shared" ref="CL425:CL426" si="719">CH425+CI425+CJ425+CK425</f>
        <v>4</v>
      </c>
      <c r="CM425" s="63">
        <f t="shared" ref="CM425:CM426" si="720">AVERAGE(Z425,AH425)</f>
        <v>6</v>
      </c>
    </row>
    <row r="426" spans="1:91" ht="18" hidden="1" customHeight="1">
      <c r="A426" s="260" t="s">
        <v>1434</v>
      </c>
      <c r="B426" s="260" t="s">
        <v>1435</v>
      </c>
      <c r="C426" s="260" t="s">
        <v>2371</v>
      </c>
      <c r="D426" s="260" t="s">
        <v>2702</v>
      </c>
      <c r="E426" s="260" t="s">
        <v>2736</v>
      </c>
      <c r="F426" s="260" t="s">
        <v>2737</v>
      </c>
      <c r="G426" s="260" t="s">
        <v>2738</v>
      </c>
      <c r="H426" s="260" t="s">
        <v>2757</v>
      </c>
      <c r="I426" s="260"/>
      <c r="J426" s="260"/>
      <c r="K426" s="260" t="s">
        <v>2758</v>
      </c>
      <c r="L426" s="260" t="s">
        <v>2759</v>
      </c>
      <c r="M426" s="260" t="s">
        <v>2760</v>
      </c>
      <c r="N426" s="260" t="s">
        <v>111</v>
      </c>
      <c r="O426" s="260" t="s">
        <v>124</v>
      </c>
      <c r="P426" s="10">
        <v>9</v>
      </c>
      <c r="Q426" s="11">
        <v>9</v>
      </c>
      <c r="R426" s="11">
        <f t="shared" si="710"/>
        <v>4.5</v>
      </c>
      <c r="S426" s="11" t="str">
        <f>VLOOKUP(K426,'1128 TICS'!$K$13:$AK$27,9,0)</f>
        <v>SE HAN MANTENIDO DISPONIBLES LOS SERVICIOS ASOCIADOS A LAS PLATAFORMAS:  1. BUS DE INTEGRACIÓN. 2. ORACLE. 3. BIZAGI. 4. SAP (SOPORTE CON EL FABRICANTE). 5. PRIMER Y SEGUNDO NIVEL DE SOPORTE SAP. 6. MOODLE 7. SOPORTE PORTAL WEB 8. SQLSERVER 9. OVM</v>
      </c>
      <c r="T426" s="11">
        <v>0</v>
      </c>
      <c r="U426" s="11">
        <v>9</v>
      </c>
      <c r="V426" s="11">
        <v>0</v>
      </c>
      <c r="W426" s="11">
        <v>9</v>
      </c>
      <c r="X426" s="11" t="s">
        <v>115</v>
      </c>
      <c r="Y426" s="11">
        <v>9</v>
      </c>
      <c r="Z426" s="11">
        <v>9</v>
      </c>
      <c r="AA426" s="11" t="s">
        <v>2761</v>
      </c>
      <c r="AB426" s="11" t="s">
        <v>2762</v>
      </c>
      <c r="AC426" s="11">
        <v>0</v>
      </c>
      <c r="AD426" s="11">
        <v>0</v>
      </c>
      <c r="AE426" s="11">
        <v>9</v>
      </c>
      <c r="AF426" s="11">
        <f>VLOOKUP(K426,'1128 TICS'!$K$13:$AK$27,22,0)</f>
        <v>0</v>
      </c>
      <c r="AG426" s="11">
        <f>VLOOKUP(K426,'1128 TICS'!$K$13:$AK$27,23,0)</f>
        <v>9</v>
      </c>
      <c r="AH426" s="11">
        <f t="shared" si="711"/>
        <v>9</v>
      </c>
      <c r="AI426" s="11" t="str">
        <f>VLOOKUP(K426,'1128 TICS'!$K$13:$AK$27,25,0)</f>
        <v>Se han mantenido disponibles los servicios asociados a las 9 plataformas. . BUS DE INTEGRACIÓN. 2. ORACLE. 3. BIZAGI. 4. SAP (SOPORTE CON EL FABRICANTE). 5. PRIMER Y SEGUNDO NIVEL DE SOPORTE SAP. 6. MOODLE 7. SOPORTE PORTAL WEB 8. SQLSERVER 9. OVM. Mediante la renovación de los contratos de soporte y mantenimiento con los proveedores y/o fabricantes. y la contratación del personal capacitado que brindan el soporte y administración de las plataformas que lo requieran.</v>
      </c>
      <c r="AJ426" s="11" t="str">
        <f>VLOOKUP(K426,'1128 TICS'!$K$13:$AK$27,26,0)</f>
        <v>Se han mantenido disponibles los servicios asociados a las 9 plataformas. . BUS DE INTEGRACIÓN. 2. ORACLE. 3. BIZAGI. 4. SAP (SOPORTE CON EL FABRICANTE). 5. PRIMER Y SEGUNDO NIVEL DE SOPORTE SAP. 6. MOODLE 7. SOPORTE PORTAL WEB 8. SQLSERVER 9. OVM. Mediante la renovación de los contratos de soporte y mantenimiento con los proveedores y/o fabricantes. y la contratación del personal capacitado que brindan el soporte y administración de las plataformas que lo requieran.</v>
      </c>
      <c r="AK426" s="11">
        <f>VLOOKUP(K426,'1128 TICS'!$K$13:$AK$27,27,0)</f>
        <v>0</v>
      </c>
      <c r="AL426" s="11">
        <v>0</v>
      </c>
      <c r="AM426" s="11">
        <v>9</v>
      </c>
      <c r="AN426" s="11">
        <v>0</v>
      </c>
      <c r="AO426" s="11">
        <v>9</v>
      </c>
      <c r="AP426" s="11">
        <v>0</v>
      </c>
      <c r="AQ426" s="11">
        <v>0</v>
      </c>
      <c r="AR426" s="51">
        <v>609214000</v>
      </c>
      <c r="AS426" s="54">
        <v>0</v>
      </c>
      <c r="AT426" s="54">
        <f t="shared" si="636"/>
        <v>609214000</v>
      </c>
      <c r="AU426" s="51">
        <v>504394696</v>
      </c>
      <c r="AV426" s="243">
        <v>4208004500</v>
      </c>
      <c r="AW426" s="244"/>
      <c r="AX426" s="244"/>
      <c r="AY426" s="243">
        <v>3352162587</v>
      </c>
      <c r="AZ426" s="44" cm="2">
        <f t="array" ref="AZ426">_xlfn.IFS((BA426=0),(BD426/CL426),(BA426&gt;0),((BB426+BD426)/CL426),(BE426&gt;0),((BB426+BD426+BE426)/CL426),(BG426&gt;0),((BB426+BD426+BE426+G426)/CL426))</f>
        <v>0.5</v>
      </c>
      <c r="BA426" s="44">
        <v>0.25</v>
      </c>
      <c r="BB426" s="44">
        <v>1</v>
      </c>
      <c r="BC426" s="44">
        <f t="shared" si="712"/>
        <v>0.25</v>
      </c>
      <c r="BD426" s="44" cm="1">
        <f t="array" ref="BD426">_xlfn.IFS(AE426=0,"NA",AE426&gt;0,AH426/AE426)</f>
        <v>1</v>
      </c>
      <c r="BE426" s="44">
        <f t="shared" si="713"/>
        <v>0.25</v>
      </c>
      <c r="BF426" s="44">
        <v>0</v>
      </c>
      <c r="BG426" s="44">
        <f t="shared" si="714"/>
        <v>0.25</v>
      </c>
      <c r="BH426" s="44">
        <v>0</v>
      </c>
      <c r="BI426" s="44">
        <v>0</v>
      </c>
      <c r="BJ426" s="44" t="s">
        <v>115</v>
      </c>
      <c r="BK426" s="44">
        <f t="shared" si="640"/>
        <v>0.5</v>
      </c>
      <c r="BL426" s="44">
        <v>1</v>
      </c>
      <c r="BM426" s="44" cm="1">
        <f t="array" ref="BM426">_xlfn.IFS(BD426="NA","NA",BD426&gt;100%,"100%",BD426&lt;100,BD426)</f>
        <v>1</v>
      </c>
      <c r="BN426" s="44">
        <v>0</v>
      </c>
      <c r="BO426" s="44">
        <v>0</v>
      </c>
      <c r="BP426" s="44" t="s">
        <v>115</v>
      </c>
      <c r="BQ426" s="45">
        <v>0.224</v>
      </c>
      <c r="BR426" s="45">
        <f t="shared" si="651"/>
        <v>0.112</v>
      </c>
      <c r="BS426" s="45">
        <v>5.6000000000000001E-2</v>
      </c>
      <c r="BT426" s="45">
        <v>5.6000000000000001E-2</v>
      </c>
      <c r="BU426" s="45">
        <v>5.6000000000000001E-2</v>
      </c>
      <c r="BV426" s="45">
        <v>5.6000000000000001E-2</v>
      </c>
      <c r="BW426" s="45">
        <f t="shared" si="652"/>
        <v>5.6000000000000001E-2</v>
      </c>
      <c r="BX426" s="45">
        <f t="shared" si="653"/>
        <v>5.6000000000000001E-2</v>
      </c>
      <c r="BY426" s="45">
        <v>5.6000000000000001E-2</v>
      </c>
      <c r="BZ426" s="45">
        <v>0</v>
      </c>
      <c r="CA426" s="45">
        <f t="shared" si="634"/>
        <v>0</v>
      </c>
      <c r="CB426" s="45">
        <v>5.6000000000000001E-2</v>
      </c>
      <c r="CC426" s="45">
        <v>0</v>
      </c>
      <c r="CD426" s="45">
        <v>0</v>
      </c>
      <c r="CE426" s="45">
        <v>0</v>
      </c>
      <c r="CF426" s="45" t="s">
        <v>115</v>
      </c>
      <c r="CG426" s="45">
        <v>0</v>
      </c>
      <c r="CH426" s="244">
        <f t="shared" si="715"/>
        <v>1</v>
      </c>
      <c r="CI426" s="244">
        <f t="shared" si="716"/>
        <v>1</v>
      </c>
      <c r="CJ426" s="244">
        <f t="shared" si="717"/>
        <v>1</v>
      </c>
      <c r="CK426" s="244">
        <f t="shared" si="718"/>
        <v>1</v>
      </c>
      <c r="CL426">
        <f t="shared" si="719"/>
        <v>4</v>
      </c>
      <c r="CM426" s="63">
        <f t="shared" si="720"/>
        <v>9</v>
      </c>
    </row>
    <row r="427" spans="1:91" ht="64.150000000000006" hidden="1" customHeight="1">
      <c r="A427" s="260" t="s">
        <v>992</v>
      </c>
      <c r="B427" s="260" t="s">
        <v>993</v>
      </c>
      <c r="C427" s="260" t="s">
        <v>2371</v>
      </c>
      <c r="D427" s="260" t="s">
        <v>2763</v>
      </c>
      <c r="E427" s="260" t="s">
        <v>2764</v>
      </c>
      <c r="F427" s="260" t="s">
        <v>2765</v>
      </c>
      <c r="G427" s="260" t="s">
        <v>2766</v>
      </c>
      <c r="H427" s="260" t="s">
        <v>2767</v>
      </c>
      <c r="I427" s="260"/>
      <c r="J427" s="260"/>
      <c r="K427" s="260" t="s">
        <v>2768</v>
      </c>
      <c r="L427" s="260" t="s">
        <v>2769</v>
      </c>
      <c r="M427" s="260" t="s">
        <v>122</v>
      </c>
      <c r="N427" s="260" t="s">
        <v>111</v>
      </c>
      <c r="O427" s="260" t="s">
        <v>112</v>
      </c>
      <c r="P427" s="10">
        <v>0</v>
      </c>
      <c r="Q427" s="11">
        <v>1000</v>
      </c>
      <c r="R427" s="11">
        <f t="shared" ref="R427:R432" si="721">Z427+AH427</f>
        <v>265</v>
      </c>
      <c r="S427" s="11" t="str">
        <f>VLOOKUP(K427,'1105 Gobierno'!$K$12:$AK$31,9,0)</f>
        <v>A través de la asistencia técnica, se logró que 107 municipios del departamento aprobarán sus planes integrales de seguridad y convivencia ciudadana, 3 en ajustes finales y 3 en la elaboración del diagnóstico. El plan integral de seguridad y convivencia ciudadana departamental ha logrado avanzar en un 15%, a través del cumplimiento de los 5 ejes Lucha contra el delito (Prevención y disuasión del delito, disminución del delito, operatividad e investigación), Convivencia legalidad y derechos humanos (Familia, entorno protector, cultura ciudadana y territorios de Paz, disrupción de los comportamientos contrarios a la convivencia), Inversión tecnología y bienes (Inteligencia e investigación criminal para anticipar y mitigar el delito, construcción, adecuación, dotación e inversión para la seguridad y convivencia ciudadana, ciudadanos cyberseguros), Cundinamarca diversa incluyente y justa (Prevalencia de los derechos de los niños, niñas y adolescentes, una buena juventud, mayores protegidos, mujeres en Cundinamarca, Cundinamarca incluyente) Fortalecimiento institucional (espacios estratégicos de coordinación y ciudad región). Socialización a 71 municipios del Plan Integral de Seguridad y Convivencia Ciudadana departamental, se logró la articulación interinstitucional entre el departamento y sus territorios en pro de la seguridad y convivencia ciudadana, llegando a 256 personas. Capacitación a 81 municipios frente a cobro coactivo de las infracciones impuestas  por violación al código nacional de convivencia y seguridad ciudadana, nociones y aplicaciones del proceso del CNCSC.  Se beneficiaron a 503 personas, que se verá reflejado en la recuperación de cartera que pueda realizar cada una de las entidades territoriales que adelanten el respectivo proceso frente a los morosos de las infracciones impuestas. Se logra incentivar la denuncia frente a los diferentes delitos del departamento a través del pago de recompensas. Para el año 2020 se han pagado 100.000.000 cte. Se realizaron 34 convenios interadministrativos con los respectivos municipios para mantenimiento y combustible del parque automotor con un total de $777.220.000. 1 de suministro y 33 de mantenimiento. Al fondo rotatorio de Policía nacional se invirtió $400.000.000 mc/te para aportar al uso de 144 días con el Helicóptero Halcón como arma eficaz contra la inseguridad y las bandas delincuenciales.  Se garantizó la seguridad y pie de fuerza para la jornada de elecciones atípicas del municipio de Sutatausa. $3.000.000.000 invertidos para fortalecer al ejército y dotarlos con material balístico$1.217.810.376 invertidos para fortalecer la movilidad de la fuerza pública con la entrega de 9 camionetas. Para 2021 se realiza asistencia técnica al municipio de Silvania para que mejore su Plan Integral de Seguridad y Convivencia Ciudadana. Adicional a ello, erealizó un convenio interadministrativo para aunar esfuerzos técnicos, administrativos y financieros con el municipio de Fuquene para apoyar a la fuerza pùblica en combustible y mantenimiento del parque automotor garantizando la seguridad en el CAI ambiental del Fuquene en cumplimiento de la acción popular, se entregaron bonos a polícia del señor gobernador.
PISCC
o Se realiza asistencia técnica al municipio de Silvania para que mejore su Plan Integral de Seguridad y Convivencia Ciudadana.
o Desde el inicio de año se elaboró un plan de acción que permitiera dar cumplimiento al PISCC Departamental dentro de los plazos concertados, para ello, se alimenta una matriz con cada una de las actividades desarrolladas, que permite evidenciar el porcentaje de avance en cada una de las líneas estratégicas, teniendo un consolidado final.
o El día 16 de abril de 2021 se realizó reunión en las instalaciones de la alcaldía del municipio de Guaduas con el Dr. Pablo Andres Neussa Mestre secretario de gobierno encargado y el doctor Pablo Alexis Ospina Inspector de Policía, en representación de la secretaría de Gobierno de Cundinamarca estuvo la doctora Lida Janneth Caycedo. Se indagó sobre la implementación del PISCC, el cual según infomación del doctor Pablo Ospina se implementó desde el mes de diciembre del 2020. Se le informa a la doctora Lida el cronograma de actividades programadas para el mes de mayo dentro del marco de cumplimiento del PISCC municipal.
o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o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o El día 10 de mayo de 2021 se realizó reunión en el municipio de San Antonio del Tequendama con el doctor Fabio Alberto Osuna y el doctor Hernán Tiberio Correa, en dicha reunión se evidencia que la implementación se está realizando, pero el seguimiento no se efectúa a través de la matriz de seguimiento, por lo que de manera inmediata el doctor Hernán propone una capacitación a los actores de manera urgente.
o El día 10 de mayo de 2021 se lleva a cabo en la alcaldía de la Mesa con la doctora Angelica Cotrino secretaria de gobierno y el doctor Hernán Correa, en este municipio se han llevado a 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o El día 19 de mayo de 2021 se realiza capacitación sobre la implementación y seguimiento al PISCC en coordinación con secretaria de gobierno de la alcaldía de Zipacón y presidida por del doctor Hernán Correa.
o El día 19 de mayo se brinda capacitación sobre la implementación y seguimiento al PISCC en la alcaldía de Anolaima por parte del doctor Hernán Correa.
o El día 20 de mayo se brinda capacitación sobre la implementación y seguimiento al PISCC en la alcaldía de San Antonio del Tequendama por parte del doctor Hernán Correo.
o El día 11 de mayo de 2021 se llevó a 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o El día 12 de mayo de 2021 se llevó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o El día 14 de mayo se llevó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o El día 14 de mayo de 2021 se realizó una reunión en la alcaldía de Mesitas del colegio entre secretaría de Gobierno doctora Martha Bibiana Parada Martínez y la doctora Angela Segura Atuesta ,la doctora Martha Bibiana Parada Martínez realiza una breve reseña del PISCC y de las líneas estratégicas contempladas en el PISCC; 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
o El día 12 de mayo del 2021 se realizó una reunión en la alcaldía del municipio de Nocaima en donde se realizó la presentación por parte del doctor Leoviceldo Beltrán contratista de la secretaria de Gobierno de la Gobernación, se indago con la doctora Paula Velásquez secretaria de gobierno d ella alcaldía respecto a los avances del PISCC municipal.
o El día 18 de mayo de 2021 se realiza reunión en el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
o El día 5 de mayo del 2021 se llevó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o El día 15 de mayo de 2021 se llevó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21 de mayo de 2021 se desarrolló una reunión en la alcaldía del municipio de la Palma entre la doctora María Paula Cárdenas secretaria de gobierno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6 de mayo del 2021 se lleva a cabo una reunión en la alcaldía de Villagoméz, a dicha reunión asiste la doctora Karen Fajardo Secretaría de Gobierno, el doctor Misael Duarte Alcalde del Municipio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las metas trazadas.
a) Mediante correo electrónico se hace la solicitud formal a la Policía Nacional de la base de datos de los delitos reportados en el departamento de Cundinamarca de los meses de enero, febrero, marzo y abril, si como la del año 2020.
b)  Elaboración de informe trimestral a partir del procesamiento y análisis de los delitos de alto impacto reportados en el departamento para el mes de enero, febrero y marzo.
c) Elaboración de informe par la provincia de alto y bajo magdalena para ser socializada en un consejo de seguridad
d) Contestación de requerimiento por parte de la secretaria de salud del departamento donde se realizó un informe especial sobre los delitos contra la vida y la integridad personal de la provincia de Sumapaz
e) Se extrajo cifras del comportamiento de delitos de los diferentes provincias para la entrega a cada contratista asignados en asistencia técnica para su respectivo análisis (Gualivá, Rionegro, Soacha, Medina y Oriente, Sabana Centro, Almeidas, Guavio, Sumapaz, sabana occidente)
f) Elaboración de informe y comparativo del comportamiento de delitos ambientales reportados en el departamento de Cundinamarca
g) Avance en la contratación de prestación de servicios, formulación del plan del producto. y reorganización del observatorio de seguridad asignando los contratistas encargados de las diferentes provincias para poder iniciar con las asistencias provinciales correspondientes
h) Se realizó el levantamiento de la información de los grupos de interés de la Dirección, por parte del equipo de territorio del Observatorio de Seguridad y orden Público
APOYO A LA FUERZA PÚBLICA
o Se realizó un convenio interadministrativo para aunar esfuerzos técnicos, administrativos y financieros con el municipio de Fúquene para apoyar a la fuerza pública en combustible y mantenimiento del parque automotor garantizando la seguridad en el CAI ambiental del Fúquene en cumplimiento de la acción popular, se entregaron bonos a policía del señor gobernador.
o Se atendieron las diferentes solicitudes de los Municipios Anapoima, Tibacuy, Ubaque recepcionadas por el aplicativo mercurio en temas de fortalecimiento a la seguridad y el orden público
o Se ha realizado una visita para evaluar solicitud de dotación para el Concejo de Gachetá. La Secretaría no ha definido recursos para este tipo de intervenciones.
o Se atendieron las diferentes solicitudes de los Municipios recepcionadas por el aplicativo mercurio en temas de fortalecimiento a la seguridad y el orden público
Se realizó el levantamiento de la información de los grupos de interes de la Dirección, por parte del equipo de territorio del Observatorio de Seguridad y orden Público
Se suscribieron los siguientes convenios:
1. SGO-CMC-290-2021
2. SGO - CDCVI - 304-2021
3. SGO-CDCVI-302-2021
CONSEJOS DE SEGURIDAD
o Durante estos primeros cuatro meses de la vigencia 2021 se ha hecho presencia en 10 provincias del Departamento mediante los Consejos de Seguridad, brindando asistencia técnica con cada uno de los programas y fortaleciendo la imagen institucional.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CÁMARAS DE SEGURIDAD
o Nos encontramos realizando el levantamiento de información con el fin de obtener el diagnóstico de las necesidades de cámaras de seguridad.
INFRAESTRUCTURA
o Se avanza en el seguimiento de cuatro proyectos de construcción, tres estaciones de policía con el Ministerio en Cundinamarca en convenios tripartitos y la casa de gobierno de Nimaima que fue adicionada en 2020.
o Se han delegado contratistas de apoyo para la supervisión de cada uno de los convenios. Los cuatro proyectos son obras nuevas. Se tiene prevista una adición para el convenio de Guasca. Con estas obras se beneficiarán los siguientes municipios Guasca, Villapinzón, Ricaurte, Nimaima.
o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 Supatá, Tibirita, el Peñón, La Palma, El Rosal, Villagómez. Paime, san Bernardo, Sasaima, Gama, San Antonio del Tequendama, Junín, Caparrapí, Guaduas, el Colegio, Puerto Salgar, Guayabetal
o Se realiza supervisión a cuatro(4) convenios interadministrativos en ejecución :Guasca, Villapinzón, Ricaurte, Nimaima, una(1) interventoría de contrato de obra en liquidación SGO SAMC-228- 2019 , CAE- Girardot y  se adelantan veinticuatro (24) procesos de liquidación de contratos interadministrativos realizados con los siguientes municipio: Simijaca, Cogua, San Francisco, La vega, Gachetá, Zipacón , Une, Zipaquirá, Soacha, Vergara, Quipile, Arbeláez, Facatativá, Susa, Bituima, Paratebueno  orientados a infraestructura procesos de liquidación de convenios interadministrativos.
o Se ha realizado visitas según compromisos del señor Gobernador en trámite de la gestión de proyectos a Diecinueve (19) proyectos orientados a Casas de Gobierno, Comando Aéreo, estaciones de Policía y casa de Justicia, en diecisiete (17) municipios de Cundinamarca Supatá, Tibirita, el Peñón, La Palma, El Rosal, Villagómez. Paime, san Bernardo, Sasaima, Gama, San Antonio del Tequendama, Junín, Caparrapí, Guaduas, el Colegio, Puerto Salgar, Guayabetal
o Se avanza en la evaluación de proyectos de adecuación par tres proyectos: Tibirita (comisaría de familia). San Antonio de Tequendama (casa de Gobierno), Caparrapí (casa de Gobierno y estación de policía))
o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arquitectónicos para poder verificar la idoneidad del presupuesto.
o Se ha realizado la verificación ambiental, según la resolución 29 de 2020 de la Secretaría de gobierno para adecuación de dos proyectos San bernardo CASA DE GOBIERNO), Sasaima (CASA DE GOBIERNO)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v>
      </c>
      <c r="T427" s="11">
        <v>15</v>
      </c>
      <c r="U427" s="11">
        <v>0</v>
      </c>
      <c r="V427" s="11">
        <v>15</v>
      </c>
      <c r="W427" s="11">
        <v>0</v>
      </c>
      <c r="X427" s="11">
        <v>15</v>
      </c>
      <c r="Y427" s="11">
        <v>0</v>
      </c>
      <c r="Z427" s="11">
        <v>15</v>
      </c>
      <c r="AA427" s="11" t="s">
        <v>2770</v>
      </c>
      <c r="AB427" s="11" t="s">
        <v>2771</v>
      </c>
      <c r="AC427" s="11">
        <v>0</v>
      </c>
      <c r="AD427" s="11">
        <v>300</v>
      </c>
      <c r="AE427" s="11">
        <v>0</v>
      </c>
      <c r="AF427" s="11">
        <f>VLOOKUP(K427,'1105 Gobierno'!$K$12:$AK$31,22,0)</f>
        <v>250</v>
      </c>
      <c r="AG427" s="11" t="str">
        <f>VLOOKUP(K427,'1105 Gobierno'!$K$12:$AK$31,23,0)</f>
        <v> </v>
      </c>
      <c r="AH427" s="11">
        <f t="shared" ref="AH427:AH434" si="722">AF427</f>
        <v>250</v>
      </c>
      <c r="AI427" s="11" t="str">
        <f>VLOOKUP(K427,'1105 Gobierno'!$K$12:$AK$31,25,0)</f>
        <v xml:space="preserve">Asistencia técnica </v>
      </c>
      <c r="AJ427" s="247" t="str">
        <f>VLOOKUP(K427,'1105 Gobierno'!$K$12:$AK$31,26,0)</f>
        <v>Se realiza asistencia técnica al municipio de Silvania para que mejore su Plan Integral de Seguridad y Convivencia Ciudadana. Adicional a ello, se realizó un convenio interadministrativo para aunar esfuerzos técnicos, administrativos y financieros con el municipio de Fuquene para apoyar a la fuerza pública en combustible y mantenimiento del parque automotor garantizando la seguridad en el CAI ambiental del Fuquene en cumplimiento de la acción popular, se entregaron bonos a polícia del señor gobernador.
Durante estos primeros cuatro meses de la vigencia 2021 se ha hecho presencia en 10 provincias del Departamento mediante los Consejos de Seguridad, brindando asistencia técnica con cada uno de los programas y fortaleciendo la imagen institucional 
Desde el inicio de año se elaboró un plan de acción que permitiera dar cumplimiento al PISCC Departamental dentro de los plazos concertados, para ello, se alimenta una matriz con cada una de las actividades desarrolladas, que permite evidenciar el porcentaje de avance en cada una de las lineas estrategicas, teniendo un consolidado final
1.El día 16 de abril de2021 se realizó reunión en las instalaciones de la alcaldia del municipio de Guaduas con el el doctor Pablo Andres Neussa Mestre Secretario de gobierno encargado y el doctor Pablo Alexis Ospina Inspector de Policia, en reperesentacion de la secretaria de Gobierno de Cundinamarca estuvo la doctora Lida JannethCaycedo.Se indago sobre la implementación del PISCC , el cual según infomación del doctor Pablo Ospina se implemento desde el mes de diciembre del 2020. Se le infoma a la doctora Lida el cronograma de actividades programadas para el mes de mayo dentro del marco de cumplimiento del PISCC municipal.
Nos encontramos realizando el levantamiento de información con el fin de obtener el diagnóstico de las necesidades de cámaras de seguridad
Se atendieron las diferentes solicitudes de los Municipios Anapoima, Tibacuy, Ubaque recepcionadas por el aplicativo mercurio en temas de fortalecimiento a la seguridad y el orden público , se ha realizado una visita para evaluar solicitud de dotación para el Concejo de Gachetá. La Secretaría  no ha definido recursos para este tipo de intervenciones, Se avanza en el seguimiento de cuatro proyectos de construcción, tres estaciones de policía con el Ministerio  en Cundinamarca en convenios tripartitos y la casa de gobierno de Nimaima que fue adicionada en 2020. Se han delegado contratistas de apoyo para la supervisión de cada uno de los convenios. Los cuatro proyectos son obras nuevas. Se tiene prevista una adición para el convenio de Guasca. Con estas obras se beneficiarán los siguinetes municipios Guasca, Villapinzón, Ricaurte, Nimaima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estudios:Supatá, Tibirita, el Peñon, La Palma, El Rosal, Villagómez. Paime, san Bernardo, Sasaima, Gama, San Antonio del Tequendama, Junín, Caparrapí, Guaduas, el Colegio, Puerto Salgar, Guayabetal
Se realiza supervisión a cuatro(4) convenios interadministrativos en ejecución :Guasca, Villapinzón, Ricaurte, Nimaima, una(1) interventoría de contrato de obra en liquidación SGO SAMC-228- 2019 , CAE- Girardot y  se adelantan venticuatro (24) procesos de liquidación de contratos interadministrativos realizados con los siguientes municipio: simijaca, Cogua, san Fracisco, La vega, gachetá, Zipacón , Une, Zipaquirá, Soacha, Vergara, Quipile, Arbelaez, Facatativá,Susa, Bituima, paratebueno  orientados a infraestructura procesos de liquidación de convenios interadministrativos
Se ha realizado visitas según compromisos del señor Gobernador en trámite de la gestión de proyectos a Diecinueve(19)  proyectos orientados a Casas de Gobierno, Comando Aereo, estaciones de Policía  y casa de Justicía,  en diecisiete (17) municipios de cundinamarca Supatá, Tibirita, el Peñon, La Palma, El Rosal, Villagómez. Paime, san Bernardo, Sasaima, Gama, San Antonio del Tequendama, Junín, Caparrapí, Guaduas, el Colegio, Puerto Salgar, Guayabetal
Se avanza en la evaluación de proyectos de adecuación par tres proyectos: Tibirita( comisaría de familia). San Antonio de tequendama ( casa de Gobierno), Caparrapí ( casa de Gobierno y estación de policía))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arquitectonicos para poder verificar la idoneidad del presupuesto.
 se ha realizado la verificación ambiental , según la resolución 29 de 2020 de la Secretaría de gobierno para adecuación de  dos proyectos San bernardo CASA DE GOBIERNO), sasaima (CASA DE GOBIERNO)
Se atendieron las diferentes solicitudes de los Municipios recepcionadas por el aplicativo mercurio en temas de fortalecimiento a la seguridad y el orden público
1.El día 16 de abril de 2021 se realizó una reunión en las instalaciones de la alcaldía del municipio de Guaduas con el  doctor Pablo Andrés Neussa Mestre Secretario de gobierno encargado y el doctor Pablo Alexis Ospina Inspector de Policía, en representación de la secretaria de Gobierno de Cundinamarca estuvo la doctora Lida JannethCaycedo.Se indago sobre la implementación del PISCC , el cual según información del doctor Pablo Ospina se implemento desde el mes de diciembre del 2020. Se le informa a la doctora Lida el cronograma de actividades programadas para el mes de mayo dentro del marco de cumplimiento del PISCC municipal.                         2.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3.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4.El día 10 de mayo de 2021 se realizo reunión en el municipio de San Antonio del Tequendama con el doctor Fabio Alberto Osuna y el doctor Hernán Tiberio Correa, en dicha reunión se evidencia que la implementación se esta realizando pero el seguimiento no se efectúa a través de la matriz de seguimiento, por lo que de manera inmediata el doctor Hernán propone una capacitación a los actores de manera urgente. 5.El día 10 de mayo de 2021 se lleva a cabo en la alcaldía de la Mesa con la doctora Angelica Cotrino secretaria de gobierno y el doctor Hernán Correa, en este municipio se han llevado acabo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6.El día 19 de mayo de 2021 se realiza capacitación sobre la implementación y seguimiento al PISCC en coordinación con secretaria de  gobierno  de la alcaldía de Zipacón y presidida por del doctor Hernán Correa. 7.El día 19 de mayo se brinda capacitación sobre la implementación y seguimiento al PISCC en la alcaldía de Anolaima por parte del doctor Hernán Correa. 8.El día 20 de mayo se brinda capacitación sobre la implementación y seguimiento al PISCC en la alcaldía de San Antonio del Tequendama por parte del doctor Hernán Correo. 9.El día 11 de mayo de 2021 se llevo acabo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10.El día 12 de mayo de 2021 se llevo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11.El día 14 de mayo se llevo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12. El día 14 de mayo de 2021 se realizo una reunión en la alcaldía de Mesitas del colegio entre secretaría de Gobierno doctora Martha Bibiana Parada Martínez y la doctora Angela Segura Atuesta,la doctora Martha Bibiana Parada Martínez realiza una breve reseña del PISCC y de las líneas estratégicas contempladas en el PISCC;se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trazadas.13.El día 12 de mayo del 2021 se realizo una reunión en la alcaldía del municipio de Nocaima en donde se realizo la presentación por parte del doctor Leoviceldo Beltrán contratista de la secretaria de Gobierno de la Gobernación, se indago con la doctora Paula Velásquez secretaria de gobierno d ella alcaldía respecto a los avances del PISCC municipal.14.El día 18 de mayo de 2021 se realiza reunión en le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mismo.15.El día 5 de mayo del 2021 se llevo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16.El día 15 de mayo de 2021 se llevo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17.El día 21 de mayo de 2021 se desarrolló una reunión en la alcaldía del municipio de la Palma entre la doctora María Paula Cárdenas secretaria de gobierno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18. El día 6 de mayo del 2021 se lleva a cabo una reunión en la alcaldía de Villagoméz,ha dicha reunión asiste la doctora Karen Fajardo Secretaría de Gobierno, el doctor Misael Duarte Alcalde del Municipio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19.El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 metas trazadas.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Se realizó el levantamiento de la información de los grupos de interes de la Dirección, por parte del equipo de territorio del Observatorio de Seguridad y orden Público
Se suscribieron los siguientes convenios: 1. SGO-CMC-290-2021- 2. SGO - CDCVI - 304-2021- 3. SGO-CDCVI-302-2021.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
PISCC JULIO "1-El día 9 de julio de 2021, se realizó reunión en el municipio de Viotá con la  doctora, Sandra Patricia Peñuela, quien se desempeña como secretaria de gobierno y asuntos administrativos y los contratista de la secretaria de Gobierno, Angela Segura y Luis Carlos contratistas de la secretaria de Gobierno,  la reunión se realizó en las instalaciones de la Alcaldía Municipal en donde se tuvo un primer acercamiento, la doctora González  está actualmente al frente del tema PISCC en el municipio. 2- El día 9 de julio, se realizó reunión en el municipio de Apulo  con la  doctora, Claudia Rosas Maldonado, quien se desempeña hace una semana como secretaria general y de gobierno  y los  contratistas Luis Carlos Pinzón  y Angela Segura quien presta asesoría en la implementación y seguimiento a los PISCC municipales, la reunión se realizó en las instalaciones de la Alcaldía Municipal donde se tuvo un primer acercamiento, la doctora Rosas  está actualmente al frente del tema PISCC en el municipio.  3-El día 9 se llevo a cabo una reunión con el doctor José Alfonso Mancera Guerrero quien se desempeña como inspector de policía en la inspección del Triunfo  y los contratistas de la secretaria de Gobierno, Luis Carlos Pinzón y Angela Segura quien hace parte del equipo de PISCC,la reunión se realizó en las instalaciones de la inspección de policía de la inspección del Triunfo Se socializo con el doctor Mancera la matriz de seguimientos de las líneas de acción del PISCC municipal la cual se había enviado el día 2 de junio de 2021.  4-El día 9 de Julio  se realizó reunión con el doctor Gilberto Moreno Vargas secretario de gobierno del municipio de Anapoima y los contratista de la secretaria de Gobierno, Luis Carlos Pinzón y Angela Segura quien brinda asistencia técnica a los PISCC municipales. La reunión se llevo acabo en las instalaciones de la alcaldía de Anapoima.  5-El día 14 de Julio de 2021 se llevo a cabo una reunión virtual con La doctora Carolyn Otalora trabajadora social de la comisaria de Familia, la   doctora, Sandra Patricia Peñuela, y los contratistas de la secretaria de Gobierno, Luis Carlos Pinzón  y Angela Segura quien brinda asistencia técnica en temas del PISCC. En esta reunión se socializo la matriz de seguimiento de las líneas estratégicas del PISCC municipal.  6-El día 10 de julio de 2021 se llevo a cabo la reunión virtual con e contratistas de la secretaria de gobierno de la Gobernación de Cundinamarca: Hernán Tiberio Correa, Jhon Ever Prieto, Diego Ramírez de y Leonardo Rivera, además el señor Secretario de gobierno de Cachipay Dr. Jorge Dicson Gama, la Inspectora de Policía, el Comandante de Policía, el Director de Deportes, y las juntas de acción comunal entre otros, donde se  presto asistencia técnica brindando conocimiento en la implementación y seguimiento del PISCC municipal. de Cachipay.  7-El día 14 de julio de 2021, se realizo reunión en  la Alcaldía de Simijaca, a fin de prestar la asistencia técnica en el tema de implementación y seguimiento del piscc municipal, visita atendida por el Alcalde Municipal, el señor Fiscal, la Comisaría de Familia, el –Comandante de Policía y, el Secretario de Gobierno. 8-El día 14 de Julio de 2021, se realizo reunión en  la Alcaldía de Guachetá, la reunión fue presidida por el contratista Hernán Tiberio Correa y conto con la participación  del señor Alcalde, el Secretario de Gobierno, el encargado del Enlace y Participación Ciudadana, la Almacenista y el Asesor Jurídico del Despacho, a quienes se les brindó asistencia técnica en el tema del PISCC municipal.  9-El día 21 de Julio de 2021, el contratista Hernán Tiberio Correa se reunió en  la Alcaldía del municipio del El Rosal, donde  brindó la asistencia técnica sobre el PISCC municipal. Asistieron el señor Secretario de Gobierno y su asistente.  10-El día 12 de julio del 2021  la contratista Lida Janneth Caycedo  realizó una reunión con la Secretaria de Gobierno del municipio de Guayabal de Siquima, doctora Juana Moreno y la doctora María Fernanda en su calidad de Comisaría de familia del municipio, se revisó el PISCC municipal, y se pactaron con la comisaria una serie de actividades que consisten en capacitaciones en temas que pretenden fortalecer temas tales como la prevención de casos de violencia intrafamiliar.  11- El día 22 de julio de 2021 se llevo a cabo una reunión con la contratista Lida Janneth Caycedo en las instalaciones de la alcaldía municipal de Bajaca, secretaría de gobierno, con el Dr.  Nelson Eduardo Cotes, en su calidad de asesor de despacho, se realizó reunión en compañía de los compañeros de las diferentes estrategias de sabana de occidente, en la cual cada uno presento su estrategia.  12- El día 22 de julio de 2021, se llevo a cabo una reunión  en las instalaciones de la alcaldía municipal de Facatativá, secretaría de gobierno, con el Dr. Oscar Ramírez  en su calidad de secretario de gobierno, la reunión conto con la presencia de  los contratistas  de las diferentes estrategias, por parte de la estrategia PISCC la contratista Lida Janneth Caycedo acordó una segunda reunión para conocer las estrategias a tratar en el municipio y saber el apoyo requerido. 13- El 1 de Julio  el contratista Pablo Bernal de la Secretaria de Gobierno brindo asistencia técnica en el municipio de Guasca por  solicitud de la Doctora Yuli Catherine Rodríguez secretaria de gobierno, asistieron el comandante de estación del municipio el teniente Edison Jiménez, la encargada del “PISCC” Angie Rodríguez Ortiz.  14- El día 08 de Julio se realizó mesa de trabajo presencial en el despacho de la alcaldía municipal de Vergara presidida por el contratista Leoviceldo Beltrán Ramírez, con la participación del secretario de gobierno y la directora de orden público.  15-El día 16 de julio se realizó reunión presencial en el despacho de la alcaldía municipal de Quebradanegra, con la participación del contratista Leoviceldo Beltrán Ramírez de la secretaria de gobierno. En dicha reunión se realizó la elaboración del borrador del POAI para el 2021 y su respectivo borrador del plan de acción para adelantar los procesos de implementación.  16-El día 28 de julio se realiza reunión en el municipio de Subachoque con la presencia del contratista Felipe Tovar de la secretaria de gobierno ,se hace la presentación de cada uno de los servicios ofertados por la Secretaria de Gobierno de Cundinamarca. Para el caso específico del PISCC, se resalta inicialmente el trabajo que se desarrolló en conjunto con la secretaria de gobierno municipal en el año 2020, que conllevo a la formulación del Plan Integral de Seguridad y Convivencia Ciudadana “SUBACHOQUE POR EL CAMINO CORRECTO 2020 – 2023”. 17- El día 28 de julio se reúnen en la alcaldía de Madrid los contratistas de la Secretaria Gobierno de Cundinamarca, para el tema de PISCC asiste el contratista Gerardo Mancera, manifiestan al Doctor Víctor Andrés Rusinque – Coordinador PISCC del Municipio de Madrid, las directrices de la Dirección de Seguridad y orden público de la Secretaria de Gobierno de Cundinamarca.  18- El día 21 de julio se reunieron en la alcaldía del municipio de Cáqueza la doctora Marylin Vergara secretaria de Gobierno y el contratista Xiomara González y Gerardo Mancera, este ultimo realiza su presentación y manifiesta la disposición para brindar las asistencia técnica para la implementación y seguimiento al PISCC municipal.  19-El día 28 de julio se reunieron la doctora Yenny Secretaria de Gobierno del Municipio de Paratebueno y el contratista Gerardo Mancera contratista de la secretaria de Gobierno. El motivo de esta visita es hacer un acompañamiento en la implementación y ejecución del PISCC municipal. 20-El día 29 de julio se llevo acabo una reunión en el municipio de Paime, asistió por parte de la secretaria de gobierno de Cundinamarca el contratista Hugo Chávez , el secretario general y de gobierno de la alcaldía el doctor Walter Riveros y la inspectora de policía Ingrid Díaz, en esta reunión el contratista ofrece sus servicios como asesor en e implementación y seguimiento al PISCC Municipal."
Se atendieron 12 solicitudes recepcionadas por el aplicativo mercurio en temas de fortalecimiento a la seguridad y el orden público
Se brindaron 14 asistencias técnicas en los municipios de Apulo, Anapoima, La Calera,Zipacón,  Cachipay, la mesa, San Antonio de Tequendama, el Rosal, Anolaima, Vergara, Nocaima y Mesitas del Colegio con temas de  seguimiento las actividades propuesta en el PISCC municipal, revisión de la matriz para  ajustar el PISCC, implementación del PISCC municipal,  capacitación sobre los instrumentos de seguimiento y evaluación del PISCC, elaboración del POAI para el 2021 del PISCC municipal.
Se realizo capacitación en el municipio de Mesitas del Colegio sobre Microtráfico, Conformación de frentes de seguridad ciudadana y cultura ciudadana, estas actividades están dentro de las líneas estratégicas contempladas en el PISCC municipal, la capacitación conto con la asistencia de los presidentes, vicepresidentes, secretarios, delegados de las juntas de acción comunal, la secretaria de gobierno de la alcaldía municipal la doctora Martha Parada, con la presencia del doctor Julián Quijano asesor de la secretaria de Gobierno de la Gobernación de Cundinamarca y los contratistas, Luis Carlos Pinzón de la meta de cultura ciudadana, Cesar Rivera microtráfico, Angela Segura PISCC.
Durante el mes de Octubre se brindaron 9 asistencias técnicas en los municipios de Zipacón, Anolaima, San Antonio de Tequendama, La mesa, Cachipay, Zipacon, Quebradanegra, Manta con temas de  seguimiento las actividades propuesta en el PISCC municipal, revisión de la matriz para  ajustar el PISCC, implementación del PISCC municipal,  capacitación sobre los instrumentos de seguimiento y evaluación del PISCC.
INFRAESTRUCTURA Durante el periodo reportado se han realizado solicitudes de diferentes proyectos orientados a estaciones de policía. Se llevo a cabo reunión con el ministerio del interior para la estación de policía Guayabetal, adicionalmente se lleva a cabo el trámite de adición para un convenio con el ministerio del interior para aportar recursos en una adición. Se realizan visitas técnicas y levantamiento arquitectónico del CAI de Fúquene, evaluación de estudios de proyectos en trámite de estructuración. Se adelanta supervisiones de convenios en proceso de ejecución convenios tripartito ministerio del interior en guasca, villa pinzón y Ricaurte. Se realiza acompañamiento a municipios en procesos de gestión de recursos ante el ministerio. Se Brinda acompañamiento a la gestión predial del CAI de Girardot
Los temas ambientales son requisitos de verificación comprendidos en la resolución 029 de 2020 cai ambiental de Fúquene y Se realizan supervisiones a proyectos de vigencias 2017-2018-2019 en proceso de liquidación. trámites de seguimiento a la viabilizarían de proyectos, verificación de requisitos prediales frente a proyectos, verificación de cumplimiento de requisitos ambientales.
A la fecha se ha solicitado  la adición del convenio de Con financiación N° 907 de 2019 suscrito entre la Nacion, Fondo Nacional de Seguridad y Convivencia ciudadana – FONSECON Departamento de Cundinamarca y el municipio de Guasca con CDP 7100016984 para la adición de los recursos.  Se realizó estudios previos Actualmente se exige realizar la ADECUACIÓN Y MEJORAMIENTO de la edificación del CAI AMBIENTAL DE LA LAGUNA  DE FÚQUENE En el marco del proyecto “ Construcción, adecuación y dotación de infraestructura para el fortalecimiento de la convivencia y seguridad ciudadana en el Departamento de Cundinamarca” , se encuentra la meta 440 orientada a Financiar el 80% de las solicitudes de las autoridades de seguridad, convivencia y orden público de Cundinamarca
Convenios:  Proyecto convenios para aunar esfuerzos técnicos administrativos y financieros para el mantenimiento, combustible y dotación  de  la fuerza púbica.</v>
      </c>
      <c r="AK427" s="11">
        <f>VLOOKUP(K427,'1105 Gobierno'!$K$12:$AK$31,27,0)</f>
        <v>0</v>
      </c>
      <c r="AL427" s="11">
        <v>400</v>
      </c>
      <c r="AM427" s="11">
        <v>0</v>
      </c>
      <c r="AN427" s="11">
        <v>300</v>
      </c>
      <c r="AO427" s="11">
        <v>0</v>
      </c>
      <c r="AP427" s="11">
        <v>0</v>
      </c>
      <c r="AQ427" s="11">
        <v>0</v>
      </c>
      <c r="AR427" s="51">
        <v>4707527148</v>
      </c>
      <c r="AS427" s="54">
        <v>0</v>
      </c>
      <c r="AT427" s="54">
        <f t="shared" si="636"/>
        <v>4707527148</v>
      </c>
      <c r="AU427" s="51">
        <v>4654972546</v>
      </c>
      <c r="AV427" s="243">
        <v>14264649646</v>
      </c>
      <c r="AW427" s="244"/>
      <c r="AX427" s="244"/>
      <c r="AY427" s="243">
        <v>10441418373</v>
      </c>
      <c r="AZ427" s="44">
        <f t="shared" ref="AZ427:AZ434" si="723">R427/Q427</f>
        <v>0.26500000000000001</v>
      </c>
      <c r="BA427" s="44">
        <v>0.1875</v>
      </c>
      <c r="BB427" s="44">
        <v>1</v>
      </c>
      <c r="BC427" s="306">
        <v>300</v>
      </c>
      <c r="BD427" s="306">
        <v>400</v>
      </c>
      <c r="BE427" s="306">
        <v>300</v>
      </c>
      <c r="BF427" s="44">
        <v>0</v>
      </c>
      <c r="BG427" s="44">
        <f t="shared" ref="BG427:BG434" si="724">AN427/Q427</f>
        <v>0.3</v>
      </c>
      <c r="BH427" s="44">
        <v>0</v>
      </c>
      <c r="BI427" s="44">
        <f t="shared" ref="BI427:BI441" si="725">AP427/Q427</f>
        <v>0</v>
      </c>
      <c r="BJ427" s="44" t="s">
        <v>115</v>
      </c>
      <c r="BK427" s="44">
        <f t="shared" si="640"/>
        <v>0.26500000000000001</v>
      </c>
      <c r="BL427" s="44">
        <v>1</v>
      </c>
      <c r="BM427" s="44" t="str" cm="1">
        <f t="array" ref="BM427">_xlfn.IFS(BD427="NA","NA",BD427&gt;100%,"100%",BD427&lt;100,BD427)</f>
        <v>100%</v>
      </c>
      <c r="BN427" s="44" cm="1">
        <f t="array" ref="BN427">_xlfn.IFS(BF427="NA","NA",BF427&gt;100%,"100%",BF427&lt;100,BF427)</f>
        <v>0</v>
      </c>
      <c r="BO427" s="44" cm="1">
        <f t="array" ref="BO427">_xlfn.IFS(BH427="NA","NA",BH427&gt;100%,"100%",BH427&lt;100,BH427)</f>
        <v>0</v>
      </c>
      <c r="BP427" s="44" t="str" cm="1">
        <f t="array" ref="BP427">_xlfn.IFS(BJ427="NA","NA",BJ427&gt;100%,"100%",BJ427&lt;100,BJ427)</f>
        <v>NA</v>
      </c>
      <c r="BQ427" s="45">
        <v>0.224</v>
      </c>
      <c r="BR427" s="45">
        <f>BQ427*BK427</f>
        <v>5.9360000000000003E-2</v>
      </c>
      <c r="BS427" s="45">
        <v>4.2000000000000003E-2</v>
      </c>
      <c r="BT427" s="45">
        <v>4.2000000000000003E-2</v>
      </c>
      <c r="BU427" s="45">
        <v>4.2000000000000003E-2</v>
      </c>
      <c r="BV427" s="45">
        <f t="shared" ref="BV427:BV434" si="726">(AD427*BQ427)/Q427</f>
        <v>6.720000000000001E-2</v>
      </c>
      <c r="BW427" s="45">
        <f t="shared" si="652"/>
        <v>6.720000000000001E-2</v>
      </c>
      <c r="BX427" s="45">
        <f>BR427-BU427</f>
        <v>1.736E-2</v>
      </c>
      <c r="BY427" s="45">
        <f t="shared" ref="BY427:BY434" si="727">(AL427*BQ427)/Q427</f>
        <v>8.9600000000000013E-2</v>
      </c>
      <c r="BZ427" s="45">
        <f t="shared" ref="BZ427:BZ434" si="728">IF(BN427="NA","NA",BN427*BY427)</f>
        <v>0</v>
      </c>
      <c r="CA427" s="45">
        <f t="shared" si="634"/>
        <v>0</v>
      </c>
      <c r="CB427" s="45">
        <f t="shared" ref="CB427:CB434" si="729">(AN427*BQ427)/Q427</f>
        <v>6.720000000000001E-2</v>
      </c>
      <c r="CC427" s="45">
        <f t="shared" ref="CC427:CC434" si="730">IF(BO427="NA","NA",BO427*CB427)</f>
        <v>0</v>
      </c>
      <c r="CD427" s="45">
        <v>0</v>
      </c>
      <c r="CE427" s="45">
        <f t="shared" ref="CE427:CE432" si="731">(AP427*BQ427)/Q427</f>
        <v>0</v>
      </c>
      <c r="CF427" s="45" t="str">
        <f t="shared" ref="CF427:CF432" si="732">IF(BP427="NA","NA",BP427*CE427)</f>
        <v>NA</v>
      </c>
      <c r="CG427" s="45">
        <v>0</v>
      </c>
      <c r="CH427" s="244"/>
      <c r="CI427" s="244"/>
      <c r="CJ427" s="244"/>
      <c r="CK427" s="244"/>
      <c r="CM427" s="63">
        <v>35</v>
      </c>
    </row>
    <row r="428" spans="1:91" ht="18" hidden="1" customHeight="1">
      <c r="A428" s="260" t="s">
        <v>992</v>
      </c>
      <c r="B428" s="260" t="s">
        <v>993</v>
      </c>
      <c r="C428" s="260" t="s">
        <v>2371</v>
      </c>
      <c r="D428" s="260" t="s">
        <v>2763</v>
      </c>
      <c r="E428" s="260" t="s">
        <v>2764</v>
      </c>
      <c r="F428" s="260" t="s">
        <v>2765</v>
      </c>
      <c r="G428" s="260" t="s">
        <v>2766</v>
      </c>
      <c r="H428" s="260" t="s">
        <v>2772</v>
      </c>
      <c r="I428" s="260"/>
      <c r="J428" s="260"/>
      <c r="K428" s="260" t="s">
        <v>2773</v>
      </c>
      <c r="L428" s="260" t="s">
        <v>2774</v>
      </c>
      <c r="M428" s="260" t="s">
        <v>2272</v>
      </c>
      <c r="N428" s="260" t="s">
        <v>111</v>
      </c>
      <c r="O428" s="260" t="s">
        <v>112</v>
      </c>
      <c r="P428" s="10">
        <v>0</v>
      </c>
      <c r="Q428" s="11">
        <v>1</v>
      </c>
      <c r="R428" s="11">
        <f t="shared" si="721"/>
        <v>0.45</v>
      </c>
      <c r="S428" s="11" t="str">
        <f>VLOOKUP(K428,'1105 Gobierno'!$K$12:$AK$31,9,0)</f>
        <v>Frente a los diferentes componentes de asistencia técnica, se ha generado divulgación de datos y cultura ciudadana frente a los delitos y violencias del departamento, no solo a través de redes sociales sino en el programa Estamos Seguros todos los lunes en el Dorado Radio. Asimismo, se ha brindado asistencia técnica a los comités de lucha contra la trata de personas  para su creación y activación, así como prevenir e informar a la comunidad sobre los delitos de la trata de personas. Se está creando los esquemas integrados de reacción articulada, y se han fortalecido al programa de atención psicojurídica DUPLAS a través de la atención, asesoría y coordinación de los procesos de asistencia los casos de violencia contra la mujer. En ella se ha brindado asistencia a las víctimas de los municipios de Funza, Facatativá, Subachoque, Chía, Zipaquirá, Cota, Tenjo, Madrid y Soacha.Se realizó actualización y ajuste de la estrategia “Cundinamarca, cultura de paz y convivencia” y se realiza su socialización en las diferentes provincias y sus respectivos municipios. A ella se llega a 99 municipios de los 116 y se encuentran 1.746 ciudadanos beneficiados en la primera fase. Asimismo, con la estrategia de territorios de paz, se busca llegar a los territorios con mayor índice de violencia y en este cuatrienio, se han llegado a 22 municipios de las 15 provincias, llegando a los alcaldes, secretarios de gobierno, inspectores de policía, personeros municipales, comandantes de policía, juntas de acción comunal, directores de emisoras comunitarias y de ciudadanía beneficiando a 150 ciudadanos. Se han realizó acciones de prevención de delitos, diálogo como herramienta de solución de conflictos, programa radial “el vigilante”. Actividades de emprendimiento, campañas de sensibilización para disminuir accidentes de tránsito, prevención de violencia intrafamiliar, rutas de atención en casos de violencia contra la mujer y prevención de delitos informáticos, convivencia y bullying, entre otros. Se dotó y se apoyo a municipios en la seguridad, justicia y cultura ciudadana.Se ha venido trabajando en el fortalecimiento del observatorio de seguridad y convivencia ciudadana y la línea 1,2,3 ha venido funcionando, garantizando que los cundinamarqueses puedan acudir y denunciar cualquier delito. En la línea de emergencia 123 de Cundinamarca, los operadores brindan el re direccionamiento de las llamadas a los canales de policía, servicio de emergencias médicas y canal psicosocial para la atención oportuna de estos. En lo transcurrido del año se han recibido aproximadamente 290 llamadas, de las cuales el pedido efectivo son del 16%, logrando 6.000 llamadas por  mes. Se logra entonces, canalizar alrededor de 50.000 procesos, efectivos, para disminuir los delitos, evitar suicidios, entre los servicios más importantes. En la actualidad se cuenta con un grupo de 17 operadores y 6 psicosociales los cuales prestan un servicio continuo de 24 horas, los 7 días de la semana para los 116 municipios. El observatorio de seguridad en los 11 meses de año, ha logrado consolidar 7 fuentes directas de información con las que se nutre el sistema de información y se hacen los reportes del observatorio. El observatorio de seguridad y convivencia logra la meta de consolidarse como una herramienta de gestión para la toma de decisiones, el monitoreo de las cifras de criminalidad, violencia y convivencia en el departamento y fuente veraz de información conciliada con varias entidades. Gracias al monitoreo del Observatorio, la Gobernación cuenta con información de fuentes directas que avalan el éxito de la política integral de seguridad ciudadana del departamento y eso se demuestra con los resultados de los 11 primeros meses del año dónde hemos reducidos en un 13,3% los 21 delitos de mayor impacto social comparado con el mismo periodo del año anterior. 17 de estos 21 delitos han presentado una disminución siendo los más relevantes el secuestro que disminuyó en un 96,2% pasando de 26 casos a solo 1 en todo el departamento, los hurtos en todas sus modalidades -exceptuando el de bicicletas que ha aumentado-, se registró una disminución significativa en los delitos sexuales pasando de 786 casos a 590 casos en todo el departamento equivalente a un 25% menos casos que el año anterior.La reducción del homicidio en un 9,6 % durante lo corrido del año es importante y refleja también el éxito de las políticas de convivencia y tolerancia social. Sin embargo es importante decir que cuatro delitos no se han podido reducir y algunos de ellos tienen relación con los efectos de la pandemia y la nueva realidad: ciberdelitos, estafa, violencia intrafamiliar y hurto de bicicletas. Con estas excepciones, todos los demás indicadores del observatorio son positivos comprados con las estadísticas del año anterior. Adicional hemos reactivado los tableros de control geo referenciados con la información de los 116 municipios, los cuales son de libre acceso para consulta de cualquier ciudadano. Se está consolidado por parte de los contratistas información sobre delitos de mayor impacto en el departamento de Cundinamarca, esto con el objetivo de alimentar los informes mensuales arrojados por el observatorio de seguridad y convivencia ciudadana que se encuentran en el micro sitio de la Secretaria de Gobierno.
EIRAS
1- Actualización del documento metodológico de los EIRA . Actualmente se cuenta con la construcción del 40% de un documento metodológico, que condensa las etapas de  planeación, ejecución, seguimiento y evaluación de los Esquemas Integrados de Reacción Articulada.
2- Actualización de las rutas de denuncia a seguir por parte de la ciudadanía en caso de ser  víctima o testigo de un delito. Se cuenta con el diseño del 71% de los esquemas elaborados a través de diagramas de flujo, los cuales le indican al ciudadano cundinamarqués el paso a seguir para realizar una denuncia ante las autoridades competentes en caso de ser vícitima o testigo de un delito. Esto quiere decir, que se cuenta con el diseño de la ruta, para 15 de los 21 delitos. (abigeato, amenazas,  delitos sexuales,  extorsión, homicidio, homicidio a/t, hurto a comercio, hurto a personas, hurto a residencias, hurto automotores,  hurto motocicletas, lesiones a/t, lesiones personales,  secuestro, violencia intrafamiliar
3- Ejecución de los  pilotos de los EIRA. Se cuenta con la programación de los municipios  en los cuales se realizarán los pilotos para implementar los EIRA, esta programación incluye  83 municipios correspondientes a  11 provincias
DUPLAS
El equipo duplas en el corte de 30 de Junio se ha realizado la asistencia a 50 mujeres victimas de violencia, con las cuales se realizo activacion de rutas de atencion y articulacion con las entidades locales con el fin de garantizar asistencia oportuna, en municipios como SOACHA, SIBATE, FUNZA, FACATATIVA, ZIPAQUIRA, MOSQUERA, CAJICA, LA MESA Y FUSAGASUGA.                                                                                   
Se realiza proceso de asignacion de cupo en casa de acogida para un sistema familiar.
De la misma forma, el equipo ha desarrollado 18 asistencias tecnicas en los municipios de FUSAGASUGÁ, GIRARDOT, QUIPILE, LA MESA, SIBATÉ, CACHIPAY, NARIÑO, EL PEÑÓN, FUQUENE, NOCAIMA, PAIME, SAN JUAN DE RIOSECO, ZIPAQUIRÁ, FOMEQUE, FOSCA, ZIPACÓN, EL ROSAL
El equipo realiza apoyo en la recoleccion de informacion con el formato de catacterizacion de violencias del departamento dirigido en esta ocasion a las comisarias de familia priorizadas de la provincia de Sumapaz, con el fin de apoyar la ejecucion de la Ruta M
CULTURA
Se diseño y aprobó la  herramienta para seguimiento y evaluacion de la implementacion de la estrategia.
Se elaboró el borrador de la matriz de seguimiento de implementacion de la estrategia cultura ciudadana y territorios de paz en 107 municipios del departamento.
Se realizo asistencias tecnicas en los municpios de (Madrid,Sesquilé,Nilo,Ricaurte,San Bernardo, Suesca,Chocontá, Guasca, Ubalá), donde se inicia socilaizacion de la estrategia.
Se abordaron 14 provincias para la aplicación de la herramienta de seguimiento y evaluación
OBSERVATORIO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Durante los primeros 3 meses del año 2021 se adelantó la conformación de nuestro equipo que opera la línea de emergencia 123 de Cundinamarca, para este periodo y  en coordinación con la Policía del departamento logramos cubrir la operación atendiendo al llamado de los cundinamarqueses,  en paralelo avanzamos en la construcción de este equipo de operadores y del canal psicosocial, al 30 de abril la línea cuenta con 11 operadores y 2 psicólogos, esperando completar el equipo de 16 operadores y 6 psicólogos para lograr cubrir el servicio los 7 días a la semana las 24 horas.  Desde la parte  técnica y jurídica se adelantó un proceso licitatorio que ya está adjudicado, con el objetivo de activar la red de apoyo del departamento a nivel de comunicaciones, por otro lado en articulación con la secretaria de las TIC se realizaron unas mesas de trabajo en un principio para realizar un  diagnóstico y poder actualizar nuestra aplicación del 123 Cundinamarca y ponerla en funcion del departamento.
Se realizó el levantamiento de la información de los grupos de interes de la Dirección, por parte del equipo de territorio del Observatorio de Seguridad y orden Público
•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 Mediante correo electrónico se hace la solicitud formal a la Policía Nacional de la base de datos de los delitos reportados en el departamento de Cundinamarca
• Elaboración de informe especial de trata de personas y Micro tráfico, datos relevantes del 2021.
• Elaboración de informe sobre DELITOS DE MAYOR IMPACTO ENERO A MAYO 31 DE 2021
• Unificación del informe de delitos del departamento con las entidades que tienen presencia en el departamento.
• Reunión con las entidades encargadas de generar las bases de datos como fuentes de información para realizar el análisis correspondiente de los datos procesados y entregados al inicio del mes.
• Entrega de informe mensual provincial del análisis de las cifras y datos de los 21 delitos procesados en el observatorio de seguridad de Cundinamarca.
• Actualización y divulgación en el micro sitio del observatorio de seguridad, el informe oficial del análisis de los delitos procesados por observatorio de seguridad.
• Se realiza reuniones de coordinación estratégica del equipo asistencial del observatorio de seguridad para el análisis de los informes en el contexto territorial.
Los siguientes municipios se les remitió informe de delitos de alto de alto impacto: Facatativá,Fusagasugá, Zipaquirá, Girardot ,Quebradanegra ,Jerusalen, Guataquí, Pacho,Gachancipá,Pandi,Tocancipá y Anapoima
CODIGO
1.  Conformado el grupo de contratistas,  entre profesionales y tecnicos de apoyo para llevar a cabo la actividad,  se procedio a asignar los temas de la ley 1801 de 2016,  "Código Nacional de Policia y Convivencia", donde cada uno realizó una exposición en reunión presencial en la Sala de Juntas de la Secretaria de Gobierno, el día 27 de Mayo de 2021, con el fin de unificar criterios,  para consolidar estos temas en un sola presentación e inciar las capacitaciones en territorio,  a los Secretarios de Gobierno, Inspectores de Policía, corregidores, Comisarios de Familia y demás autoridades de Policia de los Municipios. a parte de la mitad del mes de junio de 2021. 2. Se realizo contacto con los profesionales que hasta el año 2019 se encontraban conformando la mesa técnica para la construcción del Reglamento de Policia y Convivencia ciudadana  del departamento de Cundinamarca, Dr. William Gonzalez y el contratista Dr. Remberto Torres, (quien se  encontraba vinculado para la época), donde de procedera a revisar los archivos  memorias, actualizar la normativa, gestion que ya se viene realizando con el Doctor WILLIAM GONZALEZ, profesional Univeristario de la Secretaria de Gobierno.
Se realizó actualización de las memorias y proyecto de ordenanza con exposición de motivos del Reglamento de Seguridad y Convivencia ciudadana del Departamento, que fue adelantado en el año 2018, enviando por el Doctor Eduardo Ordoñez. Se definio la presentación y normatidad de los caninos potencialmente peligrosos, concordante con la ley 1801 de 2016, para el trabajo en territorio con los municipios donde funcionan los albergues de Protección animal.
123
En la estrategia de la línea del 123, se brindó el servicio de recepción y atención de llamadas por parte de los operarios, y de la atención y contención del canal psicosocial, que permitieron atender, analizar y redireccionar los casos a las direntes entidades competentes, también se reportaron los datos estadísticos mediante el informe detallado descargado de las plataformas SAGA y SECAD. Se verifica el correcto funcionamiento de la red de apoyo y actualización de los equipos móviles en la plataforma con el apoyo del operador CLARO, evidenciando un monitoreo constante desde la página web KNOX.
Se realizó mesa de trabajo entre el encargado de la mesa de comunicaciones para realizar proyección de la campaña de comunicación para la línea de emergencia de Cundinamarca.
Se actualizó la aplicación de monitoreo del departamento de Cundinamarca  con la capacitación de los operadores que reciben las llamadas en la línea 123  y con  543 líneas distribuidas en (Bomberos, defensa civil, Crue, Policía y ejército) permitiendo mejorar la atención a los 116 municipios, dentro del fortalecimiento institucional se evidencia la mejora del aire acondicionado por parte de la secretaria general  para el funcionamiento del control de máquinas y el apoyo que prestara la secretaria de la mujer para los casos relacionados con violencia contra la mujer.
Se realizaron las piezas comunicativas correspondientes a las actividades realizadas por la secretaría de gobierno, dirección de seguridad y orden público.
TRATA
Se ha construido un documento base, en clave de estado del Arte que permite dar cuenta de las campañas implementadas por las instituciones competentes de orden nacional  . Paso seguido se ha analizado de forma específica las campañas de Fiscalía y Ministerio del interior. A la fecha, el documento se encuentra en fase de creación de la propuesta para prevenir la trata de personas.</v>
      </c>
      <c r="T428" s="11">
        <v>0</v>
      </c>
      <c r="U428" s="11">
        <v>0</v>
      </c>
      <c r="V428" s="11">
        <v>0.25</v>
      </c>
      <c r="W428" s="11">
        <v>0</v>
      </c>
      <c r="X428" s="11">
        <v>0.25</v>
      </c>
      <c r="Y428" s="11">
        <v>0</v>
      </c>
      <c r="Z428" s="11">
        <v>0.25</v>
      </c>
      <c r="AA428" s="11" t="s">
        <v>2775</v>
      </c>
      <c r="AB428" s="11" t="s">
        <v>2776</v>
      </c>
      <c r="AC428" s="11" t="s">
        <v>2777</v>
      </c>
      <c r="AD428" s="11">
        <v>0.25</v>
      </c>
      <c r="AE428" s="11">
        <v>0</v>
      </c>
      <c r="AF428" s="11">
        <f>VLOOKUP(K428,'1105 Gobierno'!$K$12:$AK$31,22,0)</f>
        <v>0.2</v>
      </c>
      <c r="AG428" s="11" t="str">
        <f>VLOOKUP(K428,'1105 Gobierno'!$K$12:$AK$31,23,0)</f>
        <v> </v>
      </c>
      <c r="AH428" s="11">
        <f t="shared" si="722"/>
        <v>0.2</v>
      </c>
      <c r="AI428" s="11" t="str">
        <f>VLOOKUP(K428,'1105 Gobierno'!$K$12:$AK$31,25,0)</f>
        <v>Informe Técnico de delitos de alto impacto del Departamento correspondiente al mes de enero de 2021 / analisis estadistico de la base de datos de atención en la linea 123 de los meses enero y febrero de 2021
Asistencia técnica</v>
      </c>
      <c r="AJ428" s="11" t="str">
        <f>VLOOKUP(K428,'1105 Gobierno'!$K$12:$AK$31,26,0)</f>
        <v>EIRAS
1)Actualización del documento metodológico de los EIRA . Actualmente se cuenta con la construcción del 90% de un documento metodológico, que condensa las etapas de planeación, ejecución, seguimiento y evaluación de los Esquemas Integrados de Reacción Articulada.
 2) Actualización de las rutas de denuncia a seguir por parte de la ciudadanía en caso de ser víctima o testigo de un delito. Se cuenta con el diseño del 21 de los esquemas elaborados a través de diagramas de flujo, los cuales le indican al ciudadano cundinamarqués el paso a seguir para realizar una denuncia ante las autoridades competentes en caso de ser víctima o testigo de un delito. Esto quiere decir, que se cuenta con el diseño de la ruta, para 15 de los 21 delitos. (abigeato, amenazas, delitos sexuales, extorsión, homicidio, homicidio a/t, hurto a comercio, hurto a personas, hurto a residencias, hurtos automotores, hurto motocicletas, lesiones a/t, lesiones personales, secuestro, violencia intrafamiliar, Estructuración de los documentos de los esquemas de rutas de atención al ciudadano municipios de Alban, Bituima, Cogua, El peñón, Fúquene, Gacheta, Gama, Guachetá, Guataquí, La palma, Lenguazaque, Macheta, Nimaima, Pacho, Paime, Pasca, San Cayetano, Sibaté, Sopo.
3) Ejecución de los pilotos de los EIRA. Se cuenta con la programación de los municipios en los cuales se realizarán los pilotos para implementar los EIRA, esta programación incluye 83 municipios correspondientes a 11 provincias
Se realizan Asistencias Técnicas Presencial en los municipios de Albán, Bituima, Cabrera, Cachipay, Cáqueza, Cogua, Fómeque, Fúquene, Gacheta, Gama, Guachetá, Guataquí, Lenguazaque, Macheta, Nimaima, Paime, Pasca, San Cayetano, Sopo, Villagómez, La Calera, Caparrapí, Cota, Funza, Guaduas, Guayabal de Síquima, San Antonio de Tequendama, Sesquilé, Sutatausa, Tibacuy, Tibirita, Tocancipá.
Asistencia Técnica virtual: Macheta
Asistencias técnicas 14
1- Documento metodológico de los EIRA. A 31 de octubre se cuenta con la construcción del 95% del documento metodológico, que condensa las etapas de  planeación, ejecución, seguimiento y evaluación de los Esquemas Integrados de Reacción Articulada. (definición, metodología de trabajo, marco normativo, objetivos, plan de acción, información general, diagnóstico de los delitos que afectan la seguridad y convivencia en el departamento, ruta de los EIRA para denunciar en caso de ser víctima o testigo de un delito)
2- Rutas de denuncia.  Se diseñaron través de diagramas de flujo 21 esquemas/rutas, los cuales le indican al ciudadano cundinamarqués el paso a seguir para realizar una denuncia ante las autoridades competentes en caso de ser víctima o testigo de un delito.
A 31 de Octubre realizaron 15 asistencias técnicas en los municipios de Vergara, Junín, Madrid, Yacopí, Tena, Quebrada negra, Ubaque, Guayabetal, Gutiérrez, Nemocón, Pandi, Puerto Salgar, Pulí, San Bernardo, Tausa, Une, Venecia, Ubaté, explicación sobre el esquemas integrados de reacción articulada “EIRA” diagnostico sobre delincuencia de municipio, explicación de los diagramas de flujo y rutas de denuncia
DUPLAS
El equipo duplas en el corte de 30 de Junio se ha realizado la asistencia a 50 mujeres víctimas de violencia, con las cuales se realizó activación de rutas de atención y articulación con las entidades locales con el fin de garantizar asistencia oportuna, en municipios como SOACHA, SIBATE, FUNZA, FACATATIVA, ZIPAQUIRA, MOSQUERA, CAJICA, LA MESA Y FUSAGASUGA.                                                                                   
Se realiza proceso de asignación de cupo en casa de acogida para un sistema familiar.
De la misma forma, el equipo ha desarrollado 18 asistencias tecnicas en los municipios de FUSAGASUGÁ, GIRARDOT, QUIPILE, LA MESA, SIBATÉ, CACHIPAY, NARIÑO, EL PEÑÓN, FUQUENE, NOCAIMA, PAIME, SAN JUAN DE RIOSECO, ZIPAQUIRÁ, FOMEQUE, FOSCA, ZIPACÓN, EL ROSAL
El equipo realiza apoyo en la recolección de información con el formato de caracterización de violencias del departamento dirigido en esta ocasión a las comisarías de familia priorizadas de la provincia de Sumapaz, con el fin de apoyar la ejecución de la Ruta M
El equipo duplas psicojuridicas a la fecha está compuesto por 11 profesionales, 6 jurídicos y 5 psicosociales, se encuentran distribuidos territorialmente, con presencia en los 116 municipios de las 15 provincias del departamento, se han atendido en total de 123 casos de víctimas de violencias basada en genero con sus articulaciones pertinentes. De la misma forma se han ejecutado 24 asistencias técnicas territoriales (capacitaciones) en el departamento.
Para el periodo han atendidos 162 casos de victimas de violencias basada en genero con sus articulaciones pertinentes, atendidos por equipo de trabajo de la misma forma se han ejecutado 5 asistencias técnicas territoriales en el departamento, se ha desarrollado 2 documentos de diagnostico de violencias basadas en género en las provincias de Alto Magdalena y provincia de Sumapaz.
CULTURA
Se diseño y aprobó la herramienta para seguimiento y evaluación de la implementación de la estrategia. Se elaboró el borrador de la matriz de seguimiento de implementación de la estrategia cultura ciudadana y territorios de paz en 107 municipios del departamento. Se realizo asistencias técnicas en los municipios de (Madrid, Sesquilé, Nilo, Ricaurte, San Bernardo, Suesca, Chocontá, Guasca, Ubalá), donde se inicia socialización de la estrategia.
Se abordaron 14 provincias para la aplicación de la herramienta de seguimiento y evaluación
Se desarrolla la herramienta de seguimiento y evaluación de la implementación de la estrategia de cultura ciudadana y territorios de paz en la matriz de seguimiento 7 municipios y en total 112 han entregado la información a la fecha. 
Se realizo la aplicación de  la matriz de seguimiento de implementación de la estrategia cultura ciudadana y territorios de paz en los municipios de: Guaduas, Puerto Salgar, Cabrera, Venecia, Pandi, Fusagasugá, Tibacuy, Arbeláez, Pasca, Granada, Guayabal De  Siquima, Bituima, Viani, San Juan De Rioseco, Chaguaní, Pulí, Mosquera, Madrid, Girardot, Soacha, Sibaté, Guatavita, Subachoque, Villa Pinzón, Chocontá, Suesca, Macheta, Tibirita, Manta, Alban y  Fosca.
Se realizaron asistencias técnicas y capacitaciones en temas de convivencia y seguridad en los municipios de Madrid, Mosquera, Nilo, Soacha, Fusagasugá, Funza, Bojacá, Agua De Dios,  Guaduas, Pulí, Vianí, Venecia, Chaguaní, Viani, Choconta, Subachoque, Bojaca, Nilo, Tocaima, Manta, Alban, Nariño, Guataquí y Tocaima
Se realizaron reuniones virtuales con el fin adelantar seguimiento a los comités civiles de seguridad y convivencia en los municipios de Chocontá, Apulo, Viotá, Guaduas, Caparrapí, Nilo, Tocaima
Asistencias técnicas 24
Hasta el 31 de Octubre se han recopilado los decretos de Creación de los siguientes municipios Paime, El Peñón, Topaipi, Yacopí ,Nimaima, Nocaima, Quebrada negra, Utica, Chaguaní, Cucunuba, Guachetá, Simijaca, Sutatausa, Ubaté, Quipile, Cáqueza, Ubaque, Chipaque, Gutiérrez, Fómeque, Une
En la estrategia de cultura ciudadana y territorios de paz los contratista realizaron  la  aplicación de  la matriz de seguimiento  en los municipios de:  Pacho, La Palma, San Cayetano, Villagomez, Bojaca, Utica, Yacopi, Nimaima, Nocaima, Macheta, Manta, Suesca, Tibirira, Villapinzon, Topaipi, El Peñon, Madrid, Girardot. Pto Salgar,  San Antonio Del Tequendama
Se realizaron asistencias técnicas y capacitaciones en temas de convivencia y seguridad en los municipios de Madrid, Nilo, Nariño, Agua De Dios, Guataqui, Girardot, Apulo, Choconta, Tocaima, Cahipay, Anolaima,
Se realizaron capacitaciones virtuales en temas de convivencia y seguimiento a la matriz e los municipios de CACHIPAY
Asistencias técnicas 24
OBSERVATORIO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Durante los primeros 3 meses del año 2021 se adelantó la conformación de nuestro equipo que opera la línea de emergencia 123 de Cundinamarca, para este periodo y  en coordinación con la Policía del departamento logramos cubrir la operación atendiendo al llamado de los cundinamarqueses,  en paralelo avanzamos en la construcción de este equipo de operadores y del canal psicosocial, al 30 de abril la línea cuenta con 11 operadores y 2 psicólogos, esperando completar el equipo de 16 operadores y 6 psicólogos para lograr cubrir el servicio los 7 días a la semana las 24 horas.  Desde la parte  técnica y jurídica se adelantó un proceso licitatorio que ya está adjudicado, con el objetivo de activar la red de apoyo del departamento a nivel de comunicaciones, por otro lado en articulación con la secretaria de las TIC se realizaron unas mesas de trabajo en un principio para realizar un  diagnóstico y poder actualizar nuestra aplicación del 123 Cundinamarca y ponerla en funcion del departamento.
Se realizó el levantamiento de la información de los grupos de interes de la Dirección, por parte del equipo de territorio del Observatorio de Seguridad y orden Público
•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 Mediante correo electrónico se hace la solicitud formal a la Policía Nacional de la base de datos de los delitos reportados en el departamento de Cundinamarca
• Elaboración de informe especial de trata de personas y Micro tráfico, datos relevantes del 2021.
• Elaboración de informe sobre DELITOS DE MAYOR IMPACTO ENERO A MAYO 31 DE 2021
• Unificación del informe de delitos del departamento con las entidades que tienen presencia en el departamento.
• Reunión con las entidades encargadas de generar las bases de datos como fuentes de información para realizar el análisis correspondiente de los datos procesados y entregados al inicio del mes.
• Entrega de informe mensual provincial del análisis de las cifras y datos de los 21 delitos procesados en el observatorio de seguridad de Cundinamarca.
• Actualización y divulgación en el micro sitio del observatorio de seguridad, el informe oficial del análisis de los delitos procesados por observatorio de seguridad.
• Se realiza reuniones de coordinación estratégica del equipo asistencial del observatorio de seguridad para el análisis de los informes en el contexto territorial.
Los siguientes municipios se les remitió informe de delitos de alto de alto impacto: Facatativá, Fusagasugá, Zipaquirá, Girardot, Quebradanegra, Jerusalen, Guataquí, Pacho, Gachancipá, Pandi, Tocancipá y Anapoima
En el mes de julio se realizan 7 asistencias técnicas en municipios priorizados y 3 por municipios no priorizados por parte del observatorio de seguridad y convivencia de la siguiente manera.
1) Fusagasugá: Asistencia técnica en análisis de los delitos de homicidios y lesiones de tránsito, 2) Cajicá : Asistencia técnica en la oferta de servicios del observatorio de seguridad y convivencia , 3) Facatativá: Socialización del análisis de los delitos y comparativo del mes de mayo, 4) Madrid: Socialización del análisis de los delitos en el municipio y el departamento. Asesoría en la creación de un observatorio e seguridad para el municipio. 5) Chía: Asistencia técnica de acompañamiento en jornada de seguridad y socialización de oferta del observatorio de seguridad. 6) La Mesa: presentación portafolios de servicios Secretaria de gobierno/ en cuanto al OSCC 7) La Mesa: presentación portafolios de servicios Secretaria de gobierno  en cuanto al OSCC, 8) Tibacuy: Asistencia técnica en capacitación  la comunidad educativa sobre Violencia Intrafamiliar
Por parte del equipo de sistema de información se realiza la respectiva solicitud de la base de delitos a la policía nacional mediante acta y reunión con los encargados de suministrar dicha información, así mismo se procesa la información del mes de junio y del primer semestre del año en curso, se realiza el mapa de georeferenciaón respectiva de Choachi, Soacha y Tocancipá.
Por parte del equipo de análisis se realiza el informe semestral para publicar en la página y el informe semestral de microtráfico en el departamento.
Actualización constante de la página web del observatorio de seguridad y convivencia como canal de comunicación e información para los cundinamarqueses.  1) Protocolos de respuesta 2)Protocolo de atención y convivencia 3) Protocolo de derechos humanos
Con un acumulado de 53 asistencias técnicas en el año  y  para septiembre 31 asistencias técnicas  realizadas en los municipios de Fusagasugá, Quetame, Mosquera, Ubaté, Tibacuy, Pandi, Girardot, Chia, Facatativa, Yacopi, Mosquera, Madrid, La palma, Cota, La calera, Guayabal de Siquima, Guasca y  Viani, se realizó un Informe especial de  estadísticas de la  línea 123, seguimiento e informe especial de delitos en Fusagasugá, 3 mapas de georreferenciación en  sabana centro y Fusagasugá, se realizó un informe especial de microtráfico, se actualiza y se realiza  divulgación constante de información de interés en el micrositio del observatorio de seguridad, se cumple con el 100% el plan de trabajo reportado a planeación.
Para el mes de octubre se realizaron 31 asistencias técnicas teniendo un total de 67 asistencias para el año 2021 , Se entrega el análisis  que contienen informes especiales de los delitos de alto impacto en Cundinamarca y registros de georreferenciación.  se realiza   informe trimestral del análisis de las cifras y datos de los 21 delitos procesados en el observatorio de seguridad de Cundinamarca, se mantiene la actualización y divulgación constante de información de interés en el micrositio del observatorio de seguridad, se cumple con el 100% el plan de trabajo reportado a planeación.  Para este mes se lanza la estrategia denominada "Laboratorio regional de seguridad" en articulación con la Universidad Militar, Asocentro y   los municipios pertenecientes a la provincia de sabana centro donde se analiza las diferentes tendencias del delito en esta provincia.
CODIGO
1.  Conformado el grupo de contratistas,  entre profesionales y técnicos de apoyo para llevar a cabo la actividad,  se procedió a asignar los temas de la ley 1801 de 2016,  "Código Nacional de Policía y Convivencia", donde cada uno realizó una exposición en reunión presencial en la Sala de Juntas de la Secretaria de Gobierno, el día 27 de Mayo de 2021, con el fin de unificar criterios,  para consolidar estos temas en un sola presentación e iniciar las capacitaciones en territorio,  a los Secretarios de Gobierno, Inspectores de Policía, corregidores, Comisarios de Familia y demás autoridades de Policía de los Municipios. a partir de la mitad del mes de junio de 2021. 2. Se realizo contacto con los profesionales que hasta el año 2019 se encontraban conformando la mesa técnica para la construcción del Reglamento de Policia y Convivencia ciudadana  del departamento de Cundinamarca, Dr. William Gonzalez y el contratista Dr. Remberto Torres, (quien se  encontraba vinculado para la época), donde de procedera a revisar los archivos  memorias, actualizar la normativa, gestion que ya se viene realizando con el Doctor WILLIAM GONZALEZ, profesional Univeristario de la Secretaria de Gobierno.
Se realizó actualización de las memorias y proyecto de ordenanza con exposición de motivos del Reglamento de Seguridad y Convivencia ciudadana del Departamento, que fue adelantado en el año 2018, enviando por el Doctor Eduardo Ordoñez. Se definió la presentación y normatividad de los caninos potencialmente peligrosos, concordante con la ley 1801 de 2016, para el trabajo en territorio con los municipios donde funcionan los albergues de Protección animal.
A corte de Julio realizó asistencia técnica y capacitaciones en territorio del Código Nacional de Seguridad y Convivencia Ciudadana, Ley 1801 de 2016, en los Municipios de: Fusagasugá,  Pasca. Silvania y Granada de la Provincia de Sumapaz, y en los municipios de la Palma, Paime, Villagómez, y Yacopí, de la Provincia de Rionegro, donde además se recopilan las encuestas y memorias para la construcción del Reglamento de Seguridad y Convivencia Ciudadana del Departamento de Cundinamarca.
En este periodo se vienen realizando asistencia técnica y capacitaciones en territorio del Código Nacional de Seguridad y Convivencia Ciudadana, Ley 1801 de 2016, en los Municipios de: Gachetá, Gachalá, Gama, Guasca, Guatavita, Junín, Ubalá y La Calera de la provincia del Guavio, donde además se recopilan las encuestas y memorias para la construcción de Nuestro Reglamento de Seguridad y Convivencia Ciudadana del Departamento de Cundinamarca.
Al 31 de Octubre  se vienen realizando asistencia técnica y capacitaciones en territorio,   del Codigo Nacional de Seguridad y Convivencia Ciudadana, Ley 1801 de 2016,  en los Municipios de: La Calera y Caparrapi , donde además se recopilan las encuestas y memorias para la construcción de Nuestro Reglamento de Seguridad y Convivencia Ciudadana del Departamento de Cundinamarca.
123
En la estrategia de la línea del 123, se brindó el servicio de recepción y atención de llamadas por parte de los operarios, y de la atención y contención del canal psicosocial, que permitieron atender, analizar y redireccionar los casos a las diferentes entidades competentes, también se reportaron los datos estadísticos mediante el informe detallado descargado de las plataformas SAGA y SECAD. Se verifica el correcto funcionamiento de la red de apoyo y actualización de los equipos móviles en la plataforma con el apoyo del operador CLARO, evidenciando un monitoreo constante desde la página web KNOX.
Se realizó mesa de trabajo con la estrategia de comunicaciones de la secretaria de gobierno para la línea 123 de Cundinamarca  mediante un video y la elaboración de una pieza grafica los cuales serán presentados mediante redes sociales (twitter, instagram, Facebook, estados de whatsapp  y youtube ) todo esto queda plasmado en las actas correspondientes y en el plan de comunicaciones.
Se actualizó la aplicación de monitoreo del departamento de Cundinamarca  con la capacitación de los operadores que reciben las llamadas en la línea 123  y con  543 líneas distribuidas en (Bomberos, defensa civil, Crue, Policía y ejército) permitiendo mejorar la atención a los 116 municipios, dentro del fortalecimiento institucional se evidencia la mejora del aire acondicionado por parte de la secretaria general  para el funcionamiento del control de máquinas y el apoyo que prestara la secretaria de la mujer para los casos relacionados con violencia contra la mujer.
La línea de emergencias 123 del departamento garantizo el servicio a los 116 municipios de Cundinamarca,  el 83%  de los municipios reportaron casos a la línea de emergencias 123, estos municipios se detalla en el informe estadístico mensual cargado en el repositorio,  en donde Soacha fue el municipio más afectado con él 40% dentro del top 12 que se maneja en el informe mensual, de igual forma en el informe mensual estadístico se detalla el TOP 20  de  los municipios con más casos reportados y su clasificación. Para esta actividad se estableció un peso ponderado del 40% y a la fecha reportaron un avance del 29%.
Los casos recibidos al canal psicosocial fueron atendidos por parte de los 2 psicólogos de la línea 123 y en colaboración y apoyo, se encuentra el personal asignado por parte de la secretaria de gobierno, entregando una respuesta inmediata a las autoridades competentes como: comisarías de familia, duplas ICBF, secretaria de salud y fiscalía, los casos reportados al canal psicosocial fueron, violencia intrafamiliar con 61,22%, intento de suicidio 11.86%, requerimiento psicosocial 6,94%, violencia contra la mujer y dificultad con los padres 4.08%, abandono de menores 2,86%, persona desaparecida 2,06% entre otras como depresión, demencia, violencia física, suicidio, maltrato infantil, violencia sexual, violencia psicológica, desaparición y adulto mayor maltratado, cada uno con el 1%, posteriormente el 17 de septiembre se establece una reunión entre el canal psicosocial y el observatorio para determinar la canalización de los casos sobre equidad y género y el funcionamiento del canal psicosocial en la línea 123.
Para esta actividad se estableció un peso ponderado del 20% y a la fecha reportaron  un avance del 15%.
La línea 123 en coordinación con los ingenieros de la secretaria del área de las Tic, establecieron mediante un documento de requerimientos, una solicitud en la modificación y actualización de los módulos que se encuentran en la red de apoyo para garantizar, la georreferenciación y mapeo de los datos en la plataforma, por lo cual fueron elaborados un manual de usuario, los requerimientos funcionales de la plataforma y las correspondientes pruebas realizadas, todo con el fin del buen uso del aplicativo que maneja la línea 123. Para el aplicativo APP 123, la línea de emergencias en conjunto con la secretaria del tic, permitieron la modificación, estructuración y actualización de los módulos, garantizando las mejoras establecidas como integración de datos, incorporación de la información, visualización de los casos reportados mediante mapas de calor y graficas de los datos recibidos.
Para del periodo del 1 al 31 de Octubre en la línea de emergencia de Cundinamarca se presentaron 4 informes estadísticos semanales del mes de octubre del 2021, con la estrategia de comunicaciones se divulgaron en las red social Twitter, permitiendo una divulgación de las llamadas reportadas en la línea 123, Para el aplicativo APP 123, la línea de emergencias en se ha realizado trabajo con la secretaria de las tic, han permitido la modificación, estructuración y actualización de los módulos, garantizando las mejoras establecidas como adhesión de datos, unión de la información, visualización de los casos reportados por medio de mapas de calor y graficas de los datos recibidos, para lo que se estructuro una ficha técnica, un manual de los datos que se reportan a diario y un documento de pruebas hechas en el aplicativo.
COMUNICACIONES
El equipo de comunicación  de la secretaria de Gobierno, brindo el apoyo en la divulgación de las diferentes estrategias y metas con el desarrollo de las piezas comunicativas que son difundidas en los diferentes medios de comunicación donde se muestran las correspondientes actividades realizadas, en la emisora Dorado radio se ha brindado el espacio para el programa ESTAMOS SEGUROS.
TRATA
Se ha construido un documento base, en clave de estado del Arte que permite dar cuenta de las campañas implementadas por las instituciones competentes de orden nacional . Paso seguido se ha analizado de forma específica las campañas de Fiscalía y Ministerio del interior. A la fecha, el documento se encuentra en fase de creación de la propuesta para prevenir la trata de personas.
 A corte del 30 de Julio se ha realizado la constitución de los Comités municipales de lucha contra la Trata de personas en 20 municipios de Cundinamarca, para lo cual es necesario ejecutar hasta 3 sesiónes por municipio de tal modo que se consolide el producto final, el cual es Decreto de constitución. Se inició un proceso de gestión para creación de comités (vía llamada y correo electrónico). De los veinte municipios a impactar se ha logrado comunicación eficiente con 17 municipio.
Se brindaron asistencia técnica a los municipios de Guayabal de Siquima, Pasca.
Se dio continuidad al proceso de construcción del documento técnico que guía la propuesta de campaña para la prevención de la trata de personas en los municipios de Cundinamarca.  Se construyó un documento guía de intervención para cualificar los contratistas que participarán de la campaña de creación de comités municipales, allí se expresan los lineamientos básicos para transmitir de información mediante las charlas.
Se realizó asistencia técnica en los municipios para la cualificación personal municipal frente a conceptos clave, normatividad relacionado a trata de personas. Adicional a ello, se ha creado e institucionalizado los comités municipales contra la trata de personas.
Realizaron documento de seguimiento frente a los delitos de violencia sexual y trata de personas, el análisis abarca las provincias de Cundinamarca. Se diseñó material de apoyo en formato diapositivas para la implementación de campaña sobre la trata de personas y violencia sexual.
 Se enriqueció el documento técnico de campaña frente a trata de personas y violencia sexual. Implementación de campaña contra la trata de personas y violencia sexual (municipios impactados: Beltrán)
Para el periodo del 1 al 31 Octubre se constituyeron  nueve(9) comités  municipales contra la trata de personas.
Se diseñó prototipo arte de piezas graficas sobre trata de personas, se realizó informe técnico sobre delitos sexuales en Cundinamaarcaen el periodo   2020, Se realizó informe sobre tráfico ilícito asistencia técnica sobre campaña de personas en los municipios</v>
      </c>
      <c r="AK428" s="11">
        <f>VLOOKUP(K428,'1105 Gobierno'!$K$12:$AK$31,27,0)</f>
        <v>0</v>
      </c>
      <c r="AL428" s="11">
        <v>0.25</v>
      </c>
      <c r="AM428" s="11">
        <v>0</v>
      </c>
      <c r="AN428" s="11">
        <v>0.25</v>
      </c>
      <c r="AO428" s="11">
        <v>0</v>
      </c>
      <c r="AP428" s="11">
        <v>0</v>
      </c>
      <c r="AQ428" s="11">
        <v>0</v>
      </c>
      <c r="AR428" s="51">
        <v>2642812725</v>
      </c>
      <c r="AS428" s="54">
        <v>0</v>
      </c>
      <c r="AT428" s="54">
        <f t="shared" si="636"/>
        <v>2642812725</v>
      </c>
      <c r="AU428" s="51">
        <v>2145545428</v>
      </c>
      <c r="AV428" s="243">
        <v>6676106971</v>
      </c>
      <c r="AW428" s="244"/>
      <c r="AX428" s="244"/>
      <c r="AY428" s="243">
        <v>5791347286</v>
      </c>
      <c r="AZ428" s="44">
        <f t="shared" si="723"/>
        <v>0.45</v>
      </c>
      <c r="BA428" s="44">
        <v>0.25</v>
      </c>
      <c r="BB428" s="44">
        <v>1</v>
      </c>
      <c r="BC428" s="44">
        <f t="shared" ref="BC428:BC434" si="733">AD428/Q428</f>
        <v>0.25</v>
      </c>
      <c r="BD428" s="44" cm="1">
        <f t="array" ref="BD428">_xlfn.IFS(AD428=0,"NA",AD428&gt;0,AH428/AD428)</f>
        <v>0.8</v>
      </c>
      <c r="BE428" s="44">
        <f t="shared" ref="BE428:BE434" si="734">AL428/Q428</f>
        <v>0.25</v>
      </c>
      <c r="BF428" s="44">
        <v>0</v>
      </c>
      <c r="BG428" s="44">
        <f t="shared" si="724"/>
        <v>0.25</v>
      </c>
      <c r="BH428" s="44">
        <v>0</v>
      </c>
      <c r="BI428" s="44">
        <f t="shared" si="725"/>
        <v>0</v>
      </c>
      <c r="BJ428" s="44" t="s">
        <v>115</v>
      </c>
      <c r="BK428" s="44">
        <f t="shared" si="640"/>
        <v>0.45</v>
      </c>
      <c r="BL428" s="44">
        <v>1</v>
      </c>
      <c r="BM428" s="44" cm="1">
        <f t="array" ref="BM428">_xlfn.IFS(BD428="NA","NA",BD428&gt;100%,"100%",BD428&lt;100,BD428)</f>
        <v>0.8</v>
      </c>
      <c r="BN428" s="44" cm="1">
        <f t="array" ref="BN428">_xlfn.IFS(BF428="NA","NA",BF428&gt;100%,"100%",BF428&lt;100,BF428)</f>
        <v>0</v>
      </c>
      <c r="BO428" s="44" cm="1">
        <f t="array" ref="BO428">_xlfn.IFS(BH428="NA","NA",BH428&gt;100%,"100%",BH428&lt;100,BH428)</f>
        <v>0</v>
      </c>
      <c r="BP428" s="44" t="str" cm="1">
        <f t="array" ref="BP428">_xlfn.IFS(BJ428="NA","NA",BJ428&gt;100%,"100%",BJ428&lt;100,BJ428)</f>
        <v>NA</v>
      </c>
      <c r="BQ428" s="45">
        <v>0.224</v>
      </c>
      <c r="BR428" s="45">
        <f t="shared" si="651"/>
        <v>0.1008</v>
      </c>
      <c r="BS428" s="45">
        <v>5.6000000000000001E-2</v>
      </c>
      <c r="BT428" s="45">
        <v>5.6000000000000001E-2</v>
      </c>
      <c r="BU428" s="45">
        <v>5.6000000000000001E-2</v>
      </c>
      <c r="BV428" s="45">
        <f t="shared" si="726"/>
        <v>5.6000000000000001E-2</v>
      </c>
      <c r="BW428" s="45">
        <f t="shared" si="652"/>
        <v>4.4800000000000006E-2</v>
      </c>
      <c r="BX428" s="45">
        <f t="shared" si="653"/>
        <v>4.48E-2</v>
      </c>
      <c r="BY428" s="45">
        <f t="shared" si="727"/>
        <v>5.6000000000000001E-2</v>
      </c>
      <c r="BZ428" s="45">
        <f t="shared" si="728"/>
        <v>0</v>
      </c>
      <c r="CA428" s="45">
        <f t="shared" si="634"/>
        <v>0</v>
      </c>
      <c r="CB428" s="45">
        <f t="shared" si="729"/>
        <v>5.6000000000000001E-2</v>
      </c>
      <c r="CC428" s="45">
        <f t="shared" si="730"/>
        <v>0</v>
      </c>
      <c r="CD428" s="45">
        <v>0</v>
      </c>
      <c r="CE428" s="45">
        <f t="shared" si="731"/>
        <v>0</v>
      </c>
      <c r="CF428" s="45" t="str">
        <f t="shared" si="732"/>
        <v>NA</v>
      </c>
      <c r="CG428" s="45">
        <v>0</v>
      </c>
      <c r="CH428" s="244"/>
      <c r="CI428" s="244"/>
      <c r="CJ428" s="244"/>
      <c r="CK428" s="244"/>
      <c r="CM428" s="63">
        <v>0.42000000000000004</v>
      </c>
    </row>
    <row r="429" spans="1:91" ht="18" hidden="1" customHeight="1">
      <c r="A429" s="260" t="s">
        <v>992</v>
      </c>
      <c r="B429" s="260" t="s">
        <v>993</v>
      </c>
      <c r="C429" s="260" t="s">
        <v>2371</v>
      </c>
      <c r="D429" s="260" t="s">
        <v>2763</v>
      </c>
      <c r="E429" s="260" t="s">
        <v>2764</v>
      </c>
      <c r="F429" s="260" t="s">
        <v>2765</v>
      </c>
      <c r="G429" s="260" t="s">
        <v>2766</v>
      </c>
      <c r="H429" s="260" t="s">
        <v>2778</v>
      </c>
      <c r="I429" s="260"/>
      <c r="J429" s="260"/>
      <c r="K429" s="260" t="s">
        <v>2779</v>
      </c>
      <c r="L429" s="260" t="s">
        <v>2780</v>
      </c>
      <c r="M429" s="260" t="s">
        <v>131</v>
      </c>
      <c r="N429" s="260" t="s">
        <v>111</v>
      </c>
      <c r="O429" s="260" t="s">
        <v>112</v>
      </c>
      <c r="P429" s="10">
        <v>0</v>
      </c>
      <c r="Q429" s="11">
        <v>1</v>
      </c>
      <c r="R429" s="11">
        <f t="shared" si="721"/>
        <v>0.43000000000000005</v>
      </c>
      <c r="S429" s="11" t="str">
        <f>VLOOKUP(K429,'1105 Gobierno'!$K$12:$AK$31,9,0)</f>
        <v>Se inició a formular la estrategia para prevenir, controlar y combatir el microtráfico en los municipios, se está realizando un diagnóstico preliminar de microtráfico logrando un documento técnico de la estrategia de prevención, control y mitigación del microtráfico en el departamento de Cundinamarca y un diagnóstico preliminar de la misma.Se ha brindado asistencia técnica territorial a los  116 municipios frente al consumo de SPA y código de convivencia y demás normas que rigen. Se han aumentando las labores de control a través del aumento de fuerza pública en los corredores de las provincias y fortalecimiento de operativos de control y mitigación del delito y se ha mantenido el apoyo en la realización de procesos de captura de GAO.
Se elaboró el documento de estrategia de intervención para prevenir, controlar y combatir el microtrafico en los municipios del departamento el cual fue puesto a disposición de la dirección de seguridad y orden público
Se encuentra en la recolección de información solicitada a la fuerza publica, al observatorio de drogas de colombia y observatorio de seguridad del departamento de cundinamarca.
Se realizó la conformación y/o reactivación de los comites cescolares de prevención del consumo de sustancias psicoactivas en las instituciones educativas departamentales.      Se han realizado reuniones virtuales con las autoridades educativas con el fin de buscar la concientización y fomento de la prevención del consumo de sustancias psicoactivas en la comunidad educativa.
La Secrtetaría ha venido trabajando de manera permanente y articulada con la policia nacional y el ejercito nacional, con el fin de des mantelar las estructuras criminales dedicadas al microtrafico en el departamento y judicializar a sus integrantes. Para el mes de mayo:
Se solicitó el reporte de insumos, para la elaboración del mapa de riesgo a la línea 123, Observatorio de seguridad departamental y Secretaría de Salud del departamento.
Se entrega la tercera versión del documneto técnico "Estrategia PCC - Cundinamarca de frente contra el microtráfico".
Se realiza depuración de actividades propuestas para la materializacion de la estrategia objetivo de la meta, las cuales son incorporadas al documento técnico de la estrategia "PCC, Cundinamarca de frente contra el microtráfico".
Se realiza proyección de matriz de actividades propuestas para la implementación de la estrategia "PCC-Cundinamarca de frente contra el microtráfico"
Se construyeron instrumentos que se aplicarán en territorio frente a la  situación actual del comportamiento del microtráfico en el Departamento.
Se sugiere cambio a "Fortalecimiento de la capacidad  de inteligencia de la fuerza pública" enfocado en el control y combate de los mercados locales de drogas.
Se encuentran agendadas reuniones con Departamento de Policía Cundinamarca y Policía designada para el centro de lllamadas 1,2,3 de Cundinamarca para el 31 de mayo y el 01 de junio de 2021, con el fin de articular acciones encaminadas coordinar las operaciones contra el microtráfico.
Para el mes de mayo
La Secrtetaría ha venido trabajando de manera permanente y articulada con la policia nacional y el ejercito nacional, con el fin de des mantelar las estructuras criminales dedicadas al microtrafico en el departamento y judicializar a sus integrantes.
Se encuentra en etapa de aplicación, el instrumento tipo encuesta sobre percepción institucional y comunitaria de la situación del departamento en materia de mercados locales de drogas.
Se solicita la colaboración al observatorio de convivencia y seguridad ciudadana de Cundinamarca, y se materializa la aplicación de un mapa de calor virtual sobre las zonas con mayor afectación de microtráfico.
Se establecieron contacto con los enlaces de SIJIN DECUN través de línea telefónica y correo electrónico , con el fin de mantener la información actualizada sobre operatividad.</v>
      </c>
      <c r="T429" s="11">
        <v>0</v>
      </c>
      <c r="U429" s="11">
        <v>0</v>
      </c>
      <c r="V429" s="11">
        <v>0.2</v>
      </c>
      <c r="W429" s="11">
        <v>0</v>
      </c>
      <c r="X429" s="11">
        <v>0.2</v>
      </c>
      <c r="Y429" s="11">
        <v>0</v>
      </c>
      <c r="Z429" s="11">
        <v>0.2</v>
      </c>
      <c r="AA429" s="11">
        <v>0</v>
      </c>
      <c r="AB429" s="11" t="s">
        <v>2781</v>
      </c>
      <c r="AC429" s="11">
        <v>0</v>
      </c>
      <c r="AD429" s="11">
        <v>0.3</v>
      </c>
      <c r="AE429" s="11">
        <v>0</v>
      </c>
      <c r="AF429" s="11">
        <f>VLOOKUP(K429,'1105 Gobierno'!$K$12:$AK$31,22,0)</f>
        <v>0.23</v>
      </c>
      <c r="AG429" s="11" t="str">
        <f>VLOOKUP(K429,'1105 Gobierno'!$K$12:$AK$31,23,0)</f>
        <v> </v>
      </c>
      <c r="AH429" s="11">
        <f t="shared" si="722"/>
        <v>0.23</v>
      </c>
      <c r="AI429" s="11" t="str">
        <f>VLOOKUP(K429,'1105 Gobierno'!$K$12:$AK$31,25,0)</f>
        <v xml:space="preserve">Asistencia técnica </v>
      </c>
      <c r="AJ429" s="11" t="str">
        <f>VLOOKUP(K429,'1105 Gobierno'!$K$12:$AK$31,26,0)</f>
        <v xml:space="preserve">Se elaboró el documento de estrategia de intervención para prevenir, controlar y combatir el microtrafico en los municipios del departamento el cual fue puesto a disposición de la dirección de seguridad y orden público
Se encuentra en la recolección de información solicitada a la fuerza publica, al observatorio de drogas de colombia y observatorio de seguridad del departamento de cundinamarca.
Se realizó la conformación y/o reactivación de los comites cescolares de prevención del consumo de sustancias psicoactivas en las instituciones educativas departamentales.      Se han realizado reuniones virtuales con las autoridades educativas con el fin de buscar la concientización y fomento de la prevención del consumo de sustancias psicoactivas en la comunidad educativa. La Secrtetaría ha venido trabajando de manera permanente y articulada con la policia nacional y el ejercito nacional, con el fin de des mantelar las estructuras criminales dedicadas al microtrafico en el departamento y judicializar a sus integrantes. Para el mes de mayo:
Se solicitó el reporte de insumos, para la elaboración del mapa de riesgo a la línea 123, Observatorio de seguridad departamental y Secretaría de Salud del departamento. Se entrega la tercera versión del documento técnico "Estrategia PCC - Cundinamarca de frente contra el microtráfico".
Se realiza depuración de actividades propuestas para la materialización de la estrategia objetivo de la meta, las cuales son incorporadas al documento técnico de la estrategia "PCC, Cundinamarca de frente contra el microtráfico".
Se realiza proyección de matriz de actividades propuestas para la implementación de la estrategia "PCC-Cundinamarca de frente contra el microtráfico" Se construyeron instrumentos que se aplicarán en territorio frente a la situación actual del comportamiento del microtráfico en el Departamento. Se sugiere cambio a "Fortalecimiento de la capacidad de inteligencia de la fuerza pública" enfocado en el control y combate de los mercados locales de drogas.
Se encuentran agendadas reuniones con Departamento de Policía Cundinamarca y Policía designada para el centro de llamadas 1,2,3 de Cundinamarca para el 31 de mayo y el 01 de junio de 2021, con el fin de articular acciones encaminadas coordinar las operaciones contra el microtráfico.
Para el mes de mayo: La Secrtetaría ha venido trabajando de manera permanente y articulada con la policia nacional y el ejercito nacional, con el fin de des mantelar las estructuras criminales dedicadas al microtrafico en el departamento y judicializar a sus integrantes. Se encuentra en etapa de aplicación, el instrumento tipo encuesta sobre percepción institucional y comunitaria de la situación del departamento en materia de mercados locales de drogas. Se solicita la colaboración al observatorio de convivencia y seguridad ciudadana de Cundinamarca, y se materializa la aplicación de un mapa de calor virtual sobre las zonas con mayor afectación de microtráfico. Se establecieron contacto con los enlaces de SIJIN DECUN través de línea telefónica y correo electrónico , con el fin de mantener la información actualizada sobre operatividad.
Para corte del mes de Julio con el apoyo del observatorio de convivencia y seguridad de Cundinamarca, se desarrolla y publica la herramienta tecnológica mapa de calor de la actividad y dinámica de los mercados locales de drogas en el Departamento. Con base en la depuración realizada sobre las actividades a desarrollar en el marco de la estrategia "PCC, Cundinamarca de frente contra el microtráfico" se compila  y genera documento preliminar con dicho resultado.
Recolección de encuestas aplicadas en los diferentes municipios a Servidores Públicos del sector gobierno y presidentes de JAC frente a su percepción de la dinamica del microtráfico en sus respectivos municipios.
Con el fin de brindar elementos sufiicientes a la fuerza pública para un correcto ejercicio de inteligencia enfocado en los mercados locales de drogas, se concerta espacio de participación con el Observatorio de Convivencia y seguridad ciudadana de Cundinamarca, los días Lunes de cada semana, con el fin de evaluar el comportamiento del delito en el departamento.
Por denuncia recibida en el despacho del Señor Secretario Dr. José Leonardo Rojas, se proyecta, con base en el artículo 21 de la ley 1437 de 2011 y con el animo de que las autoridades competentes tengan conocimiento de la conducta delictiva denunciada por la ciudadanía, se proyecta oficio dando traslado a los mismos.
En el marco del reporte de avances de los pilares de la Política Nacional Ruta Futuro, se toma como base el reporte enero julio 2020-2021 emanado del Observatorio de Seguridad y Convivencia Ciudadana.
Documento en versión final junto con acciones concretas de la estrategia integral para prevenir, controlar y combatir el microtráfico en los municipios del Departamento "PCC, Cundinamarca de frente contra el microtráfico", pendiente de revisión y análisis por parte del Señor Secretario de Gobierno y el Señor Director de Seguridad y Orden Público.
Encuestas de percepción sobre la situación del microtráfico en el Departamento de Cundinamarca, tabuladas y como soporte para el diagnóstico de la estrategia PCC, Cundinamarca de Frente contra el microtráfico.
Se convoca a espacio de articulación con la seccional de investigación del Departamento de Policía de Cundinamarca, con el fin de analizar acciones de fortalecimiento de la capacidad de inteligencia y a su vez, analizar la situación real y actual de los mercados locales de drogas en el departamento.
Se realizo la entrega del documento técnico con La prevención, el control y el combate del microtráfico, desde la Política Integral Para Enfrentar el Problema de las Drogas – Ruta Futuro del Ministerio de Justicia, en el departamento de Cundinamarca. “Estrategia Cundinamarca de frente contra el microtráfico”
Asistencias técnica en el municipio de Agua de Dios.                                                                                                                                                                                                        </v>
      </c>
      <c r="AK429" s="11">
        <f>VLOOKUP(K429,'1105 Gobierno'!$K$12:$AK$31,27,0)</f>
        <v>0</v>
      </c>
      <c r="AL429" s="11">
        <v>0.3</v>
      </c>
      <c r="AM429" s="11">
        <v>0</v>
      </c>
      <c r="AN429" s="11">
        <v>0.2</v>
      </c>
      <c r="AO429" s="11">
        <v>0</v>
      </c>
      <c r="AP429" s="11">
        <v>0</v>
      </c>
      <c r="AQ429" s="11">
        <v>0</v>
      </c>
      <c r="AR429" s="51">
        <v>367187275</v>
      </c>
      <c r="AS429" s="54">
        <v>0</v>
      </c>
      <c r="AT429" s="54">
        <f t="shared" si="636"/>
        <v>367187275</v>
      </c>
      <c r="AU429" s="51">
        <v>270613598</v>
      </c>
      <c r="AV429" s="243">
        <v>1226767966</v>
      </c>
      <c r="AW429" s="244"/>
      <c r="AX429" s="244"/>
      <c r="AY429" s="243">
        <v>604618616</v>
      </c>
      <c r="AZ429" s="44">
        <f t="shared" si="723"/>
        <v>0.43000000000000005</v>
      </c>
      <c r="BA429" s="44">
        <v>0.2</v>
      </c>
      <c r="BB429" s="44">
        <v>1</v>
      </c>
      <c r="BC429" s="44">
        <f t="shared" si="733"/>
        <v>0.3</v>
      </c>
      <c r="BD429" s="44" cm="1">
        <f t="array" ref="BD429">_xlfn.IFS(AD429=0,"NA",AD429&gt;0,AH429/AD429)</f>
        <v>0.76666666666666672</v>
      </c>
      <c r="BE429" s="44">
        <f t="shared" si="734"/>
        <v>0.3</v>
      </c>
      <c r="BF429" s="44">
        <v>0</v>
      </c>
      <c r="BG429" s="44">
        <f t="shared" si="724"/>
        <v>0.2</v>
      </c>
      <c r="BH429" s="44">
        <v>0</v>
      </c>
      <c r="BI429" s="44">
        <f t="shared" si="725"/>
        <v>0</v>
      </c>
      <c r="BJ429" s="44" t="s">
        <v>115</v>
      </c>
      <c r="BK429" s="44">
        <f t="shared" si="640"/>
        <v>0.43000000000000005</v>
      </c>
      <c r="BL429" s="44">
        <v>1</v>
      </c>
      <c r="BM429" s="44" cm="1">
        <f t="array" ref="BM429">_xlfn.IFS(BD429="NA","NA",BD429&gt;100%,"100%",BD429&lt;100,BD429)</f>
        <v>0.76666666666666672</v>
      </c>
      <c r="BN429" s="44" cm="1">
        <f t="array" ref="BN429">_xlfn.IFS(BF429="NA","NA",BF429&gt;100%,"100%",BF429&lt;100,BF429)</f>
        <v>0</v>
      </c>
      <c r="BO429" s="44" cm="1">
        <f t="array" ref="BO429">_xlfn.IFS(BH429="NA","NA",BH429&gt;100%,"100%",BH429&lt;100,BH429)</f>
        <v>0</v>
      </c>
      <c r="BP429" s="44" t="str" cm="1">
        <f t="array" ref="BP429">_xlfn.IFS(BJ429="NA","NA",BJ429&gt;100%,"100%",BJ429&lt;100,BJ429)</f>
        <v>NA</v>
      </c>
      <c r="BQ429" s="45">
        <v>0.224</v>
      </c>
      <c r="BR429" s="45">
        <f t="shared" si="651"/>
        <v>9.6320000000000017E-2</v>
      </c>
      <c r="BS429" s="45">
        <v>4.48E-2</v>
      </c>
      <c r="BT429" s="45">
        <v>4.48E-2</v>
      </c>
      <c r="BU429" s="45">
        <v>4.48E-2</v>
      </c>
      <c r="BV429" s="45">
        <f t="shared" si="726"/>
        <v>6.7199999999999996E-2</v>
      </c>
      <c r="BW429" s="45">
        <f t="shared" si="652"/>
        <v>5.1520000000000003E-2</v>
      </c>
      <c r="BX429" s="45">
        <f t="shared" si="653"/>
        <v>5.1520000000000017E-2</v>
      </c>
      <c r="BY429" s="45">
        <f t="shared" si="727"/>
        <v>6.7199999999999996E-2</v>
      </c>
      <c r="BZ429" s="45">
        <f t="shared" si="728"/>
        <v>0</v>
      </c>
      <c r="CA429" s="45">
        <f t="shared" si="634"/>
        <v>0</v>
      </c>
      <c r="CB429" s="45">
        <f t="shared" si="729"/>
        <v>4.4800000000000006E-2</v>
      </c>
      <c r="CC429" s="45">
        <f t="shared" si="730"/>
        <v>0</v>
      </c>
      <c r="CD429" s="45">
        <v>0</v>
      </c>
      <c r="CE429" s="45">
        <f t="shared" si="731"/>
        <v>0</v>
      </c>
      <c r="CF429" s="45" t="str">
        <f t="shared" si="732"/>
        <v>NA</v>
      </c>
      <c r="CG429" s="45">
        <v>0</v>
      </c>
      <c r="CH429" s="244"/>
      <c r="CI429" s="244"/>
      <c r="CJ429" s="244"/>
      <c r="CK429" s="244"/>
      <c r="CM429" s="63">
        <v>0.39</v>
      </c>
    </row>
    <row r="430" spans="1:91" ht="18" hidden="1" customHeight="1">
      <c r="A430" s="260" t="s">
        <v>992</v>
      </c>
      <c r="B430" s="260" t="s">
        <v>993</v>
      </c>
      <c r="C430" s="260" t="s">
        <v>2371</v>
      </c>
      <c r="D430" s="260" t="s">
        <v>2763</v>
      </c>
      <c r="E430" s="260" t="s">
        <v>2782</v>
      </c>
      <c r="F430" s="260" t="s">
        <v>2783</v>
      </c>
      <c r="G430" s="260" t="s">
        <v>2784</v>
      </c>
      <c r="H430" s="260" t="s">
        <v>2785</v>
      </c>
      <c r="I430" s="260"/>
      <c r="J430" s="260"/>
      <c r="K430" s="260" t="s">
        <v>2786</v>
      </c>
      <c r="L430" s="260" t="s">
        <v>2787</v>
      </c>
      <c r="M430" s="260" t="s">
        <v>2272</v>
      </c>
      <c r="N430" s="260" t="s">
        <v>111</v>
      </c>
      <c r="O430" s="260" t="s">
        <v>112</v>
      </c>
      <c r="P430" s="10">
        <v>1</v>
      </c>
      <c r="Q430" s="11">
        <v>1</v>
      </c>
      <c r="R430" s="11">
        <f t="shared" si="721"/>
        <v>0.39</v>
      </c>
      <c r="S430" s="11" t="str">
        <f>VLOOKUP(K430,'1105 Gobierno'!$K$12:$AK$31,9,0)</f>
        <v>335 actores municipales con conocimientos en la creación , implementación y fortalecimiento de los comités de derechos humanos y derecho internacional humanitario municipales en los 116 municipios del departamento.Articulación para la actualización de la ruta de protección individual y/o colectiva del Departamento de Cundinamarca, en favor de líderes y lideresas de organizaciones y movimientos sociales y comunales, y defensores y defensoras de derechos humanos que se encuentren en situación de riesgo.En proceso de actualización del Plan Integral de Prevención de violaciones a derechos humanos e infracciones al derecho internacional humanitario del Departamento de Cundinamarca.A la fecha se han realizado asistencias técnicas en la creación, implementación y fortalecimiento de los comités de DDHH y DIH municipales.Conformación del comité de migraciones venezolanos para el departamento de Cundinamarca, bajo la coordinación de la Secretaría de Cooperación y Enlace Territorial. La Secretaría de Gobierno, a través de la Dirección de Convivencia, Justicia y Derechos Humanos, tiene a cargo la ejecución de los protocolos de retorno voluntario y regularización de migrantes. Se llevó a cabo la elección del representante de organizaciones no gubernamentales que trabajan por la promoción y defensa de los derechos humanos, ante el Consejo Departamental de Paz, Reconciliación y Convivencia de fecha 22 de mayo de 2020.Se llevó a cabo el I Comité Departamental de Derechos Humanos y Derecho Internacional Humanitario de fecha 21 de agosto de 2020, con la participación de todos los miembros del Comité.</v>
      </c>
      <c r="T430" s="11">
        <v>0</v>
      </c>
      <c r="U430" s="11">
        <v>0</v>
      </c>
      <c r="V430" s="11">
        <v>0.1</v>
      </c>
      <c r="W430" s="11">
        <v>0</v>
      </c>
      <c r="X430" s="11">
        <v>0.1</v>
      </c>
      <c r="Y430" s="11">
        <v>0</v>
      </c>
      <c r="Z430" s="11">
        <v>0.1</v>
      </c>
      <c r="AA430" s="11">
        <v>0</v>
      </c>
      <c r="AB430" s="11" t="s">
        <v>2788</v>
      </c>
      <c r="AC430" s="11">
        <v>0</v>
      </c>
      <c r="AD430" s="11">
        <v>0.35</v>
      </c>
      <c r="AE430" s="11">
        <v>0</v>
      </c>
      <c r="AF430" s="11">
        <f>VLOOKUP(K430,'1105 Gobierno'!$K$12:$AK$31,22,0)</f>
        <v>0.28999999999999998</v>
      </c>
      <c r="AG430" s="11">
        <f>VLOOKUP(K430,'1105 Gobierno'!$K$12:$AK$31,23,0)</f>
        <v>0</v>
      </c>
      <c r="AH430" s="11">
        <f t="shared" si="722"/>
        <v>0.28999999999999998</v>
      </c>
      <c r="AI430" s="11" t="str">
        <f>VLOOKUP(K430,'1105 Gobierno'!$K$12:$AK$31,25,0)</f>
        <v xml:space="preserve">Asistencia técnica </v>
      </c>
      <c r="AJ430" s="11" t="str">
        <f>VLOOKUP(K430,'1105 Gobierno'!$K$12:$AK$31,26,0)</f>
        <v>CONFORMACIÓN DE 95 CMDDHHH,  CONSTRUCCION Y SOCIALIZACION CON LOS GRUPOS TECNICOS DEL COMITÉ DEPARTAMENTAL DE DDHH DEL PLAN DE ACCIÓN INTEGRAL DE DDHHH DEL DEPARTAMENTO, A SU VEZ SE CONSOLIDO EL PLAN DE ACCIÓN DEL COMITE DEPARTAMENTAL DE DDHH CON LA PARTICIPACIÓN DEL 100% DE LAS ENTIDADES ADCRITAS AL DEPARTAMENTO. ADJUDICACIÓN CONTRATO DE DOTACIÓN A PERSONEROS, EN CONCEPTO TICS CONTRATO DE DOTACIÓN A COMISARIOS DE FAMILIA, CONSOLIDACIÓN DE INFORMACIÓN DE FORMULARIOS DE DIAGNOSTICOS MUNICIPALES DE DDHH</v>
      </c>
      <c r="AK430" s="11" t="str">
        <f>VLOOKUP(K430,'1105 Gobierno'!$K$12:$AK$31,27,0)</f>
        <v>Entrega de la información solicitada a las diferentes secretarías, la emergencia sanitaria ocasionada por el covid-19.</v>
      </c>
      <c r="AL430" s="11">
        <v>0.35</v>
      </c>
      <c r="AM430" s="11">
        <v>0</v>
      </c>
      <c r="AN430" s="11">
        <v>0.2</v>
      </c>
      <c r="AO430" s="11">
        <v>0</v>
      </c>
      <c r="AP430" s="11">
        <v>0</v>
      </c>
      <c r="AQ430" s="11">
        <v>0</v>
      </c>
      <c r="AR430" s="51">
        <v>51520092</v>
      </c>
      <c r="AS430" s="54">
        <v>0</v>
      </c>
      <c r="AT430" s="54">
        <f t="shared" si="636"/>
        <v>51520092</v>
      </c>
      <c r="AU430" s="51">
        <v>51520092</v>
      </c>
      <c r="AV430" s="243">
        <v>1850400000</v>
      </c>
      <c r="AW430" s="244"/>
      <c r="AX430" s="244"/>
      <c r="AY430" s="243">
        <v>955817575</v>
      </c>
      <c r="AZ430" s="44">
        <f t="shared" si="723"/>
        <v>0.39</v>
      </c>
      <c r="BA430" s="44">
        <v>0.1</v>
      </c>
      <c r="BB430" s="44">
        <v>1</v>
      </c>
      <c r="BC430" s="44">
        <f t="shared" si="733"/>
        <v>0.35</v>
      </c>
      <c r="BD430" s="44" cm="1">
        <f t="array" ref="BD430">_xlfn.IFS(AD430=0,"NA",AD430&gt;0,AH430/AD430)</f>
        <v>0.82857142857142851</v>
      </c>
      <c r="BE430" s="44">
        <f t="shared" si="734"/>
        <v>0.35</v>
      </c>
      <c r="BF430" s="44">
        <v>0</v>
      </c>
      <c r="BG430" s="44">
        <f t="shared" si="724"/>
        <v>0.2</v>
      </c>
      <c r="BH430" s="44">
        <v>0</v>
      </c>
      <c r="BI430" s="44">
        <f t="shared" si="725"/>
        <v>0</v>
      </c>
      <c r="BJ430" s="44" t="s">
        <v>115</v>
      </c>
      <c r="BK430" s="44">
        <f t="shared" si="640"/>
        <v>0.39</v>
      </c>
      <c r="BL430" s="44">
        <v>1</v>
      </c>
      <c r="BM430" s="44" cm="1">
        <f t="array" ref="BM430">_xlfn.IFS(BD430="NA","NA",BD430&gt;100%,"100%",BD430&lt;100,BD430)</f>
        <v>0.82857142857142851</v>
      </c>
      <c r="BN430" s="44" cm="1">
        <f t="array" ref="BN430">_xlfn.IFS(BF430="NA","NA",BF430&gt;100%,"100%",BF430&lt;100,BF430)</f>
        <v>0</v>
      </c>
      <c r="BO430" s="44" cm="1">
        <f t="array" ref="BO430">_xlfn.IFS(BH430="NA","NA",BH430&gt;100%,"100%",BH430&lt;100,BH430)</f>
        <v>0</v>
      </c>
      <c r="BP430" s="44" t="str" cm="1">
        <f t="array" ref="BP430">_xlfn.IFS(BJ430="NA","NA",BJ430&gt;100%,"100%",BJ430&lt;100,BJ430)</f>
        <v>NA</v>
      </c>
      <c r="BQ430" s="45">
        <v>0.224</v>
      </c>
      <c r="BR430" s="45">
        <f t="shared" si="651"/>
        <v>8.7360000000000007E-2</v>
      </c>
      <c r="BS430" s="45">
        <v>2.24E-2</v>
      </c>
      <c r="BT430" s="45">
        <v>2.24E-2</v>
      </c>
      <c r="BU430" s="45">
        <v>2.24E-2</v>
      </c>
      <c r="BV430" s="45">
        <f t="shared" si="726"/>
        <v>7.8399999999999997E-2</v>
      </c>
      <c r="BW430" s="45">
        <f t="shared" si="652"/>
        <v>6.495999999999999E-2</v>
      </c>
      <c r="BX430" s="45">
        <f t="shared" si="653"/>
        <v>6.4960000000000004E-2</v>
      </c>
      <c r="BY430" s="45">
        <f t="shared" si="727"/>
        <v>7.8399999999999997E-2</v>
      </c>
      <c r="BZ430" s="45">
        <f t="shared" si="728"/>
        <v>0</v>
      </c>
      <c r="CA430" s="45">
        <f t="shared" si="634"/>
        <v>0</v>
      </c>
      <c r="CB430" s="45">
        <f t="shared" si="729"/>
        <v>4.4800000000000006E-2</v>
      </c>
      <c r="CC430" s="45">
        <f t="shared" si="730"/>
        <v>0</v>
      </c>
      <c r="CD430" s="45">
        <v>0</v>
      </c>
      <c r="CE430" s="45">
        <f t="shared" si="731"/>
        <v>0</v>
      </c>
      <c r="CF430" s="45" t="str">
        <f t="shared" si="732"/>
        <v>NA</v>
      </c>
      <c r="CG430" s="45">
        <v>0</v>
      </c>
      <c r="CH430" s="244"/>
      <c r="CI430" s="244"/>
      <c r="CJ430" s="244"/>
      <c r="CK430" s="244"/>
      <c r="CM430" s="63">
        <v>0.36</v>
      </c>
    </row>
    <row r="431" spans="1:91" ht="18" hidden="1" customHeight="1">
      <c r="A431" s="260" t="s">
        <v>992</v>
      </c>
      <c r="B431" s="260" t="s">
        <v>993</v>
      </c>
      <c r="C431" s="260" t="s">
        <v>2371</v>
      </c>
      <c r="D431" s="260" t="s">
        <v>2763</v>
      </c>
      <c r="E431" s="260" t="s">
        <v>2782</v>
      </c>
      <c r="F431" s="260" t="s">
        <v>2783</v>
      </c>
      <c r="G431" s="260" t="s">
        <v>2784</v>
      </c>
      <c r="H431" s="260" t="s">
        <v>2789</v>
      </c>
      <c r="I431" s="260"/>
      <c r="J431" s="260"/>
      <c r="K431" s="260" t="s">
        <v>2790</v>
      </c>
      <c r="L431" s="260" t="s">
        <v>2791</v>
      </c>
      <c r="M431" s="260" t="s">
        <v>2272</v>
      </c>
      <c r="N431" s="260" t="s">
        <v>111</v>
      </c>
      <c r="O431" s="260" t="s">
        <v>112</v>
      </c>
      <c r="P431" s="10">
        <v>0</v>
      </c>
      <c r="Q431" s="11">
        <v>1</v>
      </c>
      <c r="R431" s="11">
        <f t="shared" si="721"/>
        <v>0.43999999999999995</v>
      </c>
      <c r="S431" s="11" t="str">
        <f>VLOOKUP(K431,'1105 Gobierno'!$K$12:$AK$31,9,0)</f>
        <v>196 actores institucionales beneficiados en 64 municipios, con conocimiento permanente en la creación, implementación y fortalecimiento de los comités de libertad religiosa, de cultos y conciencia municipales, así como en la formulación de la Política Pública de libertad religiosa, de cultos y conciencia en los municipios del departamento de Cundinamarca. Debido a la pandemia COVID 19, se realiza gestión y articulación para la entrega de 3.469 ayudas humanitarias al sector interreligioso del departamento de Cundinamarca en el marco del Programa Presidencial Colombia Está Contigo Un Millón de Familias. Se brindan assitencia tecnica en lo referente a la conformación y fortalecimiento de los comités municipales de Libertad Religiosa a 14municipios del departamento.</v>
      </c>
      <c r="T431" s="11">
        <v>0</v>
      </c>
      <c r="U431" s="11">
        <v>0</v>
      </c>
      <c r="V431" s="11">
        <v>0.15</v>
      </c>
      <c r="W431" s="11">
        <v>0</v>
      </c>
      <c r="X431" s="11">
        <v>0.15</v>
      </c>
      <c r="Y431" s="11">
        <v>0</v>
      </c>
      <c r="Z431" s="11">
        <v>0.15</v>
      </c>
      <c r="AA431" s="11" t="s">
        <v>1106</v>
      </c>
      <c r="AB431" s="11" t="s">
        <v>2792</v>
      </c>
      <c r="AC431" s="11">
        <v>0</v>
      </c>
      <c r="AD431" s="11">
        <v>0.35</v>
      </c>
      <c r="AE431" s="11">
        <v>0</v>
      </c>
      <c r="AF431" s="11">
        <f>VLOOKUP(K431,'1105 Gobierno'!$K$12:$AK$31,22,0)</f>
        <v>0.28999999999999998</v>
      </c>
      <c r="AG431" s="11" t="str">
        <f>VLOOKUP(K431,'1105 Gobierno'!$K$12:$AK$31,23,0)</f>
        <v> </v>
      </c>
      <c r="AH431" s="11">
        <f t="shared" si="722"/>
        <v>0.28999999999999998</v>
      </c>
      <c r="AI431" s="11" t="str">
        <f>VLOOKUP(K431,'1105 Gobierno'!$K$12:$AK$31,25,0)</f>
        <v xml:space="preserve">Asistencia técnica </v>
      </c>
      <c r="AJ431" s="11" t="str">
        <f>VLOOKUP(K431,'1105 Gobierno'!$K$12:$AK$31,26,0)</f>
        <v>CONSOLIDACIÓN DEL 43 % DE ACOMPAÑAMIENTO DE LOS ENTES TERRITORIALES EN LA GARANTIA DEL DERECHO DE LA LIBERTAD RELIGIOSA, SE CONSOLIDARON 30 INSTANCIAS DE PARTICIPACIÓN MUNICIPALES DE LIBERTAD RELIGIOSA, EL ACOMPAÑAMIENTO A 8 POLITICAS PUBLICAS MUNICIPALES DE LIBERTAD RELIGIOSA, CULTOS Y CONCIENCIA.</v>
      </c>
      <c r="AK431" s="11" t="str">
        <f>VLOOKUP(K431,'1105 Gobierno'!$K$12:$AK$31,27,0)</f>
        <v>Entrega de la información solicitada a las diferentes secretarías, la emergencia sanitaria ocasionada por el covid-19, fallas en la articulación institucional en la comunicación y ejecución de actividades.</v>
      </c>
      <c r="AL431" s="11">
        <v>0.35</v>
      </c>
      <c r="AM431" s="11">
        <v>0</v>
      </c>
      <c r="AN431" s="11">
        <v>0.15</v>
      </c>
      <c r="AO431" s="11">
        <v>0</v>
      </c>
      <c r="AP431" s="11">
        <v>0</v>
      </c>
      <c r="AQ431" s="11">
        <v>0</v>
      </c>
      <c r="AR431" s="52"/>
      <c r="AS431" s="54">
        <v>8000000</v>
      </c>
      <c r="AT431" s="54">
        <f t="shared" si="636"/>
        <v>8000000</v>
      </c>
      <c r="AU431" s="52"/>
      <c r="AV431" s="243"/>
      <c r="AW431" s="244"/>
      <c r="AX431" s="244"/>
      <c r="AY431" s="243"/>
      <c r="AZ431" s="44">
        <f t="shared" si="723"/>
        <v>0.43999999999999995</v>
      </c>
      <c r="BA431" s="44">
        <v>0.15</v>
      </c>
      <c r="BB431" s="44">
        <v>1</v>
      </c>
      <c r="BC431" s="44">
        <f t="shared" si="733"/>
        <v>0.35</v>
      </c>
      <c r="BD431" s="44" cm="1">
        <f t="array" ref="BD431">_xlfn.IFS(AD431=0,"NA",AD431&gt;0,AH431/AD431)</f>
        <v>0.82857142857142851</v>
      </c>
      <c r="BE431" s="44">
        <f t="shared" si="734"/>
        <v>0.35</v>
      </c>
      <c r="BF431" s="44">
        <v>0</v>
      </c>
      <c r="BG431" s="44">
        <f t="shared" si="724"/>
        <v>0.15</v>
      </c>
      <c r="BH431" s="44">
        <v>0</v>
      </c>
      <c r="BI431" s="44">
        <f t="shared" si="725"/>
        <v>0</v>
      </c>
      <c r="BJ431" s="44" t="s">
        <v>115</v>
      </c>
      <c r="BK431" s="44">
        <f t="shared" si="640"/>
        <v>0.43999999999999995</v>
      </c>
      <c r="BL431" s="44">
        <v>1</v>
      </c>
      <c r="BM431" s="44" cm="1">
        <f t="array" ref="BM431">_xlfn.IFS(BD431="NA","NA",BD431&gt;100%,"100%",BD431&lt;100,BD431)</f>
        <v>0.82857142857142851</v>
      </c>
      <c r="BN431" s="44" cm="1">
        <f t="array" ref="BN431">_xlfn.IFS(BF431="NA","NA",BF431&gt;100%,"100%",BF431&lt;100,BF431)</f>
        <v>0</v>
      </c>
      <c r="BO431" s="44" cm="1">
        <f t="array" ref="BO431">_xlfn.IFS(BH431="NA","NA",BH431&gt;100%,"100%",BH431&lt;100,BH431)</f>
        <v>0</v>
      </c>
      <c r="BP431" s="44" t="str" cm="1">
        <f t="array" ref="BP431">_xlfn.IFS(BJ431="NA","NA",BJ431&gt;100%,"100%",BJ431&lt;100,BJ431)</f>
        <v>NA</v>
      </c>
      <c r="BQ431" s="45">
        <v>0.224</v>
      </c>
      <c r="BR431" s="45">
        <f t="shared" si="651"/>
        <v>9.8559999999999995E-2</v>
      </c>
      <c r="BS431" s="45">
        <v>3.3599999999999998E-2</v>
      </c>
      <c r="BT431" s="45">
        <v>3.3599999999999998E-2</v>
      </c>
      <c r="BU431" s="45">
        <v>3.3599999999999998E-2</v>
      </c>
      <c r="BV431" s="45">
        <f t="shared" si="726"/>
        <v>7.8399999999999997E-2</v>
      </c>
      <c r="BW431" s="45">
        <f t="shared" si="652"/>
        <v>6.495999999999999E-2</v>
      </c>
      <c r="BX431" s="45">
        <f t="shared" si="653"/>
        <v>6.495999999999999E-2</v>
      </c>
      <c r="BY431" s="45">
        <f t="shared" si="727"/>
        <v>7.8399999999999997E-2</v>
      </c>
      <c r="BZ431" s="45">
        <f t="shared" si="728"/>
        <v>0</v>
      </c>
      <c r="CA431" s="45">
        <f t="shared" si="634"/>
        <v>0</v>
      </c>
      <c r="CB431" s="45">
        <f t="shared" si="729"/>
        <v>3.3599999999999998E-2</v>
      </c>
      <c r="CC431" s="45">
        <f t="shared" si="730"/>
        <v>0</v>
      </c>
      <c r="CD431" s="45">
        <v>0</v>
      </c>
      <c r="CE431" s="45">
        <f t="shared" si="731"/>
        <v>0</v>
      </c>
      <c r="CF431" s="45" t="str">
        <f t="shared" si="732"/>
        <v>NA</v>
      </c>
      <c r="CG431" s="45">
        <v>0</v>
      </c>
      <c r="CH431" s="244"/>
      <c r="CI431" s="244"/>
      <c r="CJ431" s="244"/>
      <c r="CK431" s="244"/>
      <c r="CM431" s="63">
        <v>0.36</v>
      </c>
    </row>
    <row r="432" spans="1:91" ht="18" hidden="1" customHeight="1">
      <c r="A432" s="260" t="s">
        <v>992</v>
      </c>
      <c r="B432" s="260" t="s">
        <v>993</v>
      </c>
      <c r="C432" s="260" t="s">
        <v>2371</v>
      </c>
      <c r="D432" s="260" t="s">
        <v>2763</v>
      </c>
      <c r="E432" s="260" t="s">
        <v>2782</v>
      </c>
      <c r="F432" s="260" t="s">
        <v>2783</v>
      </c>
      <c r="G432" s="260" t="s">
        <v>2784</v>
      </c>
      <c r="H432" s="260" t="s">
        <v>2793</v>
      </c>
      <c r="I432" s="260"/>
      <c r="J432" s="260"/>
      <c r="K432" s="260" t="s">
        <v>2794</v>
      </c>
      <c r="L432" s="260" t="s">
        <v>2795</v>
      </c>
      <c r="M432" s="260" t="s">
        <v>131</v>
      </c>
      <c r="N432" s="260" t="s">
        <v>111</v>
      </c>
      <c r="O432" s="260" t="s">
        <v>112</v>
      </c>
      <c r="P432" s="10">
        <v>0</v>
      </c>
      <c r="Q432" s="11">
        <v>1</v>
      </c>
      <c r="R432" s="11">
        <f t="shared" si="721"/>
        <v>0.35</v>
      </c>
      <c r="S432" s="11" t="str">
        <f>VLOOKUP(K432,'1105 Gobierno'!$K$12:$AK$31,9,0)</f>
        <v>Se han venido realizando seguimiento a la suscripción de convenios administrativos para el funcionamiento de los CETRAS y se ha brindado asistencia técnica a los circuitos judiciales priorizados. A su vez, se viene realizando la caracterización de los 14 cetrasSe realiza el diagnóstico y se implementa el plan de acción del comité departamental de Cundinamarca del SRPA en la línea estratégica Diseño de Política Pública y Desarrollo Normativo, en la línea de subprevención desde la formulación de la estrategia de prevención del delito, teniendo en cuenta la política pública departamental de infancia y adolescencia, generando revisión documental y metodológica de lineamientos nacionales en prevención de la vinculación de adolescentes y jóvenes en la vida delictiva, y desarrollo de metodologías de prevención.
*Articulación con entidades a nivel departamental y nacional como Ministerio de Justicia, ICBF, Policía, Fiscalía y Secretaría de Seguridad, Convivencia y Justicia de Bogotá, con el fin de llevar a cabo acciones conjuntas en tono al Sistema de Responsabilidad Penal para Adolescentes (SRPA).                                                                                                         
*Participación en las Asistencias Técnicas das por el Ministerio de Justicia en temas de: Diseño de Politícas Públicas y Desarrollo Normativo y Justicia Juvenil Restaurativa. 
 *Reuniones de articulación con autoridades municipales en los municipios donde se encuentran ubicados los circuitos judiciales.                                                                                           *Asistencias técnicas y/o capacitaciones a funcionarios de los Centros Transitorios (CETRAS) .                                    
*Participación en las Asistencias Técnicas das por el ICBF en temas de: Funcionamiento de los 15 Cetras en Cundinamarca.                                                                                         
*Distribución de los 15 Cetras del Departamento al grupo de contratistas, con el fin de comenzar a realizar asistencias técnicas en los municipios cabecera de circuito.   
*Se viene realizando un análisis y estudio del documento denominado "Diagnóstico descriptivo en quince municipios de Cundinamarca sobre la vinculación de adolescentes y jóvenes a la comisión de delitos", con el fin de evaluar y revisar que Cetras necesitan adecuamientos en sus estructuras y así poder comenzar a realizar asistencias técnicas a cada circuito judicial.
Adicionalmente se solicitó a la Policia Nacional y al Observatorio de Seguridad y Convivencia el comportamiento delictual presentado durante los años 2016, 2017, 2018, 2019 y 2020, con el fin de actualizar las cifras del Diagnóstico.
Se estableció un formato estandar, denominado "Estado Actual de los Cetras", con la finalidad de revisar las instalaciones, sobre la estructura física de los Centros Transitorios (CETRAS), donde se brinda atención transitoria mientras se define la situación jurídica a los menores entre catorce (14) y dieciocho (18) años de edad que presuntamente hayan incurrido en una conducta punible, con el propósito de establecer el estado actual de estos, ubicados en los municipios cabecera de los circuitos judiciales del Departamento.</v>
      </c>
      <c r="T432" s="11">
        <v>0</v>
      </c>
      <c r="U432" s="11">
        <v>0</v>
      </c>
      <c r="V432" s="11">
        <v>0.1</v>
      </c>
      <c r="W432" s="11">
        <v>0</v>
      </c>
      <c r="X432" s="11">
        <v>0.1</v>
      </c>
      <c r="Y432" s="11">
        <v>0</v>
      </c>
      <c r="Z432" s="11">
        <v>0.1</v>
      </c>
      <c r="AA432" s="11" t="s">
        <v>1106</v>
      </c>
      <c r="AB432" s="11" t="s">
        <v>2796</v>
      </c>
      <c r="AC432" s="11">
        <v>0</v>
      </c>
      <c r="AD432" s="11">
        <v>0.3</v>
      </c>
      <c r="AE432" s="11">
        <v>0</v>
      </c>
      <c r="AF432" s="11">
        <f>VLOOKUP(K432,'1105 Gobierno'!$K$12:$AK$31,22,0)</f>
        <v>0.25</v>
      </c>
      <c r="AG432" s="11">
        <f>VLOOKUP(K432,'1105 Gobierno'!$K$12:$AK$31,23,0)</f>
        <v>0</v>
      </c>
      <c r="AH432" s="11">
        <f t="shared" si="722"/>
        <v>0.25</v>
      </c>
      <c r="AI432" s="11" t="str">
        <f>VLOOKUP(K432,'1105 Gobierno'!$K$12:$AK$31,25,0)</f>
        <v xml:space="preserve">Asistencia técnica </v>
      </c>
      <c r="AJ432" s="11" t="str">
        <f>VLOOKUP(K432,'1105 Gobierno'!$K$12:$AK$31,26,0)</f>
        <v xml:space="preserve">*Articulación con entidades a nivel departamental y nacional como Ministerio de Justicia, ICBF, Policía, Fiscalía y Secretaría de Seguridad, Convivencia y Justicia de Bogotá, con el fin de llevar a cabo acciones conjuntas en tono al Sistema de Responsabilidad Penal para Adolescentes (SRPA).                                                                                                         
*Participación en las Asistencias Técnicas das por el Ministerio de Justicia en temas de: Diseño de Politícas Públicas y Desarrollo Normativo y Justicia Juvenil Restaurativa. 
 *Reuniones de articulación con autoridades municipales en los municipios donde se encuentran ubicados los circuitos judiciales.                                                                                           *Asistencias técnicas y/o capacitaciones a funcionarios de los Centros Transitorios (CETRAS) .                                    
*Participación en las Asistencias Técnicas das por el ICBF en temas de: Funcionamiento de los 15 Cetras en Cundinamarca.                                                                                         
*Distribución de los 15 Cetras del Departamento al grupo de contratistas, con el fin de comenzar a realizar asistencias técnicas en los municipios cabecera de circuito.   
*Se viene realizando un análisis y estudio del documento denominado "Diagnóstico descriptivo en quince municipios de Cundinamarca sobre la vinculación de adolescentes y jóvenes a la comisión de delitos", con el fin de evaluar y revisar que Cetras necesitan adecuamientos en sus estructuras y así poder comenzar a realizar asistencias técnicas a cada circuito judicial.
Adicionalmente se solicitó a la Policia Nacional y al Observatorio de Seguridad y Convivencia el comportamiento delictual presentado durante los años 2016, 2017, 2018, 2019 y 2020, con el fin de actualizar las cifras del Diagnóstico.
Se estableció un formato estandar, denominado "Estado Actual de los Cetras", con la finalidad de revisar las instalaciones, sobre la estructura física de los Centros Transitorios (CETRAS), donde se brinda atención transitoria mientras se define la situación jurídica a los menores entre catorce (14) y dieciocho (18) años de edad que presuntamente hayan incurrido en una conducta punible, con el propósito de establecer el estado actual de estos, ubicados en los municipios cabecera de los circuitos judiciales del Departamento.  Actualmente los Contratistas vienen realizando la inspección de las instalaciones físicas a cada uno de los CETRAS.
Realizaron articulación con entidades a nivel departamental y nacional como Ministerio de Justicia, ICBF, Policía, Fiscalía y Secretaría de Seguridad, Convivencia y Justicia de Bogotá, con el fin de llevar a cabo acciones conjuntas en torno al Sistema de Responsabilidad Penal para Adolescentes (SRPA).                                                                                                             Participación en las Asistencias Técnicas das por el Ministerio de Justicia en temas de: Diseño de Politícas Públicas y Desarrollo Normativo y Justicia Juvenil Restaurativa. Estructuración de la Política Pública de Prevención, para lo cual se creó el árbol de problemas y de objetivos.                                                                                                                                                                                                             Reuniones de articulación con autoridades municipales en los municipios donde se encuentran ubicados los circuitos judiciales.                                                                                     
Asistencias técnicas y/o capacitaciones a funcionarios de los Centros Transitorios (CETRAS).
Articulación con entidades Departamental y nacional como Ministerio de Justicia, ICBF, Policía, Fiscalía y Secretaría de Estabilidad, Convivencia y Justicia de Bogotá, con la intención de realizar trabajos alrededor del Sistema de Responsabilidad Penal para Jóvenes (SRPA). *Participación en las Asistencias Técnicas por el Ministerio de Justicia en materia de: Diseño de Politícas Públicas y Desarrollo Normativo y Justicia Juvenil Restaurativa. *Estructuración del Pilotaje de Justicia Juvenil Restaurativa para el Departamento.                                                   
Se estableció un formato estandar, nombrado "Caracterización de Infraestructura", con el objetivo de registrar en número y calidad las instalaciones, sobre la composición física de los Centros Transitorios (CETRAS), repasando la dotación elemental, grupos tecnológicos, materiales de limpieza general, infraestructura y propiedades en general.                                                         </v>
      </c>
      <c r="AK432" s="11">
        <f>VLOOKUP(K432,'1105 Gobierno'!$K$12:$AK$31,27,0)</f>
        <v>0</v>
      </c>
      <c r="AL432" s="11">
        <v>0.25</v>
      </c>
      <c r="AM432" s="11">
        <v>0</v>
      </c>
      <c r="AN432" s="11">
        <v>0.35</v>
      </c>
      <c r="AO432" s="11">
        <v>0</v>
      </c>
      <c r="AP432" s="11">
        <v>0</v>
      </c>
      <c r="AQ432" s="11">
        <v>0</v>
      </c>
      <c r="AR432" s="51">
        <v>65000000</v>
      </c>
      <c r="AS432" s="54">
        <v>0</v>
      </c>
      <c r="AT432" s="54">
        <f t="shared" si="636"/>
        <v>65000000</v>
      </c>
      <c r="AU432" s="51">
        <v>46477488</v>
      </c>
      <c r="AV432" s="243">
        <v>871841688</v>
      </c>
      <c r="AW432" s="244"/>
      <c r="AX432" s="244"/>
      <c r="AY432" s="243">
        <v>729999001</v>
      </c>
      <c r="AZ432" s="44">
        <f t="shared" si="723"/>
        <v>0.35</v>
      </c>
      <c r="BA432" s="44">
        <v>0.1</v>
      </c>
      <c r="BB432" s="44">
        <v>1</v>
      </c>
      <c r="BC432" s="44">
        <f t="shared" si="733"/>
        <v>0.3</v>
      </c>
      <c r="BD432" s="44" cm="1">
        <f t="array" ref="BD432">_xlfn.IFS(AD432=0,"NA",AD432&gt;0,AH432/AD432)</f>
        <v>0.83333333333333337</v>
      </c>
      <c r="BE432" s="44">
        <f t="shared" si="734"/>
        <v>0.25</v>
      </c>
      <c r="BF432" s="44">
        <v>0</v>
      </c>
      <c r="BG432" s="44">
        <f t="shared" si="724"/>
        <v>0.35</v>
      </c>
      <c r="BH432" s="44">
        <v>0</v>
      </c>
      <c r="BI432" s="44">
        <f t="shared" si="725"/>
        <v>0</v>
      </c>
      <c r="BJ432" s="44" t="s">
        <v>115</v>
      </c>
      <c r="BK432" s="44">
        <f t="shared" si="640"/>
        <v>0.35</v>
      </c>
      <c r="BL432" s="44">
        <v>1</v>
      </c>
      <c r="BM432" s="44" cm="1">
        <f t="array" ref="BM432">_xlfn.IFS(BD432="NA","NA",BD432&gt;100%,"100%",BD432&lt;100,BD432)</f>
        <v>0.83333333333333337</v>
      </c>
      <c r="BN432" s="44" cm="1">
        <f t="array" ref="BN432">_xlfn.IFS(BF432="NA","NA",BF432&gt;100%,"100%",BF432&lt;100,BF432)</f>
        <v>0</v>
      </c>
      <c r="BO432" s="44" cm="1">
        <f t="array" ref="BO432">_xlfn.IFS(BH432="NA","NA",BH432&gt;100%,"100%",BH432&lt;100,BH432)</f>
        <v>0</v>
      </c>
      <c r="BP432" s="44" t="str" cm="1">
        <f t="array" ref="BP432">_xlfn.IFS(BJ432="NA","NA",BJ432&gt;100%,"100%",BJ432&lt;100,BJ432)</f>
        <v>NA</v>
      </c>
      <c r="BQ432" s="45">
        <v>0.224</v>
      </c>
      <c r="BR432" s="45">
        <f t="shared" si="651"/>
        <v>7.8399999999999997E-2</v>
      </c>
      <c r="BS432" s="45">
        <v>2.24E-2</v>
      </c>
      <c r="BT432" s="45">
        <v>2.24E-2</v>
      </c>
      <c r="BU432" s="45">
        <v>2.24E-2</v>
      </c>
      <c r="BV432" s="45">
        <f t="shared" si="726"/>
        <v>6.7199999999999996E-2</v>
      </c>
      <c r="BW432" s="45">
        <f t="shared" si="652"/>
        <v>5.6000000000000001E-2</v>
      </c>
      <c r="BX432" s="45">
        <f t="shared" si="653"/>
        <v>5.5999999999999994E-2</v>
      </c>
      <c r="BY432" s="45">
        <f t="shared" si="727"/>
        <v>5.6000000000000001E-2</v>
      </c>
      <c r="BZ432" s="45">
        <f t="shared" si="728"/>
        <v>0</v>
      </c>
      <c r="CA432" s="45">
        <f t="shared" si="634"/>
        <v>0</v>
      </c>
      <c r="CB432" s="45">
        <f t="shared" si="729"/>
        <v>7.8399999999999997E-2</v>
      </c>
      <c r="CC432" s="45">
        <f t="shared" si="730"/>
        <v>0</v>
      </c>
      <c r="CD432" s="45">
        <v>0</v>
      </c>
      <c r="CE432" s="45">
        <f t="shared" si="731"/>
        <v>0</v>
      </c>
      <c r="CF432" s="45" t="str">
        <f t="shared" si="732"/>
        <v>NA</v>
      </c>
      <c r="CG432" s="45">
        <v>0</v>
      </c>
      <c r="CH432" s="244"/>
      <c r="CI432" s="244"/>
      <c r="CJ432" s="244"/>
      <c r="CK432" s="244"/>
      <c r="CM432" s="63">
        <v>0.29000000000000004</v>
      </c>
    </row>
    <row r="433" spans="1:91" ht="18" hidden="1" customHeight="1">
      <c r="A433" s="260" t="s">
        <v>144</v>
      </c>
      <c r="B433" s="260" t="s">
        <v>145</v>
      </c>
      <c r="C433" s="260" t="s">
        <v>100</v>
      </c>
      <c r="D433" s="260" t="s">
        <v>508</v>
      </c>
      <c r="E433" s="260" t="s">
        <v>870</v>
      </c>
      <c r="F433" s="260" t="s">
        <v>909</v>
      </c>
      <c r="G433" s="12" t="s">
        <v>910</v>
      </c>
      <c r="H433" s="260" t="s">
        <v>2797</v>
      </c>
      <c r="I433" s="260"/>
      <c r="J433" s="260"/>
      <c r="K433" s="260" t="s">
        <v>2798</v>
      </c>
      <c r="L433" s="260" t="s">
        <v>2799</v>
      </c>
      <c r="M433" s="260" t="s">
        <v>2800</v>
      </c>
      <c r="N433" s="260" t="s">
        <v>111</v>
      </c>
      <c r="O433" s="260" t="s">
        <v>112</v>
      </c>
      <c r="P433" s="10">
        <v>0</v>
      </c>
      <c r="Q433" s="11">
        <v>6</v>
      </c>
      <c r="R433" s="11"/>
      <c r="S433" s="11"/>
      <c r="T433" s="11">
        <v>0</v>
      </c>
      <c r="U433" s="11">
        <v>0</v>
      </c>
      <c r="V433" s="11">
        <v>0</v>
      </c>
      <c r="W433" s="11">
        <v>0</v>
      </c>
      <c r="X433" s="11">
        <v>0</v>
      </c>
      <c r="Y433" s="11">
        <v>0</v>
      </c>
      <c r="Z433" s="11">
        <v>0</v>
      </c>
      <c r="AA433" s="11"/>
      <c r="AB433" s="11"/>
      <c r="AC433" s="11"/>
      <c r="AD433" s="208">
        <v>1</v>
      </c>
      <c r="AE433" s="208">
        <v>0</v>
      </c>
      <c r="AF433" s="11">
        <f>VLOOKUP(K433,'1126 Desarrollo Social'!$K$13:$AK$59,22,0)</f>
        <v>1</v>
      </c>
      <c r="AG433" s="11">
        <f>VLOOKUP(K433,'1126 Desarrollo Social'!$K$13:$AK$59,23,0)</f>
        <v>0</v>
      </c>
      <c r="AH433" s="11">
        <f t="shared" si="722"/>
        <v>1</v>
      </c>
      <c r="AI433" s="11">
        <f>VLOOKUP(K433,'1126 Desarrollo Social'!$K$13:$AK$59,25,0)</f>
        <v>0</v>
      </c>
      <c r="AJ433" s="11" t="str">
        <f>VLOOKUP(K433,'1126 Desarrollo Social'!$K$13:$AK$59,26,0)</f>
        <v>Se viabilizó y registro el proyecto correspondiente a el Municipio de Arbelaez y en revisión del ICCU el proyecto de Tibirita, Ubate, Agua de Dios y Gama</v>
      </c>
      <c r="AK433" s="11">
        <f>VLOOKUP(K433,'1126 Desarrollo Social'!$K$13:$AK$59,27,0)</f>
        <v>0</v>
      </c>
      <c r="AL433" s="11">
        <v>3</v>
      </c>
      <c r="AM433" s="11">
        <v>0</v>
      </c>
      <c r="AN433" s="11">
        <v>2</v>
      </c>
      <c r="AO433" s="11">
        <v>0</v>
      </c>
      <c r="AP433" s="11">
        <v>0</v>
      </c>
      <c r="AQ433" s="11">
        <v>0</v>
      </c>
      <c r="AR433" s="51"/>
      <c r="AS433" s="54"/>
      <c r="AT433" s="54"/>
      <c r="AU433" s="51"/>
      <c r="AV433" s="243">
        <v>0</v>
      </c>
      <c r="AW433" s="244"/>
      <c r="AX433" s="244"/>
      <c r="AY433" s="243">
        <v>0</v>
      </c>
      <c r="AZ433" s="44">
        <f t="shared" si="723"/>
        <v>0</v>
      </c>
      <c r="BA433" s="44">
        <v>0</v>
      </c>
      <c r="BB433" s="44" t="s">
        <v>115</v>
      </c>
      <c r="BC433" s="44">
        <f t="shared" si="733"/>
        <v>0.16666666666666666</v>
      </c>
      <c r="BD433" s="44" cm="1">
        <f t="array" ref="BD433">_xlfn.IFS(AD433=0,"NA",AD433&gt;0,AH433/AD433)</f>
        <v>1</v>
      </c>
      <c r="BE433" s="44">
        <f t="shared" si="734"/>
        <v>0.5</v>
      </c>
      <c r="BF433" s="44">
        <v>0</v>
      </c>
      <c r="BG433" s="44">
        <f t="shared" si="724"/>
        <v>0.33333333333333331</v>
      </c>
      <c r="BH433" s="44">
        <v>0</v>
      </c>
      <c r="BI433" s="44">
        <f t="shared" si="725"/>
        <v>0</v>
      </c>
      <c r="BJ433" s="44" t="s">
        <v>115</v>
      </c>
      <c r="BK433" s="44">
        <f t="shared" si="640"/>
        <v>0</v>
      </c>
      <c r="BL433" s="44" t="s">
        <v>115</v>
      </c>
      <c r="BM433" s="44" cm="1">
        <f t="array" ref="BM433">_xlfn.IFS(BD433="NA","NA",BD433&gt;100%,"100%",BD433&lt;100,BD433)</f>
        <v>1</v>
      </c>
      <c r="BN433" s="44" cm="1">
        <f t="array" ref="BN433">_xlfn.IFS(BF433="NA","NA",BF433&gt;100%,"100%",BF433&lt;100,BF433)</f>
        <v>0</v>
      </c>
      <c r="BO433" s="44" cm="1">
        <f t="array" ref="BO433">_xlfn.IFS(BH433="NA","NA",BH433&gt;100%,"100%",BH433&lt;100,BH433)</f>
        <v>0</v>
      </c>
      <c r="BP433" s="44" t="str" cm="1">
        <f t="array" ref="BP433">_xlfn.IFS(BJ433="NA","NA",BJ433&gt;100%,"100%",BJ433&lt;100,BJ433)</f>
        <v>NA</v>
      </c>
      <c r="BQ433" s="207">
        <v>0.34899999999999998</v>
      </c>
      <c r="BR433" s="45">
        <f t="shared" si="651"/>
        <v>0</v>
      </c>
      <c r="BS433" s="45">
        <v>0</v>
      </c>
      <c r="BT433" s="45" t="s">
        <v>115</v>
      </c>
      <c r="BU433" s="45">
        <v>0</v>
      </c>
      <c r="BV433" s="45">
        <f t="shared" si="726"/>
        <v>5.8166666666666665E-2</v>
      </c>
      <c r="BW433" s="45">
        <f t="shared" si="652"/>
        <v>5.8166666666666665E-2</v>
      </c>
      <c r="BX433" s="45">
        <f t="shared" si="653"/>
        <v>0</v>
      </c>
      <c r="BY433" s="45">
        <f>(AL433*BQ433)/Q433</f>
        <v>0.17449999999999999</v>
      </c>
      <c r="BZ433" s="45">
        <f t="shared" si="728"/>
        <v>0</v>
      </c>
      <c r="CA433" s="45">
        <f t="shared" si="634"/>
        <v>0</v>
      </c>
      <c r="CB433" s="45">
        <f t="shared" si="729"/>
        <v>0.11633333333333333</v>
      </c>
      <c r="CC433" s="45">
        <f t="shared" si="730"/>
        <v>0</v>
      </c>
      <c r="CD433" s="45">
        <v>0</v>
      </c>
      <c r="CE433" s="45">
        <f t="shared" ref="CE433:CE434" si="735">(AP433*BQ433)/Q433</f>
        <v>0</v>
      </c>
      <c r="CF433" s="45" t="str">
        <f t="shared" ref="CF433:CF434" si="736">IF(BP433="NA","NA",BP433*CE433)</f>
        <v>NA</v>
      </c>
      <c r="CG433" s="45">
        <v>0</v>
      </c>
      <c r="CH433" s="244"/>
      <c r="CI433" s="244"/>
      <c r="CJ433" s="244"/>
      <c r="CK433" s="244"/>
      <c r="CM433" s="63"/>
    </row>
    <row r="434" spans="1:91" ht="18" hidden="1" customHeight="1">
      <c r="A434" s="260" t="s">
        <v>992</v>
      </c>
      <c r="B434" s="260" t="s">
        <v>993</v>
      </c>
      <c r="C434" s="260" t="s">
        <v>100</v>
      </c>
      <c r="D434" s="260" t="s">
        <v>1074</v>
      </c>
      <c r="E434" s="260" t="s">
        <v>1075</v>
      </c>
      <c r="F434" s="260" t="s">
        <v>1076</v>
      </c>
      <c r="G434" s="260" t="s">
        <v>1077</v>
      </c>
      <c r="H434" s="260" t="s">
        <v>2801</v>
      </c>
      <c r="I434" s="260"/>
      <c r="J434" s="260"/>
      <c r="K434" s="260" t="s">
        <v>2802</v>
      </c>
      <c r="L434" s="260" t="s">
        <v>2803</v>
      </c>
      <c r="M434" s="260"/>
      <c r="N434" s="260" t="s">
        <v>111</v>
      </c>
      <c r="O434" s="260" t="s">
        <v>112</v>
      </c>
      <c r="P434" s="10">
        <v>22</v>
      </c>
      <c r="Q434" s="11">
        <v>116</v>
      </c>
      <c r="R434" s="11">
        <f>Z434+AH434</f>
        <v>1</v>
      </c>
      <c r="S434" s="11" t="str">
        <f>VLOOKUP(K434,'1105 Gobierno'!$K$12:$AK$33,9,0)</f>
        <v>Se da inicio al proceso de caracterización en los 116 Municipios del Departamento</v>
      </c>
      <c r="T434" s="11" t="s">
        <v>2804</v>
      </c>
      <c r="U434" s="11" t="s">
        <v>2804</v>
      </c>
      <c r="V434" s="11" t="s">
        <v>2804</v>
      </c>
      <c r="W434" s="11" t="s">
        <v>2804</v>
      </c>
      <c r="X434" s="11">
        <v>0</v>
      </c>
      <c r="Y434" s="11">
        <v>0</v>
      </c>
      <c r="Z434" s="11">
        <v>0</v>
      </c>
      <c r="AA434" s="11" t="s">
        <v>2804</v>
      </c>
      <c r="AB434" s="11" t="s">
        <v>2804</v>
      </c>
      <c r="AC434" s="11" t="s">
        <v>2804</v>
      </c>
      <c r="AD434" s="208">
        <v>40</v>
      </c>
      <c r="AE434" s="208">
        <v>0</v>
      </c>
      <c r="AF434" s="11">
        <f>VLOOKUP(K434,'1105 Gobierno'!$K$12:$AK$33,22,0)</f>
        <v>1</v>
      </c>
      <c r="AG434" s="11">
        <f>VLOOKUP(K434,'1105 Gobierno'!$K$12:$AK$33,23,0)</f>
        <v>0</v>
      </c>
      <c r="AH434" s="11">
        <f t="shared" si="722"/>
        <v>1</v>
      </c>
      <c r="AI434" s="11" t="str">
        <f>VLOOKUP(K434,'1105 Gobierno'!$K$12:$AK$33,25,0)</f>
        <v xml:space="preserve">Asistencia técnica </v>
      </c>
      <c r="AJ434" s="11" t="str">
        <f>VLOOKUP(K434,'1105 Gobierno'!$K$12:$AK$33,26,0)</f>
        <v>Se realizo jornada de caracterización en el Municipo de Sasaima los días 26 y 27 de Octubre de 2021.</v>
      </c>
      <c r="AK434" s="11"/>
      <c r="AL434" s="11">
        <v>40</v>
      </c>
      <c r="AM434" s="11">
        <v>0</v>
      </c>
      <c r="AN434" s="11">
        <v>36</v>
      </c>
      <c r="AO434" s="11">
        <v>0</v>
      </c>
      <c r="AP434" s="11">
        <v>0</v>
      </c>
      <c r="AQ434" s="11">
        <v>0</v>
      </c>
      <c r="AR434" s="51"/>
      <c r="AS434" s="54"/>
      <c r="AT434" s="54"/>
      <c r="AU434" s="51"/>
      <c r="AV434" s="243"/>
      <c r="AW434" s="244"/>
      <c r="AX434" s="244"/>
      <c r="AY434" s="243"/>
      <c r="AZ434" s="44">
        <f t="shared" si="723"/>
        <v>8.6206896551724137E-3</v>
      </c>
      <c r="BA434" s="44">
        <v>0</v>
      </c>
      <c r="BB434" s="44" t="s">
        <v>115</v>
      </c>
      <c r="BC434" s="44">
        <f t="shared" si="733"/>
        <v>0.34482758620689657</v>
      </c>
      <c r="BD434" s="44" cm="1">
        <f t="array" ref="BD434">_xlfn.IFS(AD434=0,"NA",AD434&gt;0,AH434/AD434)</f>
        <v>2.5000000000000001E-2</v>
      </c>
      <c r="BE434" s="44">
        <f t="shared" si="734"/>
        <v>0.34482758620689657</v>
      </c>
      <c r="BF434" s="44">
        <v>0</v>
      </c>
      <c r="BG434" s="44">
        <f t="shared" si="724"/>
        <v>0.31034482758620691</v>
      </c>
      <c r="BH434" s="44">
        <v>0</v>
      </c>
      <c r="BI434" s="44">
        <f t="shared" si="725"/>
        <v>0</v>
      </c>
      <c r="BJ434" s="44" t="s">
        <v>115</v>
      </c>
      <c r="BK434" s="44">
        <f t="shared" si="640"/>
        <v>8.6206896551724137E-3</v>
      </c>
      <c r="BL434" s="44" t="s">
        <v>115</v>
      </c>
      <c r="BM434" s="44" cm="1">
        <f t="array" ref="BM434">_xlfn.IFS(BD434="NA","NA",BD434&gt;100%,"100%",BD434&lt;100,BD434)</f>
        <v>2.5000000000000001E-2</v>
      </c>
      <c r="BN434" s="44" cm="1">
        <f t="array" ref="BN434">_xlfn.IFS(BF434="NA","NA",BF434&gt;100%,"100%",BF434&lt;100,BF434)</f>
        <v>0</v>
      </c>
      <c r="BO434" s="44" cm="1">
        <f t="array" ref="BO434">_xlfn.IFS(BH434="NA","NA",BH434&gt;100%,"100%",BH434&lt;100,BH434)</f>
        <v>0</v>
      </c>
      <c r="BP434" s="44" t="str" cm="1">
        <f t="array" ref="BP434">_xlfn.IFS(BJ434="NA","NA",BJ434&gt;100%,"100%",BJ434&lt;100,BJ434)</f>
        <v>NA</v>
      </c>
      <c r="BQ434" s="193">
        <v>0.34899999999999998</v>
      </c>
      <c r="BR434" s="45">
        <f t="shared" si="651"/>
        <v>3.008620689655172E-3</v>
      </c>
      <c r="BS434" s="45">
        <v>0</v>
      </c>
      <c r="BT434" s="45" t="s">
        <v>115</v>
      </c>
      <c r="BU434" s="45">
        <v>0</v>
      </c>
      <c r="BV434" s="45">
        <f t="shared" si="726"/>
        <v>0.12034482758620689</v>
      </c>
      <c r="BW434" s="45">
        <f t="shared" si="652"/>
        <v>3.0086206896551724E-3</v>
      </c>
      <c r="BX434" s="45">
        <f t="shared" si="653"/>
        <v>3.008620689655172E-3</v>
      </c>
      <c r="BY434" s="45">
        <f t="shared" si="727"/>
        <v>0.12034482758620689</v>
      </c>
      <c r="BZ434" s="45">
        <f t="shared" si="728"/>
        <v>0</v>
      </c>
      <c r="CA434" s="45">
        <f t="shared" si="634"/>
        <v>0</v>
      </c>
      <c r="CB434" s="45">
        <f t="shared" si="729"/>
        <v>0.10831034482758621</v>
      </c>
      <c r="CC434" s="45">
        <f t="shared" si="730"/>
        <v>0</v>
      </c>
      <c r="CD434" s="45">
        <v>0</v>
      </c>
      <c r="CE434" s="45">
        <f t="shared" si="735"/>
        <v>0</v>
      </c>
      <c r="CF434" s="45" t="str">
        <f t="shared" si="736"/>
        <v>NA</v>
      </c>
      <c r="CG434" s="45"/>
      <c r="CH434" s="244"/>
      <c r="CI434" s="244"/>
      <c r="CJ434" s="244"/>
      <c r="CK434" s="244"/>
      <c r="CM434" s="63">
        <v>0</v>
      </c>
    </row>
    <row r="435" spans="1:91" ht="18" hidden="1" customHeight="1">
      <c r="A435" s="260" t="s">
        <v>992</v>
      </c>
      <c r="B435" s="260" t="s">
        <v>993</v>
      </c>
      <c r="C435" s="260" t="s">
        <v>100</v>
      </c>
      <c r="D435" s="260" t="s">
        <v>1074</v>
      </c>
      <c r="E435" s="260" t="s">
        <v>1075</v>
      </c>
      <c r="F435" s="260" t="s">
        <v>1076</v>
      </c>
      <c r="G435" s="260" t="s">
        <v>1077</v>
      </c>
      <c r="H435" s="260" t="s">
        <v>2805</v>
      </c>
      <c r="I435" s="260"/>
      <c r="J435" s="260"/>
      <c r="K435" s="260" t="s">
        <v>2806</v>
      </c>
      <c r="L435" s="260" t="s">
        <v>2807</v>
      </c>
      <c r="M435" s="260"/>
      <c r="N435" s="260" t="s">
        <v>111</v>
      </c>
      <c r="O435" s="260" t="s">
        <v>124</v>
      </c>
      <c r="P435" s="10">
        <v>3</v>
      </c>
      <c r="Q435" s="11">
        <v>3</v>
      </c>
      <c r="R435" s="11">
        <f>(Z435+AH435)/CL435</f>
        <v>0</v>
      </c>
      <c r="S435" s="11">
        <f>VLOOKUP(K435,'1105 Gobierno'!$K$12:$AK$33,9,0)</f>
        <v>0</v>
      </c>
      <c r="T435" s="11" t="s">
        <v>2804</v>
      </c>
      <c r="U435" s="11" t="s">
        <v>2804</v>
      </c>
      <c r="V435" s="11" t="s">
        <v>2804</v>
      </c>
      <c r="W435" s="11">
        <v>0</v>
      </c>
      <c r="X435" s="11">
        <v>0</v>
      </c>
      <c r="Y435" s="11">
        <v>0</v>
      </c>
      <c r="Z435" s="11">
        <v>0</v>
      </c>
      <c r="AA435" s="11" t="s">
        <v>2804</v>
      </c>
      <c r="AB435" s="11" t="s">
        <v>2804</v>
      </c>
      <c r="AC435" s="11" t="s">
        <v>2804</v>
      </c>
      <c r="AD435" s="208">
        <v>0</v>
      </c>
      <c r="AE435" s="208">
        <v>3</v>
      </c>
      <c r="AF435" s="11">
        <f>VLOOKUP(K435,'1105 Gobierno'!$K$12:$AK$33,22,0)</f>
        <v>0</v>
      </c>
      <c r="AG435" s="11">
        <f>VLOOKUP(K435,'1105 Gobierno'!$K$12:$AK$33,23,0)</f>
        <v>0</v>
      </c>
      <c r="AH435" s="11">
        <f>AG435</f>
        <v>0</v>
      </c>
      <c r="AI435" s="11">
        <f>VLOOKUP(K435,'1105 Gobierno'!$K$12:$AK$33,25,0)</f>
        <v>0</v>
      </c>
      <c r="AJ435" s="11">
        <f>VLOOKUP(K435,'1105 Gobierno'!$K$12:$AK$33,26,0)</f>
        <v>0</v>
      </c>
      <c r="AK435" s="11"/>
      <c r="AL435" s="11">
        <v>0</v>
      </c>
      <c r="AM435" s="11">
        <v>3</v>
      </c>
      <c r="AN435" s="11">
        <v>0</v>
      </c>
      <c r="AO435" s="11">
        <v>3</v>
      </c>
      <c r="AP435" s="11">
        <v>0</v>
      </c>
      <c r="AQ435" s="11">
        <v>0</v>
      </c>
      <c r="AR435" s="51"/>
      <c r="AS435" s="54"/>
      <c r="AT435" s="54"/>
      <c r="AU435" s="51"/>
      <c r="AV435" s="243"/>
      <c r="AW435" s="244"/>
      <c r="AX435" s="244"/>
      <c r="AY435" s="243"/>
      <c r="AZ435" s="44" cm="2">
        <f t="array" ref="AZ435">_xlfn.IFS((BA435=0),(BD435/CL435),(BA435&gt;0),((BB435+BD435)/CL435),(BE435&gt;0),((BB435+BD435+BE435)/CL435),(BG435&gt;0),((BB435+BD435+BE435+G435)/CL435))</f>
        <v>0</v>
      </c>
      <c r="BA435" s="44">
        <v>0</v>
      </c>
      <c r="BB435" s="44">
        <v>0</v>
      </c>
      <c r="BC435" s="44">
        <f>IF(AE435&gt;0,(1/CL435),0)</f>
        <v>0.33333333333333331</v>
      </c>
      <c r="BD435" s="44">
        <v>0</v>
      </c>
      <c r="BE435" s="44">
        <f>IF(AM435&gt;0,(1/CL435),0)</f>
        <v>0.33333333333333331</v>
      </c>
      <c r="BF435" s="44">
        <v>0</v>
      </c>
      <c r="BG435" s="44">
        <f>IF(AO435&gt;0,(1/CL435),0)</f>
        <v>0.33333333333333331</v>
      </c>
      <c r="BH435" s="44">
        <v>0</v>
      </c>
      <c r="BI435" s="44">
        <f t="shared" si="725"/>
        <v>0</v>
      </c>
      <c r="BJ435" s="44" t="s">
        <v>115</v>
      </c>
      <c r="BK435" s="44">
        <f>IF(AZ435&gt;100%,"100%",AZ435)</f>
        <v>0</v>
      </c>
      <c r="BL435" s="44" t="s">
        <v>115</v>
      </c>
      <c r="BM435" s="44" cm="1">
        <f t="array" ref="BM435">_xlfn.IFS(BD435="NA","NA",BD435&gt;100%,"100%",BD435&lt;100,BD435)</f>
        <v>0</v>
      </c>
      <c r="BN435" s="44">
        <v>0</v>
      </c>
      <c r="BO435" s="44" cm="1">
        <f t="array" ref="BO435">_xlfn.IFS(BH435="NA","NA",BH435&gt;100%,"100%",BH435&lt;100,BH435)</f>
        <v>0</v>
      </c>
      <c r="BP435" s="44" t="s">
        <v>115</v>
      </c>
      <c r="BQ435" s="193">
        <v>0.34899999999999998</v>
      </c>
      <c r="BR435" s="254">
        <v>0</v>
      </c>
      <c r="BS435" s="45">
        <v>0</v>
      </c>
      <c r="BT435" s="45" t="str">
        <f>IF(BJ435="NA","NA",BJ435*BS435)</f>
        <v>NA</v>
      </c>
      <c r="BU435" s="45">
        <v>0</v>
      </c>
      <c r="BV435" s="256">
        <v>0</v>
      </c>
      <c r="BW435" s="45">
        <f t="shared" si="652"/>
        <v>0</v>
      </c>
      <c r="BX435" s="45">
        <f t="shared" si="653"/>
        <v>0</v>
      </c>
      <c r="BY435" s="256">
        <v>0.17449999999999999</v>
      </c>
      <c r="BZ435" s="45">
        <f>IF(BN435="NA","NA",BN435*BY435)</f>
        <v>0</v>
      </c>
      <c r="CA435" s="45">
        <f>BR435-BU435-BX435</f>
        <v>0</v>
      </c>
      <c r="CB435" s="256">
        <v>0.17449999999999999</v>
      </c>
      <c r="CC435" s="45">
        <f>IF(BO435="NA","NA",BO435*CB435)</f>
        <v>0</v>
      </c>
      <c r="CD435" s="45">
        <v>0</v>
      </c>
      <c r="CE435" s="45">
        <f>(AP435*BQ435)/Q435</f>
        <v>0</v>
      </c>
      <c r="CF435" s="45" t="str">
        <f>IF(BP435="NA","NA",BP435*CE435)</f>
        <v>NA</v>
      </c>
      <c r="CG435" s="45"/>
      <c r="CH435" s="244">
        <f>IF(W435&gt;0,1,0)</f>
        <v>0</v>
      </c>
      <c r="CI435" s="244">
        <f>IF(AE435&gt;0,1,0)</f>
        <v>1</v>
      </c>
      <c r="CJ435" s="244">
        <f>IF(AM435&gt;0,1,0)</f>
        <v>1</v>
      </c>
      <c r="CK435" s="244">
        <f>IF(AO435&gt;0,1,0)</f>
        <v>1</v>
      </c>
      <c r="CL435">
        <f>CH435+CI435+CJ435+CK435</f>
        <v>3</v>
      </c>
      <c r="CM435" s="63">
        <f>AVERAGE(Z435,AH435)</f>
        <v>0</v>
      </c>
    </row>
    <row r="436" spans="1:91" ht="18" hidden="1" customHeight="1">
      <c r="A436" s="260" t="s">
        <v>2808</v>
      </c>
      <c r="B436" s="260" t="s">
        <v>2809</v>
      </c>
      <c r="C436" s="260" t="s">
        <v>1286</v>
      </c>
      <c r="D436" s="260" t="s">
        <v>1799</v>
      </c>
      <c r="E436" s="260" t="s">
        <v>1817</v>
      </c>
      <c r="F436" s="260" t="s">
        <v>1818</v>
      </c>
      <c r="G436" s="12" t="s">
        <v>1819</v>
      </c>
      <c r="H436" s="260" t="s">
        <v>2810</v>
      </c>
      <c r="I436" s="260"/>
      <c r="J436" s="260"/>
      <c r="K436" s="260" t="s">
        <v>2811</v>
      </c>
      <c r="L436" s="260" t="s">
        <v>2812</v>
      </c>
      <c r="M436" s="260" t="s">
        <v>2813</v>
      </c>
      <c r="N436" s="260" t="s">
        <v>111</v>
      </c>
      <c r="O436" s="260" t="s">
        <v>112</v>
      </c>
      <c r="P436" s="10">
        <v>0</v>
      </c>
      <c r="Q436" s="11">
        <v>50000</v>
      </c>
      <c r="R436" s="11"/>
      <c r="S436" s="11"/>
      <c r="T436" s="11">
        <v>0</v>
      </c>
      <c r="U436" s="11">
        <v>0</v>
      </c>
      <c r="V436" s="11">
        <v>0</v>
      </c>
      <c r="W436" s="11">
        <v>0</v>
      </c>
      <c r="X436" s="11">
        <v>0</v>
      </c>
      <c r="Y436" s="11">
        <v>0</v>
      </c>
      <c r="Z436" s="11">
        <v>0</v>
      </c>
      <c r="AA436" s="11"/>
      <c r="AB436" s="11"/>
      <c r="AC436" s="11"/>
      <c r="AD436" s="208">
        <v>10000</v>
      </c>
      <c r="AE436" s="208">
        <v>0</v>
      </c>
      <c r="AF436" s="11">
        <f>VLOOKUP(K436,'1136 APEC'!$K$13:$AN$13,22,0)</f>
        <v>9115</v>
      </c>
      <c r="AG436" s="11">
        <f>VLOOKUP(K436,'1136 APEC'!$K$13:$AN$13,23,0)</f>
        <v>0</v>
      </c>
      <c r="AH436" s="11">
        <f t="shared" ref="AH436:AH441" si="737">AF436</f>
        <v>9115</v>
      </c>
      <c r="AI436" s="11" t="str">
        <f>VLOOKUP(K436,'1136 APEC'!$K$13:$AN$13,25,0)</f>
        <v>Se ha logrado en la vigencia 9115 vinculaciones de Cundinamarqueses</v>
      </c>
      <c r="AJ436" s="11" t="str">
        <f>VLOOKUP(K436,'1136 APEC'!$K$13:$AN$13,26,0)</f>
        <v>En la presente vigencia el mayor logro fue la vinculacion laboral de 484 victimas de conflicto armado en trabajo decente, se han realizado dos ferias de empleo virtual y presencial con la atencion de  mas de 19.000 buscadores de empleo y la participacion de mas de 43 empresas de los diferentes sectores economicos del departamento, complementando la ejecucion de 9115 colocaciones a la fecha.  Se logra en articulacion con la organizacion de estados Iberoamericanos la alianza para la vinculacion de 500 personas victimas del conflico armado, siendo el primer operador a nivel nacional adjudicado para este proyecto. En alianza con el Servicio Publico de Empleo se logra la articulacion con la Agencia Federal Alemana para los procesos de seleccion de las empresas Galabau y Vonovia para la contratacion de 30 personas con el fin de participar del programa formativo y de empleo Teams.</v>
      </c>
      <c r="AK436" s="11" t="str">
        <f>VLOOKUP(K436,'1136 APEC'!$K$13:$AN$13,27,0)</f>
        <v>Se dificulto la consecucion de buscadores de empleo victimas de conflicto armado por todo el tema de manejo de informacion de datos.</v>
      </c>
      <c r="AL436" s="208">
        <v>20000</v>
      </c>
      <c r="AM436" s="208">
        <v>0</v>
      </c>
      <c r="AN436" s="208">
        <v>20000</v>
      </c>
      <c r="AO436" s="208">
        <v>0</v>
      </c>
      <c r="AP436" s="208">
        <v>0</v>
      </c>
      <c r="AQ436" s="208">
        <v>0</v>
      </c>
      <c r="AR436" s="51"/>
      <c r="AS436" s="54"/>
      <c r="AT436" s="54"/>
      <c r="AU436" s="51"/>
      <c r="AV436" s="243">
        <v>1040000000</v>
      </c>
      <c r="AW436" s="244"/>
      <c r="AX436" s="244"/>
      <c r="AY436" s="243">
        <v>503233767</v>
      </c>
      <c r="AZ436" s="44">
        <f t="shared" ref="AZ436:AZ441" si="738">R436/Q436</f>
        <v>0</v>
      </c>
      <c r="BA436" s="44">
        <v>0</v>
      </c>
      <c r="BB436" s="44" t="s">
        <v>115</v>
      </c>
      <c r="BC436" s="44">
        <f t="shared" ref="BC436:BC441" si="739">AD436/Q436</f>
        <v>0.2</v>
      </c>
      <c r="BD436" s="44" cm="1">
        <f t="array" ref="BD436">_xlfn.IFS(AD436=0,"NA",AD436&gt;0,AH436/AD436)</f>
        <v>0.91149999999999998</v>
      </c>
      <c r="BE436" s="44">
        <f t="shared" ref="BE436:BE441" si="740">AL436/Q436</f>
        <v>0.4</v>
      </c>
      <c r="BF436" s="44">
        <v>0</v>
      </c>
      <c r="BG436" s="44">
        <f t="shared" ref="BG436:BG441" si="741">AN436/Q436</f>
        <v>0.4</v>
      </c>
      <c r="BH436" s="44">
        <v>0</v>
      </c>
      <c r="BI436" s="44">
        <f t="shared" si="725"/>
        <v>0</v>
      </c>
      <c r="BJ436" s="44" t="s">
        <v>115</v>
      </c>
      <c r="BK436" s="44">
        <f t="shared" si="640"/>
        <v>0</v>
      </c>
      <c r="BL436" s="44" t="s">
        <v>115</v>
      </c>
      <c r="BM436" s="44" cm="1">
        <f t="array" ref="BM436">_xlfn.IFS(BD436="NA","NA",BD436&gt;100%,"100%",BD436&lt;100,BD436)</f>
        <v>0.91149999999999998</v>
      </c>
      <c r="BN436" s="44" cm="1">
        <f t="array" ref="BN436">_xlfn.IFS(BF436="NA","NA",BF436&gt;100%,"100%",BF436&lt;100,BF436)</f>
        <v>0</v>
      </c>
      <c r="BO436" s="44" cm="1">
        <f t="array" ref="BO436">_xlfn.IFS(BH436="NA","NA",BH436&gt;100%,"100%",BH436&lt;100,BH436)</f>
        <v>0</v>
      </c>
      <c r="BP436" s="44" t="str" cm="1">
        <f t="array" ref="BP436">_xlfn.IFS(BJ436="NA","NA",BJ436&gt;100%,"100%",BJ436&lt;100,BJ436)</f>
        <v>NA</v>
      </c>
      <c r="BQ436" s="45">
        <v>0.34899999999999998</v>
      </c>
      <c r="BR436" s="45">
        <f t="shared" si="651"/>
        <v>0</v>
      </c>
      <c r="BS436" s="45">
        <v>0</v>
      </c>
      <c r="BT436" s="45" t="s">
        <v>115</v>
      </c>
      <c r="BU436" s="45">
        <v>0</v>
      </c>
      <c r="BV436" s="45">
        <f t="shared" ref="BV436:BV441" si="742">(AD436*BQ436)/Q436</f>
        <v>6.9799999999999987E-2</v>
      </c>
      <c r="BW436" s="45">
        <f t="shared" ref="BW436:BW441" si="743">IF(BM436="NA","NA",BM436*BV436)</f>
        <v>6.362269999999999E-2</v>
      </c>
      <c r="BX436" s="45">
        <f t="shared" ref="BX436:BX441" si="744">BR436-BU436</f>
        <v>0</v>
      </c>
      <c r="BY436" s="45">
        <f t="shared" ref="BY436:BY441" si="745">(AL436*BQ436)/Q436</f>
        <v>0.13959999999999997</v>
      </c>
      <c r="BZ436" s="45">
        <f t="shared" ref="BZ436:BZ441" si="746">IF(BN436="NA","NA",BN436*BY436)</f>
        <v>0</v>
      </c>
      <c r="CA436" s="45">
        <f t="shared" ref="CA436:CA441" si="747">BR436-BU436-BX436</f>
        <v>0</v>
      </c>
      <c r="CB436" s="45">
        <f t="shared" ref="CB436:CB441" si="748">(AN436*BQ436)/Q436</f>
        <v>0.13959999999999997</v>
      </c>
      <c r="CC436" s="45">
        <f t="shared" ref="CC436:CC441" si="749">IF(BO436="NA","NA",BO436*CB436)</f>
        <v>0</v>
      </c>
      <c r="CD436" s="45">
        <v>0</v>
      </c>
      <c r="CE436" s="45">
        <f t="shared" ref="CE436:CE441" si="750">(AP436*BQ436)/Q436</f>
        <v>0</v>
      </c>
      <c r="CF436" s="45" t="str">
        <f t="shared" ref="CF436:CF441" si="751">IF(BP436="NA","NA",BP436*CE436)</f>
        <v>NA</v>
      </c>
      <c r="CG436" s="45">
        <v>0</v>
      </c>
      <c r="CH436" s="244"/>
      <c r="CI436" s="244"/>
      <c r="CJ436" s="244"/>
      <c r="CK436" s="244"/>
      <c r="CM436" s="63"/>
    </row>
    <row r="437" spans="1:91" ht="18" hidden="1" customHeight="1">
      <c r="A437" s="260" t="s">
        <v>1296</v>
      </c>
      <c r="B437" s="260" t="s">
        <v>1297</v>
      </c>
      <c r="C437" s="260" t="s">
        <v>2129</v>
      </c>
      <c r="D437" s="260" t="s">
        <v>2130</v>
      </c>
      <c r="E437" s="260" t="s">
        <v>2131</v>
      </c>
      <c r="F437" s="260" t="s">
        <v>2132</v>
      </c>
      <c r="G437" s="12" t="s">
        <v>2133</v>
      </c>
      <c r="H437" s="260" t="s">
        <v>2814</v>
      </c>
      <c r="I437" s="260"/>
      <c r="J437" s="260"/>
      <c r="K437" s="260" t="s">
        <v>2815</v>
      </c>
      <c r="L437" s="260" t="s">
        <v>2816</v>
      </c>
      <c r="M437" s="211" t="s">
        <v>2817</v>
      </c>
      <c r="N437" s="260" t="s">
        <v>111</v>
      </c>
      <c r="O437" s="260" t="s">
        <v>112</v>
      </c>
      <c r="P437" s="10">
        <v>802</v>
      </c>
      <c r="Q437" s="11">
        <v>1000</v>
      </c>
      <c r="R437" s="11"/>
      <c r="S437" s="11">
        <f>VLOOKUP(K437,'1290 ACIC'!$K$13:$AK$51,9,0)</f>
        <v>0</v>
      </c>
      <c r="T437" s="11">
        <v>0</v>
      </c>
      <c r="U437" s="11">
        <v>0</v>
      </c>
      <c r="V437" s="11">
        <v>0</v>
      </c>
      <c r="W437" s="11">
        <v>0</v>
      </c>
      <c r="X437" s="11">
        <v>0</v>
      </c>
      <c r="Y437" s="11">
        <v>0</v>
      </c>
      <c r="Z437" s="11">
        <v>0</v>
      </c>
      <c r="AA437" s="11"/>
      <c r="AB437" s="11"/>
      <c r="AC437" s="11"/>
      <c r="AD437" s="208">
        <v>100</v>
      </c>
      <c r="AE437" s="208">
        <v>0</v>
      </c>
      <c r="AF437" s="11">
        <f>VLOOKUP(K437,'1290 ACIC'!$K$13:$AK$51,22,0)</f>
        <v>89</v>
      </c>
      <c r="AG437" s="11">
        <f>VLOOKUP(K437,'1290 ACIC'!$K$13:$AK$51,23,0)</f>
        <v>0</v>
      </c>
      <c r="AH437" s="11">
        <f t="shared" si="737"/>
        <v>89</v>
      </c>
      <c r="AI437" s="11" t="str">
        <f>VLOOKUP(K437,'1290 ACIC'!$K$13:$AK$51,25,0)</f>
        <v xml:space="preserve">A la fecha se encuentra con el mismo avance Fisico reportado a 30 de octubre, quedando pendiente: cumplir con los objetivos de lograr promover 16 proveedores mas que abastezcan mercados campesinos y otros encadenamientos comerciales </v>
      </c>
      <c r="AJ437" s="11">
        <f>VLOOKUP(K437,'1290 ACIC'!$K$13:$AK$51,26,0)</f>
        <v>0</v>
      </c>
      <c r="AK437" s="11">
        <f>VLOOKUP(K437,'1290 ACIC'!$K$13:$AK$51,27,0)</f>
        <v>0</v>
      </c>
      <c r="AL437" s="208">
        <v>600</v>
      </c>
      <c r="AM437" s="208">
        <v>0</v>
      </c>
      <c r="AN437" s="208">
        <v>300</v>
      </c>
      <c r="AO437" s="208">
        <v>0</v>
      </c>
      <c r="AP437" s="11">
        <v>0</v>
      </c>
      <c r="AQ437" s="11">
        <v>0</v>
      </c>
      <c r="AR437" s="51"/>
      <c r="AS437" s="54"/>
      <c r="AT437" s="54"/>
      <c r="AU437" s="51"/>
      <c r="AV437" s="243">
        <v>4860000000</v>
      </c>
      <c r="AW437" s="244"/>
      <c r="AX437" s="244"/>
      <c r="AY437" s="243">
        <v>4824339762</v>
      </c>
      <c r="AZ437" s="44">
        <f t="shared" si="738"/>
        <v>0</v>
      </c>
      <c r="BA437" s="44">
        <v>0</v>
      </c>
      <c r="BB437" s="44" t="s">
        <v>115</v>
      </c>
      <c r="BC437" s="44">
        <f t="shared" si="739"/>
        <v>0.1</v>
      </c>
      <c r="BD437" s="44" cm="1">
        <f t="array" ref="BD437">_xlfn.IFS(AD437=0,"NA",AD437&gt;0,AH437/AD437)</f>
        <v>0.89</v>
      </c>
      <c r="BE437" s="44">
        <f t="shared" si="740"/>
        <v>0.6</v>
      </c>
      <c r="BF437" s="44">
        <v>0</v>
      </c>
      <c r="BG437" s="44">
        <f t="shared" si="741"/>
        <v>0.3</v>
      </c>
      <c r="BH437" s="44">
        <v>0</v>
      </c>
      <c r="BI437" s="44">
        <f t="shared" si="725"/>
        <v>0</v>
      </c>
      <c r="BJ437" s="44" t="s">
        <v>115</v>
      </c>
      <c r="BK437" s="44">
        <f t="shared" si="640"/>
        <v>0</v>
      </c>
      <c r="BL437" s="44" t="s">
        <v>115</v>
      </c>
      <c r="BM437" s="44" cm="1">
        <f t="array" ref="BM437">_xlfn.IFS(BD437="NA","NA",BD437&gt;100%,"100%",BD437&lt;100,BD437)</f>
        <v>0.89</v>
      </c>
      <c r="BN437" s="44" cm="1">
        <f t="array" ref="BN437">_xlfn.IFS(BF437="NA","NA",BF437&gt;100%,"100%",BF437&lt;100,BF437)</f>
        <v>0</v>
      </c>
      <c r="BO437" s="44" cm="1">
        <f t="array" ref="BO437">_xlfn.IFS(BH437="NA","NA",BH437&gt;100%,"100%",BH437&lt;100,BH437)</f>
        <v>0</v>
      </c>
      <c r="BP437" s="44" t="str" cm="1">
        <f t="array" ref="BP437">_xlfn.IFS(BJ437="NA","NA",BJ437&gt;100%,"100%",BJ437&lt;100,BJ437)</f>
        <v>NA</v>
      </c>
      <c r="BQ437" s="207">
        <v>0.34899999999999998</v>
      </c>
      <c r="BR437" s="45">
        <f t="shared" si="651"/>
        <v>0</v>
      </c>
      <c r="BS437" s="212">
        <v>0</v>
      </c>
      <c r="BT437" s="212" t="s">
        <v>115</v>
      </c>
      <c r="BU437" s="212">
        <v>0</v>
      </c>
      <c r="BV437" s="45">
        <f t="shared" si="742"/>
        <v>3.49E-2</v>
      </c>
      <c r="BW437" s="45">
        <f t="shared" si="743"/>
        <v>3.1061000000000002E-2</v>
      </c>
      <c r="BX437" s="45">
        <f t="shared" si="744"/>
        <v>0</v>
      </c>
      <c r="BY437" s="45">
        <f t="shared" si="745"/>
        <v>0.20939999999999998</v>
      </c>
      <c r="BZ437" s="45">
        <f t="shared" si="746"/>
        <v>0</v>
      </c>
      <c r="CA437" s="45">
        <f t="shared" si="747"/>
        <v>0</v>
      </c>
      <c r="CB437" s="45">
        <f t="shared" si="748"/>
        <v>0.10469999999999999</v>
      </c>
      <c r="CC437" s="45">
        <f t="shared" si="749"/>
        <v>0</v>
      </c>
      <c r="CD437" s="45">
        <v>0</v>
      </c>
      <c r="CE437" s="45">
        <f t="shared" si="750"/>
        <v>0</v>
      </c>
      <c r="CF437" s="45" t="str">
        <f t="shared" si="751"/>
        <v>NA</v>
      </c>
      <c r="CG437" s="45">
        <v>0</v>
      </c>
      <c r="CH437" s="244"/>
      <c r="CI437" s="244"/>
      <c r="CJ437" s="244"/>
      <c r="CK437" s="244"/>
      <c r="CM437" s="63"/>
    </row>
    <row r="438" spans="1:91" ht="18" hidden="1" customHeight="1">
      <c r="A438" s="260" t="s">
        <v>1996</v>
      </c>
      <c r="B438" s="260" t="s">
        <v>1997</v>
      </c>
      <c r="C438" s="260" t="s">
        <v>1828</v>
      </c>
      <c r="D438" s="260" t="s">
        <v>1988</v>
      </c>
      <c r="E438" s="260" t="s">
        <v>2013</v>
      </c>
      <c r="F438" s="260" t="s">
        <v>2035</v>
      </c>
      <c r="G438" s="12" t="s">
        <v>2036</v>
      </c>
      <c r="H438" s="260" t="s">
        <v>2818</v>
      </c>
      <c r="I438" s="260"/>
      <c r="J438" s="260"/>
      <c r="K438" s="260" t="s">
        <v>2819</v>
      </c>
      <c r="L438" s="260" t="s">
        <v>2820</v>
      </c>
      <c r="M438" s="260" t="s">
        <v>2821</v>
      </c>
      <c r="N438" s="260" t="s">
        <v>111</v>
      </c>
      <c r="O438" s="260" t="s">
        <v>112</v>
      </c>
      <c r="P438" s="10">
        <v>0</v>
      </c>
      <c r="Q438" s="11">
        <v>13</v>
      </c>
      <c r="R438" s="11"/>
      <c r="S438" s="11">
        <f>VLOOKUP(K438,'1152 UAEGRD'!$K$13:$AK$22,9,0)</f>
        <v>0</v>
      </c>
      <c r="T438" s="11">
        <v>0</v>
      </c>
      <c r="U438" s="11">
        <v>0</v>
      </c>
      <c r="V438" s="11">
        <v>0</v>
      </c>
      <c r="W438" s="11">
        <v>0</v>
      </c>
      <c r="X438" s="11">
        <v>0</v>
      </c>
      <c r="Y438" s="11">
        <v>0</v>
      </c>
      <c r="Z438" s="11">
        <v>0</v>
      </c>
      <c r="AA438" s="11"/>
      <c r="AB438" s="11"/>
      <c r="AC438" s="11"/>
      <c r="AD438" s="208">
        <v>0</v>
      </c>
      <c r="AE438" s="208">
        <v>0</v>
      </c>
      <c r="AF438" s="11">
        <f>VLOOKUP(K438,'1152 UAEGRD'!$K$13:$AK$22,22,0)</f>
        <v>0</v>
      </c>
      <c r="AG438" s="11">
        <f>VLOOKUP(K438,'1152 UAEGRD'!$K$13:$AK$22,23,0)</f>
        <v>0</v>
      </c>
      <c r="AH438" s="11">
        <f t="shared" si="737"/>
        <v>0</v>
      </c>
      <c r="AI438" s="11" t="str">
        <f>VLOOKUP(K438,'1152 UAEGRD'!$K$13:$AK$22,25,0)</f>
        <v xml:space="preserve">la UAEGRD suscribió los convenios interadministrativos UAEGRD-CDCVI-068-2021 con el municipio de El Rosal el 28 de septiembre de 2021; UAEGRD-CDCVI-069-2021 con el municipio de Chipaque el 28 de septiembre de 2021; UAEGRD-CDCVI-070-2021 con el municipio de Agua de Dios el 29 de septiembre de 2021. El objeto del convenio es “AUNAR ESFUERZOS TÉCNICOS, ADMINISTRATIVOS Y FINANCIEROS PARA LA ELABORACIÓN Y/O ACTUALIZACIÓN, DESARROLLO Y EVALUACIÓN DE LOS ESTUDIOS BÁSICOS DE RIESGO PARA LA ZONIFICACIÓN DE LA AMENAZA POR PROCESOS DE MOVIMIENTOS EN MASA, INUNDACIONES Y AVENIDAS TORRENCIALES EN SUELO URBANO, EXPANSIÓN URBANA, CENTROS POBLADOS RURALES Y SUELO RURAL, E INCENDIOS FORESTALES EN SUELO RURAL, DEL MUNICIPIO DE / AGUA DE DIOS / CHIPAQUE / EL ROSAL / CUNDINAMARCA, COMO MUNICIPIO PRIORIZADO PARA EL CUMPLIMIENTO DE LA SENTENCIA DEL RÍO BOGOTÁ DC, Y DEL PLAN DE DESARROLLO DEPARTAMENTAL 2020-2024 “CUNDINAMARCA, ¡REGIÓN QUE PROGRESA!””. El 3 de noviembre de 2021, en el marco de los tres convenios, se firmó acta de inicio.
Por otra parte, para los 10 municipios restantes los cuales son: El Peñón, Fosca, Gutiérrez, Manta, Quetame, San Bernardo, San Juan de Rioseco, Ubaque, Utica y Viani, de los cuales los municipios de Gutiérrez, Quetame y Ubaque manifestaron que no contaban con los recursos financieros para cofinanciar el diez por ciento (10%) del costo total de los Estudios Básicos de Riesgo, por lo tanto, allegaron carta de desvinculación del proceso. Siendo así, quedaron 3 espacios disponibles, por lo tanto, UAEGRD priorizó tres (3) municipios los cuales habían manifestado anteriormente la intención de ser incluidos en el proyecto, ellos son: Nocaima, Pasca y Une. El 13 de Octubre se suscribieron el convenio interadministrativo UAEGRD-CDCVI-072-2021 entre la UAEGRD y los 10 municipios priorizados, cuyo objeto es: “AUNAR ESFUERZOS TÉCNICOS, ADMINISTRATIVOS Y FINANCIEROS PARA LA ELABORACIÓN Y/O ACTUALIZACIÓN, DESARROLLO Y EVALUACIÓN DE LOS ESTUDIOS BÁSICOS DE RIESGO PARA LA ZONIFICACIÓN DE LA AMENAZA POR PROCESOS DE MOVIMIENTOS EN MASA, INUNDACIONES, AVENIDAS TORRENCIALES EN SUELO URBANO, EXPANSIÓN URBANA, CENTROS POBLADOS RURALES Y SUELO RURAL, E INCENDIOS FORESTALES EN SUELO RURAL, EN 10 MUNICIPIOS DEL DEPARTAMENTO DE CUNDINAMARCA, CON EL FIN DE DAR CUMPLIMIENTO AL PLAN DE DESARROLLO DEPARTAMENTAL 2020-2024 “CUNDINAMARCA, ¡REGIÓN QUE PROGRESA!”. 
Del convenio mencionado, se deriva el convenio interadministrativo con entidad pública EDURED, el cual se suscribió el dia 12 de Noviembre del presente año, cuyo objeto es: “AUNAR ESFUERZOS TÉCNICOS, ADMINISTRATIVOS Y FINANCIEROS PARA LA ELABORACIÓN Y/O ACTUALIZACIÓN, DESARROLLO Y EVALUACIÓN DE LOS ESTUDIOS BÁSICOS DE RIESGO PARA LA ZONIFICACIÓN DE LA AMENAZA POR PROCESOS DE MOVIMIENTOS EN MASA, INUNDACIONES, AVENIDAS TORRENCIALES EN SUELO URBANO, EXPANSIÓN URBANA, CENTROS POBLADOS RURALES Y SUELO RURAL, E INCENDIOS FORESTALES EN SUELO RURAL, EN 10 MUNICIPIOS DEL DEPARTAMENTO DE CUNDINAMARCA, CON EL FIN DE DAR CUMPLIMIENTO AL CONVENIO INTERADMINISTRATIVO NRO. UAEGRD- CDCVI-072-2021, SUSCRITO ENTRE LA UAEGRD  Y LOS MUNICIPIOS DE EL PEÑÓN, FOSCA, MANTA, NOCAIMA, PASCA, SAN BERNARDO, SAN JUAN DE RIOSECO, UNE, UTICA, Y VIANI DEL DEPARTAMENTO DE CUNDINAMARCA”. 
</v>
      </c>
      <c r="AJ438" s="11">
        <f>VLOOKUP(K438,'1152 UAEGRD'!$K$13:$AK$22,26,0)</f>
        <v>0</v>
      </c>
      <c r="AK438" s="11">
        <f>VLOOKUP(K438,'1152 UAEGRD'!$K$13:$AK$22,27,0)</f>
        <v>0</v>
      </c>
      <c r="AL438" s="208">
        <v>0</v>
      </c>
      <c r="AM438" s="208">
        <v>0</v>
      </c>
      <c r="AN438" s="208">
        <v>0</v>
      </c>
      <c r="AO438" s="208">
        <v>0</v>
      </c>
      <c r="AP438" s="11">
        <v>0</v>
      </c>
      <c r="AQ438" s="11">
        <v>0</v>
      </c>
      <c r="AR438" s="51"/>
      <c r="AS438" s="54"/>
      <c r="AT438" s="54"/>
      <c r="AU438" s="51"/>
      <c r="AV438" s="243">
        <v>4678775701</v>
      </c>
      <c r="AW438" s="244"/>
      <c r="AX438" s="244"/>
      <c r="AY438" s="243">
        <v>4386096680</v>
      </c>
      <c r="AZ438" s="44">
        <f t="shared" si="738"/>
        <v>0</v>
      </c>
      <c r="BA438" s="44">
        <v>0</v>
      </c>
      <c r="BB438" s="44" t="s">
        <v>115</v>
      </c>
      <c r="BC438" s="306">
        <v>13</v>
      </c>
      <c r="BD438" s="44"/>
      <c r="BE438" s="44">
        <f t="shared" si="740"/>
        <v>0</v>
      </c>
      <c r="BF438" s="44">
        <v>0</v>
      </c>
      <c r="BG438" s="44">
        <f t="shared" si="741"/>
        <v>0</v>
      </c>
      <c r="BH438" s="44">
        <v>0</v>
      </c>
      <c r="BI438" s="44">
        <f t="shared" si="725"/>
        <v>0</v>
      </c>
      <c r="BJ438" s="44" t="s">
        <v>115</v>
      </c>
      <c r="BK438" s="44">
        <f t="shared" si="640"/>
        <v>0</v>
      </c>
      <c r="BL438" s="44" t="s">
        <v>115</v>
      </c>
      <c r="BM438" s="44" cm="1">
        <f t="array" ref="BM438">_xlfn.IFS(BD438="NA","NA",BD438&gt;100%,"100%",BD438&lt;100,BD438)</f>
        <v>0</v>
      </c>
      <c r="BN438" s="44" cm="1">
        <f t="array" ref="BN438">_xlfn.IFS(BF438="NA","NA",BF438&gt;100%,"100%",BF438&lt;100,BF438)</f>
        <v>0</v>
      </c>
      <c r="BO438" s="44" cm="1">
        <f t="array" ref="BO438">_xlfn.IFS(BH438="NA","NA",BH438&gt;100%,"100%",BH438&lt;100,BH438)</f>
        <v>0</v>
      </c>
      <c r="BP438" s="44" t="str" cm="1">
        <f t="array" ref="BP438">_xlfn.IFS(BJ438="NA","NA",BJ438&gt;100%,"100%",BJ438&lt;100,BJ438)</f>
        <v>NA</v>
      </c>
      <c r="BQ438" s="207">
        <v>0.34899999999999998</v>
      </c>
      <c r="BR438" s="45">
        <f t="shared" si="651"/>
        <v>0</v>
      </c>
      <c r="BS438" s="45">
        <v>0</v>
      </c>
      <c r="BT438" s="45" t="s">
        <v>115</v>
      </c>
      <c r="BU438" s="45">
        <v>0</v>
      </c>
      <c r="BV438" s="45">
        <f t="shared" si="742"/>
        <v>0</v>
      </c>
      <c r="BW438" s="45">
        <f t="shared" si="743"/>
        <v>0</v>
      </c>
      <c r="BX438" s="45">
        <f t="shared" si="744"/>
        <v>0</v>
      </c>
      <c r="BY438" s="45">
        <f t="shared" si="745"/>
        <v>0</v>
      </c>
      <c r="BZ438" s="45">
        <f t="shared" si="746"/>
        <v>0</v>
      </c>
      <c r="CA438" s="45">
        <f t="shared" si="747"/>
        <v>0</v>
      </c>
      <c r="CB438" s="45">
        <f t="shared" si="748"/>
        <v>0</v>
      </c>
      <c r="CC438" s="45">
        <f t="shared" si="749"/>
        <v>0</v>
      </c>
      <c r="CD438" s="45">
        <v>0</v>
      </c>
      <c r="CE438" s="45">
        <f t="shared" si="750"/>
        <v>0</v>
      </c>
      <c r="CF438" s="45" t="str">
        <f t="shared" si="751"/>
        <v>NA</v>
      </c>
      <c r="CG438" s="45">
        <v>0</v>
      </c>
      <c r="CH438" s="244"/>
      <c r="CI438" s="244"/>
      <c r="CJ438" s="244"/>
      <c r="CK438" s="244"/>
      <c r="CM438" s="63"/>
    </row>
    <row r="439" spans="1:91" ht="18" hidden="1" customHeight="1">
      <c r="A439" s="260" t="s">
        <v>2822</v>
      </c>
      <c r="B439" s="260" t="s">
        <v>2823</v>
      </c>
      <c r="C439" s="260" t="s">
        <v>2371</v>
      </c>
      <c r="D439" s="260" t="s">
        <v>2372</v>
      </c>
      <c r="E439" s="260" t="s">
        <v>2562</v>
      </c>
      <c r="F439" s="260" t="s">
        <v>2824</v>
      </c>
      <c r="G439" s="12" t="s">
        <v>2825</v>
      </c>
      <c r="H439" s="260" t="s">
        <v>2826</v>
      </c>
      <c r="I439" s="260"/>
      <c r="J439" s="260"/>
      <c r="K439" s="260" t="s">
        <v>2827</v>
      </c>
      <c r="L439" s="260" t="s">
        <v>2828</v>
      </c>
      <c r="M439" s="260" t="s">
        <v>2829</v>
      </c>
      <c r="N439" s="260" t="s">
        <v>111</v>
      </c>
      <c r="O439" s="260" t="s">
        <v>112</v>
      </c>
      <c r="P439" s="10">
        <v>0</v>
      </c>
      <c r="Q439" s="11">
        <v>25</v>
      </c>
      <c r="R439" s="11"/>
      <c r="S439" s="11">
        <f>VLOOKUP(K439,'1230 Ag. Catastral'!$K$13:$AN$14,9,0)</f>
        <v>0</v>
      </c>
      <c r="T439" s="11">
        <v>0</v>
      </c>
      <c r="U439" s="11">
        <v>0</v>
      </c>
      <c r="V439" s="11">
        <v>0</v>
      </c>
      <c r="W439" s="11">
        <v>0</v>
      </c>
      <c r="X439" s="11">
        <v>0</v>
      </c>
      <c r="Y439" s="11">
        <v>0</v>
      </c>
      <c r="Z439" s="11">
        <v>0</v>
      </c>
      <c r="AA439" s="11" t="s">
        <v>115</v>
      </c>
      <c r="AB439" s="11" t="s">
        <v>115</v>
      </c>
      <c r="AC439" s="11" t="s">
        <v>115</v>
      </c>
      <c r="AD439" s="208">
        <v>2</v>
      </c>
      <c r="AE439" s="208">
        <v>0</v>
      </c>
      <c r="AF439" s="11">
        <f>VLOOKUP(K439,'1230 Ag. Catastral'!$K$13:$AN$14,22,0)</f>
        <v>1</v>
      </c>
      <c r="AG439" s="11">
        <f>VLOOKUP(K439,'1230 Ag. Catastral'!$K$13:$AN$14,23,0)</f>
        <v>0</v>
      </c>
      <c r="AH439" s="11">
        <f t="shared" si="737"/>
        <v>1</v>
      </c>
      <c r="AI439" s="11" t="str">
        <f>VLOOKUP(K439,'1230 Ag. Catastral'!$K$13:$AN$14,25,0)</f>
        <v>Mpio actualizado</v>
      </c>
      <c r="AJ439" s="11" t="str">
        <f>VLOOKUP(K439,'1230 Ag. Catastral'!$K$13:$AN$14,26,0)</f>
        <v>Se termino la etapa contractual de los operadores</v>
      </c>
      <c r="AK439" s="11" t="str">
        <f>VLOOKUP(K439,'1230 Ag. Catastral'!$K$13:$AN$14,27,0)</f>
        <v>Los recursos para el proceso de actualización catastral fueron el producto de la gestión ante la CAR  para la cofinanciación, el convenio fue firmado el 30 de septiembre y a partir de la firma se realizo la incorporación de los recursos  en el mes de octubre y posteriormente la contratación, por ello el producto programado para esta vigencia no se alcanza.</v>
      </c>
      <c r="AL439" s="11">
        <v>23</v>
      </c>
      <c r="AM439" s="11">
        <v>0</v>
      </c>
      <c r="AN439" s="11">
        <v>0</v>
      </c>
      <c r="AO439" s="11">
        <v>0</v>
      </c>
      <c r="AP439" s="11">
        <v>0</v>
      </c>
      <c r="AQ439" s="11">
        <v>0</v>
      </c>
      <c r="AR439" s="51"/>
      <c r="AS439" s="54"/>
      <c r="AT439" s="54"/>
      <c r="AU439" s="51"/>
      <c r="AV439" s="243">
        <v>6691000000</v>
      </c>
      <c r="AW439" s="244"/>
      <c r="AX439" s="244"/>
      <c r="AY439" s="243">
        <v>6688382000</v>
      </c>
      <c r="AZ439" s="44">
        <f t="shared" si="738"/>
        <v>0</v>
      </c>
      <c r="BA439" s="44">
        <v>0</v>
      </c>
      <c r="BB439" s="44" t="s">
        <v>115</v>
      </c>
      <c r="BC439" s="44">
        <f t="shared" si="739"/>
        <v>0.08</v>
      </c>
      <c r="BD439" s="44" cm="1">
        <f t="array" ref="BD439">_xlfn.IFS(AD439=0,"NA",AD439&gt;0,AH439/AD439)</f>
        <v>0.5</v>
      </c>
      <c r="BE439" s="44">
        <f t="shared" si="740"/>
        <v>0.92</v>
      </c>
      <c r="BF439" s="44">
        <v>0</v>
      </c>
      <c r="BG439" s="44">
        <f t="shared" si="741"/>
        <v>0</v>
      </c>
      <c r="BH439" s="44">
        <v>0</v>
      </c>
      <c r="BI439" s="44">
        <f t="shared" si="725"/>
        <v>0</v>
      </c>
      <c r="BJ439" s="44" t="s">
        <v>115</v>
      </c>
      <c r="BK439" s="44">
        <f t="shared" si="640"/>
        <v>0</v>
      </c>
      <c r="BL439" s="44" t="s">
        <v>115</v>
      </c>
      <c r="BM439" s="44" cm="1">
        <f t="array" ref="BM439">_xlfn.IFS(BD439="NA","NA",BD439&gt;100%,"100%",BD439&lt;100,BD439)</f>
        <v>0.5</v>
      </c>
      <c r="BN439" s="44" cm="1">
        <f t="array" ref="BN439">_xlfn.IFS(BF439="NA","NA",BF439&gt;100%,"100%",BF439&lt;100,BF439)</f>
        <v>0</v>
      </c>
      <c r="BO439" s="44" cm="1">
        <f t="array" ref="BO439">_xlfn.IFS(BH439="NA","NA",BH439&gt;100%,"100%",BH439&lt;100,BH439)</f>
        <v>0</v>
      </c>
      <c r="BP439" s="44" t="str" cm="1">
        <f t="array" ref="BP439">_xlfn.IFS(BJ439="NA","NA",BJ439&gt;100%,"100%",BJ439&lt;100,BJ439)</f>
        <v>NA</v>
      </c>
      <c r="BQ439" s="207">
        <v>0.34899999999999998</v>
      </c>
      <c r="BR439" s="45">
        <f t="shared" si="651"/>
        <v>0</v>
      </c>
      <c r="BS439" s="45">
        <v>0</v>
      </c>
      <c r="BT439" s="45" t="s">
        <v>115</v>
      </c>
      <c r="BU439" s="45">
        <v>0</v>
      </c>
      <c r="BV439" s="256">
        <f t="shared" si="742"/>
        <v>2.7919999999999997E-2</v>
      </c>
      <c r="BW439" s="45">
        <f t="shared" si="743"/>
        <v>1.3959999999999998E-2</v>
      </c>
      <c r="BX439" s="45">
        <f t="shared" si="744"/>
        <v>0</v>
      </c>
      <c r="BY439" s="256">
        <f t="shared" si="745"/>
        <v>0.32107999999999998</v>
      </c>
      <c r="BZ439" s="45">
        <f t="shared" si="746"/>
        <v>0</v>
      </c>
      <c r="CA439" s="45">
        <f t="shared" si="747"/>
        <v>0</v>
      </c>
      <c r="CB439" s="256">
        <f t="shared" si="748"/>
        <v>0</v>
      </c>
      <c r="CC439" s="45">
        <f t="shared" si="749"/>
        <v>0</v>
      </c>
      <c r="CD439" s="45">
        <v>0</v>
      </c>
      <c r="CE439" s="45">
        <f t="shared" si="750"/>
        <v>0</v>
      </c>
      <c r="CF439" s="45" t="str">
        <f t="shared" si="751"/>
        <v>NA</v>
      </c>
      <c r="CG439" s="45">
        <v>0</v>
      </c>
      <c r="CH439" s="244"/>
      <c r="CI439" s="244"/>
      <c r="CJ439" s="244"/>
      <c r="CK439" s="244"/>
      <c r="CM439" s="63"/>
    </row>
    <row r="440" spans="1:91" ht="18" hidden="1" customHeight="1">
      <c r="A440" s="260" t="s">
        <v>2822</v>
      </c>
      <c r="B440" s="260" t="s">
        <v>2823</v>
      </c>
      <c r="C440" s="260" t="s">
        <v>2371</v>
      </c>
      <c r="D440" s="260" t="s">
        <v>2372</v>
      </c>
      <c r="E440" s="260" t="s">
        <v>2562</v>
      </c>
      <c r="F440" s="260" t="s">
        <v>2824</v>
      </c>
      <c r="G440" s="12" t="s">
        <v>2825</v>
      </c>
      <c r="H440" s="260" t="s">
        <v>2830</v>
      </c>
      <c r="I440" s="260"/>
      <c r="J440" s="260"/>
      <c r="K440" s="260" t="s">
        <v>2831</v>
      </c>
      <c r="L440" s="260" t="s">
        <v>2832</v>
      </c>
      <c r="M440" s="260" t="s">
        <v>2833</v>
      </c>
      <c r="N440" s="260" t="s">
        <v>111</v>
      </c>
      <c r="O440" s="260" t="s">
        <v>112</v>
      </c>
      <c r="P440" s="10">
        <v>2000</v>
      </c>
      <c r="Q440" s="11">
        <v>30000</v>
      </c>
      <c r="R440" s="11"/>
      <c r="S440" s="11">
        <f>VLOOKUP(K440,'1230 Ag. Catastral'!$K$13:$AN$14,9,0)</f>
        <v>2000</v>
      </c>
      <c r="T440" s="11">
        <v>0</v>
      </c>
      <c r="U440" s="11">
        <v>0</v>
      </c>
      <c r="V440" s="11">
        <v>0</v>
      </c>
      <c r="W440" s="11">
        <v>0</v>
      </c>
      <c r="X440" s="11">
        <v>0</v>
      </c>
      <c r="Y440" s="11">
        <v>0</v>
      </c>
      <c r="Z440" s="11">
        <v>0</v>
      </c>
      <c r="AA440" s="11" t="s">
        <v>115</v>
      </c>
      <c r="AB440" s="11" t="s">
        <v>115</v>
      </c>
      <c r="AC440" s="11" t="s">
        <v>115</v>
      </c>
      <c r="AD440" s="208">
        <v>4000</v>
      </c>
      <c r="AE440" s="208">
        <v>0</v>
      </c>
      <c r="AF440" s="11">
        <f>VLOOKUP(K440,'1230 Ag. Catastral'!$K$13:$AN$14,22,0)</f>
        <v>6281</v>
      </c>
      <c r="AG440" s="11">
        <f>VLOOKUP(K440,'1230 Ag. Catastral'!$K$13:$AN$14,23,0)</f>
        <v>0</v>
      </c>
      <c r="AH440" s="11">
        <f t="shared" si="737"/>
        <v>6281</v>
      </c>
      <c r="AI440" s="11" t="str">
        <f>VLOOKUP(K439,'1230 Ag. Catastral'!$K$13:$AN$14,25,0)</f>
        <v>Mpio actualizado</v>
      </c>
      <c r="AJ440" s="11" t="str">
        <f>VLOOKUP(K439,'1230 Ag. Catastral'!$K$13:$AN$14,26,0)</f>
        <v>Se termino la etapa contractual de los operadores</v>
      </c>
      <c r="AK440" s="11" t="str">
        <f>VLOOKUP(K440,'1230 Ag. Catastral'!$K$13:$AN$14,27,0)</f>
        <v>Al inicio de la operación de la agencia catastral en el mes de octubre de 2020, se recibe un cumulo importante de tramites pendientes  del anterior opertador, por ello la agencia catastral ha realizado una labor importante para la atención de dichos tramites  y para  desarrolalr una plataforma tecnologica que cumpla con las especificaciones de la nueva politica de catastro multipropositop.</v>
      </c>
      <c r="AL440" s="11">
        <v>14000</v>
      </c>
      <c r="AM440" s="11">
        <v>0</v>
      </c>
      <c r="AN440" s="11">
        <v>12000</v>
      </c>
      <c r="AO440" s="11">
        <v>0</v>
      </c>
      <c r="AP440" s="11">
        <v>0</v>
      </c>
      <c r="AQ440" s="11">
        <v>0</v>
      </c>
      <c r="AR440" s="51"/>
      <c r="AS440" s="54"/>
      <c r="AT440" s="54"/>
      <c r="AU440" s="51"/>
      <c r="AV440" s="243">
        <v>309000000</v>
      </c>
      <c r="AW440" s="244"/>
      <c r="AX440" s="244"/>
      <c r="AY440" s="243">
        <v>284921565</v>
      </c>
      <c r="AZ440" s="44">
        <f t="shared" si="738"/>
        <v>0</v>
      </c>
      <c r="BA440" s="44">
        <v>0</v>
      </c>
      <c r="BB440" s="44" t="s">
        <v>115</v>
      </c>
      <c r="BC440" s="44">
        <f t="shared" si="739"/>
        <v>0.13333333333333333</v>
      </c>
      <c r="BD440" s="44" cm="1">
        <f t="array" ref="BD440">_xlfn.IFS(AD440=0,"NA",AD440&gt;0,AH440/AD440)</f>
        <v>1.5702499999999999</v>
      </c>
      <c r="BE440" s="44">
        <f t="shared" si="740"/>
        <v>0.46666666666666667</v>
      </c>
      <c r="BF440" s="44">
        <v>0</v>
      </c>
      <c r="BG440" s="44">
        <f t="shared" si="741"/>
        <v>0.4</v>
      </c>
      <c r="BH440" s="44">
        <v>0</v>
      </c>
      <c r="BI440" s="44">
        <f t="shared" si="725"/>
        <v>0</v>
      </c>
      <c r="BJ440" s="44" t="s">
        <v>115</v>
      </c>
      <c r="BK440" s="44">
        <f t="shared" si="640"/>
        <v>0</v>
      </c>
      <c r="BL440" s="44" t="s">
        <v>115</v>
      </c>
      <c r="BM440" s="44" t="str" cm="1">
        <f t="array" ref="BM440">_xlfn.IFS(BD440="NA","NA",BD440&gt;100%,"100%",BD440&lt;100,BD440)</f>
        <v>100%</v>
      </c>
      <c r="BN440" s="44" cm="1">
        <f t="array" ref="BN440">_xlfn.IFS(BF440="NA","NA",BF440&gt;100%,"100%",BF440&lt;100,BF440)</f>
        <v>0</v>
      </c>
      <c r="BO440" s="44" cm="1">
        <f t="array" ref="BO440">_xlfn.IFS(BH440="NA","NA",BH440&gt;100%,"100%",BH440&lt;100,BH440)</f>
        <v>0</v>
      </c>
      <c r="BP440" s="44" t="str" cm="1">
        <f t="array" ref="BP440">_xlfn.IFS(BJ440="NA","NA",BJ440&gt;100%,"100%",BJ440&lt;100,BJ440)</f>
        <v>NA</v>
      </c>
      <c r="BQ440" s="207">
        <v>0.34899999999999998</v>
      </c>
      <c r="BR440" s="45">
        <f t="shared" si="651"/>
        <v>0</v>
      </c>
      <c r="BS440" s="45">
        <v>0</v>
      </c>
      <c r="BT440" s="45" t="s">
        <v>115</v>
      </c>
      <c r="BU440" s="45">
        <v>0</v>
      </c>
      <c r="BV440" s="256">
        <f t="shared" si="742"/>
        <v>4.6533333333333336E-2</v>
      </c>
      <c r="BW440" s="45">
        <f t="shared" si="743"/>
        <v>4.6533333333333336E-2</v>
      </c>
      <c r="BX440" s="45">
        <f t="shared" si="744"/>
        <v>0</v>
      </c>
      <c r="BY440" s="256">
        <f t="shared" si="745"/>
        <v>0.16286666666666666</v>
      </c>
      <c r="BZ440" s="45">
        <f t="shared" si="746"/>
        <v>0</v>
      </c>
      <c r="CA440" s="45">
        <f t="shared" si="747"/>
        <v>0</v>
      </c>
      <c r="CB440" s="256">
        <f t="shared" si="748"/>
        <v>0.1396</v>
      </c>
      <c r="CC440" s="45">
        <f t="shared" si="749"/>
        <v>0</v>
      </c>
      <c r="CD440" s="45">
        <v>0</v>
      </c>
      <c r="CE440" s="45">
        <f t="shared" si="750"/>
        <v>0</v>
      </c>
      <c r="CF440" s="45" t="str">
        <f t="shared" si="751"/>
        <v>NA</v>
      </c>
      <c r="CG440" s="45">
        <v>0</v>
      </c>
      <c r="CH440" s="244"/>
      <c r="CI440" s="244"/>
      <c r="CJ440" s="244"/>
      <c r="CK440" s="244"/>
      <c r="CM440" s="63"/>
    </row>
    <row r="441" spans="1:91" ht="18" hidden="1" customHeight="1">
      <c r="A441" s="260" t="s">
        <v>2437</v>
      </c>
      <c r="B441" s="260" t="s">
        <v>2438</v>
      </c>
      <c r="C441" s="260" t="s">
        <v>2371</v>
      </c>
      <c r="D441" s="260" t="s">
        <v>2372</v>
      </c>
      <c r="E441" s="260" t="s">
        <v>2373</v>
      </c>
      <c r="F441" s="260" t="s">
        <v>2459</v>
      </c>
      <c r="G441" s="12" t="s">
        <v>2460</v>
      </c>
      <c r="H441" s="260" t="s">
        <v>2834</v>
      </c>
      <c r="I441" s="260"/>
      <c r="J441" s="260"/>
      <c r="K441" s="260" t="s">
        <v>2835</v>
      </c>
      <c r="L441" s="260" t="s">
        <v>2836</v>
      </c>
      <c r="M441" s="260"/>
      <c r="N441" s="260" t="s">
        <v>123</v>
      </c>
      <c r="O441" s="260" t="s">
        <v>112</v>
      </c>
      <c r="P441" s="10">
        <v>0</v>
      </c>
      <c r="Q441" s="11">
        <v>100</v>
      </c>
      <c r="R441" s="11"/>
      <c r="S441" s="11">
        <f>VLOOKUP(K441,'1103 General'!K13:S22,9,0)</f>
        <v>0</v>
      </c>
      <c r="T441" s="11" t="s">
        <v>115</v>
      </c>
      <c r="U441" s="11"/>
      <c r="V441" s="11" t="s">
        <v>115</v>
      </c>
      <c r="W441" s="11"/>
      <c r="X441" s="11" t="s">
        <v>115</v>
      </c>
      <c r="Y441" s="11"/>
      <c r="Z441" s="11" t="s">
        <v>115</v>
      </c>
      <c r="AA441" s="11"/>
      <c r="AB441" s="11"/>
      <c r="AC441" s="11"/>
      <c r="AD441" s="208">
        <v>30</v>
      </c>
      <c r="AE441" s="208">
        <v>0</v>
      </c>
      <c r="AF441" s="11"/>
      <c r="AG441" s="11"/>
      <c r="AH441" s="11">
        <f t="shared" si="737"/>
        <v>0</v>
      </c>
      <c r="AI441" s="11"/>
      <c r="AJ441" s="11"/>
      <c r="AK441" s="11"/>
      <c r="AL441" s="11">
        <v>30</v>
      </c>
      <c r="AM441" s="11">
        <v>0</v>
      </c>
      <c r="AN441" s="11">
        <v>40</v>
      </c>
      <c r="AO441" s="11">
        <v>0</v>
      </c>
      <c r="AP441" s="11">
        <v>0</v>
      </c>
      <c r="AQ441" s="11">
        <v>0</v>
      </c>
      <c r="AR441" s="51"/>
      <c r="AS441" s="54"/>
      <c r="AT441" s="54"/>
      <c r="AU441" s="51"/>
      <c r="AV441" s="243">
        <v>145072400</v>
      </c>
      <c r="AW441" s="244"/>
      <c r="AX441" s="244"/>
      <c r="AY441" s="243">
        <v>103625300</v>
      </c>
      <c r="AZ441" s="44">
        <f t="shared" si="738"/>
        <v>0</v>
      </c>
      <c r="BA441" s="44">
        <v>0</v>
      </c>
      <c r="BB441" s="44" t="s">
        <v>115</v>
      </c>
      <c r="BC441" s="44">
        <f t="shared" si="739"/>
        <v>0.3</v>
      </c>
      <c r="BD441" s="44" cm="1">
        <f t="array" ref="BD441">_xlfn.IFS(AD441=0,"NA",AD441&gt;0,AH441/AD441)</f>
        <v>0</v>
      </c>
      <c r="BE441" s="44">
        <f t="shared" si="740"/>
        <v>0.3</v>
      </c>
      <c r="BF441" s="44">
        <v>0</v>
      </c>
      <c r="BG441" s="44">
        <f t="shared" si="741"/>
        <v>0.4</v>
      </c>
      <c r="BH441" s="44">
        <v>0</v>
      </c>
      <c r="BI441" s="44">
        <f t="shared" si="725"/>
        <v>0</v>
      </c>
      <c r="BJ441" s="44" t="s">
        <v>115</v>
      </c>
      <c r="BK441" s="44">
        <f t="shared" si="640"/>
        <v>0</v>
      </c>
      <c r="BL441" s="44" t="s">
        <v>115</v>
      </c>
      <c r="BM441" s="44" cm="1">
        <f t="array" ref="BM441">_xlfn.IFS(BD441="NA","NA",BD441&gt;100%,"100%",BD441&lt;100,BD441)</f>
        <v>0</v>
      </c>
      <c r="BN441" s="44" cm="1">
        <f t="array" ref="BN441">_xlfn.IFS(BF441="NA","NA",BF441&gt;100%,"100%",BF441&lt;100,BF441)</f>
        <v>0</v>
      </c>
      <c r="BO441" s="44" cm="1">
        <f t="array" ref="BO441">_xlfn.IFS(BH441="NA","NA",BH441&gt;100%,"100%",BH441&lt;100,BH441)</f>
        <v>0</v>
      </c>
      <c r="BP441" s="44" t="str" cm="1">
        <f t="array" ref="BP441">_xlfn.IFS(BJ441="NA","NA",BJ441&gt;100%,"100%",BJ441&lt;100,BJ441)</f>
        <v>NA</v>
      </c>
      <c r="BQ441" s="193">
        <v>0.35</v>
      </c>
      <c r="BR441" s="45">
        <f t="shared" si="651"/>
        <v>0</v>
      </c>
      <c r="BS441" s="45">
        <v>0</v>
      </c>
      <c r="BT441" s="45" t="s">
        <v>115</v>
      </c>
      <c r="BU441" s="45">
        <v>0</v>
      </c>
      <c r="BV441" s="45">
        <f t="shared" si="742"/>
        <v>0.105</v>
      </c>
      <c r="BW441" s="45">
        <f t="shared" si="743"/>
        <v>0</v>
      </c>
      <c r="BX441" s="45">
        <f t="shared" si="744"/>
        <v>0</v>
      </c>
      <c r="BY441" s="45">
        <f t="shared" si="745"/>
        <v>0.105</v>
      </c>
      <c r="BZ441" s="45">
        <f t="shared" si="746"/>
        <v>0</v>
      </c>
      <c r="CA441" s="45">
        <f t="shared" si="747"/>
        <v>0</v>
      </c>
      <c r="CB441" s="45">
        <f t="shared" si="748"/>
        <v>0.14000000000000001</v>
      </c>
      <c r="CC441" s="45">
        <f t="shared" si="749"/>
        <v>0</v>
      </c>
      <c r="CD441" s="45">
        <v>0</v>
      </c>
      <c r="CE441" s="45">
        <f t="shared" si="750"/>
        <v>0</v>
      </c>
      <c r="CF441" s="45" t="str">
        <f t="shared" si="751"/>
        <v>NA</v>
      </c>
      <c r="CG441" s="45">
        <v>0</v>
      </c>
      <c r="CH441" s="244"/>
      <c r="CI441" s="244"/>
      <c r="CJ441" s="244"/>
      <c r="CK441" s="244"/>
      <c r="CM441" s="63"/>
    </row>
    <row r="442" spans="1:91" s="3" customFormat="1">
      <c r="L442" s="5"/>
      <c r="AV442" s="89"/>
      <c r="AW442"/>
      <c r="AX442"/>
      <c r="AY442" s="89"/>
      <c r="BS442" s="50"/>
      <c r="BU442" s="47"/>
    </row>
    <row r="443" spans="1:91">
      <c r="K443" s="260"/>
      <c r="BQ443" s="116">
        <f>SUM(BQ12:BQ442)</f>
        <v>100.00000000000057</v>
      </c>
      <c r="BR443" s="116">
        <f ca="1">SUBTOTAL(9,BR12:BR441)</f>
        <v>0.43344000000000005</v>
      </c>
      <c r="BS443" s="404">
        <f>SUM(BS12:BS441)</f>
        <v>13.792299999999978</v>
      </c>
      <c r="BV443" s="116">
        <f>SUM(BV12:BV442)</f>
        <v>33.356279177183055</v>
      </c>
      <c r="BW443" s="116" t="e">
        <f ca="1">SUM(BW12:BW442)</f>
        <v>#VALUE!</v>
      </c>
      <c r="BX443" s="116" t="e">
        <f ca="1">SUM(BX12:BX442)</f>
        <v>#VALUE!</v>
      </c>
      <c r="BY443" s="116">
        <f>SUM(BY12:BY442)</f>
        <v>31.29243676533881</v>
      </c>
      <c r="BZ443" s="116">
        <f>SUM(BZ12:BZ442)</f>
        <v>0</v>
      </c>
      <c r="CB443" s="116">
        <f>SUM(CB12:CB442)</f>
        <v>25.282789930161645</v>
      </c>
    </row>
    <row r="444" spans="1:91">
      <c r="K444" s="260"/>
      <c r="S444" t="s">
        <v>2837</v>
      </c>
      <c r="BA444" s="342">
        <v>0.29166666666666669</v>
      </c>
      <c r="BQ444">
        <f>2.92-1.41</f>
        <v>1.51</v>
      </c>
      <c r="BR444" s="259">
        <f ca="1">BR443/BQ443</f>
        <v>4.3343999999999761E-3</v>
      </c>
      <c r="BS444" s="48" t="s">
        <v>2838</v>
      </c>
      <c r="BW444" s="259" t="e">
        <f ca="1">BW443/BV443</f>
        <v>#VALUE!</v>
      </c>
    </row>
    <row r="445" spans="1:91">
      <c r="K445" s="260"/>
      <c r="BD445">
        <f>100/12</f>
        <v>8.3333333333333339</v>
      </c>
      <c r="CA445" s="116"/>
    </row>
    <row r="446" spans="1:91">
      <c r="K446" s="260"/>
      <c r="BB446">
        <f>35/120</f>
        <v>0.29166666666666669</v>
      </c>
      <c r="BD446">
        <f>BD445*10</f>
        <v>83.333333333333343</v>
      </c>
    </row>
    <row r="447" spans="1:91">
      <c r="K447" s="260"/>
      <c r="W447" t="s">
        <v>2839</v>
      </c>
      <c r="AG447">
        <f>0.25*0.32</f>
        <v>0.08</v>
      </c>
      <c r="BS447" s="339"/>
    </row>
    <row r="448" spans="1:91">
      <c r="K448" s="260"/>
      <c r="Z448" s="340"/>
      <c r="AB448" cm="2">
        <f t="array" aca="1" ref="AB448" ca="1">P448:AB453</f>
        <v>0</v>
      </c>
    </row>
    <row r="449" spans="11:77">
      <c r="K449" s="260"/>
      <c r="BU449" s="267">
        <f>BQ217-BS217</f>
        <v>0.16870000000000002</v>
      </c>
      <c r="BV449" s="268">
        <v>0.4</v>
      </c>
      <c r="BW449" s="268">
        <v>1</v>
      </c>
      <c r="BX449" s="268">
        <v>0.6</v>
      </c>
    </row>
    <row r="450" spans="11:77">
      <c r="K450" s="260"/>
      <c r="BV450">
        <f>($BU$449*BV449)/2</f>
        <v>3.3740000000000006E-2</v>
      </c>
      <c r="BW450">
        <f>($BU$449*BW449)/2</f>
        <v>8.4350000000000008E-2</v>
      </c>
      <c r="BX450">
        <f t="shared" ref="BX450" si="752">($BU$449*BX449)/2</f>
        <v>5.0610000000000002E-2</v>
      </c>
      <c r="BY450">
        <f t="shared" ref="BY450" si="753">($BU$449*BY449)/250</f>
        <v>0</v>
      </c>
    </row>
    <row r="451" spans="11:77">
      <c r="K451" s="260"/>
      <c r="BV451">
        <v>5.5E-2</v>
      </c>
      <c r="BW451">
        <v>9.6000000000000002E-2</v>
      </c>
      <c r="BX451">
        <v>4.1000000000000002E-2</v>
      </c>
    </row>
    <row r="452" spans="11:77">
      <c r="K452" s="260"/>
    </row>
    <row r="453" spans="11:77">
      <c r="K453" s="260"/>
    </row>
    <row r="454" spans="11:77">
      <c r="K454" s="260"/>
    </row>
    <row r="455" spans="11:77">
      <c r="K455" s="260"/>
    </row>
    <row r="456" spans="11:77">
      <c r="K456" s="260"/>
    </row>
    <row r="457" spans="11:77">
      <c r="K457" s="260"/>
    </row>
    <row r="458" spans="11:77">
      <c r="K458" s="260"/>
    </row>
    <row r="459" spans="11:77">
      <c r="K459" s="260"/>
    </row>
    <row r="460" spans="11:77">
      <c r="K460" s="260"/>
    </row>
    <row r="461" spans="11:77">
      <c r="K461" s="260"/>
    </row>
    <row r="462" spans="11:77">
      <c r="K462" s="260"/>
    </row>
    <row r="463" spans="11:77">
      <c r="K463" s="260"/>
    </row>
    <row r="464" spans="11:77">
      <c r="K464" s="260"/>
    </row>
    <row r="465" spans="11:11">
      <c r="K465" s="260"/>
    </row>
    <row r="466" spans="11:11">
      <c r="K466" s="260"/>
    </row>
    <row r="467" spans="11:11">
      <c r="K467" s="260"/>
    </row>
    <row r="468" spans="11:11">
      <c r="K468" s="260"/>
    </row>
    <row r="469" spans="11:11">
      <c r="K469" s="260"/>
    </row>
    <row r="470" spans="11:11">
      <c r="K470" s="260"/>
    </row>
    <row r="471" spans="11:11">
      <c r="K471" s="260"/>
    </row>
    <row r="472" spans="11:11">
      <c r="K472" s="260"/>
    </row>
    <row r="473" spans="11:11">
      <c r="K473" s="260"/>
    </row>
    <row r="474" spans="11:11">
      <c r="K474" s="260"/>
    </row>
    <row r="475" spans="11:11">
      <c r="K475" s="260"/>
    </row>
    <row r="476" spans="11:11">
      <c r="K476" s="260"/>
    </row>
    <row r="477" spans="11:11">
      <c r="K477" s="260"/>
    </row>
    <row r="478" spans="11:11">
      <c r="K478" s="260"/>
    </row>
    <row r="479" spans="11:11">
      <c r="K479" s="260"/>
    </row>
    <row r="480" spans="11:11">
      <c r="K480" s="260"/>
    </row>
    <row r="481" spans="11:11">
      <c r="K481" s="260"/>
    </row>
    <row r="482" spans="11:11">
      <c r="K482" s="260"/>
    </row>
    <row r="483" spans="11:11">
      <c r="K483" s="260"/>
    </row>
    <row r="484" spans="11:11">
      <c r="K484" s="260"/>
    </row>
    <row r="485" spans="11:11">
      <c r="K485" s="260"/>
    </row>
    <row r="486" spans="11:11">
      <c r="K486" s="260"/>
    </row>
    <row r="487" spans="11:11">
      <c r="K487" s="260"/>
    </row>
    <row r="488" spans="11:11">
      <c r="K488" s="260"/>
    </row>
    <row r="489" spans="11:11">
      <c r="K489" s="260"/>
    </row>
    <row r="490" spans="11:11">
      <c r="K490" s="260"/>
    </row>
    <row r="491" spans="11:11">
      <c r="K491" s="260"/>
    </row>
    <row r="492" spans="11:11">
      <c r="K492" s="260"/>
    </row>
    <row r="493" spans="11:11">
      <c r="K493" s="260"/>
    </row>
    <row r="494" spans="11:11">
      <c r="K494" s="260"/>
    </row>
    <row r="495" spans="11:11">
      <c r="K495" s="260"/>
    </row>
    <row r="496" spans="11:11">
      <c r="K496" s="260"/>
    </row>
    <row r="497" spans="11:11">
      <c r="K497" s="260"/>
    </row>
    <row r="498" spans="11:11">
      <c r="K498" s="260"/>
    </row>
    <row r="499" spans="11:11">
      <c r="K499" s="260"/>
    </row>
    <row r="500" spans="11:11">
      <c r="K500" s="260"/>
    </row>
    <row r="501" spans="11:11">
      <c r="K501" s="260"/>
    </row>
    <row r="502" spans="11:11">
      <c r="K502" s="260"/>
    </row>
    <row r="503" spans="11:11">
      <c r="K503" s="260"/>
    </row>
    <row r="504" spans="11:11">
      <c r="K504" s="260"/>
    </row>
    <row r="505" spans="11:11">
      <c r="K505" s="260"/>
    </row>
    <row r="506" spans="11:11">
      <c r="K506" s="260"/>
    </row>
    <row r="507" spans="11:11">
      <c r="K507" s="260"/>
    </row>
    <row r="508" spans="11:11">
      <c r="K508" s="260"/>
    </row>
    <row r="509" spans="11:11">
      <c r="K509" s="260"/>
    </row>
    <row r="510" spans="11:11">
      <c r="K510" s="260"/>
    </row>
    <row r="511" spans="11:11">
      <c r="K511" s="260"/>
    </row>
    <row r="512" spans="11:11">
      <c r="K512" s="260"/>
    </row>
    <row r="513" spans="11:11">
      <c r="K513" s="260"/>
    </row>
    <row r="514" spans="11:11">
      <c r="K514" s="260"/>
    </row>
    <row r="515" spans="11:11">
      <c r="K515" s="260"/>
    </row>
    <row r="516" spans="11:11">
      <c r="K516" s="260"/>
    </row>
    <row r="517" spans="11:11">
      <c r="K517" s="260"/>
    </row>
    <row r="518" spans="11:11">
      <c r="K518" s="260"/>
    </row>
    <row r="519" spans="11:11">
      <c r="K519" s="260"/>
    </row>
    <row r="520" spans="11:11">
      <c r="K520" s="260"/>
    </row>
    <row r="521" spans="11:11">
      <c r="K521" s="260"/>
    </row>
    <row r="522" spans="11:11">
      <c r="K522" s="260"/>
    </row>
    <row r="523" spans="11:11">
      <c r="K523" s="260"/>
    </row>
    <row r="524" spans="11:11">
      <c r="K524" s="260"/>
    </row>
    <row r="525" spans="11:11">
      <c r="K525" s="260"/>
    </row>
    <row r="526" spans="11:11">
      <c r="K526" s="260"/>
    </row>
    <row r="527" spans="11:11">
      <c r="K527" s="260"/>
    </row>
    <row r="528" spans="11:11">
      <c r="K528" s="260"/>
    </row>
    <row r="529" spans="11:11">
      <c r="K529" s="260"/>
    </row>
    <row r="530" spans="11:11">
      <c r="K530" s="260"/>
    </row>
    <row r="531" spans="11:11">
      <c r="K531" s="260"/>
    </row>
    <row r="532" spans="11:11">
      <c r="K532" s="260"/>
    </row>
    <row r="533" spans="11:11">
      <c r="K533" s="260"/>
    </row>
    <row r="534" spans="11:11">
      <c r="K534" s="260"/>
    </row>
    <row r="535" spans="11:11">
      <c r="K535" s="260"/>
    </row>
    <row r="536" spans="11:11">
      <c r="K536" s="260"/>
    </row>
    <row r="537" spans="11:11">
      <c r="K537" s="260"/>
    </row>
    <row r="538" spans="11:11">
      <c r="K538" s="260"/>
    </row>
    <row r="539" spans="11:11">
      <c r="K539" s="260"/>
    </row>
    <row r="540" spans="11:11">
      <c r="K540" s="260"/>
    </row>
    <row r="541" spans="11:11">
      <c r="K541" s="260"/>
    </row>
    <row r="542" spans="11:11">
      <c r="K542" s="260"/>
    </row>
    <row r="543" spans="11:11">
      <c r="K543" s="260"/>
    </row>
    <row r="544" spans="11:11">
      <c r="K544" s="260"/>
    </row>
    <row r="545" spans="11:11">
      <c r="K545" s="260"/>
    </row>
    <row r="546" spans="11:11">
      <c r="K546" s="260"/>
    </row>
    <row r="547" spans="11:11">
      <c r="K547" s="260"/>
    </row>
    <row r="548" spans="11:11">
      <c r="K548" s="260"/>
    </row>
    <row r="549" spans="11:11">
      <c r="K549" s="260"/>
    </row>
    <row r="550" spans="11:11">
      <c r="K550" s="260"/>
    </row>
    <row r="551" spans="11:11">
      <c r="K551" s="260"/>
    </row>
    <row r="552" spans="11:11">
      <c r="K552" s="260"/>
    </row>
    <row r="553" spans="11:11">
      <c r="K553" s="260"/>
    </row>
    <row r="554" spans="11:11">
      <c r="K554" s="260"/>
    </row>
    <row r="555" spans="11:11">
      <c r="K555" s="260"/>
    </row>
    <row r="556" spans="11:11">
      <c r="K556" s="260"/>
    </row>
  </sheetData>
  <sheetProtection autoFilter="0"/>
  <autoFilter ref="A11:JA441" xr:uid="{73A57A76-109E-4AD3-9454-C4809239B2E6}">
    <filterColumn colId="1">
      <filters>
        <filter val="SECRETARIA DE INTEGRACION REGIONAL"/>
      </filters>
    </filterColumn>
  </autoFilter>
  <customSheetViews>
    <customSheetView guid="{75629C99-8367-48E9-A2A2-D8C49A9E68E3}" scale="80" filter="1" showAutoFilter="1" topLeftCell="A2">
      <selection activeCell="BP432" sqref="BP432"/>
      <pageMargins left="0" right="0" top="0" bottom="0" header="0" footer="0"/>
      <pageSetup orientation="portrait" r:id="rId1"/>
      <autoFilter ref="A11:JA441" xr:uid="{494E0B85-8CB5-4003-8771-8AE8CB12BCEA}">
        <filterColumn colId="0">
          <filters>
            <filter val="1103"/>
          </filters>
        </filterColumn>
        <sortState xmlns:xlrd2="http://schemas.microsoft.com/office/spreadsheetml/2017/richdata2" ref="A12:JA441">
          <sortCondition ref="A11:A441"/>
        </sortState>
      </autoFilter>
    </customSheetView>
  </customSheetViews>
  <mergeCells count="37">
    <mergeCell ref="A1:D4"/>
    <mergeCell ref="E1:I2"/>
    <mergeCell ref="J1:L1"/>
    <mergeCell ref="J2:L3"/>
    <mergeCell ref="E3:I4"/>
    <mergeCell ref="J4:L4"/>
    <mergeCell ref="A6:C6"/>
    <mergeCell ref="A8:P10"/>
    <mergeCell ref="Q8:AQ8"/>
    <mergeCell ref="AR8:AY9"/>
    <mergeCell ref="AZ8:BJ9"/>
    <mergeCell ref="AN10:AO10"/>
    <mergeCell ref="AP10:AQ10"/>
    <mergeCell ref="AR10:AU10"/>
    <mergeCell ref="AV10:AY10"/>
    <mergeCell ref="BI10:BJ10"/>
    <mergeCell ref="BQ10:BR10"/>
    <mergeCell ref="BQ8:CG9"/>
    <mergeCell ref="Q9:S10"/>
    <mergeCell ref="T9:AC9"/>
    <mergeCell ref="AD9:AK9"/>
    <mergeCell ref="AL9:AM9"/>
    <mergeCell ref="AN9:AO9"/>
    <mergeCell ref="AP9:AQ9"/>
    <mergeCell ref="T10:AC10"/>
    <mergeCell ref="AD10:AK10"/>
    <mergeCell ref="AL10:AM10"/>
    <mergeCell ref="BK8:BP10"/>
    <mergeCell ref="BA10:BB10"/>
    <mergeCell ref="BC10:BD10"/>
    <mergeCell ref="BE10:BF10"/>
    <mergeCell ref="BG10:BH10"/>
    <mergeCell ref="BS10:BU10"/>
    <mergeCell ref="BV10:BX10"/>
    <mergeCell ref="BY10:CA10"/>
    <mergeCell ref="CB10:CD10"/>
    <mergeCell ref="CE10:CG10"/>
  </mergeCells>
  <conditionalFormatting sqref="K1:K1048576">
    <cfRule type="duplicateValues" dxfId="20" priority="1"/>
  </conditionalFormatting>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T25"/>
  <sheetViews>
    <sheetView tabSelected="1" topLeftCell="Y12" zoomScale="80" zoomScaleNormal="80" workbookViewId="0">
      <selection activeCell="AJ22" sqref="AJ2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8.28515625" style="119" bestFit="1"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87"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1310</v>
      </c>
      <c r="B13" s="260" t="s">
        <v>1311</v>
      </c>
      <c r="C13" s="260" t="s">
        <v>1286</v>
      </c>
      <c r="D13" s="260" t="s">
        <v>1287</v>
      </c>
      <c r="E13" s="260" t="s">
        <v>1288</v>
      </c>
      <c r="F13" s="260" t="s">
        <v>1289</v>
      </c>
      <c r="G13" s="260" t="s">
        <v>1290</v>
      </c>
      <c r="H13" s="260" t="s">
        <v>1312</v>
      </c>
      <c r="I13" s="260"/>
      <c r="J13" s="260"/>
      <c r="K13" s="260" t="s">
        <v>1313</v>
      </c>
      <c r="L13" s="260" t="s">
        <v>1314</v>
      </c>
      <c r="M13" s="260" t="s">
        <v>1315</v>
      </c>
      <c r="N13" s="260" t="s">
        <v>111</v>
      </c>
      <c r="O13" s="260" t="s">
        <v>112</v>
      </c>
      <c r="P13" s="10">
        <v>3</v>
      </c>
      <c r="Q13" s="11">
        <v>3</v>
      </c>
      <c r="R13" s="11">
        <f t="shared" ref="R13:R24" si="0">Z13+AH13</f>
        <v>1</v>
      </c>
      <c r="S13" s="261"/>
      <c r="T13" s="11">
        <v>0</v>
      </c>
      <c r="U13" s="11">
        <v>0</v>
      </c>
      <c r="V13" s="11">
        <v>0</v>
      </c>
      <c r="W13" s="11">
        <v>0</v>
      </c>
      <c r="X13" s="11">
        <v>0</v>
      </c>
      <c r="Y13" s="11">
        <v>0</v>
      </c>
      <c r="Z13" s="11">
        <v>0</v>
      </c>
      <c r="AA13" s="11"/>
      <c r="AB13" s="11"/>
      <c r="AC13" s="11"/>
      <c r="AD13" s="11">
        <v>1</v>
      </c>
      <c r="AE13" s="11">
        <v>0</v>
      </c>
      <c r="AF13" s="261">
        <v>0</v>
      </c>
      <c r="AG13" s="261"/>
      <c r="AH13" s="9">
        <v>1</v>
      </c>
      <c r="AI13" s="261" t="s">
        <v>3337</v>
      </c>
      <c r="AJ13" s="261" t="s">
        <v>3338</v>
      </c>
      <c r="AK13" s="261"/>
      <c r="AL13" s="261"/>
      <c r="AM13" s="118">
        <v>169461953</v>
      </c>
      <c r="AN13" s="65" t="s">
        <v>3339</v>
      </c>
      <c r="AO13" s="11">
        <v>1</v>
      </c>
      <c r="AP13" s="11">
        <v>0</v>
      </c>
      <c r="AQ13" s="11">
        <v>1</v>
      </c>
      <c r="AR13" s="11">
        <v>0</v>
      </c>
      <c r="AS13" s="11">
        <v>0</v>
      </c>
      <c r="AT13" s="11">
        <v>0</v>
      </c>
    </row>
    <row r="14" spans="1:46" ht="18" customHeight="1">
      <c r="A14" s="260" t="s">
        <v>1310</v>
      </c>
      <c r="B14" s="260" t="s">
        <v>1311</v>
      </c>
      <c r="C14" s="260" t="s">
        <v>1286</v>
      </c>
      <c r="D14" s="260" t="s">
        <v>1287</v>
      </c>
      <c r="E14" s="260" t="s">
        <v>1288</v>
      </c>
      <c r="F14" s="260" t="s">
        <v>1325</v>
      </c>
      <c r="G14" s="260" t="s">
        <v>1326</v>
      </c>
      <c r="H14" s="260" t="s">
        <v>1345</v>
      </c>
      <c r="I14" s="260"/>
      <c r="J14" s="260"/>
      <c r="K14" s="260" t="s">
        <v>1346</v>
      </c>
      <c r="L14" s="260" t="s">
        <v>1347</v>
      </c>
      <c r="M14" s="260" t="s">
        <v>1348</v>
      </c>
      <c r="N14" s="260" t="s">
        <v>111</v>
      </c>
      <c r="O14" s="260" t="s">
        <v>112</v>
      </c>
      <c r="P14" s="10">
        <v>15979</v>
      </c>
      <c r="Q14" s="11">
        <v>30000</v>
      </c>
      <c r="R14" s="11">
        <f t="shared" si="0"/>
        <v>9439</v>
      </c>
      <c r="S14" s="65" t="s">
        <v>3340</v>
      </c>
      <c r="T14" s="11">
        <v>5000</v>
      </c>
      <c r="U14" s="11">
        <v>0</v>
      </c>
      <c r="V14" s="11">
        <v>3000</v>
      </c>
      <c r="W14" s="11">
        <v>0</v>
      </c>
      <c r="X14" s="11">
        <v>3000</v>
      </c>
      <c r="Y14" s="11">
        <v>0</v>
      </c>
      <c r="Z14" s="11">
        <v>3000</v>
      </c>
      <c r="AA14" s="11" t="s">
        <v>1349</v>
      </c>
      <c r="AB14" s="11" t="s">
        <v>1350</v>
      </c>
      <c r="AC14" s="11">
        <v>0</v>
      </c>
      <c r="AD14" s="11">
        <v>4500</v>
      </c>
      <c r="AE14" s="11">
        <v>0</v>
      </c>
      <c r="AF14" s="9">
        <v>6439</v>
      </c>
      <c r="AG14" s="261"/>
      <c r="AH14" s="9">
        <f t="shared" ref="AH14:AH24" si="1">AF14</f>
        <v>6439</v>
      </c>
      <c r="AI14" s="380" t="s">
        <v>3341</v>
      </c>
      <c r="AJ14" s="261" t="s">
        <v>3342</v>
      </c>
      <c r="AK14" s="261"/>
      <c r="AL14" s="261"/>
      <c r="AM14" s="118">
        <f>2951803240+258763290</f>
        <v>3210566530</v>
      </c>
      <c r="AN14" s="148" t="s">
        <v>3343</v>
      </c>
      <c r="AO14" s="11">
        <v>12500</v>
      </c>
      <c r="AP14" s="11">
        <v>0</v>
      </c>
      <c r="AQ14" s="11">
        <v>10000</v>
      </c>
      <c r="AR14" s="11">
        <v>0</v>
      </c>
      <c r="AS14" s="11">
        <v>0</v>
      </c>
      <c r="AT14" s="11">
        <v>0</v>
      </c>
    </row>
    <row r="15" spans="1:46" ht="18" customHeight="1">
      <c r="A15" s="260" t="s">
        <v>1310</v>
      </c>
      <c r="B15" s="260" t="s">
        <v>1311</v>
      </c>
      <c r="C15" s="260" t="s">
        <v>1286</v>
      </c>
      <c r="D15" s="260" t="s">
        <v>1389</v>
      </c>
      <c r="E15" s="260" t="s">
        <v>1390</v>
      </c>
      <c r="F15" s="260" t="s">
        <v>1391</v>
      </c>
      <c r="G15" s="260" t="s">
        <v>1392</v>
      </c>
      <c r="H15" s="260" t="s">
        <v>1401</v>
      </c>
      <c r="I15" s="260"/>
      <c r="J15" s="260"/>
      <c r="K15" s="260" t="s">
        <v>1402</v>
      </c>
      <c r="L15" s="260" t="s">
        <v>1403</v>
      </c>
      <c r="M15" s="260" t="s">
        <v>1404</v>
      </c>
      <c r="N15" s="260" t="s">
        <v>111</v>
      </c>
      <c r="O15" s="260" t="s">
        <v>112</v>
      </c>
      <c r="P15" s="10">
        <v>2</v>
      </c>
      <c r="Q15" s="11">
        <v>3</v>
      </c>
      <c r="R15" s="11">
        <v>1</v>
      </c>
      <c r="S15" s="261"/>
      <c r="T15" s="11">
        <v>0</v>
      </c>
      <c r="U15" s="11">
        <v>0</v>
      </c>
      <c r="V15" s="11">
        <v>0</v>
      </c>
      <c r="W15" s="11">
        <v>0</v>
      </c>
      <c r="X15" s="11">
        <v>0</v>
      </c>
      <c r="Y15" s="11">
        <v>0</v>
      </c>
      <c r="Z15" s="11">
        <v>0</v>
      </c>
      <c r="AA15" s="11"/>
      <c r="AB15" s="11"/>
      <c r="AC15" s="11"/>
      <c r="AD15" s="11">
        <v>1</v>
      </c>
      <c r="AE15" s="11">
        <v>0</v>
      </c>
      <c r="AF15" s="261">
        <v>1</v>
      </c>
      <c r="AG15" s="261"/>
      <c r="AH15" s="9">
        <f t="shared" si="1"/>
        <v>1</v>
      </c>
      <c r="AI15" s="261" t="s">
        <v>3344</v>
      </c>
      <c r="AJ15" s="65" t="s">
        <v>3345</v>
      </c>
      <c r="AK15" s="261"/>
      <c r="AL15" s="261"/>
      <c r="AM15" s="118">
        <v>500000000</v>
      </c>
      <c r="AN15" s="261" t="s">
        <v>3346</v>
      </c>
      <c r="AO15" s="11">
        <v>1</v>
      </c>
      <c r="AP15" s="11">
        <v>0</v>
      </c>
      <c r="AQ15" s="11">
        <v>1</v>
      </c>
      <c r="AR15" s="11">
        <v>0</v>
      </c>
      <c r="AS15" s="11">
        <v>0</v>
      </c>
      <c r="AT15" s="11">
        <v>0</v>
      </c>
    </row>
    <row r="16" spans="1:46" ht="18" customHeight="1">
      <c r="A16" s="260" t="s">
        <v>1310</v>
      </c>
      <c r="B16" s="260" t="s">
        <v>1311</v>
      </c>
      <c r="C16" s="260" t="s">
        <v>1286</v>
      </c>
      <c r="D16" s="260" t="s">
        <v>1657</v>
      </c>
      <c r="E16" s="260" t="s">
        <v>1658</v>
      </c>
      <c r="F16" s="260" t="s">
        <v>1659</v>
      </c>
      <c r="G16" s="260" t="s">
        <v>1660</v>
      </c>
      <c r="H16" s="260" t="s">
        <v>1668</v>
      </c>
      <c r="I16" s="260"/>
      <c r="J16" s="260"/>
      <c r="K16" s="260" t="s">
        <v>1669</v>
      </c>
      <c r="L16" s="260" t="s">
        <v>1670</v>
      </c>
      <c r="M16" s="260" t="s">
        <v>1671</v>
      </c>
      <c r="N16" s="260" t="s">
        <v>111</v>
      </c>
      <c r="O16" s="260" t="s">
        <v>112</v>
      </c>
      <c r="P16" s="10">
        <v>5</v>
      </c>
      <c r="Q16" s="11">
        <v>4</v>
      </c>
      <c r="R16" s="11">
        <f t="shared" si="0"/>
        <v>1</v>
      </c>
      <c r="S16" s="261"/>
      <c r="T16" s="11">
        <v>0</v>
      </c>
      <c r="U16" s="11">
        <v>0</v>
      </c>
      <c r="V16" s="11">
        <v>0</v>
      </c>
      <c r="W16" s="11">
        <v>0</v>
      </c>
      <c r="X16" s="11">
        <v>0</v>
      </c>
      <c r="Y16" s="11">
        <v>0</v>
      </c>
      <c r="Z16" s="11">
        <v>0</v>
      </c>
      <c r="AA16" s="11"/>
      <c r="AB16" s="11"/>
      <c r="AC16" s="11"/>
      <c r="AD16" s="11">
        <v>2</v>
      </c>
      <c r="AE16" s="11">
        <v>0</v>
      </c>
      <c r="AF16" s="261">
        <v>1</v>
      </c>
      <c r="AG16" s="261"/>
      <c r="AH16" s="9">
        <f t="shared" si="1"/>
        <v>1</v>
      </c>
      <c r="AI16" s="408" t="s">
        <v>3347</v>
      </c>
      <c r="AJ16" s="261" t="s">
        <v>3348</v>
      </c>
      <c r="AK16" s="261"/>
      <c r="AL16" s="261"/>
      <c r="AM16" s="118">
        <v>1000000000</v>
      </c>
      <c r="AN16" s="261" t="s">
        <v>3349</v>
      </c>
      <c r="AO16" s="11">
        <v>1</v>
      </c>
      <c r="AP16" s="11">
        <v>0</v>
      </c>
      <c r="AQ16" s="11">
        <v>1</v>
      </c>
      <c r="AR16" s="11">
        <v>0</v>
      </c>
      <c r="AS16" s="11">
        <v>0</v>
      </c>
      <c r="AT16" s="11">
        <v>0</v>
      </c>
    </row>
    <row r="17" spans="1:46" ht="18" customHeight="1">
      <c r="A17" s="260" t="s">
        <v>1310</v>
      </c>
      <c r="B17" s="260" t="s">
        <v>1311</v>
      </c>
      <c r="C17" s="260" t="s">
        <v>1286</v>
      </c>
      <c r="D17" s="260" t="s">
        <v>1657</v>
      </c>
      <c r="E17" s="260" t="s">
        <v>1658</v>
      </c>
      <c r="F17" s="260" t="s">
        <v>1659</v>
      </c>
      <c r="G17" s="260" t="s">
        <v>1660</v>
      </c>
      <c r="H17" s="260" t="s">
        <v>1672</v>
      </c>
      <c r="I17" s="260"/>
      <c r="J17" s="260"/>
      <c r="K17" s="260" t="s">
        <v>1673</v>
      </c>
      <c r="L17" s="260" t="s">
        <v>1674</v>
      </c>
      <c r="M17" s="260" t="s">
        <v>1675</v>
      </c>
      <c r="N17" s="260" t="s">
        <v>111</v>
      </c>
      <c r="O17" s="260" t="s">
        <v>112</v>
      </c>
      <c r="P17" s="10">
        <v>0</v>
      </c>
      <c r="Q17" s="11">
        <v>5000</v>
      </c>
      <c r="R17" s="11">
        <f t="shared" si="0"/>
        <v>1000</v>
      </c>
      <c r="S17" s="261"/>
      <c r="T17" s="11">
        <v>2000</v>
      </c>
      <c r="U17" s="11">
        <v>0</v>
      </c>
      <c r="V17" s="11">
        <v>0</v>
      </c>
      <c r="W17" s="11">
        <v>0</v>
      </c>
      <c r="X17" s="11">
        <v>0</v>
      </c>
      <c r="Y17" s="11">
        <v>0</v>
      </c>
      <c r="Z17" s="11">
        <v>0</v>
      </c>
      <c r="AA17" s="11"/>
      <c r="AB17" s="11"/>
      <c r="AC17" s="11"/>
      <c r="AD17" s="11">
        <v>2000</v>
      </c>
      <c r="AE17" s="11">
        <v>0</v>
      </c>
      <c r="AF17" s="261">
        <v>1000</v>
      </c>
      <c r="AG17" s="261"/>
      <c r="AH17" s="9">
        <f t="shared" si="1"/>
        <v>1000</v>
      </c>
      <c r="AI17" s="261" t="s">
        <v>3350</v>
      </c>
      <c r="AJ17" s="261" t="s">
        <v>3351</v>
      </c>
      <c r="AK17" s="261"/>
      <c r="AL17" s="261"/>
      <c r="AM17" s="118"/>
      <c r="AN17" s="261"/>
      <c r="AO17" s="11">
        <v>2000</v>
      </c>
      <c r="AP17" s="11">
        <v>0</v>
      </c>
      <c r="AQ17" s="11">
        <v>1000</v>
      </c>
      <c r="AR17" s="11">
        <v>0</v>
      </c>
      <c r="AS17" s="11">
        <v>0</v>
      </c>
      <c r="AT17" s="11">
        <v>0</v>
      </c>
    </row>
    <row r="18" spans="1:46" ht="18" customHeight="1">
      <c r="A18" s="260" t="s">
        <v>1310</v>
      </c>
      <c r="B18" s="260" t="s">
        <v>1311</v>
      </c>
      <c r="C18" s="260" t="s">
        <v>1286</v>
      </c>
      <c r="D18" s="260" t="s">
        <v>1657</v>
      </c>
      <c r="E18" s="260" t="s">
        <v>1658</v>
      </c>
      <c r="F18" s="260" t="s">
        <v>1659</v>
      </c>
      <c r="G18" s="260" t="s">
        <v>1660</v>
      </c>
      <c r="H18" s="260" t="s">
        <v>1676</v>
      </c>
      <c r="I18" s="260"/>
      <c r="J18" s="260"/>
      <c r="K18" s="260" t="s">
        <v>1677</v>
      </c>
      <c r="L18" s="260" t="s">
        <v>1678</v>
      </c>
      <c r="M18" s="260" t="s">
        <v>1679</v>
      </c>
      <c r="N18" s="260" t="s">
        <v>111</v>
      </c>
      <c r="O18" s="260" t="s">
        <v>112</v>
      </c>
      <c r="P18" s="10">
        <v>2930</v>
      </c>
      <c r="Q18" s="11">
        <v>8000</v>
      </c>
      <c r="R18" s="11">
        <f t="shared" si="0"/>
        <v>8571</v>
      </c>
      <c r="S18" s="65" t="s">
        <v>3352</v>
      </c>
      <c r="T18" s="11">
        <v>2481</v>
      </c>
      <c r="U18" s="11">
        <v>0</v>
      </c>
      <c r="V18" s="11">
        <v>1500</v>
      </c>
      <c r="W18" s="11">
        <v>0</v>
      </c>
      <c r="X18" s="11">
        <v>1500</v>
      </c>
      <c r="Y18" s="11">
        <v>0</v>
      </c>
      <c r="Z18" s="11">
        <v>1500</v>
      </c>
      <c r="AA18" s="11" t="s">
        <v>1680</v>
      </c>
      <c r="AB18" s="11" t="s">
        <v>1681</v>
      </c>
      <c r="AC18" s="11">
        <v>0</v>
      </c>
      <c r="AD18" s="11">
        <v>4500</v>
      </c>
      <c r="AE18" s="11">
        <v>0</v>
      </c>
      <c r="AF18" s="261">
        <v>7071</v>
      </c>
      <c r="AG18" s="261"/>
      <c r="AH18" s="9">
        <f t="shared" si="1"/>
        <v>7071</v>
      </c>
      <c r="AI18" s="261" t="s">
        <v>3353</v>
      </c>
      <c r="AJ18" s="261" t="s">
        <v>3354</v>
      </c>
      <c r="AK18" s="261"/>
      <c r="AL18" s="261"/>
      <c r="AM18" s="118"/>
      <c r="AN18" s="261"/>
      <c r="AO18" s="11">
        <v>1000</v>
      </c>
      <c r="AP18" s="11">
        <v>0</v>
      </c>
      <c r="AQ18" s="11">
        <v>1000</v>
      </c>
      <c r="AR18" s="11">
        <v>0</v>
      </c>
      <c r="AS18" s="11">
        <v>0</v>
      </c>
      <c r="AT18" s="11">
        <v>0</v>
      </c>
    </row>
    <row r="19" spans="1:46" ht="18" customHeight="1">
      <c r="A19" s="260" t="s">
        <v>1310</v>
      </c>
      <c r="B19" s="260" t="s">
        <v>1311</v>
      </c>
      <c r="C19" s="260" t="s">
        <v>1286</v>
      </c>
      <c r="D19" s="260" t="s">
        <v>1657</v>
      </c>
      <c r="E19" s="260" t="s">
        <v>1658</v>
      </c>
      <c r="F19" s="260" t="s">
        <v>1659</v>
      </c>
      <c r="G19" s="260" t="s">
        <v>1660</v>
      </c>
      <c r="H19" s="260" t="s">
        <v>1682</v>
      </c>
      <c r="I19" s="260"/>
      <c r="J19" s="260"/>
      <c r="K19" s="260" t="s">
        <v>1683</v>
      </c>
      <c r="L19" s="260" t="s">
        <v>1684</v>
      </c>
      <c r="M19" s="260" t="s">
        <v>1685</v>
      </c>
      <c r="N19" s="260" t="s">
        <v>111</v>
      </c>
      <c r="O19" s="260" t="s">
        <v>112</v>
      </c>
      <c r="P19" s="10">
        <v>10</v>
      </c>
      <c r="Q19" s="11">
        <v>15</v>
      </c>
      <c r="R19" s="11">
        <f t="shared" si="0"/>
        <v>22</v>
      </c>
      <c r="S19" s="261" t="s">
        <v>1687</v>
      </c>
      <c r="T19" s="11">
        <v>10</v>
      </c>
      <c r="U19" s="11">
        <v>0</v>
      </c>
      <c r="V19" s="11">
        <v>10</v>
      </c>
      <c r="W19" s="11">
        <v>0</v>
      </c>
      <c r="X19" s="11">
        <v>10</v>
      </c>
      <c r="Y19" s="11">
        <v>0</v>
      </c>
      <c r="Z19" s="11">
        <v>10</v>
      </c>
      <c r="AA19" s="11" t="e">
        <f ca="1">-Fortalecimiento de habilidades a las micro,pequeñas y medianas empresas en temas  jurídicos, administrativos y técnicos que conllevan a mejorar las actividades de  los procesos  productivos.</f>
        <v>#NAME?</v>
      </c>
      <c r="AB19" s="11" t="s">
        <v>1687</v>
      </c>
      <c r="AC19" s="11">
        <v>0</v>
      </c>
      <c r="AD19" s="11">
        <v>2</v>
      </c>
      <c r="AE19" s="11">
        <v>10</v>
      </c>
      <c r="AF19" s="261">
        <v>2</v>
      </c>
      <c r="AG19" s="261">
        <v>10</v>
      </c>
      <c r="AH19" s="9">
        <v>12</v>
      </c>
      <c r="AI19" s="261" t="s">
        <v>3355</v>
      </c>
      <c r="AJ19" s="381" t="s">
        <v>3356</v>
      </c>
      <c r="AK19" s="261"/>
      <c r="AL19" s="261"/>
      <c r="AM19" s="118"/>
      <c r="AN19" s="261"/>
      <c r="AO19" s="11">
        <v>3</v>
      </c>
      <c r="AP19" s="11">
        <v>15</v>
      </c>
      <c r="AQ19" s="11">
        <v>0</v>
      </c>
      <c r="AR19" s="11">
        <v>15</v>
      </c>
      <c r="AS19" s="11">
        <v>0</v>
      </c>
      <c r="AT19" s="11">
        <v>0</v>
      </c>
    </row>
    <row r="20" spans="1:46" ht="18" customHeight="1">
      <c r="A20" s="260" t="s">
        <v>1310</v>
      </c>
      <c r="B20" s="260" t="s">
        <v>1311</v>
      </c>
      <c r="C20" s="260" t="s">
        <v>1286</v>
      </c>
      <c r="D20" s="260" t="s">
        <v>1657</v>
      </c>
      <c r="E20" s="260" t="s">
        <v>1696</v>
      </c>
      <c r="F20" s="260" t="s">
        <v>1697</v>
      </c>
      <c r="G20" s="260" t="s">
        <v>1698</v>
      </c>
      <c r="H20" s="260" t="s">
        <v>1735</v>
      </c>
      <c r="I20" s="260"/>
      <c r="J20" s="260"/>
      <c r="K20" s="260" t="s">
        <v>1736</v>
      </c>
      <c r="L20" s="260" t="s">
        <v>1737</v>
      </c>
      <c r="M20" s="260" t="s">
        <v>1738</v>
      </c>
      <c r="N20" s="260" t="s">
        <v>111</v>
      </c>
      <c r="O20" s="260" t="s">
        <v>112</v>
      </c>
      <c r="P20" s="10">
        <v>36</v>
      </c>
      <c r="Q20" s="11">
        <v>20</v>
      </c>
      <c r="R20" s="11">
        <v>17</v>
      </c>
      <c r="S20" s="261"/>
      <c r="T20" s="11">
        <v>0</v>
      </c>
      <c r="U20" s="11">
        <v>0</v>
      </c>
      <c r="V20" s="11">
        <v>0</v>
      </c>
      <c r="W20" s="11">
        <v>0</v>
      </c>
      <c r="X20" s="11">
        <v>0</v>
      </c>
      <c r="Y20" s="11">
        <v>0</v>
      </c>
      <c r="Z20" s="11">
        <v>0</v>
      </c>
      <c r="AA20" s="11"/>
      <c r="AB20" s="11"/>
      <c r="AC20" s="11"/>
      <c r="AD20" s="11">
        <v>1</v>
      </c>
      <c r="AE20" s="11">
        <v>0</v>
      </c>
      <c r="AF20" s="261">
        <v>17</v>
      </c>
      <c r="AG20" s="261"/>
      <c r="AH20" s="9">
        <f t="shared" si="1"/>
        <v>17</v>
      </c>
      <c r="AI20" s="261" t="s">
        <v>3357</v>
      </c>
      <c r="AJ20" s="261" t="s">
        <v>3358</v>
      </c>
      <c r="AK20" s="261"/>
      <c r="AL20" s="261"/>
      <c r="AM20" s="118"/>
      <c r="AN20" s="261"/>
      <c r="AO20" s="11">
        <v>10</v>
      </c>
      <c r="AP20" s="11">
        <v>0</v>
      </c>
      <c r="AQ20" s="11">
        <v>9</v>
      </c>
      <c r="AR20" s="11">
        <v>0</v>
      </c>
      <c r="AS20" s="11">
        <v>0</v>
      </c>
      <c r="AT20" s="11">
        <v>0</v>
      </c>
    </row>
    <row r="21" spans="1:46" ht="18" customHeight="1">
      <c r="A21" s="260" t="s">
        <v>1310</v>
      </c>
      <c r="B21" s="260" t="s">
        <v>1311</v>
      </c>
      <c r="C21" s="260" t="s">
        <v>1286</v>
      </c>
      <c r="D21" s="260" t="s">
        <v>1799</v>
      </c>
      <c r="E21" s="260" t="s">
        <v>1800</v>
      </c>
      <c r="F21" s="260" t="s">
        <v>1801</v>
      </c>
      <c r="G21" s="260" t="s">
        <v>1802</v>
      </c>
      <c r="H21" s="260" t="s">
        <v>1809</v>
      </c>
      <c r="I21" s="260"/>
      <c r="J21" s="260"/>
      <c r="K21" s="260" t="s">
        <v>1810</v>
      </c>
      <c r="L21" s="260" t="s">
        <v>1811</v>
      </c>
      <c r="M21" s="260" t="s">
        <v>1812</v>
      </c>
      <c r="N21" s="260" t="s">
        <v>111</v>
      </c>
      <c r="O21" s="260" t="s">
        <v>112</v>
      </c>
      <c r="P21" s="10">
        <v>0</v>
      </c>
      <c r="Q21" s="11">
        <v>1</v>
      </c>
      <c r="R21" s="11">
        <f t="shared" si="0"/>
        <v>0</v>
      </c>
      <c r="S21" s="261"/>
      <c r="T21" s="11">
        <v>0.2</v>
      </c>
      <c r="U21" s="11">
        <v>0</v>
      </c>
      <c r="V21" s="11">
        <v>0</v>
      </c>
      <c r="W21" s="11">
        <v>0</v>
      </c>
      <c r="X21" s="11">
        <v>0</v>
      </c>
      <c r="Y21" s="11">
        <v>0</v>
      </c>
      <c r="Z21" s="11">
        <v>0</v>
      </c>
      <c r="AA21" s="11"/>
      <c r="AB21" s="11"/>
      <c r="AC21" s="11"/>
      <c r="AD21" s="11">
        <v>0.7</v>
      </c>
      <c r="AE21" s="11">
        <v>0</v>
      </c>
      <c r="AF21" s="261"/>
      <c r="AG21" s="261"/>
      <c r="AH21" s="9">
        <f t="shared" si="1"/>
        <v>0</v>
      </c>
      <c r="AI21" s="261"/>
      <c r="AJ21" s="261"/>
      <c r="AK21" s="261"/>
      <c r="AL21" s="261"/>
      <c r="AM21" s="118"/>
      <c r="AN21" s="261"/>
      <c r="AO21" s="11">
        <v>0.1</v>
      </c>
      <c r="AP21" s="11">
        <v>0</v>
      </c>
      <c r="AQ21" s="11">
        <v>0.2</v>
      </c>
      <c r="AR21" s="11">
        <v>0</v>
      </c>
      <c r="AS21" s="11">
        <v>0</v>
      </c>
      <c r="AT21" s="11">
        <v>0</v>
      </c>
    </row>
    <row r="22" spans="1:46" ht="18" customHeight="1">
      <c r="A22" s="260" t="s">
        <v>1310</v>
      </c>
      <c r="B22" s="260" t="s">
        <v>1311</v>
      </c>
      <c r="C22" s="260" t="s">
        <v>1286</v>
      </c>
      <c r="D22" s="260" t="s">
        <v>1799</v>
      </c>
      <c r="E22" s="260" t="s">
        <v>1800</v>
      </c>
      <c r="F22" s="260" t="s">
        <v>1801</v>
      </c>
      <c r="G22" s="260" t="s">
        <v>1802</v>
      </c>
      <c r="H22" s="260" t="s">
        <v>1813</v>
      </c>
      <c r="I22" s="260"/>
      <c r="J22" s="260"/>
      <c r="K22" s="260" t="s">
        <v>1814</v>
      </c>
      <c r="L22" s="260" t="s">
        <v>1815</v>
      </c>
      <c r="M22" s="260" t="s">
        <v>1816</v>
      </c>
      <c r="N22" s="260" t="s">
        <v>111</v>
      </c>
      <c r="O22" s="260" t="s">
        <v>112</v>
      </c>
      <c r="P22" s="10">
        <v>1</v>
      </c>
      <c r="Q22" s="11">
        <v>4</v>
      </c>
      <c r="R22" s="11">
        <f t="shared" si="0"/>
        <v>0</v>
      </c>
      <c r="S22" s="261"/>
      <c r="T22" s="11">
        <v>0</v>
      </c>
      <c r="U22" s="11">
        <v>0</v>
      </c>
      <c r="V22" s="11">
        <v>0</v>
      </c>
      <c r="W22" s="11">
        <v>0</v>
      </c>
      <c r="X22" s="11">
        <v>0</v>
      </c>
      <c r="Y22" s="11">
        <v>0</v>
      </c>
      <c r="Z22" s="11">
        <v>0</v>
      </c>
      <c r="AA22" s="11"/>
      <c r="AB22" s="11"/>
      <c r="AC22" s="11"/>
      <c r="AD22" s="11">
        <v>1</v>
      </c>
      <c r="AE22" s="11">
        <v>0</v>
      </c>
      <c r="AF22" s="261"/>
      <c r="AG22" s="261"/>
      <c r="AH22" s="9">
        <f t="shared" si="1"/>
        <v>0</v>
      </c>
      <c r="AI22" s="261" t="s">
        <v>3359</v>
      </c>
      <c r="AJ22" s="381" t="s">
        <v>3360</v>
      </c>
      <c r="AK22" s="261"/>
      <c r="AL22" s="261"/>
      <c r="AM22" s="118">
        <v>500000000</v>
      </c>
      <c r="AN22" s="261" t="s">
        <v>3361</v>
      </c>
      <c r="AO22" s="11">
        <v>2</v>
      </c>
      <c r="AP22" s="11">
        <v>0</v>
      </c>
      <c r="AQ22" s="11">
        <v>1</v>
      </c>
      <c r="AR22" s="11">
        <v>0</v>
      </c>
      <c r="AS22" s="11">
        <v>0</v>
      </c>
      <c r="AT22" s="11">
        <v>0</v>
      </c>
    </row>
    <row r="23" spans="1:46" ht="18" customHeight="1">
      <c r="A23" s="260" t="s">
        <v>1310</v>
      </c>
      <c r="B23" s="260" t="s">
        <v>1311</v>
      </c>
      <c r="C23" s="260" t="s">
        <v>1828</v>
      </c>
      <c r="D23" s="260" t="s">
        <v>2062</v>
      </c>
      <c r="E23" s="260" t="s">
        <v>2063</v>
      </c>
      <c r="F23" s="260" t="s">
        <v>2064</v>
      </c>
      <c r="G23" s="260" t="s">
        <v>2065</v>
      </c>
      <c r="H23" s="260" t="s">
        <v>2076</v>
      </c>
      <c r="I23" s="260"/>
      <c r="J23" s="260"/>
      <c r="K23" s="260" t="s">
        <v>2077</v>
      </c>
      <c r="L23" s="260" t="s">
        <v>2078</v>
      </c>
      <c r="M23" s="260" t="s">
        <v>2079</v>
      </c>
      <c r="N23" s="260" t="s">
        <v>111</v>
      </c>
      <c r="O23" s="260" t="s">
        <v>112</v>
      </c>
      <c r="P23" s="10">
        <v>0</v>
      </c>
      <c r="Q23" s="11">
        <v>100</v>
      </c>
      <c r="R23" s="11">
        <f t="shared" si="0"/>
        <v>0</v>
      </c>
      <c r="S23" s="261"/>
      <c r="T23" s="11">
        <v>0</v>
      </c>
      <c r="U23" s="11">
        <v>0</v>
      </c>
      <c r="V23" s="11">
        <v>0</v>
      </c>
      <c r="W23" s="11">
        <v>0</v>
      </c>
      <c r="X23" s="11">
        <v>0</v>
      </c>
      <c r="Y23" s="11">
        <v>0</v>
      </c>
      <c r="Z23" s="11">
        <v>0</v>
      </c>
      <c r="AA23" s="11"/>
      <c r="AB23" s="11"/>
      <c r="AC23" s="11"/>
      <c r="AD23" s="11">
        <v>60</v>
      </c>
      <c r="AE23" s="11">
        <v>0</v>
      </c>
      <c r="AF23" s="261"/>
      <c r="AG23" s="261"/>
      <c r="AH23" s="9">
        <f t="shared" si="1"/>
        <v>0</v>
      </c>
      <c r="AI23" s="261" t="s">
        <v>3362</v>
      </c>
      <c r="AJ23" s="381" t="s">
        <v>3363</v>
      </c>
      <c r="AK23" s="261"/>
      <c r="AL23" s="261"/>
      <c r="AM23" s="118"/>
      <c r="AN23" s="261"/>
      <c r="AO23" s="11">
        <v>20</v>
      </c>
      <c r="AP23" s="11">
        <v>0</v>
      </c>
      <c r="AQ23" s="11">
        <v>20</v>
      </c>
      <c r="AR23" s="11">
        <v>0</v>
      </c>
      <c r="AS23" s="11">
        <v>0</v>
      </c>
      <c r="AT23" s="11">
        <v>0</v>
      </c>
    </row>
    <row r="24" spans="1:46" ht="18" customHeight="1">
      <c r="A24" s="260" t="s">
        <v>1310</v>
      </c>
      <c r="B24" s="260" t="s">
        <v>1311</v>
      </c>
      <c r="C24" s="260" t="s">
        <v>2129</v>
      </c>
      <c r="D24" s="260" t="s">
        <v>2130</v>
      </c>
      <c r="E24" s="260" t="s">
        <v>2131</v>
      </c>
      <c r="F24" s="260" t="s">
        <v>2132</v>
      </c>
      <c r="G24" s="260" t="s">
        <v>2133</v>
      </c>
      <c r="H24" s="260" t="s">
        <v>2143</v>
      </c>
      <c r="I24" s="260"/>
      <c r="J24" s="260"/>
      <c r="K24" s="260" t="s">
        <v>2144</v>
      </c>
      <c r="L24" s="260" t="s">
        <v>2145</v>
      </c>
      <c r="M24" s="260" t="s">
        <v>2146</v>
      </c>
      <c r="N24" s="260" t="s">
        <v>111</v>
      </c>
      <c r="O24" s="260" t="s">
        <v>112</v>
      </c>
      <c r="P24" s="10">
        <v>0</v>
      </c>
      <c r="Q24" s="11">
        <v>1</v>
      </c>
      <c r="R24" s="11">
        <f t="shared" si="0"/>
        <v>0.15</v>
      </c>
      <c r="S24" s="261" t="s">
        <v>2147</v>
      </c>
      <c r="T24" s="11">
        <v>0.25</v>
      </c>
      <c r="U24" s="11">
        <v>0</v>
      </c>
      <c r="V24" s="11">
        <v>0.25</v>
      </c>
      <c r="W24" s="11">
        <v>0</v>
      </c>
      <c r="X24" s="11">
        <v>0.15</v>
      </c>
      <c r="Y24" s="11">
        <v>0</v>
      </c>
      <c r="Z24" s="11">
        <v>0.15</v>
      </c>
      <c r="AA24" s="11">
        <v>0</v>
      </c>
      <c r="AB24" s="11" t="s">
        <v>2147</v>
      </c>
      <c r="AC24" s="11">
        <v>0</v>
      </c>
      <c r="AD24" s="11">
        <v>0</v>
      </c>
      <c r="AE24" s="11">
        <v>0</v>
      </c>
      <c r="AF24" s="261"/>
      <c r="AG24" s="261"/>
      <c r="AH24" s="9">
        <f t="shared" si="1"/>
        <v>0</v>
      </c>
      <c r="AI24" s="261"/>
      <c r="AJ24" s="261"/>
      <c r="AK24" s="261"/>
      <c r="AL24" s="261"/>
      <c r="AM24" s="118"/>
      <c r="AN24" s="261"/>
      <c r="AO24" s="11">
        <v>0.85</v>
      </c>
      <c r="AP24" s="11">
        <v>0</v>
      </c>
      <c r="AQ24" s="11">
        <v>0</v>
      </c>
      <c r="AR24" s="11">
        <v>0</v>
      </c>
      <c r="AS24" s="11">
        <v>0</v>
      </c>
      <c r="AT24" s="11">
        <v>0</v>
      </c>
    </row>
    <row r="25" spans="1:46" s="3" customFormat="1">
      <c r="L25" s="5"/>
      <c r="AM25" s="124"/>
    </row>
  </sheetData>
  <sheetProtection autoFilter="0"/>
  <autoFilter ref="A12:IZ24" xr:uid="{00000000-0009-0000-0000-000009000000}"/>
  <customSheetViews>
    <customSheetView guid="{75629C99-8367-48E9-A2A2-D8C49A9E68E3}" scale="80" showAutoFilter="1" hiddenRows="1" topLeftCell="K10">
      <pane xSplit="1" ySplit="3" topLeftCell="AA16" activePane="bottomRight" state="frozen"/>
      <selection pane="bottomRight" activeCell="AE20" sqref="AE20"/>
      <pageMargins left="0" right="0" top="0" bottom="0" header="0" footer="0"/>
      <pageSetup orientation="portrait" r:id="rId1"/>
      <autoFilter ref="A12:IZ25" xr:uid="{EC17D42A-4726-4BB9-818F-AA1152F5BFFB}"/>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24">
    <cfRule type="duplicateValues" dxfId="12" priority="1"/>
  </conditionalFormatting>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T21"/>
  <sheetViews>
    <sheetView topLeftCell="X1" zoomScale="80" zoomScaleNormal="80" workbookViewId="0">
      <selection activeCell="AH22" sqref="AH22:AL2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2090</v>
      </c>
      <c r="B13" s="260" t="s">
        <v>2091</v>
      </c>
      <c r="C13" s="260" t="s">
        <v>1828</v>
      </c>
      <c r="D13" s="260" t="s">
        <v>2062</v>
      </c>
      <c r="E13" s="260" t="s">
        <v>2080</v>
      </c>
      <c r="F13" s="260" t="s">
        <v>2081</v>
      </c>
      <c r="G13" s="260" t="s">
        <v>2082</v>
      </c>
      <c r="H13" s="260" t="s">
        <v>2092</v>
      </c>
      <c r="I13" s="260"/>
      <c r="J13" s="260"/>
      <c r="K13" s="260" t="s">
        <v>2093</v>
      </c>
      <c r="L13" s="260" t="s">
        <v>2094</v>
      </c>
      <c r="M13" s="260" t="s">
        <v>2095</v>
      </c>
      <c r="N13" s="260" t="s">
        <v>123</v>
      </c>
      <c r="O13" s="260" t="s">
        <v>112</v>
      </c>
      <c r="P13" s="10">
        <v>0</v>
      </c>
      <c r="Q13" s="11">
        <v>100</v>
      </c>
      <c r="R13" s="11">
        <f t="shared" ref="R13" si="0">Z13+AH13</f>
        <v>49.45</v>
      </c>
      <c r="S13" s="65" t="s">
        <v>3364</v>
      </c>
      <c r="T13" s="11">
        <v>10</v>
      </c>
      <c r="U13" s="11">
        <v>0</v>
      </c>
      <c r="V13" s="11">
        <v>10</v>
      </c>
      <c r="W13" s="11">
        <v>0</v>
      </c>
      <c r="X13" s="11">
        <v>10</v>
      </c>
      <c r="Y13" s="11">
        <v>0</v>
      </c>
      <c r="Z13" s="11">
        <v>10</v>
      </c>
      <c r="AA13" s="11">
        <v>0</v>
      </c>
      <c r="AB13" s="11" t="s">
        <v>2096</v>
      </c>
      <c r="AC13" s="11">
        <v>0</v>
      </c>
      <c r="AD13" s="11">
        <v>40</v>
      </c>
      <c r="AE13" s="11">
        <v>0</v>
      </c>
      <c r="AF13" s="261">
        <v>39.450000000000003</v>
      </c>
      <c r="AG13" s="261"/>
      <c r="AH13" s="9">
        <f t="shared" ref="AH13" si="1">AF13</f>
        <v>39.450000000000003</v>
      </c>
      <c r="AI13" s="65" t="s">
        <v>3365</v>
      </c>
      <c r="AJ13" s="65" t="s">
        <v>3366</v>
      </c>
      <c r="AK13" s="65" t="s">
        <v>3367</v>
      </c>
      <c r="AL13" s="65" t="s">
        <v>3368</v>
      </c>
      <c r="AM13" s="130"/>
      <c r="AN13" s="65"/>
      <c r="AO13" s="11">
        <v>30</v>
      </c>
      <c r="AP13" s="11">
        <v>0</v>
      </c>
      <c r="AQ13" s="11">
        <v>20</v>
      </c>
      <c r="AR13" s="11">
        <v>0</v>
      </c>
      <c r="AS13" s="11">
        <v>0</v>
      </c>
      <c r="AT13" s="11">
        <v>0</v>
      </c>
    </row>
    <row r="14" spans="1:46" ht="18" customHeight="1">
      <c r="A14" s="260" t="s">
        <v>2090</v>
      </c>
      <c r="B14" s="260" t="s">
        <v>2091</v>
      </c>
      <c r="C14" s="260" t="s">
        <v>2371</v>
      </c>
      <c r="D14" s="260" t="s">
        <v>2372</v>
      </c>
      <c r="E14" s="260" t="s">
        <v>2373</v>
      </c>
      <c r="F14" s="260" t="s">
        <v>2374</v>
      </c>
      <c r="G14" s="260" t="s">
        <v>2375</v>
      </c>
      <c r="H14" s="260" t="s">
        <v>2381</v>
      </c>
      <c r="I14" s="260"/>
      <c r="J14" s="260"/>
      <c r="K14" s="260" t="s">
        <v>2382</v>
      </c>
      <c r="L14" s="260" t="s">
        <v>2383</v>
      </c>
      <c r="M14" s="260" t="s">
        <v>2384</v>
      </c>
      <c r="N14" s="260" t="s">
        <v>111</v>
      </c>
      <c r="O14" s="260" t="s">
        <v>112</v>
      </c>
      <c r="P14" s="10">
        <v>0</v>
      </c>
      <c r="Q14" s="11">
        <v>1</v>
      </c>
      <c r="R14" s="11">
        <f>Z14+AH14</f>
        <v>0.43000000000000005</v>
      </c>
      <c r="S14" s="65" t="s">
        <v>3369</v>
      </c>
      <c r="T14" s="11">
        <v>0.1</v>
      </c>
      <c r="U14" s="11">
        <v>0</v>
      </c>
      <c r="V14" s="11">
        <v>0.1</v>
      </c>
      <c r="W14" s="11">
        <v>0</v>
      </c>
      <c r="X14" s="11">
        <v>0.1</v>
      </c>
      <c r="Y14" s="11">
        <v>0</v>
      </c>
      <c r="Z14" s="11">
        <v>0.1</v>
      </c>
      <c r="AA14" s="11">
        <v>0</v>
      </c>
      <c r="AB14" s="11" t="s">
        <v>2385</v>
      </c>
      <c r="AC14" s="11">
        <v>0</v>
      </c>
      <c r="AD14" s="11">
        <v>0.4</v>
      </c>
      <c r="AE14" s="11">
        <v>0</v>
      </c>
      <c r="AF14" s="261">
        <v>0.33</v>
      </c>
      <c r="AG14" s="261"/>
      <c r="AH14" s="9">
        <f>AF14</f>
        <v>0.33</v>
      </c>
      <c r="AI14" s="65" t="s">
        <v>3370</v>
      </c>
      <c r="AJ14" s="65" t="s">
        <v>3371</v>
      </c>
      <c r="AK14" s="65" t="s">
        <v>3372</v>
      </c>
      <c r="AL14" s="65" t="s">
        <v>3368</v>
      </c>
      <c r="AM14" s="130"/>
      <c r="AN14" s="65"/>
      <c r="AO14" s="11">
        <v>0.3</v>
      </c>
      <c r="AP14" s="11">
        <v>0</v>
      </c>
      <c r="AQ14" s="11">
        <v>0.2</v>
      </c>
      <c r="AR14" s="11">
        <v>0</v>
      </c>
      <c r="AS14" s="11">
        <v>0</v>
      </c>
      <c r="AT14" s="11">
        <v>0</v>
      </c>
    </row>
    <row r="15" spans="1:46" ht="18" customHeight="1">
      <c r="A15" s="260" t="s">
        <v>2090</v>
      </c>
      <c r="B15" s="260" t="s">
        <v>2091</v>
      </c>
      <c r="C15" s="260" t="s">
        <v>2371</v>
      </c>
      <c r="D15" s="260" t="s">
        <v>2372</v>
      </c>
      <c r="E15" s="260" t="s">
        <v>2373</v>
      </c>
      <c r="F15" s="260" t="s">
        <v>2374</v>
      </c>
      <c r="G15" s="260" t="s">
        <v>2375</v>
      </c>
      <c r="H15" s="260" t="s">
        <v>2386</v>
      </c>
      <c r="I15" s="260"/>
      <c r="J15" s="260"/>
      <c r="K15" s="260" t="s">
        <v>2387</v>
      </c>
      <c r="L15" s="260" t="s">
        <v>2388</v>
      </c>
      <c r="M15" s="260" t="s">
        <v>2389</v>
      </c>
      <c r="N15" s="260" t="s">
        <v>111</v>
      </c>
      <c r="O15" s="260" t="s">
        <v>124</v>
      </c>
      <c r="P15" s="10">
        <v>2</v>
      </c>
      <c r="Q15" s="11">
        <v>2</v>
      </c>
      <c r="R15" s="11">
        <f>(Z15+AH15)/2</f>
        <v>1.85</v>
      </c>
      <c r="S15" s="65" t="s">
        <v>3373</v>
      </c>
      <c r="T15" s="11">
        <v>0</v>
      </c>
      <c r="U15" s="11">
        <v>2</v>
      </c>
      <c r="V15" s="11">
        <v>0</v>
      </c>
      <c r="W15" s="11">
        <v>2</v>
      </c>
      <c r="X15" s="11" t="s">
        <v>115</v>
      </c>
      <c r="Y15" s="11">
        <v>2</v>
      </c>
      <c r="Z15" s="11">
        <v>2</v>
      </c>
      <c r="AA15" s="11" t="s">
        <v>2390</v>
      </c>
      <c r="AB15" s="11" t="s">
        <v>2391</v>
      </c>
      <c r="AC15" s="11">
        <v>0</v>
      </c>
      <c r="AD15" s="11">
        <v>0</v>
      </c>
      <c r="AE15" s="11">
        <v>2</v>
      </c>
      <c r="AF15" s="261"/>
      <c r="AG15" s="261">
        <v>1.7</v>
      </c>
      <c r="AH15" s="11">
        <f>AG15</f>
        <v>1.7</v>
      </c>
      <c r="AI15" s="65" t="s">
        <v>3374</v>
      </c>
      <c r="AJ15" s="65" t="s">
        <v>3375</v>
      </c>
      <c r="AK15" s="65" t="s">
        <v>3376</v>
      </c>
      <c r="AL15" s="65" t="s">
        <v>3368</v>
      </c>
      <c r="AM15" s="130"/>
      <c r="AN15" s="65"/>
      <c r="AO15" s="11">
        <v>0</v>
      </c>
      <c r="AP15" s="11">
        <v>2</v>
      </c>
      <c r="AQ15" s="11">
        <v>0</v>
      </c>
      <c r="AR15" s="11">
        <v>2</v>
      </c>
      <c r="AS15" s="11">
        <v>0</v>
      </c>
      <c r="AT15" s="11">
        <v>0</v>
      </c>
    </row>
    <row r="16" spans="1:46" ht="18" customHeight="1">
      <c r="A16" s="260" t="s">
        <v>2090</v>
      </c>
      <c r="B16" s="260" t="s">
        <v>2091</v>
      </c>
      <c r="C16" s="260" t="s">
        <v>2371</v>
      </c>
      <c r="D16" s="260" t="s">
        <v>2372</v>
      </c>
      <c r="E16" s="260" t="s">
        <v>2373</v>
      </c>
      <c r="F16" s="260" t="s">
        <v>2374</v>
      </c>
      <c r="G16" s="260" t="s">
        <v>2375</v>
      </c>
      <c r="H16" s="260" t="s">
        <v>2392</v>
      </c>
      <c r="I16" s="260"/>
      <c r="J16" s="260"/>
      <c r="K16" s="260" t="s">
        <v>2393</v>
      </c>
      <c r="L16" s="260" t="s">
        <v>2394</v>
      </c>
      <c r="M16" s="260" t="s">
        <v>2395</v>
      </c>
      <c r="N16" s="260" t="s">
        <v>111</v>
      </c>
      <c r="O16" s="260" t="s">
        <v>112</v>
      </c>
      <c r="P16" s="10">
        <v>90</v>
      </c>
      <c r="Q16" s="11">
        <v>58</v>
      </c>
      <c r="R16" s="11">
        <f t="shared" ref="R16" si="2">Z16+AH16</f>
        <v>10</v>
      </c>
      <c r="S16" s="261" t="s">
        <v>3377</v>
      </c>
      <c r="T16" s="11">
        <v>20</v>
      </c>
      <c r="U16" s="11">
        <v>0</v>
      </c>
      <c r="V16" s="11">
        <v>0</v>
      </c>
      <c r="W16" s="11">
        <v>0</v>
      </c>
      <c r="X16" s="11">
        <v>0</v>
      </c>
      <c r="Y16" s="11">
        <v>0</v>
      </c>
      <c r="Z16" s="11">
        <v>0</v>
      </c>
      <c r="AA16" s="11"/>
      <c r="AB16" s="11"/>
      <c r="AC16" s="11"/>
      <c r="AD16" s="11">
        <v>10</v>
      </c>
      <c r="AE16" s="11">
        <v>0</v>
      </c>
      <c r="AF16" s="261">
        <v>10</v>
      </c>
      <c r="AG16" s="261">
        <v>0</v>
      </c>
      <c r="AH16" s="9">
        <f t="shared" ref="AH16" si="3">AF16</f>
        <v>10</v>
      </c>
      <c r="AI16" s="261" t="s">
        <v>3378</v>
      </c>
      <c r="AJ16" s="261" t="s">
        <v>3379</v>
      </c>
      <c r="AK16" s="261" t="s">
        <v>3380</v>
      </c>
      <c r="AL16" s="261" t="s">
        <v>3381</v>
      </c>
      <c r="AM16" s="118"/>
      <c r="AN16" s="261"/>
      <c r="AO16" s="11">
        <v>30</v>
      </c>
      <c r="AP16" s="11">
        <v>0</v>
      </c>
      <c r="AQ16" s="11">
        <v>18</v>
      </c>
      <c r="AR16" s="11">
        <v>0</v>
      </c>
      <c r="AS16" s="11">
        <v>0</v>
      </c>
      <c r="AT16" s="11">
        <v>0</v>
      </c>
    </row>
    <row r="17" spans="12:40" s="3" customFormat="1">
      <c r="L17" s="5"/>
      <c r="S17" s="55"/>
      <c r="AF17" s="55"/>
      <c r="AG17" s="55"/>
      <c r="AI17" s="55"/>
      <c r="AJ17" s="55"/>
      <c r="AK17" s="55"/>
      <c r="AL17" s="55"/>
      <c r="AM17" s="121"/>
      <c r="AN17" s="55"/>
    </row>
    <row r="18" spans="12:40">
      <c r="S18" s="56"/>
      <c r="AF18" s="56"/>
      <c r="AG18" s="56"/>
      <c r="AI18" s="56"/>
      <c r="AJ18" s="56"/>
      <c r="AK18" s="56"/>
      <c r="AL18" s="56"/>
      <c r="AM18" s="126"/>
      <c r="AN18" s="56"/>
    </row>
    <row r="19" spans="12:40">
      <c r="S19" s="56"/>
      <c r="AF19" s="56"/>
      <c r="AG19" s="56"/>
      <c r="AI19" s="56"/>
      <c r="AJ19" s="56"/>
      <c r="AK19" s="56"/>
      <c r="AL19" s="56"/>
      <c r="AM19" s="126"/>
      <c r="AN19" s="56"/>
    </row>
    <row r="20" spans="12:40">
      <c r="S20" s="56"/>
      <c r="AF20" s="56"/>
      <c r="AG20" s="56"/>
      <c r="AI20" s="56"/>
      <c r="AJ20" s="56"/>
      <c r="AK20" s="56"/>
      <c r="AL20" s="56"/>
      <c r="AM20" s="126"/>
      <c r="AN20" s="56"/>
    </row>
    <row r="21" spans="12:40">
      <c r="S21" s="56"/>
      <c r="AF21" s="56"/>
      <c r="AG21" s="56"/>
      <c r="AI21" s="56"/>
      <c r="AJ21" s="56"/>
      <c r="AK21" s="56"/>
      <c r="AL21" s="56"/>
      <c r="AM21" s="126"/>
      <c r="AN21" s="56"/>
    </row>
  </sheetData>
  <sheetProtection algorithmName="SHA-512" hashValue="4ZJDwJBgO2VxRjrCk5qXRyqs7A1faGxcaAoX7n0/pjBYIAGwDrDe40IhCS9YyUB5oofofduMLgxZRWYBA9XuDA==" saltValue="HTNz+QEkVXI/KbSYEV9LqQ==" spinCount="100000" sheet="1" autoFilter="0"/>
  <autoFilter ref="A12:IZ16" xr:uid="{00000000-0009-0000-0000-000006000000}"/>
  <customSheetViews>
    <customSheetView guid="{75629C99-8367-48E9-A2A2-D8C49A9E68E3}" scale="80" showAutoFilter="1" hiddenRows="1" topLeftCell="V10">
      <selection activeCell="K13" sqref="K13:Q16"/>
      <pageMargins left="0" right="0" top="0" bottom="0" header="0" footer="0"/>
      <pageSetup orientation="portrait" r:id="rId1"/>
      <autoFilter ref="A12:IZ16" xr:uid="{6FCA5B88-55AC-4DAC-A2F9-B478F84D8924}"/>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16">
    <cfRule type="duplicateValues" dxfId="11" priority="1"/>
  </conditionalFormatting>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T39"/>
  <sheetViews>
    <sheetView topLeftCell="W7" zoomScale="80" zoomScaleNormal="80" workbookViewId="0">
      <pane ySplit="6" topLeftCell="A13" activePane="bottomLeft" state="frozen"/>
      <selection pane="bottomLeft" activeCell="AI13" sqref="AI13"/>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4" width="12.7109375" customWidth="1"/>
    <col min="35" max="35" width="23.28515625" style="357" customWidth="1"/>
    <col min="36" max="38" width="12.7109375" customWidth="1"/>
    <col min="39" max="39" width="18.28515625" style="119" bestFit="1"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idden="1"/>
    <row r="6" spans="1:46" hidden="1">
      <c r="A6" s="503" t="s">
        <v>3125</v>
      </c>
      <c r="B6" s="503"/>
      <c r="C6" s="503"/>
      <c r="D6" s="1">
        <v>44218</v>
      </c>
    </row>
    <row r="7" spans="1:46" ht="15" thickBot="1">
      <c r="A7" s="503" t="s">
        <v>5</v>
      </c>
      <c r="B7" s="503"/>
      <c r="C7" s="503"/>
      <c r="D7" s="1">
        <v>44255</v>
      </c>
    </row>
    <row r="8" spans="1:46" hidden="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86.45">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356"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1826</v>
      </c>
      <c r="B13" s="260" t="s">
        <v>1827</v>
      </c>
      <c r="C13" s="260" t="s">
        <v>1828</v>
      </c>
      <c r="D13" s="260" t="s">
        <v>1829</v>
      </c>
      <c r="E13" s="260" t="s">
        <v>1830</v>
      </c>
      <c r="F13" s="260" t="s">
        <v>1831</v>
      </c>
      <c r="G13" s="260" t="s">
        <v>1832</v>
      </c>
      <c r="H13" s="260" t="s">
        <v>1833</v>
      </c>
      <c r="I13" s="260"/>
      <c r="J13" s="260"/>
      <c r="K13" s="260" t="s">
        <v>1834</v>
      </c>
      <c r="L13" s="260" t="s">
        <v>1835</v>
      </c>
      <c r="M13" s="260" t="s">
        <v>1836</v>
      </c>
      <c r="N13" s="260" t="s">
        <v>111</v>
      </c>
      <c r="O13" s="260" t="s">
        <v>112</v>
      </c>
      <c r="P13" s="10">
        <v>667</v>
      </c>
      <c r="Q13" s="11">
        <v>150</v>
      </c>
      <c r="R13" s="11">
        <f t="shared" ref="R13:R19" si="0">Z13+AH13</f>
        <v>51</v>
      </c>
      <c r="S13" s="72" t="s">
        <v>3382</v>
      </c>
      <c r="T13" s="11">
        <v>0</v>
      </c>
      <c r="U13" s="11">
        <v>0</v>
      </c>
      <c r="V13" s="11">
        <v>0</v>
      </c>
      <c r="W13" s="11">
        <v>0</v>
      </c>
      <c r="X13" s="11">
        <v>0</v>
      </c>
      <c r="Y13" s="11">
        <v>0</v>
      </c>
      <c r="Z13" s="11">
        <v>0</v>
      </c>
      <c r="AA13" s="11"/>
      <c r="AB13" s="11"/>
      <c r="AC13" s="11"/>
      <c r="AD13" s="11">
        <v>60</v>
      </c>
      <c r="AE13" s="11">
        <v>0</v>
      </c>
      <c r="AF13" s="11">
        <v>51</v>
      </c>
      <c r="AG13" s="11"/>
      <c r="AH13" s="9">
        <f t="shared" ref="AH13:AH19" si="1">AF13</f>
        <v>51</v>
      </c>
      <c r="AI13" s="358" t="s">
        <v>3383</v>
      </c>
      <c r="AJ13" s="195" t="s">
        <v>3384</v>
      </c>
      <c r="AK13" s="195"/>
      <c r="AL13" s="195"/>
      <c r="AM13" s="196"/>
      <c r="AN13" s="195"/>
      <c r="AO13" s="11">
        <v>64</v>
      </c>
      <c r="AP13" s="11">
        <v>0</v>
      </c>
      <c r="AQ13" s="11">
        <v>26</v>
      </c>
      <c r="AR13" s="11">
        <v>0</v>
      </c>
      <c r="AS13" s="11">
        <v>0</v>
      </c>
      <c r="AT13" s="11">
        <v>0</v>
      </c>
    </row>
    <row r="14" spans="1:46" ht="30.75" customHeight="1">
      <c r="A14" s="260" t="s">
        <v>1826</v>
      </c>
      <c r="B14" s="260" t="s">
        <v>1827</v>
      </c>
      <c r="C14" s="260" t="s">
        <v>1828</v>
      </c>
      <c r="D14" s="260" t="s">
        <v>1829</v>
      </c>
      <c r="E14" s="260" t="s">
        <v>1830</v>
      </c>
      <c r="F14" s="260" t="s">
        <v>1837</v>
      </c>
      <c r="G14" s="260" t="s">
        <v>1838</v>
      </c>
      <c r="H14" s="260" t="s">
        <v>1839</v>
      </c>
      <c r="I14" s="260"/>
      <c r="J14" s="260"/>
      <c r="K14" s="260" t="s">
        <v>1840</v>
      </c>
      <c r="L14" s="260" t="s">
        <v>1841</v>
      </c>
      <c r="M14" s="260" t="s">
        <v>1842</v>
      </c>
      <c r="N14" s="260" t="s">
        <v>111</v>
      </c>
      <c r="O14" s="260" t="s">
        <v>112</v>
      </c>
      <c r="P14" s="10">
        <v>2</v>
      </c>
      <c r="Q14" s="11">
        <v>6</v>
      </c>
      <c r="R14" s="11">
        <f t="shared" si="0"/>
        <v>2</v>
      </c>
      <c r="S14" s="66" t="s">
        <v>3385</v>
      </c>
      <c r="T14" s="11">
        <v>1</v>
      </c>
      <c r="U14" s="11">
        <v>0</v>
      </c>
      <c r="V14" s="11">
        <v>1</v>
      </c>
      <c r="W14" s="11">
        <v>0</v>
      </c>
      <c r="X14" s="11">
        <v>0</v>
      </c>
      <c r="Y14" s="11">
        <v>0</v>
      </c>
      <c r="Z14" s="11">
        <v>0</v>
      </c>
      <c r="AA14" s="11"/>
      <c r="AB14" s="11"/>
      <c r="AC14" s="11"/>
      <c r="AD14" s="346">
        <v>3</v>
      </c>
      <c r="AE14" s="11">
        <v>0</v>
      </c>
      <c r="AF14" s="261">
        <v>2</v>
      </c>
      <c r="AG14" s="261"/>
      <c r="AH14" s="345">
        <f t="shared" si="1"/>
        <v>2</v>
      </c>
      <c r="AI14" s="355" t="s">
        <v>3386</v>
      </c>
      <c r="AJ14" s="72" t="s">
        <v>3387</v>
      </c>
      <c r="AK14" s="72"/>
      <c r="AL14" s="72"/>
      <c r="AM14" s="131"/>
      <c r="AN14" s="72"/>
      <c r="AO14" s="11">
        <v>2</v>
      </c>
      <c r="AP14" s="11">
        <v>0</v>
      </c>
      <c r="AQ14" s="11">
        <v>0</v>
      </c>
      <c r="AR14" s="11">
        <v>0</v>
      </c>
      <c r="AS14" s="11">
        <v>0</v>
      </c>
      <c r="AT14" s="11">
        <v>0</v>
      </c>
    </row>
    <row r="15" spans="1:46" ht="18" customHeight="1">
      <c r="A15" s="260" t="s">
        <v>1826</v>
      </c>
      <c r="B15" s="260" t="s">
        <v>1827</v>
      </c>
      <c r="C15" s="260" t="s">
        <v>1828</v>
      </c>
      <c r="D15" s="260" t="s">
        <v>1829</v>
      </c>
      <c r="E15" s="260" t="s">
        <v>1830</v>
      </c>
      <c r="F15" s="260" t="s">
        <v>1843</v>
      </c>
      <c r="G15" s="260" t="s">
        <v>1844</v>
      </c>
      <c r="H15" s="260" t="s">
        <v>1845</v>
      </c>
      <c r="I15" s="260"/>
      <c r="J15" s="260"/>
      <c r="K15" s="260" t="s">
        <v>1846</v>
      </c>
      <c r="L15" s="260" t="s">
        <v>1847</v>
      </c>
      <c r="M15" s="260" t="s">
        <v>1848</v>
      </c>
      <c r="N15" s="260" t="s">
        <v>111</v>
      </c>
      <c r="O15" s="260" t="s">
        <v>112</v>
      </c>
      <c r="P15" s="10">
        <v>3</v>
      </c>
      <c r="Q15" s="11">
        <v>2</v>
      </c>
      <c r="R15" s="11">
        <f t="shared" si="0"/>
        <v>2</v>
      </c>
      <c r="S15" s="66" t="s">
        <v>3388</v>
      </c>
      <c r="T15" s="11">
        <v>0</v>
      </c>
      <c r="U15" s="11">
        <v>0</v>
      </c>
      <c r="V15" s="11">
        <v>0</v>
      </c>
      <c r="W15" s="11">
        <v>0</v>
      </c>
      <c r="X15" s="11">
        <v>0</v>
      </c>
      <c r="Y15" s="11">
        <v>0</v>
      </c>
      <c r="Z15" s="11">
        <v>0</v>
      </c>
      <c r="AA15" s="11"/>
      <c r="AB15" s="11"/>
      <c r="AC15" s="11"/>
      <c r="AD15" s="346">
        <v>1</v>
      </c>
      <c r="AE15" s="11">
        <v>0</v>
      </c>
      <c r="AF15" s="261">
        <v>2</v>
      </c>
      <c r="AG15" s="261"/>
      <c r="AH15" s="345">
        <f t="shared" si="1"/>
        <v>2</v>
      </c>
      <c r="AI15" s="355" t="s">
        <v>3389</v>
      </c>
      <c r="AJ15" s="66" t="s">
        <v>3390</v>
      </c>
      <c r="AK15" s="72"/>
      <c r="AL15" s="72"/>
      <c r="AM15" s="131"/>
      <c r="AN15" s="72"/>
      <c r="AO15" s="11">
        <v>1</v>
      </c>
      <c r="AP15" s="11">
        <v>0</v>
      </c>
      <c r="AQ15" s="11">
        <v>0</v>
      </c>
      <c r="AR15" s="11">
        <v>0</v>
      </c>
      <c r="AS15" s="11">
        <v>0</v>
      </c>
      <c r="AT15" s="11">
        <v>0</v>
      </c>
    </row>
    <row r="16" spans="1:46" s="354" customFormat="1" ht="38.25" customHeight="1">
      <c r="A16" s="347" t="s">
        <v>1826</v>
      </c>
      <c r="B16" s="347" t="s">
        <v>1827</v>
      </c>
      <c r="C16" s="347" t="s">
        <v>1828</v>
      </c>
      <c r="D16" s="347" t="s">
        <v>1829</v>
      </c>
      <c r="E16" s="347" t="s">
        <v>1830</v>
      </c>
      <c r="F16" s="347" t="s">
        <v>1849</v>
      </c>
      <c r="G16" s="347" t="s">
        <v>1850</v>
      </c>
      <c r="H16" s="347" t="s">
        <v>1851</v>
      </c>
      <c r="I16" s="347"/>
      <c r="J16" s="347"/>
      <c r="K16" s="347" t="s">
        <v>1852</v>
      </c>
      <c r="L16" s="347" t="s">
        <v>1853</v>
      </c>
      <c r="M16" s="347" t="s">
        <v>1854</v>
      </c>
      <c r="N16" s="347" t="s">
        <v>111</v>
      </c>
      <c r="O16" s="347" t="s">
        <v>112</v>
      </c>
      <c r="P16" s="348">
        <v>4</v>
      </c>
      <c r="Q16" s="349">
        <v>4</v>
      </c>
      <c r="R16" s="349">
        <f t="shared" si="0"/>
        <v>1</v>
      </c>
      <c r="S16" s="350" t="s">
        <v>3391</v>
      </c>
      <c r="T16" s="349">
        <v>0.5</v>
      </c>
      <c r="U16" s="349">
        <v>0</v>
      </c>
      <c r="V16" s="349">
        <v>0.5</v>
      </c>
      <c r="W16" s="349">
        <v>0</v>
      </c>
      <c r="X16" s="349">
        <v>0.5</v>
      </c>
      <c r="Y16" s="349">
        <v>0</v>
      </c>
      <c r="Z16" s="349">
        <v>0.5</v>
      </c>
      <c r="AA16" s="349">
        <v>0</v>
      </c>
      <c r="AB16" s="349"/>
      <c r="AC16" s="349">
        <v>0</v>
      </c>
      <c r="AD16" s="349">
        <v>0.5</v>
      </c>
      <c r="AE16" s="349">
        <v>0</v>
      </c>
      <c r="AF16" s="351">
        <v>0.5</v>
      </c>
      <c r="AG16" s="351"/>
      <c r="AH16" s="352">
        <f t="shared" si="1"/>
        <v>0.5</v>
      </c>
      <c r="AI16" s="355" t="s">
        <v>3392</v>
      </c>
      <c r="AJ16" s="350" t="s">
        <v>3393</v>
      </c>
      <c r="AK16" s="350" t="s">
        <v>3394</v>
      </c>
      <c r="AL16" s="351"/>
      <c r="AM16" s="353"/>
      <c r="AN16" s="351"/>
      <c r="AO16" s="349">
        <v>2</v>
      </c>
      <c r="AP16" s="349">
        <v>0</v>
      </c>
      <c r="AQ16" s="349">
        <v>1</v>
      </c>
      <c r="AR16" s="349">
        <v>0</v>
      </c>
      <c r="AS16" s="349">
        <v>0</v>
      </c>
      <c r="AT16" s="349">
        <v>0</v>
      </c>
    </row>
    <row r="17" spans="1:46" ht="18" customHeight="1">
      <c r="A17" s="260" t="s">
        <v>1826</v>
      </c>
      <c r="B17" s="260" t="s">
        <v>1827</v>
      </c>
      <c r="C17" s="260" t="s">
        <v>1828</v>
      </c>
      <c r="D17" s="260" t="s">
        <v>1829</v>
      </c>
      <c r="E17" s="260" t="s">
        <v>1830</v>
      </c>
      <c r="F17" s="260" t="s">
        <v>1855</v>
      </c>
      <c r="G17" s="260" t="s">
        <v>1856</v>
      </c>
      <c r="H17" s="260" t="s">
        <v>1857</v>
      </c>
      <c r="I17" s="260"/>
      <c r="J17" s="260"/>
      <c r="K17" s="260" t="s">
        <v>1858</v>
      </c>
      <c r="L17" s="260" t="s">
        <v>1859</v>
      </c>
      <c r="M17" s="260" t="s">
        <v>1860</v>
      </c>
      <c r="N17" s="260" t="s">
        <v>111</v>
      </c>
      <c r="O17" s="260" t="s">
        <v>112</v>
      </c>
      <c r="P17" s="10">
        <v>51541.01</v>
      </c>
      <c r="Q17" s="11">
        <v>10000</v>
      </c>
      <c r="R17" s="11">
        <f t="shared" si="0"/>
        <v>1311.69</v>
      </c>
      <c r="S17" s="197" t="s">
        <v>3395</v>
      </c>
      <c r="T17" s="11">
        <v>1500</v>
      </c>
      <c r="U17" s="11">
        <v>0</v>
      </c>
      <c r="V17" s="11">
        <v>1500</v>
      </c>
      <c r="W17" s="11">
        <v>0</v>
      </c>
      <c r="X17" s="11">
        <v>97.94</v>
      </c>
      <c r="Y17" s="11">
        <v>0</v>
      </c>
      <c r="Z17" s="11">
        <v>97.94</v>
      </c>
      <c r="AA17" s="11">
        <v>0</v>
      </c>
      <c r="AB17" s="11" t="s">
        <v>1861</v>
      </c>
      <c r="AC17" s="11">
        <v>0</v>
      </c>
      <c r="AD17" s="11">
        <v>3500</v>
      </c>
      <c r="AE17" s="11">
        <v>0</v>
      </c>
      <c r="AF17" s="261">
        <v>1213.75</v>
      </c>
      <c r="AG17" s="261"/>
      <c r="AH17" s="9">
        <f t="shared" si="1"/>
        <v>1213.75</v>
      </c>
      <c r="AI17" s="355" t="s">
        <v>3396</v>
      </c>
      <c r="AJ17" s="66" t="s">
        <v>3397</v>
      </c>
      <c r="AK17" s="72" t="s">
        <v>3398</v>
      </c>
      <c r="AL17" s="72"/>
      <c r="AM17" s="131"/>
      <c r="AN17" s="72"/>
      <c r="AO17" s="11">
        <v>3500</v>
      </c>
      <c r="AP17" s="11">
        <v>0</v>
      </c>
      <c r="AQ17" s="11">
        <v>1500</v>
      </c>
      <c r="AR17" s="11">
        <v>0</v>
      </c>
      <c r="AS17" s="11">
        <v>0</v>
      </c>
      <c r="AT17" s="11">
        <v>0</v>
      </c>
    </row>
    <row r="18" spans="1:46" ht="35.25" customHeight="1">
      <c r="A18" s="260" t="s">
        <v>1826</v>
      </c>
      <c r="B18" s="260" t="s">
        <v>1827</v>
      </c>
      <c r="C18" s="260" t="s">
        <v>1828</v>
      </c>
      <c r="D18" s="260" t="s">
        <v>1829</v>
      </c>
      <c r="E18" s="260" t="s">
        <v>1830</v>
      </c>
      <c r="F18" s="260" t="s">
        <v>1862</v>
      </c>
      <c r="G18" s="260" t="s">
        <v>1863</v>
      </c>
      <c r="H18" s="260" t="s">
        <v>1864</v>
      </c>
      <c r="I18" s="260"/>
      <c r="J18" s="260"/>
      <c r="K18" s="260" t="s">
        <v>1865</v>
      </c>
      <c r="L18" s="260" t="s">
        <v>1866</v>
      </c>
      <c r="M18" s="260" t="s">
        <v>1867</v>
      </c>
      <c r="N18" s="260" t="s">
        <v>111</v>
      </c>
      <c r="O18" s="260" t="s">
        <v>112</v>
      </c>
      <c r="P18" s="10">
        <v>961985</v>
      </c>
      <c r="Q18" s="11">
        <v>1000000</v>
      </c>
      <c r="R18" s="11">
        <f t="shared" si="0"/>
        <v>322074</v>
      </c>
      <c r="S18" s="72" t="s">
        <v>3399</v>
      </c>
      <c r="T18" s="11">
        <v>150000</v>
      </c>
      <c r="U18" s="11">
        <v>0</v>
      </c>
      <c r="V18" s="11">
        <v>40000</v>
      </c>
      <c r="W18" s="11">
        <v>0</v>
      </c>
      <c r="X18" s="11">
        <v>35050</v>
      </c>
      <c r="Y18" s="11">
        <v>0</v>
      </c>
      <c r="Z18" s="11">
        <v>35050</v>
      </c>
      <c r="AA18" s="11">
        <v>0</v>
      </c>
      <c r="AB18" s="11" t="s">
        <v>1868</v>
      </c>
      <c r="AC18" s="11">
        <v>0</v>
      </c>
      <c r="AD18" s="11">
        <v>300000</v>
      </c>
      <c r="AE18" s="11">
        <v>0</v>
      </c>
      <c r="AF18" s="261">
        <v>287024</v>
      </c>
      <c r="AG18" s="261"/>
      <c r="AH18" s="9">
        <f t="shared" si="1"/>
        <v>287024</v>
      </c>
      <c r="AI18" s="360" t="s">
        <v>3400</v>
      </c>
      <c r="AJ18" s="66" t="s">
        <v>3401</v>
      </c>
      <c r="AK18" s="72" t="s">
        <v>3402</v>
      </c>
      <c r="AL18" s="72" t="s">
        <v>3403</v>
      </c>
      <c r="AM18" s="131"/>
      <c r="AN18" s="72"/>
      <c r="AO18" s="11">
        <v>400000</v>
      </c>
      <c r="AP18" s="11">
        <v>0</v>
      </c>
      <c r="AQ18" s="11">
        <v>2600000</v>
      </c>
      <c r="AR18" s="11">
        <v>0</v>
      </c>
      <c r="AS18" s="11">
        <v>0</v>
      </c>
      <c r="AT18" s="11">
        <v>0</v>
      </c>
    </row>
    <row r="19" spans="1:46" ht="18" customHeight="1">
      <c r="A19" s="260" t="s">
        <v>1826</v>
      </c>
      <c r="B19" s="260" t="s">
        <v>1827</v>
      </c>
      <c r="C19" s="260" t="s">
        <v>1828</v>
      </c>
      <c r="D19" s="260" t="s">
        <v>1829</v>
      </c>
      <c r="E19" s="260" t="s">
        <v>1830</v>
      </c>
      <c r="F19" s="260" t="s">
        <v>1869</v>
      </c>
      <c r="G19" s="260" t="s">
        <v>1870</v>
      </c>
      <c r="H19" s="260" t="s">
        <v>1871</v>
      </c>
      <c r="I19" s="260"/>
      <c r="J19" s="260"/>
      <c r="K19" s="260" t="s">
        <v>1872</v>
      </c>
      <c r="L19" s="260" t="s">
        <v>1873</v>
      </c>
      <c r="M19" s="260" t="s">
        <v>1848</v>
      </c>
      <c r="N19" s="260" t="s">
        <v>111</v>
      </c>
      <c r="O19" s="260" t="s">
        <v>112</v>
      </c>
      <c r="P19" s="10">
        <v>52</v>
      </c>
      <c r="Q19" s="11">
        <v>6</v>
      </c>
      <c r="R19" s="11">
        <f t="shared" si="0"/>
        <v>5</v>
      </c>
      <c r="S19" s="66" t="s">
        <v>3404</v>
      </c>
      <c r="T19" s="11">
        <v>0</v>
      </c>
      <c r="U19" s="11">
        <v>0</v>
      </c>
      <c r="V19" s="11">
        <v>0</v>
      </c>
      <c r="W19" s="11">
        <v>0</v>
      </c>
      <c r="X19" s="11">
        <v>0</v>
      </c>
      <c r="Y19" s="11">
        <v>0</v>
      </c>
      <c r="Z19" s="11">
        <v>0</v>
      </c>
      <c r="AA19" s="11"/>
      <c r="AB19" s="11"/>
      <c r="AC19" s="11"/>
      <c r="AD19" s="346">
        <v>3</v>
      </c>
      <c r="AE19" s="11">
        <v>0</v>
      </c>
      <c r="AF19" s="261">
        <v>5</v>
      </c>
      <c r="AG19" s="261"/>
      <c r="AH19" s="345">
        <f t="shared" si="1"/>
        <v>5</v>
      </c>
      <c r="AI19" s="355" t="s">
        <v>3405</v>
      </c>
      <c r="AJ19" s="66" t="s">
        <v>3406</v>
      </c>
      <c r="AK19" s="72"/>
      <c r="AL19" s="72"/>
      <c r="AM19" s="131"/>
      <c r="AN19" s="72"/>
      <c r="AO19" s="11">
        <v>3</v>
      </c>
      <c r="AP19" s="11">
        <v>0</v>
      </c>
      <c r="AQ19" s="11">
        <v>0</v>
      </c>
      <c r="AR19" s="11">
        <v>0</v>
      </c>
      <c r="AS19" s="11">
        <v>0</v>
      </c>
      <c r="AT19" s="11">
        <v>0</v>
      </c>
    </row>
    <row r="20" spans="1:46" s="354" customFormat="1" ht="35.25" customHeight="1">
      <c r="A20" s="347" t="s">
        <v>1826</v>
      </c>
      <c r="B20" s="347" t="s">
        <v>1827</v>
      </c>
      <c r="C20" s="347" t="s">
        <v>1828</v>
      </c>
      <c r="D20" s="347" t="s">
        <v>1829</v>
      </c>
      <c r="E20" s="347" t="s">
        <v>1830</v>
      </c>
      <c r="F20" s="347" t="s">
        <v>1837</v>
      </c>
      <c r="G20" s="347" t="s">
        <v>1838</v>
      </c>
      <c r="H20" s="347" t="s">
        <v>1888</v>
      </c>
      <c r="I20" s="347"/>
      <c r="J20" s="347"/>
      <c r="K20" s="347" t="s">
        <v>1889</v>
      </c>
      <c r="L20" s="347" t="s">
        <v>1890</v>
      </c>
      <c r="M20" s="347" t="s">
        <v>1891</v>
      </c>
      <c r="N20" s="347" t="s">
        <v>123</v>
      </c>
      <c r="O20" s="347" t="s">
        <v>124</v>
      </c>
      <c r="P20" s="348">
        <v>100</v>
      </c>
      <c r="Q20" s="349">
        <v>100</v>
      </c>
      <c r="R20" s="349">
        <f t="shared" ref="R20" si="2">(Z20+AH20)/2</f>
        <v>97.814999999999998</v>
      </c>
      <c r="S20" s="350" t="s">
        <v>3407</v>
      </c>
      <c r="T20" s="349">
        <v>0</v>
      </c>
      <c r="U20" s="349">
        <v>100</v>
      </c>
      <c r="V20" s="349">
        <v>0</v>
      </c>
      <c r="W20" s="349">
        <v>100</v>
      </c>
      <c r="X20" s="349" t="s">
        <v>115</v>
      </c>
      <c r="Y20" s="349">
        <v>100</v>
      </c>
      <c r="Z20" s="349">
        <v>100</v>
      </c>
      <c r="AA20" s="349" t="s">
        <v>1892</v>
      </c>
      <c r="AB20" s="349" t="s">
        <v>1893</v>
      </c>
      <c r="AC20" s="349">
        <v>0</v>
      </c>
      <c r="AD20" s="349">
        <v>0</v>
      </c>
      <c r="AE20" s="349">
        <v>100</v>
      </c>
      <c r="AF20" s="351"/>
      <c r="AG20" s="351">
        <v>95.63</v>
      </c>
      <c r="AH20" s="349">
        <f t="shared" ref="AH20" si="3">AG20</f>
        <v>95.63</v>
      </c>
      <c r="AI20" s="355" t="s">
        <v>3408</v>
      </c>
      <c r="AJ20" s="350" t="s">
        <v>3409</v>
      </c>
      <c r="AK20" s="351"/>
      <c r="AL20" s="351"/>
      <c r="AM20" s="353"/>
      <c r="AN20" s="351"/>
      <c r="AO20" s="349">
        <v>0</v>
      </c>
      <c r="AP20" s="349">
        <v>100</v>
      </c>
      <c r="AQ20" s="349">
        <v>0</v>
      </c>
      <c r="AR20" s="349">
        <v>100</v>
      </c>
      <c r="AS20" s="349">
        <v>0</v>
      </c>
      <c r="AT20" s="349">
        <v>0</v>
      </c>
    </row>
    <row r="21" spans="1:46" s="354" customFormat="1" ht="57.75" customHeight="1">
      <c r="A21" s="347" t="s">
        <v>1826</v>
      </c>
      <c r="B21" s="347" t="s">
        <v>1827</v>
      </c>
      <c r="C21" s="347" t="s">
        <v>1828</v>
      </c>
      <c r="D21" s="347" t="s">
        <v>1829</v>
      </c>
      <c r="E21" s="347" t="s">
        <v>1959</v>
      </c>
      <c r="F21" s="347" t="s">
        <v>1960</v>
      </c>
      <c r="G21" s="347" t="s">
        <v>1961</v>
      </c>
      <c r="H21" s="347" t="s">
        <v>1966</v>
      </c>
      <c r="I21" s="347"/>
      <c r="J21" s="347"/>
      <c r="K21" s="347" t="s">
        <v>1967</v>
      </c>
      <c r="L21" s="347" t="s">
        <v>1968</v>
      </c>
      <c r="M21" s="347" t="s">
        <v>1969</v>
      </c>
      <c r="N21" s="347" t="s">
        <v>111</v>
      </c>
      <c r="O21" s="347" t="s">
        <v>112</v>
      </c>
      <c r="P21" s="348">
        <v>5</v>
      </c>
      <c r="Q21" s="349">
        <v>2</v>
      </c>
      <c r="R21" s="349">
        <f t="shared" ref="R21:R22" si="4">Z21+AH21</f>
        <v>1</v>
      </c>
      <c r="S21" s="350" t="s">
        <v>3410</v>
      </c>
      <c r="T21" s="349">
        <v>0.2</v>
      </c>
      <c r="U21" s="349">
        <v>0</v>
      </c>
      <c r="V21" s="349">
        <v>0.2</v>
      </c>
      <c r="W21" s="349">
        <v>0</v>
      </c>
      <c r="X21" s="349">
        <v>0.2</v>
      </c>
      <c r="Y21" s="349">
        <v>0</v>
      </c>
      <c r="Z21" s="349">
        <v>0.2</v>
      </c>
      <c r="AA21" s="349">
        <v>0</v>
      </c>
      <c r="AB21" s="349"/>
      <c r="AC21" s="349">
        <v>0</v>
      </c>
      <c r="AD21" s="349">
        <v>0.8</v>
      </c>
      <c r="AE21" s="349">
        <v>0</v>
      </c>
      <c r="AF21" s="351">
        <v>0.8</v>
      </c>
      <c r="AG21" s="351"/>
      <c r="AH21" s="352">
        <f t="shared" ref="AH21:AH22" si="5">AF21</f>
        <v>0.8</v>
      </c>
      <c r="AI21" s="355" t="s">
        <v>3411</v>
      </c>
      <c r="AJ21" s="350" t="s">
        <v>3412</v>
      </c>
      <c r="AK21" s="351"/>
      <c r="AL21" s="351"/>
      <c r="AM21" s="353"/>
      <c r="AN21" s="351"/>
      <c r="AO21" s="349">
        <v>1</v>
      </c>
      <c r="AP21" s="349">
        <v>0</v>
      </c>
      <c r="AQ21" s="349">
        <v>0</v>
      </c>
      <c r="AR21" s="349">
        <v>0</v>
      </c>
      <c r="AS21" s="349">
        <v>0</v>
      </c>
      <c r="AT21" s="349">
        <v>0</v>
      </c>
    </row>
    <row r="22" spans="1:46" s="354" customFormat="1" ht="65.25" customHeight="1">
      <c r="A22" s="347" t="s">
        <v>1826</v>
      </c>
      <c r="B22" s="347" t="s">
        <v>1827</v>
      </c>
      <c r="C22" s="347" t="s">
        <v>1828</v>
      </c>
      <c r="D22" s="347" t="s">
        <v>1829</v>
      </c>
      <c r="E22" s="347" t="s">
        <v>1959</v>
      </c>
      <c r="F22" s="347" t="s">
        <v>1960</v>
      </c>
      <c r="G22" s="347" t="s">
        <v>1961</v>
      </c>
      <c r="H22" s="347" t="s">
        <v>1970</v>
      </c>
      <c r="I22" s="347"/>
      <c r="J22" s="347"/>
      <c r="K22" s="347" t="s">
        <v>1971</v>
      </c>
      <c r="L22" s="347" t="s">
        <v>1972</v>
      </c>
      <c r="M22" s="347" t="s">
        <v>1973</v>
      </c>
      <c r="N22" s="347" t="s">
        <v>111</v>
      </c>
      <c r="O22" s="347" t="s">
        <v>112</v>
      </c>
      <c r="P22" s="348">
        <v>22</v>
      </c>
      <c r="Q22" s="349">
        <v>15</v>
      </c>
      <c r="R22" s="349">
        <f t="shared" si="4"/>
        <v>11</v>
      </c>
      <c r="S22" s="350" t="s">
        <v>3413</v>
      </c>
      <c r="T22" s="349">
        <v>3</v>
      </c>
      <c r="U22" s="349">
        <v>0</v>
      </c>
      <c r="V22" s="349">
        <v>3</v>
      </c>
      <c r="W22" s="349">
        <v>0</v>
      </c>
      <c r="X22" s="349">
        <v>3</v>
      </c>
      <c r="Y22" s="349">
        <v>0</v>
      </c>
      <c r="Z22" s="349">
        <v>3</v>
      </c>
      <c r="AA22" s="349">
        <v>0</v>
      </c>
      <c r="AB22" s="349"/>
      <c r="AC22" s="349">
        <v>0</v>
      </c>
      <c r="AD22" s="362">
        <v>4</v>
      </c>
      <c r="AE22" s="349">
        <v>0</v>
      </c>
      <c r="AF22" s="351">
        <v>8</v>
      </c>
      <c r="AG22" s="351"/>
      <c r="AH22" s="352">
        <f t="shared" si="5"/>
        <v>8</v>
      </c>
      <c r="AI22" s="355" t="s">
        <v>3414</v>
      </c>
      <c r="AJ22" s="350" t="s">
        <v>3415</v>
      </c>
      <c r="AK22" s="351"/>
      <c r="AL22" s="351"/>
      <c r="AM22" s="353"/>
      <c r="AN22" s="351"/>
      <c r="AO22" s="349">
        <v>4</v>
      </c>
      <c r="AP22" s="349">
        <v>0</v>
      </c>
      <c r="AQ22" s="349">
        <v>4</v>
      </c>
      <c r="AR22" s="349">
        <v>0</v>
      </c>
      <c r="AS22" s="349">
        <v>0</v>
      </c>
      <c r="AT22" s="349">
        <v>0</v>
      </c>
    </row>
    <row r="23" spans="1:46" s="354" customFormat="1" ht="35.25" customHeight="1">
      <c r="A23" s="347" t="s">
        <v>1826</v>
      </c>
      <c r="B23" s="347" t="s">
        <v>1827</v>
      </c>
      <c r="C23" s="347" t="s">
        <v>1828</v>
      </c>
      <c r="D23" s="347" t="s">
        <v>1829</v>
      </c>
      <c r="E23" s="347" t="s">
        <v>1959</v>
      </c>
      <c r="F23" s="347" t="s">
        <v>1960</v>
      </c>
      <c r="G23" s="347" t="s">
        <v>1961</v>
      </c>
      <c r="H23" s="347" t="s">
        <v>1974</v>
      </c>
      <c r="I23" s="347"/>
      <c r="J23" s="347"/>
      <c r="K23" s="347" t="s">
        <v>1975</v>
      </c>
      <c r="L23" s="347" t="s">
        <v>1976</v>
      </c>
      <c r="M23" s="347" t="s">
        <v>1977</v>
      </c>
      <c r="N23" s="347" t="s">
        <v>111</v>
      </c>
      <c r="O23" s="347" t="s">
        <v>124</v>
      </c>
      <c r="P23" s="348">
        <v>1</v>
      </c>
      <c r="Q23" s="349">
        <v>1</v>
      </c>
      <c r="R23" s="349">
        <f>(Z23+AH23)/2</f>
        <v>0.5</v>
      </c>
      <c r="S23" s="363" t="s">
        <v>3416</v>
      </c>
      <c r="T23" s="349">
        <v>0</v>
      </c>
      <c r="U23" s="349">
        <v>1</v>
      </c>
      <c r="V23" s="349">
        <v>0</v>
      </c>
      <c r="W23" s="349">
        <v>1</v>
      </c>
      <c r="X23" s="349" t="s">
        <v>115</v>
      </c>
      <c r="Y23" s="349">
        <v>0</v>
      </c>
      <c r="Z23" s="349">
        <v>0</v>
      </c>
      <c r="AA23" s="349"/>
      <c r="AB23" s="349" t="s">
        <v>1978</v>
      </c>
      <c r="AC23" s="349"/>
      <c r="AD23" s="349">
        <v>0</v>
      </c>
      <c r="AE23" s="349">
        <v>1</v>
      </c>
      <c r="AF23" s="351"/>
      <c r="AG23" s="351">
        <f>0.5+0.5</f>
        <v>1</v>
      </c>
      <c r="AH23" s="364">
        <f>AG23</f>
        <v>1</v>
      </c>
      <c r="AI23" s="355" t="s">
        <v>3417</v>
      </c>
      <c r="AJ23" s="350" t="s">
        <v>3418</v>
      </c>
      <c r="AK23" s="351"/>
      <c r="AL23" s="351"/>
      <c r="AM23" s="353"/>
      <c r="AN23" s="351"/>
      <c r="AO23" s="349">
        <v>0</v>
      </c>
      <c r="AP23" s="349">
        <v>1</v>
      </c>
      <c r="AQ23" s="349">
        <v>0</v>
      </c>
      <c r="AR23" s="349">
        <v>1</v>
      </c>
      <c r="AS23" s="349">
        <v>0</v>
      </c>
      <c r="AT23" s="349">
        <v>0</v>
      </c>
    </row>
    <row r="24" spans="1:46" s="354" customFormat="1" ht="49.5" customHeight="1">
      <c r="A24" s="347" t="s">
        <v>1826</v>
      </c>
      <c r="B24" s="347" t="s">
        <v>1827</v>
      </c>
      <c r="C24" s="347" t="s">
        <v>1828</v>
      </c>
      <c r="D24" s="347" t="s">
        <v>1829</v>
      </c>
      <c r="E24" s="347" t="s">
        <v>1959</v>
      </c>
      <c r="F24" s="347" t="s">
        <v>1960</v>
      </c>
      <c r="G24" s="347" t="s">
        <v>1961</v>
      </c>
      <c r="H24" s="347" t="s">
        <v>1979</v>
      </c>
      <c r="I24" s="347"/>
      <c r="J24" s="347"/>
      <c r="K24" s="347" t="s">
        <v>1980</v>
      </c>
      <c r="L24" s="347" t="s">
        <v>1981</v>
      </c>
      <c r="M24" s="347" t="s">
        <v>1982</v>
      </c>
      <c r="N24" s="347" t="s">
        <v>111</v>
      </c>
      <c r="O24" s="347" t="s">
        <v>112</v>
      </c>
      <c r="P24" s="348">
        <v>17</v>
      </c>
      <c r="Q24" s="349">
        <v>30</v>
      </c>
      <c r="R24" s="349">
        <f t="shared" ref="R24:R38" si="6">Z24+AH24</f>
        <v>13</v>
      </c>
      <c r="S24" s="363" t="s">
        <v>3419</v>
      </c>
      <c r="T24" s="349">
        <v>3</v>
      </c>
      <c r="U24" s="349">
        <v>0</v>
      </c>
      <c r="V24" s="349">
        <v>3</v>
      </c>
      <c r="W24" s="349">
        <v>0</v>
      </c>
      <c r="X24" s="349">
        <v>3</v>
      </c>
      <c r="Y24" s="349">
        <v>0</v>
      </c>
      <c r="Z24" s="349">
        <v>3</v>
      </c>
      <c r="AA24" s="349">
        <v>0</v>
      </c>
      <c r="AB24" s="349" t="s">
        <v>1983</v>
      </c>
      <c r="AC24" s="349">
        <v>0</v>
      </c>
      <c r="AD24" s="349">
        <v>13</v>
      </c>
      <c r="AE24" s="349">
        <v>0</v>
      </c>
      <c r="AF24" s="351">
        <v>10</v>
      </c>
      <c r="AG24" s="351"/>
      <c r="AH24" s="365">
        <f t="shared" ref="AH24:AH25" si="7">AF24</f>
        <v>10</v>
      </c>
      <c r="AI24" s="360" t="s">
        <v>3420</v>
      </c>
      <c r="AJ24" s="350" t="s">
        <v>3421</v>
      </c>
      <c r="AK24" s="351"/>
      <c r="AL24" s="351"/>
      <c r="AM24" s="353"/>
      <c r="AN24" s="351"/>
      <c r="AO24" s="349">
        <v>12</v>
      </c>
      <c r="AP24" s="349">
        <v>0</v>
      </c>
      <c r="AQ24" s="349">
        <v>2</v>
      </c>
      <c r="AR24" s="349">
        <v>0</v>
      </c>
      <c r="AS24" s="349">
        <v>0</v>
      </c>
      <c r="AT24" s="349">
        <v>0</v>
      </c>
    </row>
    <row r="25" spans="1:46" ht="18" customHeight="1">
      <c r="A25" s="260" t="s">
        <v>1826</v>
      </c>
      <c r="B25" s="260" t="s">
        <v>1827</v>
      </c>
      <c r="C25" s="260" t="s">
        <v>1828</v>
      </c>
      <c r="D25" s="260" t="s">
        <v>1829</v>
      </c>
      <c r="E25" s="260" t="s">
        <v>1959</v>
      </c>
      <c r="F25" s="260" t="s">
        <v>1960</v>
      </c>
      <c r="G25" s="260" t="s">
        <v>1961</v>
      </c>
      <c r="H25" s="260" t="s">
        <v>1984</v>
      </c>
      <c r="I25" s="260"/>
      <c r="J25" s="260"/>
      <c r="K25" s="260" t="s">
        <v>1985</v>
      </c>
      <c r="L25" s="260" t="s">
        <v>1986</v>
      </c>
      <c r="M25" s="260" t="s">
        <v>1987</v>
      </c>
      <c r="N25" s="260" t="s">
        <v>111</v>
      </c>
      <c r="O25" s="260" t="s">
        <v>112</v>
      </c>
      <c r="P25" s="10">
        <v>0</v>
      </c>
      <c r="Q25" s="11">
        <v>3</v>
      </c>
      <c r="R25" s="11">
        <f t="shared" si="6"/>
        <v>1.6</v>
      </c>
      <c r="S25" s="72" t="s">
        <v>3422</v>
      </c>
      <c r="T25" s="11">
        <v>1</v>
      </c>
      <c r="U25" s="11">
        <v>0</v>
      </c>
      <c r="V25" s="11">
        <v>1</v>
      </c>
      <c r="W25" s="11">
        <v>0</v>
      </c>
      <c r="X25" s="11">
        <v>0.6</v>
      </c>
      <c r="Y25" s="11">
        <v>0</v>
      </c>
      <c r="Z25" s="11">
        <v>0.6</v>
      </c>
      <c r="AA25" s="11">
        <v>0</v>
      </c>
      <c r="AB25" s="11"/>
      <c r="AC25" s="11">
        <v>0</v>
      </c>
      <c r="AD25" s="11">
        <v>1</v>
      </c>
      <c r="AE25" s="11">
        <v>0</v>
      </c>
      <c r="AF25" s="261">
        <v>1</v>
      </c>
      <c r="AG25" s="261"/>
      <c r="AH25" s="345">
        <f t="shared" si="7"/>
        <v>1</v>
      </c>
      <c r="AI25" s="355"/>
      <c r="AJ25" s="66" t="s">
        <v>3423</v>
      </c>
      <c r="AK25" s="72"/>
      <c r="AL25" s="72"/>
      <c r="AM25" s="131"/>
      <c r="AN25" s="72"/>
      <c r="AO25" s="11">
        <v>1</v>
      </c>
      <c r="AP25" s="11">
        <v>0</v>
      </c>
      <c r="AQ25" s="11">
        <v>0</v>
      </c>
      <c r="AR25" s="11">
        <v>0</v>
      </c>
      <c r="AS25" s="11">
        <v>0</v>
      </c>
      <c r="AT25" s="11">
        <v>0</v>
      </c>
    </row>
    <row r="26" spans="1:46" s="354" customFormat="1" ht="48" customHeight="1">
      <c r="A26" s="347" t="s">
        <v>1826</v>
      </c>
      <c r="B26" s="347" t="s">
        <v>1827</v>
      </c>
      <c r="C26" s="347" t="s">
        <v>1828</v>
      </c>
      <c r="D26" s="347" t="s">
        <v>2062</v>
      </c>
      <c r="E26" s="347" t="s">
        <v>2063</v>
      </c>
      <c r="F26" s="347" t="s">
        <v>2064</v>
      </c>
      <c r="G26" s="347" t="s">
        <v>2065</v>
      </c>
      <c r="H26" s="347" t="s">
        <v>2066</v>
      </c>
      <c r="I26" s="347"/>
      <c r="J26" s="347"/>
      <c r="K26" s="347" t="s">
        <v>2067</v>
      </c>
      <c r="L26" s="347" t="s">
        <v>2068</v>
      </c>
      <c r="M26" s="347" t="s">
        <v>2069</v>
      </c>
      <c r="N26" s="347" t="s">
        <v>111</v>
      </c>
      <c r="O26" s="347" t="s">
        <v>112</v>
      </c>
      <c r="P26" s="348">
        <v>2</v>
      </c>
      <c r="Q26" s="349">
        <v>3</v>
      </c>
      <c r="R26" s="349">
        <f t="shared" si="6"/>
        <v>2.5</v>
      </c>
      <c r="S26" s="350" t="s">
        <v>3424</v>
      </c>
      <c r="T26" s="349">
        <v>0.5</v>
      </c>
      <c r="U26" s="349">
        <v>0</v>
      </c>
      <c r="V26" s="349">
        <v>0.5</v>
      </c>
      <c r="W26" s="349">
        <v>0</v>
      </c>
      <c r="X26" s="349">
        <v>0.5</v>
      </c>
      <c r="Y26" s="349">
        <v>0</v>
      </c>
      <c r="Z26" s="349">
        <v>0.5</v>
      </c>
      <c r="AA26" s="349">
        <v>0</v>
      </c>
      <c r="AB26" s="349" t="s">
        <v>2070</v>
      </c>
      <c r="AC26" s="349">
        <v>0</v>
      </c>
      <c r="AD26" s="362">
        <v>1.5</v>
      </c>
      <c r="AE26" s="349">
        <v>0</v>
      </c>
      <c r="AF26" s="351">
        <v>2</v>
      </c>
      <c r="AG26" s="351"/>
      <c r="AH26" s="352">
        <f t="shared" ref="AH26:AH38" si="8">AF26</f>
        <v>2</v>
      </c>
      <c r="AI26" s="355" t="s">
        <v>3425</v>
      </c>
      <c r="AJ26" s="350" t="s">
        <v>3426</v>
      </c>
      <c r="AK26" s="351" t="s">
        <v>3427</v>
      </c>
      <c r="AL26" s="351" t="s">
        <v>3428</v>
      </c>
      <c r="AM26" s="351"/>
      <c r="AN26" s="351"/>
      <c r="AO26" s="349">
        <v>1</v>
      </c>
      <c r="AP26" s="349">
        <v>0</v>
      </c>
      <c r="AQ26" s="349">
        <v>0</v>
      </c>
      <c r="AR26" s="349">
        <v>0</v>
      </c>
      <c r="AS26" s="349">
        <v>0</v>
      </c>
      <c r="AT26" s="349">
        <v>0</v>
      </c>
    </row>
    <row r="27" spans="1:46" s="354" customFormat="1" ht="47.25" customHeight="1">
      <c r="A27" s="347" t="s">
        <v>1826</v>
      </c>
      <c r="B27" s="347" t="s">
        <v>1827</v>
      </c>
      <c r="C27" s="347" t="s">
        <v>1828</v>
      </c>
      <c r="D27" s="347" t="s">
        <v>2062</v>
      </c>
      <c r="E27" s="347" t="s">
        <v>2063</v>
      </c>
      <c r="F27" s="347" t="s">
        <v>2064</v>
      </c>
      <c r="G27" s="347" t="s">
        <v>2065</v>
      </c>
      <c r="H27" s="347" t="s">
        <v>2071</v>
      </c>
      <c r="I27" s="347"/>
      <c r="J27" s="347"/>
      <c r="K27" s="347" t="s">
        <v>2072</v>
      </c>
      <c r="L27" s="347" t="s">
        <v>2073</v>
      </c>
      <c r="M27" s="347" t="s">
        <v>2074</v>
      </c>
      <c r="N27" s="347" t="s">
        <v>111</v>
      </c>
      <c r="O27" s="347" t="s">
        <v>112</v>
      </c>
      <c r="P27" s="348">
        <v>0</v>
      </c>
      <c r="Q27" s="349">
        <v>1</v>
      </c>
      <c r="R27" s="349">
        <f t="shared" si="6"/>
        <v>1</v>
      </c>
      <c r="S27" s="350" t="s">
        <v>3429</v>
      </c>
      <c r="T27" s="349">
        <v>0.2</v>
      </c>
      <c r="U27" s="349">
        <v>0</v>
      </c>
      <c r="V27" s="349">
        <v>0.2</v>
      </c>
      <c r="W27" s="349">
        <v>0</v>
      </c>
      <c r="X27" s="349">
        <v>0.2</v>
      </c>
      <c r="Y27" s="349">
        <v>0</v>
      </c>
      <c r="Z27" s="349">
        <v>0.2</v>
      </c>
      <c r="AA27" s="349">
        <v>0</v>
      </c>
      <c r="AB27" s="349" t="s">
        <v>2075</v>
      </c>
      <c r="AC27" s="349">
        <v>0</v>
      </c>
      <c r="AD27" s="349">
        <v>0.8</v>
      </c>
      <c r="AE27" s="349">
        <v>0</v>
      </c>
      <c r="AF27" s="351">
        <v>0.8</v>
      </c>
      <c r="AG27" s="351"/>
      <c r="AH27" s="352">
        <f t="shared" si="8"/>
        <v>0.8</v>
      </c>
      <c r="AI27" s="355" t="s">
        <v>3430</v>
      </c>
      <c r="AJ27" s="350" t="s">
        <v>3431</v>
      </c>
      <c r="AK27" s="351" t="s">
        <v>3432</v>
      </c>
      <c r="AL27" s="351"/>
      <c r="AM27" s="351">
        <v>55000000</v>
      </c>
      <c r="AN27" s="351" t="s">
        <v>3433</v>
      </c>
      <c r="AO27" s="349">
        <v>0</v>
      </c>
      <c r="AP27" s="349">
        <v>0</v>
      </c>
      <c r="AQ27" s="349">
        <v>0</v>
      </c>
      <c r="AR27" s="349">
        <v>0</v>
      </c>
      <c r="AS27" s="349">
        <v>0</v>
      </c>
      <c r="AT27" s="349">
        <v>0</v>
      </c>
    </row>
    <row r="28" spans="1:46" s="354" customFormat="1" ht="34.5" customHeight="1">
      <c r="A28" s="347" t="s">
        <v>1826</v>
      </c>
      <c r="B28" s="347" t="s">
        <v>1827</v>
      </c>
      <c r="C28" s="347" t="s">
        <v>1828</v>
      </c>
      <c r="D28" s="347" t="s">
        <v>2062</v>
      </c>
      <c r="E28" s="347" t="s">
        <v>2080</v>
      </c>
      <c r="F28" s="347" t="s">
        <v>2081</v>
      </c>
      <c r="G28" s="347" t="s">
        <v>2082</v>
      </c>
      <c r="H28" s="347" t="s">
        <v>2083</v>
      </c>
      <c r="I28" s="347"/>
      <c r="J28" s="347"/>
      <c r="K28" s="347" t="s">
        <v>2084</v>
      </c>
      <c r="L28" s="347" t="s">
        <v>2085</v>
      </c>
      <c r="M28" s="347" t="s">
        <v>2086</v>
      </c>
      <c r="N28" s="347" t="s">
        <v>111</v>
      </c>
      <c r="O28" s="347" t="s">
        <v>112</v>
      </c>
      <c r="P28" s="348">
        <v>20</v>
      </c>
      <c r="Q28" s="349">
        <v>30</v>
      </c>
      <c r="R28" s="349">
        <f t="shared" si="6"/>
        <v>15</v>
      </c>
      <c r="S28" s="351" t="s">
        <v>3434</v>
      </c>
      <c r="T28" s="349">
        <v>0</v>
      </c>
      <c r="U28" s="349">
        <v>0</v>
      </c>
      <c r="V28" s="349">
        <v>0</v>
      </c>
      <c r="W28" s="349">
        <v>0</v>
      </c>
      <c r="X28" s="349">
        <v>0</v>
      </c>
      <c r="Y28" s="349">
        <v>0</v>
      </c>
      <c r="Z28" s="349">
        <v>0</v>
      </c>
      <c r="AA28" s="349"/>
      <c r="AB28" s="349"/>
      <c r="AC28" s="349"/>
      <c r="AD28" s="349">
        <v>15</v>
      </c>
      <c r="AE28" s="349">
        <v>0</v>
      </c>
      <c r="AF28" s="351">
        <v>15</v>
      </c>
      <c r="AG28" s="351"/>
      <c r="AH28" s="352">
        <f t="shared" si="8"/>
        <v>15</v>
      </c>
      <c r="AI28" s="355" t="s">
        <v>3435</v>
      </c>
      <c r="AJ28" s="351" t="s">
        <v>3436</v>
      </c>
      <c r="AK28" s="351"/>
      <c r="AL28" s="351"/>
      <c r="AM28" s="351"/>
      <c r="AN28" s="351"/>
      <c r="AO28" s="349">
        <v>10</v>
      </c>
      <c r="AP28" s="349">
        <v>0</v>
      </c>
      <c r="AQ28" s="349">
        <v>5</v>
      </c>
      <c r="AR28" s="349">
        <v>0</v>
      </c>
      <c r="AS28" s="349">
        <v>0</v>
      </c>
      <c r="AT28" s="349">
        <v>0</v>
      </c>
    </row>
    <row r="29" spans="1:46" s="354" customFormat="1" ht="42.75" customHeight="1">
      <c r="A29" s="347" t="s">
        <v>1826</v>
      </c>
      <c r="B29" s="347" t="s">
        <v>1827</v>
      </c>
      <c r="C29" s="347" t="s">
        <v>1828</v>
      </c>
      <c r="D29" s="347" t="s">
        <v>2062</v>
      </c>
      <c r="E29" s="347" t="s">
        <v>2080</v>
      </c>
      <c r="F29" s="347" t="s">
        <v>2081</v>
      </c>
      <c r="G29" s="347" t="s">
        <v>2082</v>
      </c>
      <c r="H29" s="347" t="s">
        <v>2087</v>
      </c>
      <c r="I29" s="347"/>
      <c r="J29" s="347"/>
      <c r="K29" s="347" t="s">
        <v>2088</v>
      </c>
      <c r="L29" s="347" t="s">
        <v>2089</v>
      </c>
      <c r="M29" s="347" t="s">
        <v>1848</v>
      </c>
      <c r="N29" s="347" t="s">
        <v>111</v>
      </c>
      <c r="O29" s="347" t="s">
        <v>112</v>
      </c>
      <c r="P29" s="348">
        <v>20</v>
      </c>
      <c r="Q29" s="349">
        <v>20</v>
      </c>
      <c r="R29" s="349">
        <f t="shared" si="6"/>
        <v>20</v>
      </c>
      <c r="S29" s="350" t="s">
        <v>3437</v>
      </c>
      <c r="T29" s="349">
        <v>9</v>
      </c>
      <c r="U29" s="349">
        <v>0</v>
      </c>
      <c r="V29" s="349">
        <v>9</v>
      </c>
      <c r="W29" s="349">
        <v>0</v>
      </c>
      <c r="X29" s="349">
        <v>9</v>
      </c>
      <c r="Y29" s="349">
        <v>0</v>
      </c>
      <c r="Z29" s="349">
        <v>9</v>
      </c>
      <c r="AA29" s="349">
        <v>0</v>
      </c>
      <c r="AB29" s="349"/>
      <c r="AC29" s="349">
        <v>0</v>
      </c>
      <c r="AD29" s="362">
        <v>8</v>
      </c>
      <c r="AE29" s="349">
        <v>0</v>
      </c>
      <c r="AF29" s="351">
        <v>11</v>
      </c>
      <c r="AG29" s="351"/>
      <c r="AH29" s="352">
        <f t="shared" si="8"/>
        <v>11</v>
      </c>
      <c r="AI29" s="355" t="s">
        <v>3438</v>
      </c>
      <c r="AJ29" s="350" t="s">
        <v>3439</v>
      </c>
      <c r="AK29" s="351"/>
      <c r="AL29" s="351"/>
      <c r="AM29" s="351"/>
      <c r="AN29" s="351"/>
      <c r="AO29" s="349">
        <v>3</v>
      </c>
      <c r="AP29" s="349">
        <v>0</v>
      </c>
      <c r="AQ29" s="349">
        <v>0</v>
      </c>
      <c r="AR29" s="349">
        <v>0</v>
      </c>
      <c r="AS29" s="349">
        <v>0</v>
      </c>
      <c r="AT29" s="349">
        <v>0</v>
      </c>
    </row>
    <row r="30" spans="1:46" ht="37.5" customHeight="1">
      <c r="A30" s="260" t="s">
        <v>1826</v>
      </c>
      <c r="B30" s="260" t="s">
        <v>1827</v>
      </c>
      <c r="C30" s="260" t="s">
        <v>1828</v>
      </c>
      <c r="D30" s="260" t="s">
        <v>2062</v>
      </c>
      <c r="E30" s="260" t="s">
        <v>2097</v>
      </c>
      <c r="F30" s="260" t="s">
        <v>2098</v>
      </c>
      <c r="G30" s="260" t="s">
        <v>2099</v>
      </c>
      <c r="H30" s="260" t="s">
        <v>2100</v>
      </c>
      <c r="I30" s="260"/>
      <c r="J30" s="260"/>
      <c r="K30" s="260" t="s">
        <v>2101</v>
      </c>
      <c r="L30" s="260" t="s">
        <v>2102</v>
      </c>
      <c r="M30" s="260" t="s">
        <v>2103</v>
      </c>
      <c r="N30" s="260" t="s">
        <v>111</v>
      </c>
      <c r="O30" s="260" t="s">
        <v>112</v>
      </c>
      <c r="P30" s="10">
        <v>1</v>
      </c>
      <c r="Q30" s="11">
        <v>1</v>
      </c>
      <c r="R30" s="11">
        <f t="shared" si="6"/>
        <v>0.5</v>
      </c>
      <c r="S30" s="66" t="s">
        <v>3440</v>
      </c>
      <c r="T30" s="11">
        <v>0.25</v>
      </c>
      <c r="U30" s="11">
        <v>0</v>
      </c>
      <c r="V30" s="11">
        <v>0.25</v>
      </c>
      <c r="W30" s="11">
        <v>0</v>
      </c>
      <c r="X30" s="11">
        <v>0.25</v>
      </c>
      <c r="Y30" s="11">
        <v>0</v>
      </c>
      <c r="Z30" s="11">
        <v>0.25</v>
      </c>
      <c r="AA30" s="11">
        <v>0</v>
      </c>
      <c r="AB30" s="11" t="s">
        <v>2104</v>
      </c>
      <c r="AC30" s="11">
        <v>0</v>
      </c>
      <c r="AD30" s="11">
        <v>0.25</v>
      </c>
      <c r="AE30" s="11">
        <v>0</v>
      </c>
      <c r="AF30" s="261">
        <v>0.25</v>
      </c>
      <c r="AG30" s="261"/>
      <c r="AH30" s="345">
        <f t="shared" si="8"/>
        <v>0.25</v>
      </c>
      <c r="AI30" s="355" t="s">
        <v>3441</v>
      </c>
      <c r="AJ30" s="66" t="s">
        <v>3442</v>
      </c>
      <c r="AK30" s="72"/>
      <c r="AL30" s="72"/>
      <c r="AM30" s="72"/>
      <c r="AN30" s="72"/>
      <c r="AO30" s="11">
        <v>0.25</v>
      </c>
      <c r="AP30" s="11">
        <v>0</v>
      </c>
      <c r="AQ30" s="11">
        <v>0.25</v>
      </c>
      <c r="AR30" s="11">
        <v>0</v>
      </c>
      <c r="AS30" s="11">
        <v>0</v>
      </c>
      <c r="AT30" s="11">
        <v>0</v>
      </c>
    </row>
    <row r="31" spans="1:46" s="354" customFormat="1" ht="50.25" customHeight="1">
      <c r="A31" s="347" t="s">
        <v>1826</v>
      </c>
      <c r="B31" s="347" t="s">
        <v>1827</v>
      </c>
      <c r="C31" s="347" t="s">
        <v>1828</v>
      </c>
      <c r="D31" s="347" t="s">
        <v>2062</v>
      </c>
      <c r="E31" s="347" t="s">
        <v>2097</v>
      </c>
      <c r="F31" s="347" t="s">
        <v>2105</v>
      </c>
      <c r="G31" s="347" t="s">
        <v>2106</v>
      </c>
      <c r="H31" s="347" t="s">
        <v>2107</v>
      </c>
      <c r="I31" s="347"/>
      <c r="J31" s="347"/>
      <c r="K31" s="347" t="s">
        <v>2108</v>
      </c>
      <c r="L31" s="347" t="s">
        <v>2109</v>
      </c>
      <c r="M31" s="347" t="s">
        <v>2110</v>
      </c>
      <c r="N31" s="347" t="s">
        <v>111</v>
      </c>
      <c r="O31" s="347" t="s">
        <v>112</v>
      </c>
      <c r="P31" s="348">
        <v>0</v>
      </c>
      <c r="Q31" s="349">
        <v>500</v>
      </c>
      <c r="R31" s="349">
        <f t="shared" si="6"/>
        <v>14</v>
      </c>
      <c r="S31" s="350" t="s">
        <v>3443</v>
      </c>
      <c r="T31" s="349">
        <v>41</v>
      </c>
      <c r="U31" s="349">
        <v>0</v>
      </c>
      <c r="V31" s="349">
        <v>0</v>
      </c>
      <c r="W31" s="349">
        <v>0</v>
      </c>
      <c r="X31" s="349">
        <v>0</v>
      </c>
      <c r="Y31" s="349">
        <v>0</v>
      </c>
      <c r="Z31" s="349">
        <v>0</v>
      </c>
      <c r="AA31" s="349">
        <v>0</v>
      </c>
      <c r="AB31" s="349"/>
      <c r="AC31" s="349">
        <v>0</v>
      </c>
      <c r="AD31" s="362">
        <v>200</v>
      </c>
      <c r="AE31" s="349">
        <v>0</v>
      </c>
      <c r="AF31" s="351">
        <v>14</v>
      </c>
      <c r="AG31" s="351"/>
      <c r="AH31" s="352">
        <f t="shared" si="8"/>
        <v>14</v>
      </c>
      <c r="AI31" s="355" t="s">
        <v>3444</v>
      </c>
      <c r="AJ31" s="350" t="s">
        <v>3445</v>
      </c>
      <c r="AK31" s="351"/>
      <c r="AL31" s="351"/>
      <c r="AM31" s="351">
        <v>1644989589</v>
      </c>
      <c r="AN31" s="351" t="s">
        <v>3446</v>
      </c>
      <c r="AO31" s="349">
        <v>300</v>
      </c>
      <c r="AP31" s="349">
        <v>0</v>
      </c>
      <c r="AQ31" s="349">
        <v>0</v>
      </c>
      <c r="AR31" s="349">
        <v>0</v>
      </c>
      <c r="AS31" s="349">
        <v>0</v>
      </c>
      <c r="AT31" s="349">
        <v>0</v>
      </c>
    </row>
    <row r="32" spans="1:46" s="354" customFormat="1" ht="42.75" customHeight="1">
      <c r="A32" s="347" t="s">
        <v>1826</v>
      </c>
      <c r="B32" s="347" t="s">
        <v>1827</v>
      </c>
      <c r="C32" s="347" t="s">
        <v>1828</v>
      </c>
      <c r="D32" s="347" t="s">
        <v>2062</v>
      </c>
      <c r="E32" s="347" t="s">
        <v>2097</v>
      </c>
      <c r="F32" s="347" t="s">
        <v>2105</v>
      </c>
      <c r="G32" s="347" t="s">
        <v>2106</v>
      </c>
      <c r="H32" s="347" t="s">
        <v>2111</v>
      </c>
      <c r="I32" s="347"/>
      <c r="J32" s="347"/>
      <c r="K32" s="347" t="s">
        <v>2112</v>
      </c>
      <c r="L32" s="347" t="s">
        <v>2113</v>
      </c>
      <c r="M32" s="347" t="s">
        <v>2114</v>
      </c>
      <c r="N32" s="347" t="s">
        <v>111</v>
      </c>
      <c r="O32" s="347" t="s">
        <v>112</v>
      </c>
      <c r="P32" s="348">
        <v>4</v>
      </c>
      <c r="Q32" s="349">
        <v>4</v>
      </c>
      <c r="R32" s="349">
        <f t="shared" si="6"/>
        <v>1</v>
      </c>
      <c r="S32" s="350" t="s">
        <v>3447</v>
      </c>
      <c r="T32" s="349">
        <v>0.5</v>
      </c>
      <c r="U32" s="349">
        <v>0</v>
      </c>
      <c r="V32" s="349">
        <v>0.5</v>
      </c>
      <c r="W32" s="349">
        <v>0</v>
      </c>
      <c r="X32" s="349">
        <v>0.5</v>
      </c>
      <c r="Y32" s="349">
        <v>0</v>
      </c>
      <c r="Z32" s="349">
        <v>0.5</v>
      </c>
      <c r="AA32" s="349">
        <v>0</v>
      </c>
      <c r="AB32" s="349"/>
      <c r="AC32" s="349">
        <v>0</v>
      </c>
      <c r="AD32" s="349">
        <v>0.5</v>
      </c>
      <c r="AE32" s="349">
        <v>0</v>
      </c>
      <c r="AF32" s="351">
        <v>0.5</v>
      </c>
      <c r="AG32" s="351"/>
      <c r="AH32" s="352">
        <f t="shared" si="8"/>
        <v>0.5</v>
      </c>
      <c r="AI32" s="355" t="s">
        <v>3448</v>
      </c>
      <c r="AJ32" s="350" t="s">
        <v>3449</v>
      </c>
      <c r="AK32" s="351"/>
      <c r="AL32" s="351" t="s">
        <v>3450</v>
      </c>
      <c r="AM32" s="351">
        <f>43642057+18642057+25000000</f>
        <v>87284114</v>
      </c>
      <c r="AN32" s="351" t="s">
        <v>3451</v>
      </c>
      <c r="AO32" s="349">
        <v>2</v>
      </c>
      <c r="AP32" s="349">
        <v>0</v>
      </c>
      <c r="AQ32" s="349">
        <v>1</v>
      </c>
      <c r="AR32" s="349">
        <v>0</v>
      </c>
      <c r="AS32" s="349">
        <v>0</v>
      </c>
      <c r="AT32" s="349">
        <v>0</v>
      </c>
    </row>
    <row r="33" spans="1:46" ht="18" customHeight="1">
      <c r="A33" s="260" t="s">
        <v>1826</v>
      </c>
      <c r="B33" s="260" t="s">
        <v>1827</v>
      </c>
      <c r="C33" s="260" t="s">
        <v>1828</v>
      </c>
      <c r="D33" s="260" t="s">
        <v>2062</v>
      </c>
      <c r="E33" s="260" t="s">
        <v>2097</v>
      </c>
      <c r="F33" s="260" t="s">
        <v>2105</v>
      </c>
      <c r="G33" s="260" t="s">
        <v>2106</v>
      </c>
      <c r="H33" s="260" t="s">
        <v>2115</v>
      </c>
      <c r="I33" s="260"/>
      <c r="J33" s="260"/>
      <c r="K33" s="260" t="s">
        <v>2116</v>
      </c>
      <c r="L33" s="260" t="s">
        <v>2117</v>
      </c>
      <c r="M33" s="260" t="s">
        <v>2118</v>
      </c>
      <c r="N33" s="260" t="s">
        <v>111</v>
      </c>
      <c r="O33" s="260" t="s">
        <v>112</v>
      </c>
      <c r="P33" s="10">
        <v>0</v>
      </c>
      <c r="Q33" s="11">
        <v>100</v>
      </c>
      <c r="R33" s="11">
        <f t="shared" si="6"/>
        <v>6.4</v>
      </c>
      <c r="S33" s="66" t="s">
        <v>3452</v>
      </c>
      <c r="T33" s="11">
        <v>8</v>
      </c>
      <c r="U33" s="11">
        <v>0</v>
      </c>
      <c r="V33" s="11">
        <v>8</v>
      </c>
      <c r="W33" s="11">
        <v>0</v>
      </c>
      <c r="X33" s="11">
        <v>0</v>
      </c>
      <c r="Y33" s="11">
        <v>0</v>
      </c>
      <c r="Z33" s="11">
        <v>0</v>
      </c>
      <c r="AA33" s="11">
        <v>0</v>
      </c>
      <c r="AB33" s="11"/>
      <c r="AC33" s="11">
        <v>0</v>
      </c>
      <c r="AD33" s="346">
        <v>31</v>
      </c>
      <c r="AE33" s="11">
        <v>0</v>
      </c>
      <c r="AF33" s="261">
        <v>6.4</v>
      </c>
      <c r="AG33" s="261"/>
      <c r="AH33" s="345">
        <f t="shared" si="8"/>
        <v>6.4</v>
      </c>
      <c r="AI33" s="355" t="s">
        <v>3453</v>
      </c>
      <c r="AJ33" s="66" t="s">
        <v>3454</v>
      </c>
      <c r="AK33" s="72"/>
      <c r="AL33" s="72"/>
      <c r="AM33" s="72">
        <v>10000000</v>
      </c>
      <c r="AN33" s="72" t="s">
        <v>3455</v>
      </c>
      <c r="AO33" s="11">
        <v>25</v>
      </c>
      <c r="AP33" s="11">
        <v>0</v>
      </c>
      <c r="AQ33" s="11">
        <v>36</v>
      </c>
      <c r="AR33" s="11">
        <v>0</v>
      </c>
      <c r="AS33" s="11">
        <v>0</v>
      </c>
      <c r="AT33" s="11">
        <v>0</v>
      </c>
    </row>
    <row r="34" spans="1:46" s="354" customFormat="1" ht="45" customHeight="1">
      <c r="A34" s="347" t="s">
        <v>1826</v>
      </c>
      <c r="B34" s="347" t="s">
        <v>1827</v>
      </c>
      <c r="C34" s="347" t="s">
        <v>2129</v>
      </c>
      <c r="D34" s="347" t="s">
        <v>2197</v>
      </c>
      <c r="E34" s="347" t="s">
        <v>2198</v>
      </c>
      <c r="F34" s="347" t="s">
        <v>2199</v>
      </c>
      <c r="G34" s="347" t="s">
        <v>2200</v>
      </c>
      <c r="H34" s="347" t="s">
        <v>2207</v>
      </c>
      <c r="I34" s="347"/>
      <c r="J34" s="347"/>
      <c r="K34" s="347" t="s">
        <v>2208</v>
      </c>
      <c r="L34" s="347" t="s">
        <v>2209</v>
      </c>
      <c r="M34" s="347" t="s">
        <v>2210</v>
      </c>
      <c r="N34" s="347" t="s">
        <v>111</v>
      </c>
      <c r="O34" s="347" t="s">
        <v>112</v>
      </c>
      <c r="P34" s="348">
        <v>1</v>
      </c>
      <c r="Q34" s="349">
        <v>1</v>
      </c>
      <c r="R34" s="349">
        <f t="shared" si="6"/>
        <v>0.5</v>
      </c>
      <c r="S34" s="350" t="s">
        <v>3456</v>
      </c>
      <c r="T34" s="349">
        <v>0.25</v>
      </c>
      <c r="U34" s="349">
        <v>0</v>
      </c>
      <c r="V34" s="349">
        <v>0.25</v>
      </c>
      <c r="W34" s="349">
        <v>0</v>
      </c>
      <c r="X34" s="349">
        <v>0</v>
      </c>
      <c r="Y34" s="349">
        <v>0</v>
      </c>
      <c r="Z34" s="349">
        <v>0</v>
      </c>
      <c r="AA34" s="349"/>
      <c r="AB34" s="349"/>
      <c r="AC34" s="349"/>
      <c r="AD34" s="362">
        <v>0.25</v>
      </c>
      <c r="AE34" s="349">
        <v>0</v>
      </c>
      <c r="AF34" s="351">
        <v>0.5</v>
      </c>
      <c r="AG34" s="351"/>
      <c r="AH34" s="352">
        <f t="shared" si="8"/>
        <v>0.5</v>
      </c>
      <c r="AI34" s="355" t="s">
        <v>3457</v>
      </c>
      <c r="AJ34" s="350" t="s">
        <v>3458</v>
      </c>
      <c r="AK34" s="351" t="s">
        <v>3459</v>
      </c>
      <c r="AL34" s="351" t="s">
        <v>3460</v>
      </c>
      <c r="AM34" s="351"/>
      <c r="AN34" s="351"/>
      <c r="AO34" s="349">
        <v>0.25</v>
      </c>
      <c r="AP34" s="349">
        <v>0</v>
      </c>
      <c r="AQ34" s="349">
        <v>0.25</v>
      </c>
      <c r="AR34" s="349">
        <v>0</v>
      </c>
      <c r="AS34" s="349">
        <v>0</v>
      </c>
      <c r="AT34" s="349">
        <v>0</v>
      </c>
    </row>
    <row r="35" spans="1:46" s="354" customFormat="1" ht="57" customHeight="1">
      <c r="A35" s="347" t="s">
        <v>1826</v>
      </c>
      <c r="B35" s="347" t="s">
        <v>1827</v>
      </c>
      <c r="C35" s="347" t="s">
        <v>2129</v>
      </c>
      <c r="D35" s="347" t="s">
        <v>2197</v>
      </c>
      <c r="E35" s="347" t="s">
        <v>2198</v>
      </c>
      <c r="F35" s="347" t="s">
        <v>2199</v>
      </c>
      <c r="G35" s="347" t="s">
        <v>2200</v>
      </c>
      <c r="H35" s="347" t="s">
        <v>2211</v>
      </c>
      <c r="I35" s="347"/>
      <c r="J35" s="347"/>
      <c r="K35" s="347" t="s">
        <v>2212</v>
      </c>
      <c r="L35" s="347" t="s">
        <v>2213</v>
      </c>
      <c r="M35" s="347" t="s">
        <v>2214</v>
      </c>
      <c r="N35" s="347" t="s">
        <v>111</v>
      </c>
      <c r="O35" s="347" t="s">
        <v>112</v>
      </c>
      <c r="P35" s="348">
        <v>0</v>
      </c>
      <c r="Q35" s="349">
        <v>1</v>
      </c>
      <c r="R35" s="349">
        <f t="shared" si="6"/>
        <v>1</v>
      </c>
      <c r="S35" s="350" t="s">
        <v>3461</v>
      </c>
      <c r="T35" s="349">
        <v>0.6</v>
      </c>
      <c r="U35" s="349">
        <v>0</v>
      </c>
      <c r="V35" s="349">
        <v>0.6</v>
      </c>
      <c r="W35" s="349">
        <v>0</v>
      </c>
      <c r="X35" s="349">
        <v>0.2</v>
      </c>
      <c r="Y35" s="349">
        <v>0</v>
      </c>
      <c r="Z35" s="349">
        <v>0.2</v>
      </c>
      <c r="AA35" s="349">
        <v>0</v>
      </c>
      <c r="AB35" s="349" t="s">
        <v>2215</v>
      </c>
      <c r="AC35" s="349">
        <v>0</v>
      </c>
      <c r="AD35" s="362">
        <v>0.4</v>
      </c>
      <c r="AE35" s="349">
        <v>0</v>
      </c>
      <c r="AF35" s="351">
        <v>0.8</v>
      </c>
      <c r="AG35" s="351"/>
      <c r="AH35" s="352">
        <f t="shared" si="8"/>
        <v>0.8</v>
      </c>
      <c r="AI35" s="367" t="s">
        <v>3462</v>
      </c>
      <c r="AJ35" s="350" t="s">
        <v>3463</v>
      </c>
      <c r="AK35" s="351"/>
      <c r="AL35" s="351"/>
      <c r="AM35" s="351">
        <v>280000000</v>
      </c>
      <c r="AN35" s="351" t="s">
        <v>3464</v>
      </c>
      <c r="AO35" s="349">
        <v>0</v>
      </c>
      <c r="AP35" s="349">
        <v>0</v>
      </c>
      <c r="AQ35" s="349">
        <v>0</v>
      </c>
      <c r="AR35" s="349">
        <v>0</v>
      </c>
      <c r="AS35" s="349">
        <v>0</v>
      </c>
      <c r="AT35" s="349">
        <v>0</v>
      </c>
    </row>
    <row r="36" spans="1:46" ht="18" customHeight="1">
      <c r="A36" s="260" t="s">
        <v>1826</v>
      </c>
      <c r="B36" s="260" t="s">
        <v>1827</v>
      </c>
      <c r="C36" s="260" t="s">
        <v>2129</v>
      </c>
      <c r="D36" s="260" t="s">
        <v>2197</v>
      </c>
      <c r="E36" s="260" t="s">
        <v>2198</v>
      </c>
      <c r="F36" s="260" t="s">
        <v>2199</v>
      </c>
      <c r="G36" s="260" t="s">
        <v>2200</v>
      </c>
      <c r="H36" s="260" t="s">
        <v>2216</v>
      </c>
      <c r="I36" s="260"/>
      <c r="J36" s="260"/>
      <c r="K36" s="260" t="s">
        <v>2217</v>
      </c>
      <c r="L36" s="260" t="s">
        <v>2218</v>
      </c>
      <c r="M36" s="260" t="s">
        <v>2219</v>
      </c>
      <c r="N36" s="260" t="s">
        <v>111</v>
      </c>
      <c r="O36" s="260" t="s">
        <v>112</v>
      </c>
      <c r="P36" s="10">
        <v>0</v>
      </c>
      <c r="Q36" s="11">
        <v>1</v>
      </c>
      <c r="R36" s="11">
        <f t="shared" si="6"/>
        <v>0.7</v>
      </c>
      <c r="S36" s="66" t="s">
        <v>3465</v>
      </c>
      <c r="T36" s="11">
        <v>0.25</v>
      </c>
      <c r="U36" s="11">
        <v>0</v>
      </c>
      <c r="V36" s="11">
        <v>0.25</v>
      </c>
      <c r="W36" s="11">
        <v>0</v>
      </c>
      <c r="X36" s="11">
        <v>0.25</v>
      </c>
      <c r="Y36" s="11">
        <v>0</v>
      </c>
      <c r="Z36" s="11">
        <v>0.25</v>
      </c>
      <c r="AA36" s="11">
        <v>0</v>
      </c>
      <c r="AB36" s="11"/>
      <c r="AC36" s="11">
        <v>0</v>
      </c>
      <c r="AD36" s="11">
        <v>0.5</v>
      </c>
      <c r="AE36" s="11">
        <v>0</v>
      </c>
      <c r="AF36" s="261">
        <v>0.45</v>
      </c>
      <c r="AG36" s="261"/>
      <c r="AH36" s="9">
        <f t="shared" si="8"/>
        <v>0.45</v>
      </c>
      <c r="AI36" s="355"/>
      <c r="AJ36" s="66" t="s">
        <v>3466</v>
      </c>
      <c r="AK36" s="72" t="s">
        <v>3467</v>
      </c>
      <c r="AL36" s="72"/>
      <c r="AM36" s="72">
        <f>8000000+7187286040</f>
        <v>7195286040</v>
      </c>
      <c r="AN36" s="72" t="s">
        <v>3468</v>
      </c>
      <c r="AO36" s="11">
        <v>0.25</v>
      </c>
      <c r="AP36" s="11">
        <v>0</v>
      </c>
      <c r="AQ36" s="11">
        <v>0</v>
      </c>
      <c r="AR36" s="11">
        <v>0</v>
      </c>
      <c r="AS36" s="11">
        <v>0</v>
      </c>
      <c r="AT36" s="11">
        <v>0</v>
      </c>
    </row>
    <row r="37" spans="1:46" ht="36.75" customHeight="1">
      <c r="A37" s="260" t="s">
        <v>1826</v>
      </c>
      <c r="B37" s="260" t="s">
        <v>1827</v>
      </c>
      <c r="C37" s="260" t="s">
        <v>2129</v>
      </c>
      <c r="D37" s="260" t="s">
        <v>2197</v>
      </c>
      <c r="E37" s="260" t="s">
        <v>2220</v>
      </c>
      <c r="F37" s="260" t="s">
        <v>2221</v>
      </c>
      <c r="G37" s="260" t="s">
        <v>2222</v>
      </c>
      <c r="H37" s="260" t="s">
        <v>2223</v>
      </c>
      <c r="I37" s="260"/>
      <c r="J37" s="260"/>
      <c r="K37" s="260" t="s">
        <v>2224</v>
      </c>
      <c r="L37" s="260" t="s">
        <v>2225</v>
      </c>
      <c r="M37" s="260" t="s">
        <v>2226</v>
      </c>
      <c r="N37" s="260" t="s">
        <v>111</v>
      </c>
      <c r="O37" s="260" t="s">
        <v>112</v>
      </c>
      <c r="P37" s="10">
        <v>0</v>
      </c>
      <c r="Q37" s="11">
        <v>1</v>
      </c>
      <c r="R37" s="11">
        <f t="shared" si="6"/>
        <v>0.60000000000000009</v>
      </c>
      <c r="S37" s="66" t="s">
        <v>3469</v>
      </c>
      <c r="T37" s="11">
        <v>0.2</v>
      </c>
      <c r="U37" s="11">
        <v>0</v>
      </c>
      <c r="V37" s="11">
        <v>0.2</v>
      </c>
      <c r="W37" s="11">
        <v>0</v>
      </c>
      <c r="X37" s="11">
        <v>0.2</v>
      </c>
      <c r="Y37" s="11">
        <v>0</v>
      </c>
      <c r="Z37" s="11">
        <v>0.2</v>
      </c>
      <c r="AA37" s="11">
        <v>0</v>
      </c>
      <c r="AB37" s="11" t="s">
        <v>2227</v>
      </c>
      <c r="AC37" s="11">
        <v>0</v>
      </c>
      <c r="AD37" s="11">
        <v>0.4</v>
      </c>
      <c r="AE37" s="11">
        <v>0</v>
      </c>
      <c r="AF37" s="261">
        <v>0.4</v>
      </c>
      <c r="AG37" s="261"/>
      <c r="AH37" s="345">
        <f t="shared" si="8"/>
        <v>0.4</v>
      </c>
      <c r="AI37" s="355" t="s">
        <v>3470</v>
      </c>
      <c r="AJ37" s="66" t="s">
        <v>3471</v>
      </c>
      <c r="AK37" s="72" t="s">
        <v>3472</v>
      </c>
      <c r="AL37" s="72"/>
      <c r="AM37" s="72">
        <v>280000000</v>
      </c>
      <c r="AN37" s="72" t="s">
        <v>3464</v>
      </c>
      <c r="AO37" s="11">
        <v>0.4</v>
      </c>
      <c r="AP37" s="11">
        <v>0</v>
      </c>
      <c r="AQ37" s="11">
        <v>0</v>
      </c>
      <c r="AR37" s="11">
        <v>0</v>
      </c>
      <c r="AS37" s="11">
        <v>0</v>
      </c>
      <c r="AT37" s="11">
        <v>0</v>
      </c>
    </row>
    <row r="38" spans="1:46" ht="18" customHeight="1">
      <c r="A38" s="260" t="s">
        <v>1826</v>
      </c>
      <c r="B38" s="260" t="s">
        <v>1827</v>
      </c>
      <c r="C38" s="260" t="s">
        <v>2129</v>
      </c>
      <c r="D38" s="260" t="s">
        <v>2197</v>
      </c>
      <c r="E38" s="260" t="s">
        <v>2220</v>
      </c>
      <c r="F38" s="260" t="s">
        <v>2221</v>
      </c>
      <c r="G38" s="260" t="s">
        <v>2222</v>
      </c>
      <c r="H38" s="260" t="s">
        <v>2228</v>
      </c>
      <c r="I38" s="260"/>
      <c r="J38" s="260"/>
      <c r="K38" s="260" t="s">
        <v>2229</v>
      </c>
      <c r="L38" s="260" t="s">
        <v>2230</v>
      </c>
      <c r="M38" s="260" t="s">
        <v>2231</v>
      </c>
      <c r="N38" s="260" t="s">
        <v>111</v>
      </c>
      <c r="O38" s="260" t="s">
        <v>112</v>
      </c>
      <c r="P38" s="10">
        <v>0</v>
      </c>
      <c r="Q38" s="11">
        <v>1</v>
      </c>
      <c r="R38" s="11">
        <f t="shared" si="6"/>
        <v>0.3</v>
      </c>
      <c r="S38" s="66" t="s">
        <v>3473</v>
      </c>
      <c r="T38" s="11">
        <v>0</v>
      </c>
      <c r="U38" s="11">
        <v>0</v>
      </c>
      <c r="V38" s="11">
        <v>0</v>
      </c>
      <c r="W38" s="11">
        <v>0</v>
      </c>
      <c r="X38" s="11">
        <v>0</v>
      </c>
      <c r="Y38" s="11">
        <v>0</v>
      </c>
      <c r="Z38" s="11">
        <v>0</v>
      </c>
      <c r="AA38" s="11"/>
      <c r="AB38" s="11"/>
      <c r="AC38" s="11"/>
      <c r="AD38" s="11">
        <v>0.6</v>
      </c>
      <c r="AE38" s="11">
        <v>0</v>
      </c>
      <c r="AF38" s="261">
        <v>0.3</v>
      </c>
      <c r="AG38" s="261"/>
      <c r="AH38" s="9">
        <f t="shared" si="8"/>
        <v>0.3</v>
      </c>
      <c r="AI38" s="355"/>
      <c r="AJ38" s="66" t="s">
        <v>3474</v>
      </c>
      <c r="AK38" s="72"/>
      <c r="AL38" s="72"/>
      <c r="AM38" s="131"/>
      <c r="AN38" s="72"/>
      <c r="AO38" s="11">
        <v>0</v>
      </c>
      <c r="AP38" s="11">
        <v>0</v>
      </c>
      <c r="AQ38" s="11">
        <v>0.4</v>
      </c>
      <c r="AR38" s="11">
        <v>0</v>
      </c>
      <c r="AS38" s="11">
        <v>0</v>
      </c>
      <c r="AT38" s="11">
        <v>0</v>
      </c>
    </row>
    <row r="39" spans="1:46" s="3" customFormat="1">
      <c r="L39" s="5"/>
      <c r="AI39" s="359"/>
      <c r="AM39" s="124"/>
    </row>
  </sheetData>
  <sheetProtection autoFilter="0"/>
  <autoFilter ref="A12:IZ38" xr:uid="{00000000-0009-0000-0000-00000A000000}"/>
  <customSheetViews>
    <customSheetView guid="{75629C99-8367-48E9-A2A2-D8C49A9E68E3}" scale="80" showAutoFilter="1" hiddenRows="1" topLeftCell="AA7">
      <pane ySplit="6" topLeftCell="A13" activePane="bottomLeft" state="frozen"/>
      <selection pane="bottomLeft" activeCell="AT13" sqref="AT13"/>
      <pageMargins left="0" right="0" top="0" bottom="0" header="0" footer="0"/>
      <pageSetup orientation="portrait" r:id="rId1"/>
      <autoFilter ref="A12:IZ38" xr:uid="{7470FDEA-4E1C-4F13-BCFD-0D25DE80BDEF}"/>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38">
    <cfRule type="duplicateValues" dxfId="10" priority="1"/>
  </conditionalFormatting>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T24"/>
  <sheetViews>
    <sheetView zoomScale="80" zoomScaleNormal="80" workbookViewId="0">
      <selection activeCell="AD20" sqref="AD20"/>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5" width="12.7109375" customWidth="1"/>
    <col min="36" max="36" width="35.140625" customWidth="1"/>
    <col min="37"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388</v>
      </c>
      <c r="B13" s="260" t="s">
        <v>389</v>
      </c>
      <c r="C13" s="260" t="s">
        <v>100</v>
      </c>
      <c r="D13" s="260" t="s">
        <v>101</v>
      </c>
      <c r="E13" s="260" t="s">
        <v>294</v>
      </c>
      <c r="F13" s="260" t="s">
        <v>390</v>
      </c>
      <c r="G13" s="260" t="s">
        <v>391</v>
      </c>
      <c r="H13" s="260" t="s">
        <v>392</v>
      </c>
      <c r="I13" s="260" t="s">
        <v>106</v>
      </c>
      <c r="J13" s="68" t="s">
        <v>393</v>
      </c>
      <c r="K13" s="260" t="s">
        <v>394</v>
      </c>
      <c r="L13" s="260" t="s">
        <v>395</v>
      </c>
      <c r="M13" s="260" t="s">
        <v>131</v>
      </c>
      <c r="N13" s="260" t="s">
        <v>111</v>
      </c>
      <c r="O13" s="260" t="s">
        <v>112</v>
      </c>
      <c r="P13" s="10">
        <v>1</v>
      </c>
      <c r="Q13" s="11">
        <v>1</v>
      </c>
      <c r="R13" s="11">
        <f t="shared" ref="R13:R19" si="0">Z13+AH13</f>
        <v>0.26</v>
      </c>
      <c r="S13" s="261" t="s">
        <v>3475</v>
      </c>
      <c r="T13" s="11">
        <v>0.1</v>
      </c>
      <c r="U13" s="11">
        <v>0</v>
      </c>
      <c r="V13" s="11">
        <v>0.1</v>
      </c>
      <c r="W13" s="11">
        <v>0</v>
      </c>
      <c r="X13" s="11">
        <v>0.1</v>
      </c>
      <c r="Y13" s="11">
        <v>0</v>
      </c>
      <c r="Z13" s="11">
        <v>0.1</v>
      </c>
      <c r="AA13" s="11" t="s">
        <v>396</v>
      </c>
      <c r="AB13" s="11" t="s">
        <v>3476</v>
      </c>
      <c r="AC13" s="11">
        <v>0</v>
      </c>
      <c r="AD13" s="11">
        <v>0.2</v>
      </c>
      <c r="AE13" s="11">
        <v>0</v>
      </c>
      <c r="AF13" s="383">
        <v>0.16</v>
      </c>
      <c r="AG13" s="383"/>
      <c r="AH13" s="9">
        <f t="shared" ref="AH13" si="1">AF13</f>
        <v>0.16</v>
      </c>
      <c r="AI13" s="151" t="s">
        <v>3477</v>
      </c>
      <c r="AJ13" s="151" t="s">
        <v>3478</v>
      </c>
      <c r="AK13" s="261"/>
      <c r="AL13" s="261"/>
      <c r="AM13" s="118"/>
      <c r="AN13" s="261"/>
      <c r="AO13" s="11">
        <v>0.2</v>
      </c>
      <c r="AP13" s="11">
        <v>0</v>
      </c>
      <c r="AQ13" s="11">
        <v>0.5</v>
      </c>
      <c r="AR13" s="11">
        <v>0</v>
      </c>
      <c r="AS13" s="11">
        <v>0</v>
      </c>
      <c r="AT13" s="11">
        <v>0</v>
      </c>
    </row>
    <row r="14" spans="1:46" s="16" customFormat="1" ht="18" customHeight="1">
      <c r="A14" s="260" t="s">
        <v>388</v>
      </c>
      <c r="B14" s="260" t="s">
        <v>389</v>
      </c>
      <c r="C14" s="260" t="s">
        <v>1286</v>
      </c>
      <c r="D14" s="260" t="s">
        <v>1496</v>
      </c>
      <c r="E14" s="260" t="s">
        <v>1497</v>
      </c>
      <c r="F14" s="260" t="s">
        <v>1498</v>
      </c>
      <c r="G14" s="260" t="s">
        <v>1499</v>
      </c>
      <c r="H14" s="13" t="s">
        <v>1556</v>
      </c>
      <c r="I14" s="13" t="s">
        <v>106</v>
      </c>
      <c r="J14" s="13"/>
      <c r="K14" s="13" t="s">
        <v>1557</v>
      </c>
      <c r="L14" s="13" t="s">
        <v>1558</v>
      </c>
      <c r="M14" s="13" t="s">
        <v>131</v>
      </c>
      <c r="N14" s="13" t="s">
        <v>111</v>
      </c>
      <c r="O14" s="13" t="s">
        <v>112</v>
      </c>
      <c r="P14" s="14">
        <v>1</v>
      </c>
      <c r="Q14" s="15">
        <v>1</v>
      </c>
      <c r="R14" s="15">
        <f t="shared" si="0"/>
        <v>0.28000000000000003</v>
      </c>
      <c r="S14" s="60" t="s">
        <v>3479</v>
      </c>
      <c r="T14" s="15">
        <v>0.05</v>
      </c>
      <c r="U14" s="15">
        <v>0</v>
      </c>
      <c r="V14" s="15">
        <v>0.05</v>
      </c>
      <c r="W14" s="15">
        <v>0</v>
      </c>
      <c r="X14" s="15">
        <v>0.05</v>
      </c>
      <c r="Y14" s="15">
        <v>0</v>
      </c>
      <c r="Z14" s="15">
        <v>0.05</v>
      </c>
      <c r="AA14" s="15" t="s">
        <v>1559</v>
      </c>
      <c r="AB14" s="15" t="s">
        <v>1560</v>
      </c>
      <c r="AC14" s="15">
        <v>0</v>
      </c>
      <c r="AD14" s="15">
        <v>0.25</v>
      </c>
      <c r="AE14" s="15">
        <v>0</v>
      </c>
      <c r="AF14" s="384">
        <v>0.23</v>
      </c>
      <c r="AG14" s="384"/>
      <c r="AH14" s="9">
        <f t="shared" ref="AH14" si="2">AF14</f>
        <v>0.23</v>
      </c>
      <c r="AI14" s="169" t="s">
        <v>3480</v>
      </c>
      <c r="AJ14" s="69" t="s">
        <v>3481</v>
      </c>
      <c r="AK14" s="60" t="s">
        <v>3482</v>
      </c>
      <c r="AL14" s="60"/>
      <c r="AM14" s="129"/>
      <c r="AN14" s="60"/>
      <c r="AO14" s="11">
        <v>0.25</v>
      </c>
      <c r="AP14" s="11">
        <v>0</v>
      </c>
      <c r="AQ14" s="11">
        <v>0.45</v>
      </c>
      <c r="AR14" s="11">
        <v>0</v>
      </c>
      <c r="AS14" s="15">
        <v>0</v>
      </c>
      <c r="AT14" s="15">
        <v>0</v>
      </c>
    </row>
    <row r="15" spans="1:46" s="16" customFormat="1" ht="18" customHeight="1">
      <c r="A15" s="260" t="s">
        <v>388</v>
      </c>
      <c r="B15" s="260" t="s">
        <v>389</v>
      </c>
      <c r="C15" s="260" t="s">
        <v>1286</v>
      </c>
      <c r="D15" s="260" t="s">
        <v>1799</v>
      </c>
      <c r="E15" s="260" t="s">
        <v>1817</v>
      </c>
      <c r="F15" s="260" t="s">
        <v>1818</v>
      </c>
      <c r="G15" s="260" t="s">
        <v>1819</v>
      </c>
      <c r="H15" s="13" t="s">
        <v>1820</v>
      </c>
      <c r="I15" s="13" t="s">
        <v>200</v>
      </c>
      <c r="J15" s="13"/>
      <c r="K15" s="13" t="s">
        <v>1821</v>
      </c>
      <c r="L15" s="13" t="s">
        <v>1822</v>
      </c>
      <c r="M15" s="13" t="s">
        <v>1823</v>
      </c>
      <c r="N15" s="13" t="s">
        <v>111</v>
      </c>
      <c r="O15" s="13" t="s">
        <v>112</v>
      </c>
      <c r="P15" s="14">
        <v>0</v>
      </c>
      <c r="Q15" s="15">
        <v>1</v>
      </c>
      <c r="R15" s="15">
        <f t="shared" si="0"/>
        <v>0.35000000000000003</v>
      </c>
      <c r="S15" s="60"/>
      <c r="T15" s="15">
        <v>7.0000000000000007E-2</v>
      </c>
      <c r="U15" s="15">
        <v>0</v>
      </c>
      <c r="V15" s="15">
        <v>7.0000000000000007E-2</v>
      </c>
      <c r="W15" s="15">
        <v>0</v>
      </c>
      <c r="X15" s="15">
        <v>7.0000000000000007E-2</v>
      </c>
      <c r="Y15" s="15">
        <v>0</v>
      </c>
      <c r="Z15" s="15">
        <v>7.0000000000000007E-2</v>
      </c>
      <c r="AA15" s="15" t="s">
        <v>1824</v>
      </c>
      <c r="AB15" s="15" t="s">
        <v>1825</v>
      </c>
      <c r="AC15" s="15">
        <v>0</v>
      </c>
      <c r="AD15" s="15">
        <v>0.31</v>
      </c>
      <c r="AE15" s="15">
        <v>0</v>
      </c>
      <c r="AF15" s="384">
        <v>0.28000000000000003</v>
      </c>
      <c r="AG15" s="384"/>
      <c r="AH15" s="9">
        <f t="shared" ref="AH15" si="3">AF15</f>
        <v>0.28000000000000003</v>
      </c>
      <c r="AI15" s="69" t="s">
        <v>1823</v>
      </c>
      <c r="AJ15" s="170" t="s">
        <v>3483</v>
      </c>
      <c r="AK15" s="60"/>
      <c r="AL15" s="60"/>
      <c r="AM15" s="129"/>
      <c r="AN15" s="60"/>
      <c r="AO15" s="11">
        <v>0.31</v>
      </c>
      <c r="AP15" s="11">
        <v>0</v>
      </c>
      <c r="AQ15" s="11">
        <v>0.31</v>
      </c>
      <c r="AR15" s="11">
        <v>0</v>
      </c>
      <c r="AS15" s="15">
        <v>0</v>
      </c>
      <c r="AT15" s="15">
        <v>0</v>
      </c>
    </row>
    <row r="16" spans="1:46" s="16" customFormat="1" ht="18" customHeight="1">
      <c r="A16" s="260" t="s">
        <v>388</v>
      </c>
      <c r="B16" s="260" t="s">
        <v>389</v>
      </c>
      <c r="C16" s="260" t="s">
        <v>2129</v>
      </c>
      <c r="D16" s="260" t="s">
        <v>2232</v>
      </c>
      <c r="E16" s="260" t="s">
        <v>2233</v>
      </c>
      <c r="F16" s="260" t="s">
        <v>2234</v>
      </c>
      <c r="G16" s="260" t="s">
        <v>2235</v>
      </c>
      <c r="H16" s="13" t="s">
        <v>2240</v>
      </c>
      <c r="I16" s="13" t="s">
        <v>200</v>
      </c>
      <c r="J16" s="13"/>
      <c r="K16" s="13" t="s">
        <v>2241</v>
      </c>
      <c r="L16" s="13" t="s">
        <v>2242</v>
      </c>
      <c r="M16" s="13" t="s">
        <v>2243</v>
      </c>
      <c r="N16" s="13" t="s">
        <v>111</v>
      </c>
      <c r="O16" s="13" t="s">
        <v>112</v>
      </c>
      <c r="P16" s="14">
        <v>0</v>
      </c>
      <c r="Q16" s="15">
        <v>1</v>
      </c>
      <c r="R16" s="15">
        <f t="shared" si="0"/>
        <v>0.36000000000000004</v>
      </c>
      <c r="S16" s="60"/>
      <c r="T16" s="15">
        <v>0.08</v>
      </c>
      <c r="U16" s="15">
        <v>0</v>
      </c>
      <c r="V16" s="15">
        <v>0.08</v>
      </c>
      <c r="W16" s="15">
        <v>0</v>
      </c>
      <c r="X16" s="15">
        <v>0.08</v>
      </c>
      <c r="Y16" s="15">
        <v>0</v>
      </c>
      <c r="Z16" s="15">
        <v>0.08</v>
      </c>
      <c r="AA16" s="15" t="s">
        <v>2244</v>
      </c>
      <c r="AB16" s="15" t="s">
        <v>2245</v>
      </c>
      <c r="AC16" s="15">
        <v>0</v>
      </c>
      <c r="AD16" s="15">
        <v>0.3</v>
      </c>
      <c r="AE16" s="15">
        <v>0</v>
      </c>
      <c r="AF16" s="384">
        <v>0.28000000000000003</v>
      </c>
      <c r="AG16" s="385"/>
      <c r="AH16" s="9">
        <f t="shared" ref="AH16:AH19" si="4">AF16</f>
        <v>0.28000000000000003</v>
      </c>
      <c r="AI16" s="69" t="s">
        <v>3484</v>
      </c>
      <c r="AJ16" s="170" t="s">
        <v>3485</v>
      </c>
      <c r="AK16" s="60"/>
      <c r="AL16" s="60"/>
      <c r="AM16" s="129"/>
      <c r="AN16" s="60"/>
      <c r="AO16" s="11">
        <v>0.3</v>
      </c>
      <c r="AP16" s="11">
        <v>0</v>
      </c>
      <c r="AQ16" s="11">
        <v>0.32</v>
      </c>
      <c r="AR16" s="11">
        <v>0</v>
      </c>
      <c r="AS16" s="15">
        <v>0</v>
      </c>
      <c r="AT16" s="15">
        <v>0</v>
      </c>
    </row>
    <row r="17" spans="1:46" s="16" customFormat="1" ht="18" customHeight="1">
      <c r="A17" s="260" t="s">
        <v>388</v>
      </c>
      <c r="B17" s="260" t="s">
        <v>389</v>
      </c>
      <c r="C17" s="260" t="s">
        <v>2129</v>
      </c>
      <c r="D17" s="260" t="s">
        <v>2232</v>
      </c>
      <c r="E17" s="260" t="s">
        <v>2233</v>
      </c>
      <c r="F17" s="260" t="s">
        <v>2234</v>
      </c>
      <c r="G17" s="260" t="s">
        <v>2235</v>
      </c>
      <c r="H17" s="13" t="s">
        <v>2246</v>
      </c>
      <c r="I17" s="13" t="s">
        <v>200</v>
      </c>
      <c r="J17" s="13"/>
      <c r="K17" s="13" t="s">
        <v>2247</v>
      </c>
      <c r="L17" s="13" t="s">
        <v>2248</v>
      </c>
      <c r="M17" s="13" t="s">
        <v>2249</v>
      </c>
      <c r="N17" s="13" t="s">
        <v>111</v>
      </c>
      <c r="O17" s="13" t="s">
        <v>112</v>
      </c>
      <c r="P17" s="14">
        <v>0</v>
      </c>
      <c r="Q17" s="15">
        <v>1</v>
      </c>
      <c r="R17" s="15">
        <f t="shared" si="0"/>
        <v>0.37</v>
      </c>
      <c r="S17" s="60"/>
      <c r="T17" s="15">
        <v>0.06</v>
      </c>
      <c r="U17" s="15">
        <v>0</v>
      </c>
      <c r="V17" s="15">
        <v>0.06</v>
      </c>
      <c r="W17" s="15">
        <v>0</v>
      </c>
      <c r="X17" s="15">
        <v>0.09</v>
      </c>
      <c r="Y17" s="15">
        <v>0</v>
      </c>
      <c r="Z17" s="15">
        <v>0.09</v>
      </c>
      <c r="AA17" s="15" t="s">
        <v>2250</v>
      </c>
      <c r="AB17" s="15" t="s">
        <v>2251</v>
      </c>
      <c r="AC17" s="15">
        <v>0</v>
      </c>
      <c r="AD17" s="15">
        <v>0.3</v>
      </c>
      <c r="AE17" s="15">
        <v>0</v>
      </c>
      <c r="AF17" s="384">
        <v>0.28000000000000003</v>
      </c>
      <c r="AG17" s="384"/>
      <c r="AH17" s="9">
        <f t="shared" si="4"/>
        <v>0.28000000000000003</v>
      </c>
      <c r="AI17" s="69" t="s">
        <v>3486</v>
      </c>
      <c r="AJ17" s="170" t="s">
        <v>3487</v>
      </c>
      <c r="AK17" s="60"/>
      <c r="AL17" s="60"/>
      <c r="AM17" s="129"/>
      <c r="AN17" s="60"/>
      <c r="AO17" s="11">
        <v>0.3</v>
      </c>
      <c r="AP17" s="11">
        <v>0</v>
      </c>
      <c r="AQ17" s="11">
        <v>0.34</v>
      </c>
      <c r="AR17" s="11">
        <v>0</v>
      </c>
      <c r="AS17" s="15">
        <v>0</v>
      </c>
      <c r="AT17" s="15">
        <v>0</v>
      </c>
    </row>
    <row r="18" spans="1:46" s="16" customFormat="1" ht="18" customHeight="1">
      <c r="A18" s="260" t="s">
        <v>388</v>
      </c>
      <c r="B18" s="260" t="s">
        <v>389</v>
      </c>
      <c r="C18" s="260" t="s">
        <v>2129</v>
      </c>
      <c r="D18" s="260" t="s">
        <v>2232</v>
      </c>
      <c r="E18" s="260" t="s">
        <v>2233</v>
      </c>
      <c r="F18" s="260" t="s">
        <v>2234</v>
      </c>
      <c r="G18" s="260" t="s">
        <v>2235</v>
      </c>
      <c r="H18" s="13" t="s">
        <v>2252</v>
      </c>
      <c r="I18" s="13" t="s">
        <v>200</v>
      </c>
      <c r="J18" s="13"/>
      <c r="K18" s="13" t="s">
        <v>2253</v>
      </c>
      <c r="L18" s="13" t="s">
        <v>2254</v>
      </c>
      <c r="M18" s="13" t="s">
        <v>2255</v>
      </c>
      <c r="N18" s="13" t="s">
        <v>111</v>
      </c>
      <c r="O18" s="13" t="s">
        <v>112</v>
      </c>
      <c r="P18" s="14">
        <v>0</v>
      </c>
      <c r="Q18" s="15">
        <v>1</v>
      </c>
      <c r="R18" s="15">
        <f t="shared" si="0"/>
        <v>0.17</v>
      </c>
      <c r="S18" s="60"/>
      <c r="T18" s="15">
        <v>0.05</v>
      </c>
      <c r="U18" s="15">
        <v>0</v>
      </c>
      <c r="V18" s="15">
        <v>0</v>
      </c>
      <c r="W18" s="15">
        <v>0</v>
      </c>
      <c r="X18" s="15">
        <v>0</v>
      </c>
      <c r="Y18" s="15">
        <v>0</v>
      </c>
      <c r="Z18" s="15">
        <v>0</v>
      </c>
      <c r="AA18" s="15"/>
      <c r="AB18" s="15"/>
      <c r="AC18" s="15"/>
      <c r="AD18" s="15">
        <v>0.25</v>
      </c>
      <c r="AE18" s="15">
        <v>0</v>
      </c>
      <c r="AF18" s="384">
        <v>0.17</v>
      </c>
      <c r="AG18" s="384"/>
      <c r="AH18" s="9">
        <f t="shared" si="4"/>
        <v>0.17</v>
      </c>
      <c r="AI18" s="69" t="s">
        <v>3488</v>
      </c>
      <c r="AJ18" s="69" t="s">
        <v>3489</v>
      </c>
      <c r="AK18" s="64" t="s">
        <v>3490</v>
      </c>
      <c r="AL18" s="60"/>
      <c r="AM18" s="129"/>
      <c r="AN18" s="60"/>
      <c r="AO18" s="11">
        <v>0.35</v>
      </c>
      <c r="AP18" s="11">
        <v>0</v>
      </c>
      <c r="AQ18" s="11">
        <v>0.4</v>
      </c>
      <c r="AR18" s="11">
        <v>0</v>
      </c>
      <c r="AS18" s="15">
        <v>0</v>
      </c>
      <c r="AT18" s="15">
        <v>0</v>
      </c>
    </row>
    <row r="19" spans="1:46" s="16" customFormat="1" ht="18" customHeight="1">
      <c r="A19" s="260" t="s">
        <v>388</v>
      </c>
      <c r="B19" s="260" t="s">
        <v>389</v>
      </c>
      <c r="C19" s="260" t="s">
        <v>2129</v>
      </c>
      <c r="D19" s="260" t="s">
        <v>2232</v>
      </c>
      <c r="E19" s="260" t="s">
        <v>2233</v>
      </c>
      <c r="F19" s="260" t="s">
        <v>2234</v>
      </c>
      <c r="G19" s="260" t="s">
        <v>2235</v>
      </c>
      <c r="H19" s="13" t="s">
        <v>2256</v>
      </c>
      <c r="I19" s="13" t="s">
        <v>200</v>
      </c>
      <c r="J19" s="13"/>
      <c r="K19" s="13" t="s">
        <v>2257</v>
      </c>
      <c r="L19" s="13" t="s">
        <v>2258</v>
      </c>
      <c r="M19" s="13" t="s">
        <v>2255</v>
      </c>
      <c r="N19" s="13" t="s">
        <v>111</v>
      </c>
      <c r="O19" s="13" t="s">
        <v>112</v>
      </c>
      <c r="P19" s="14">
        <v>0</v>
      </c>
      <c r="Q19" s="15">
        <v>1</v>
      </c>
      <c r="R19" s="15">
        <f t="shared" si="0"/>
        <v>0.28000000000000003</v>
      </c>
      <c r="S19" s="60"/>
      <c r="T19" s="15">
        <v>0.08</v>
      </c>
      <c r="U19" s="15">
        <v>0</v>
      </c>
      <c r="V19" s="15">
        <v>0.08</v>
      </c>
      <c r="W19" s="15">
        <v>0</v>
      </c>
      <c r="X19" s="15">
        <v>0</v>
      </c>
      <c r="Y19" s="15">
        <v>0</v>
      </c>
      <c r="Z19" s="15">
        <v>0</v>
      </c>
      <c r="AA19" s="15"/>
      <c r="AB19" s="15"/>
      <c r="AC19" s="15"/>
      <c r="AD19" s="15">
        <v>0.38</v>
      </c>
      <c r="AE19" s="15">
        <v>0</v>
      </c>
      <c r="AF19" s="384">
        <v>0.28000000000000003</v>
      </c>
      <c r="AG19" s="384"/>
      <c r="AH19" s="9">
        <f t="shared" si="4"/>
        <v>0.28000000000000003</v>
      </c>
      <c r="AI19" s="169" t="s">
        <v>3491</v>
      </c>
      <c r="AJ19" s="170" t="s">
        <v>3492</v>
      </c>
      <c r="AK19" s="60" t="s">
        <v>3493</v>
      </c>
      <c r="AL19" s="60"/>
      <c r="AM19" s="129"/>
      <c r="AN19" s="60"/>
      <c r="AO19" s="11">
        <v>0.3</v>
      </c>
      <c r="AP19" s="11">
        <v>0</v>
      </c>
      <c r="AQ19" s="11">
        <v>0.32</v>
      </c>
      <c r="AR19" s="11">
        <v>0</v>
      </c>
      <c r="AS19" s="15">
        <v>0</v>
      </c>
      <c r="AT19" s="15">
        <v>0</v>
      </c>
    </row>
    <row r="20" spans="1:46" s="16" customFormat="1" ht="18" customHeight="1">
      <c r="A20" s="260" t="s">
        <v>388</v>
      </c>
      <c r="B20" s="260" t="s">
        <v>389</v>
      </c>
      <c r="C20" s="260" t="s">
        <v>2129</v>
      </c>
      <c r="D20" s="260" t="s">
        <v>2232</v>
      </c>
      <c r="E20" s="260" t="s">
        <v>2233</v>
      </c>
      <c r="F20" s="260" t="s">
        <v>2234</v>
      </c>
      <c r="G20" s="260" t="s">
        <v>2235</v>
      </c>
      <c r="H20" s="13" t="s">
        <v>2259</v>
      </c>
      <c r="I20" s="13" t="s">
        <v>200</v>
      </c>
      <c r="J20" s="13"/>
      <c r="K20" s="13" t="s">
        <v>2260</v>
      </c>
      <c r="L20" s="13" t="s">
        <v>2261</v>
      </c>
      <c r="M20" s="13" t="s">
        <v>2262</v>
      </c>
      <c r="N20" s="13" t="s">
        <v>111</v>
      </c>
      <c r="O20" s="13" t="s">
        <v>124</v>
      </c>
      <c r="P20" s="14">
        <v>1</v>
      </c>
      <c r="Q20" s="15">
        <v>1</v>
      </c>
      <c r="R20" s="15">
        <f>(Z20+AH20)/2</f>
        <v>0.96</v>
      </c>
      <c r="S20" s="60"/>
      <c r="T20" s="15">
        <v>0</v>
      </c>
      <c r="U20" s="15">
        <v>1</v>
      </c>
      <c r="V20" s="15">
        <v>0</v>
      </c>
      <c r="W20" s="15">
        <v>1</v>
      </c>
      <c r="X20" s="15" t="s">
        <v>115</v>
      </c>
      <c r="Y20" s="15">
        <v>1</v>
      </c>
      <c r="Z20" s="15">
        <v>1</v>
      </c>
      <c r="AA20" s="15" t="s">
        <v>2263</v>
      </c>
      <c r="AB20" s="15" t="s">
        <v>2264</v>
      </c>
      <c r="AC20" s="15">
        <v>0</v>
      </c>
      <c r="AD20" s="15">
        <v>0</v>
      </c>
      <c r="AE20" s="15">
        <v>1</v>
      </c>
      <c r="AF20" s="384">
        <v>0</v>
      </c>
      <c r="AG20" s="384">
        <v>0.92</v>
      </c>
      <c r="AH20" s="11">
        <f>AG20</f>
        <v>0.92</v>
      </c>
      <c r="AI20" s="69" t="s">
        <v>3494</v>
      </c>
      <c r="AJ20" s="170" t="s">
        <v>3495</v>
      </c>
      <c r="AK20" s="60"/>
      <c r="AL20" s="60"/>
      <c r="AM20" s="129"/>
      <c r="AN20" s="60"/>
      <c r="AO20" s="11">
        <v>0</v>
      </c>
      <c r="AP20" s="11">
        <v>1</v>
      </c>
      <c r="AQ20" s="11">
        <v>0</v>
      </c>
      <c r="AR20" s="11">
        <v>1</v>
      </c>
      <c r="AS20" s="15">
        <v>0</v>
      </c>
      <c r="AT20" s="15">
        <v>0</v>
      </c>
    </row>
    <row r="21" spans="1:46" s="16" customFormat="1" ht="18" customHeight="1">
      <c r="A21" s="260" t="s">
        <v>388</v>
      </c>
      <c r="B21" s="260" t="s">
        <v>389</v>
      </c>
      <c r="C21" s="260" t="s">
        <v>2129</v>
      </c>
      <c r="D21" s="260" t="s">
        <v>2232</v>
      </c>
      <c r="E21" s="260" t="s">
        <v>2233</v>
      </c>
      <c r="F21" s="260" t="s">
        <v>2234</v>
      </c>
      <c r="G21" s="260" t="s">
        <v>2235</v>
      </c>
      <c r="H21" s="13" t="s">
        <v>2265</v>
      </c>
      <c r="I21" s="13" t="s">
        <v>200</v>
      </c>
      <c r="J21" s="13"/>
      <c r="K21" s="13" t="s">
        <v>2266</v>
      </c>
      <c r="L21" s="13" t="s">
        <v>2267</v>
      </c>
      <c r="M21" s="13" t="s">
        <v>2268</v>
      </c>
      <c r="N21" s="13" t="s">
        <v>111</v>
      </c>
      <c r="O21" s="13" t="s">
        <v>112</v>
      </c>
      <c r="P21" s="14">
        <v>0</v>
      </c>
      <c r="Q21" s="15">
        <v>1</v>
      </c>
      <c r="R21" s="15">
        <f t="shared" ref="R21:R23" si="5">Z21+AH21</f>
        <v>0.26</v>
      </c>
      <c r="S21" s="60"/>
      <c r="T21" s="15">
        <v>7.0000000000000007E-2</v>
      </c>
      <c r="U21" s="15">
        <v>0</v>
      </c>
      <c r="V21" s="15">
        <v>0</v>
      </c>
      <c r="W21" s="15">
        <v>0</v>
      </c>
      <c r="X21" s="15">
        <v>0</v>
      </c>
      <c r="Y21" s="15">
        <v>0</v>
      </c>
      <c r="Z21" s="15">
        <v>0</v>
      </c>
      <c r="AA21" s="15"/>
      <c r="AB21" s="15"/>
      <c r="AC21" s="15"/>
      <c r="AD21" s="15">
        <v>0.32</v>
      </c>
      <c r="AE21" s="15">
        <v>0</v>
      </c>
      <c r="AF21" s="384">
        <v>0.26</v>
      </c>
      <c r="AG21" s="384"/>
      <c r="AH21" s="9">
        <f t="shared" ref="AH21:AH22" si="6">AF21</f>
        <v>0.26</v>
      </c>
      <c r="AI21" s="169" t="s">
        <v>3496</v>
      </c>
      <c r="AJ21" s="170" t="s">
        <v>3497</v>
      </c>
      <c r="AK21" s="60"/>
      <c r="AL21" s="60"/>
      <c r="AM21" s="129"/>
      <c r="AN21" s="60"/>
      <c r="AO21" s="11">
        <v>0.35</v>
      </c>
      <c r="AP21" s="11">
        <v>0</v>
      </c>
      <c r="AQ21" s="11">
        <v>0.33</v>
      </c>
      <c r="AR21" s="11">
        <v>0</v>
      </c>
      <c r="AS21" s="15">
        <v>0</v>
      </c>
      <c r="AT21" s="15">
        <v>0</v>
      </c>
    </row>
    <row r="22" spans="1:46" s="16" customFormat="1" ht="18" customHeight="1">
      <c r="A22" s="260" t="s">
        <v>388</v>
      </c>
      <c r="B22" s="260" t="s">
        <v>389</v>
      </c>
      <c r="C22" s="260" t="s">
        <v>2129</v>
      </c>
      <c r="D22" s="260" t="s">
        <v>2232</v>
      </c>
      <c r="E22" s="260" t="s">
        <v>2233</v>
      </c>
      <c r="F22" s="260" t="s">
        <v>2234</v>
      </c>
      <c r="G22" s="260" t="s">
        <v>2235</v>
      </c>
      <c r="H22" s="13" t="s">
        <v>2269</v>
      </c>
      <c r="I22" s="13" t="s">
        <v>200</v>
      </c>
      <c r="J22" s="13"/>
      <c r="K22" s="13" t="s">
        <v>2270</v>
      </c>
      <c r="L22" s="13" t="s">
        <v>2271</v>
      </c>
      <c r="M22" s="13" t="s">
        <v>2272</v>
      </c>
      <c r="N22" s="13" t="s">
        <v>111</v>
      </c>
      <c r="O22" s="13" t="s">
        <v>112</v>
      </c>
      <c r="P22" s="14">
        <v>1</v>
      </c>
      <c r="Q22" s="15">
        <v>1</v>
      </c>
      <c r="R22" s="15">
        <f t="shared" si="5"/>
        <v>0.35</v>
      </c>
      <c r="S22" s="60"/>
      <c r="T22" s="15">
        <v>0.08</v>
      </c>
      <c r="U22" s="15">
        <v>0</v>
      </c>
      <c r="V22" s="15">
        <v>0.08</v>
      </c>
      <c r="W22" s="15">
        <v>0</v>
      </c>
      <c r="X22" s="15">
        <v>0</v>
      </c>
      <c r="Y22" s="15">
        <v>0</v>
      </c>
      <c r="Z22" s="15">
        <v>0</v>
      </c>
      <c r="AA22" s="15">
        <v>0</v>
      </c>
      <c r="AB22" s="15"/>
      <c r="AC22" s="15">
        <v>0</v>
      </c>
      <c r="AD22" s="15">
        <v>0.38</v>
      </c>
      <c r="AE22" s="15">
        <v>0</v>
      </c>
      <c r="AF22" s="384">
        <v>0.35</v>
      </c>
      <c r="AG22" s="384"/>
      <c r="AH22" s="9">
        <f t="shared" si="6"/>
        <v>0.35</v>
      </c>
      <c r="AI22" s="69" t="s">
        <v>3498</v>
      </c>
      <c r="AJ22" s="170" t="s">
        <v>3499</v>
      </c>
      <c r="AK22" s="60"/>
      <c r="AL22" s="60"/>
      <c r="AM22" s="129"/>
      <c r="AN22" s="60"/>
      <c r="AO22" s="11">
        <v>0.3</v>
      </c>
      <c r="AP22" s="11">
        <v>0</v>
      </c>
      <c r="AQ22" s="11">
        <v>0.32</v>
      </c>
      <c r="AR22" s="11">
        <v>0</v>
      </c>
      <c r="AS22" s="15">
        <v>0</v>
      </c>
      <c r="AT22" s="15">
        <v>0</v>
      </c>
    </row>
    <row r="23" spans="1:46" ht="18" customHeight="1">
      <c r="A23" s="260" t="s">
        <v>388</v>
      </c>
      <c r="B23" s="260" t="s">
        <v>389</v>
      </c>
      <c r="C23" s="260" t="s">
        <v>2371</v>
      </c>
      <c r="D23" s="260" t="s">
        <v>2372</v>
      </c>
      <c r="E23" s="260" t="s">
        <v>2416</v>
      </c>
      <c r="F23" s="260" t="s">
        <v>2417</v>
      </c>
      <c r="G23" s="260" t="s">
        <v>2418</v>
      </c>
      <c r="H23" s="260" t="s">
        <v>2431</v>
      </c>
      <c r="I23" s="260" t="s">
        <v>200</v>
      </c>
      <c r="J23" s="260"/>
      <c r="K23" s="260" t="s">
        <v>2432</v>
      </c>
      <c r="L23" s="260" t="s">
        <v>2433</v>
      </c>
      <c r="M23" s="260" t="s">
        <v>131</v>
      </c>
      <c r="N23" s="260" t="s">
        <v>111</v>
      </c>
      <c r="O23" s="260" t="s">
        <v>112</v>
      </c>
      <c r="P23" s="10">
        <v>0</v>
      </c>
      <c r="Q23" s="11">
        <v>1</v>
      </c>
      <c r="R23" s="11">
        <f t="shared" si="5"/>
        <v>0.35</v>
      </c>
      <c r="S23" s="261"/>
      <c r="T23" s="11">
        <v>0.09</v>
      </c>
      <c r="U23" s="11">
        <v>0</v>
      </c>
      <c r="V23" s="11">
        <v>0.09</v>
      </c>
      <c r="W23" s="11">
        <v>0</v>
      </c>
      <c r="X23" s="11">
        <v>0.09</v>
      </c>
      <c r="Y23" s="11">
        <v>0</v>
      </c>
      <c r="Z23" s="11">
        <v>0.09</v>
      </c>
      <c r="AA23" s="11" t="s">
        <v>2434</v>
      </c>
      <c r="AB23" s="11" t="s">
        <v>2435</v>
      </c>
      <c r="AC23" s="11" t="s">
        <v>2436</v>
      </c>
      <c r="AD23" s="11">
        <v>0.3</v>
      </c>
      <c r="AE23" s="11">
        <v>0</v>
      </c>
      <c r="AF23" s="383">
        <v>0.26</v>
      </c>
      <c r="AG23" s="383"/>
      <c r="AH23" s="9">
        <f t="shared" ref="AH23" si="7">AF23</f>
        <v>0.26</v>
      </c>
      <c r="AI23" s="66" t="s">
        <v>3500</v>
      </c>
      <c r="AJ23" s="151" t="s">
        <v>3501</v>
      </c>
      <c r="AK23" s="261"/>
      <c r="AL23" s="261"/>
      <c r="AM23" s="118"/>
      <c r="AN23" s="261"/>
      <c r="AO23" s="11">
        <v>0.31</v>
      </c>
      <c r="AP23" s="11">
        <v>0</v>
      </c>
      <c r="AQ23" s="11">
        <v>0.3</v>
      </c>
      <c r="AR23" s="11">
        <v>0</v>
      </c>
      <c r="AS23" s="11">
        <v>0</v>
      </c>
      <c r="AT23" s="11">
        <v>0</v>
      </c>
    </row>
    <row r="24" spans="1:46" s="3" customFormat="1">
      <c r="L24" s="5"/>
      <c r="AM24" s="124"/>
    </row>
  </sheetData>
  <sheetProtection autoFilter="0"/>
  <autoFilter ref="A12:IZ23" xr:uid="{00000000-0009-0000-0000-00000B000000}"/>
  <customSheetViews>
    <customSheetView guid="{75629C99-8367-48E9-A2A2-D8C49A9E68E3}" scale="80" showAutoFilter="1" hiddenRows="1" topLeftCell="I13">
      <selection activeCell="I13" sqref="I13"/>
      <pageMargins left="0" right="0" top="0" bottom="0" header="0" footer="0"/>
      <pageSetup orientation="portrait" r:id="rId1"/>
      <autoFilter ref="A12:IZ23" xr:uid="{766164C6-86A2-45B1-8667-0656BD3A5085}"/>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23">
    <cfRule type="duplicateValues" dxfId="9" priority="1"/>
  </conditionalFormatting>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T26"/>
  <sheetViews>
    <sheetView topLeftCell="K12" zoomScale="80" zoomScaleNormal="80" workbookViewId="0">
      <pane xSplit="1" ySplit="1" topLeftCell="Y14" activePane="bottomRight" state="frozen"/>
      <selection pane="bottomRight" activeCell="AJ16" sqref="AJ16"/>
      <selection pane="bottomLeft"/>
      <selection pane="topRight"/>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9.570312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87"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1302</v>
      </c>
      <c r="B13" s="260" t="s">
        <v>1303</v>
      </c>
      <c r="C13" s="260" t="s">
        <v>1286</v>
      </c>
      <c r="D13" s="260" t="s">
        <v>1287</v>
      </c>
      <c r="E13" s="260" t="s">
        <v>1288</v>
      </c>
      <c r="F13" s="260" t="s">
        <v>1289</v>
      </c>
      <c r="G13" s="260" t="s">
        <v>1290</v>
      </c>
      <c r="H13" s="260" t="s">
        <v>1304</v>
      </c>
      <c r="I13" s="260"/>
      <c r="J13" s="260"/>
      <c r="K13" s="260" t="s">
        <v>1305</v>
      </c>
      <c r="L13" s="260" t="s">
        <v>1306</v>
      </c>
      <c r="M13" s="260" t="s">
        <v>1307</v>
      </c>
      <c r="N13" s="260" t="s">
        <v>111</v>
      </c>
      <c r="O13" s="260" t="s">
        <v>112</v>
      </c>
      <c r="P13" s="10">
        <v>1660</v>
      </c>
      <c r="Q13" s="11">
        <v>700</v>
      </c>
      <c r="R13" s="11">
        <f t="shared" ref="R13:R25" si="0">Z13+AH13</f>
        <v>202</v>
      </c>
      <c r="S13" s="157" t="s">
        <v>3502</v>
      </c>
      <c r="T13" s="11">
        <v>100</v>
      </c>
      <c r="U13" s="11">
        <v>0</v>
      </c>
      <c r="V13" s="11">
        <v>202</v>
      </c>
      <c r="W13" s="11">
        <v>0</v>
      </c>
      <c r="X13" s="11">
        <v>202</v>
      </c>
      <c r="Y13" s="11">
        <v>0</v>
      </c>
      <c r="Z13" s="11">
        <v>202</v>
      </c>
      <c r="AA13" s="11" t="s">
        <v>1308</v>
      </c>
      <c r="AB13" s="11" t="s">
        <v>1309</v>
      </c>
      <c r="AC13" s="11">
        <v>0</v>
      </c>
      <c r="AD13" s="11">
        <v>165</v>
      </c>
      <c r="AE13" s="11">
        <v>0</v>
      </c>
      <c r="AF13" s="261">
        <v>0</v>
      </c>
      <c r="AG13" s="261"/>
      <c r="AH13" s="9">
        <f t="shared" ref="AH13:AH17" si="1">AF13</f>
        <v>0</v>
      </c>
      <c r="AI13" s="261"/>
      <c r="AJ13" s="159" t="s">
        <v>3503</v>
      </c>
      <c r="AK13" s="261"/>
      <c r="AL13" s="72" t="s">
        <v>3504</v>
      </c>
      <c r="AM13" s="118"/>
      <c r="AN13" s="261"/>
      <c r="AO13" s="11">
        <v>150</v>
      </c>
      <c r="AP13" s="11">
        <v>0</v>
      </c>
      <c r="AQ13" s="11">
        <v>183</v>
      </c>
      <c r="AR13" s="11">
        <v>0</v>
      </c>
      <c r="AS13" s="11">
        <v>0</v>
      </c>
      <c r="AT13" s="11">
        <v>0</v>
      </c>
    </row>
    <row r="14" spans="1:46" ht="18" customHeight="1">
      <c r="A14" s="260" t="s">
        <v>1302</v>
      </c>
      <c r="B14" s="260" t="s">
        <v>1303</v>
      </c>
      <c r="C14" s="260" t="s">
        <v>1286</v>
      </c>
      <c r="D14" s="260" t="s">
        <v>1287</v>
      </c>
      <c r="E14" s="260" t="s">
        <v>1288</v>
      </c>
      <c r="F14" s="260" t="s">
        <v>1325</v>
      </c>
      <c r="G14" s="260" t="s">
        <v>1326</v>
      </c>
      <c r="H14" s="260" t="s">
        <v>1327</v>
      </c>
      <c r="I14" s="260"/>
      <c r="J14" s="260"/>
      <c r="K14" s="260" t="s">
        <v>1328</v>
      </c>
      <c r="L14" s="260" t="s">
        <v>1330</v>
      </c>
      <c r="M14" s="260" t="s">
        <v>2956</v>
      </c>
      <c r="N14" s="260" t="s">
        <v>111</v>
      </c>
      <c r="O14" s="260" t="s">
        <v>112</v>
      </c>
      <c r="P14" s="10">
        <v>0</v>
      </c>
      <c r="Q14" s="11">
        <v>116</v>
      </c>
      <c r="R14" s="11">
        <f t="shared" si="0"/>
        <v>51</v>
      </c>
      <c r="S14" s="157" t="s">
        <v>3505</v>
      </c>
      <c r="T14" s="11">
        <v>0</v>
      </c>
      <c r="U14" s="11">
        <v>0</v>
      </c>
      <c r="V14" s="11">
        <v>0</v>
      </c>
      <c r="W14" s="11">
        <v>0</v>
      </c>
      <c r="X14" s="11">
        <v>0</v>
      </c>
      <c r="Y14" s="11">
        <v>0</v>
      </c>
      <c r="Z14" s="11">
        <v>0</v>
      </c>
      <c r="AA14" s="11"/>
      <c r="AB14" s="11"/>
      <c r="AC14" s="11"/>
      <c r="AD14" s="11">
        <v>51</v>
      </c>
      <c r="AE14" s="11">
        <v>0</v>
      </c>
      <c r="AF14" s="261">
        <v>51</v>
      </c>
      <c r="AG14" s="157"/>
      <c r="AH14" s="9">
        <f t="shared" si="1"/>
        <v>51</v>
      </c>
      <c r="AI14" s="157" t="s">
        <v>3506</v>
      </c>
      <c r="AJ14" s="159" t="s">
        <v>3507</v>
      </c>
      <c r="AK14" s="261"/>
      <c r="AL14" s="72" t="s">
        <v>3508</v>
      </c>
      <c r="AM14" s="157" t="s">
        <v>3509</v>
      </c>
      <c r="AN14" s="165" t="s">
        <v>3510</v>
      </c>
      <c r="AO14" s="11">
        <v>42</v>
      </c>
      <c r="AP14" s="11">
        <v>0</v>
      </c>
      <c r="AQ14" s="11">
        <v>23</v>
      </c>
      <c r="AR14" s="11">
        <v>0</v>
      </c>
      <c r="AS14" s="11">
        <v>0</v>
      </c>
      <c r="AT14" s="11">
        <v>0</v>
      </c>
    </row>
    <row r="15" spans="1:46" ht="18" customHeight="1">
      <c r="A15" s="260" t="s">
        <v>1302</v>
      </c>
      <c r="B15" s="260" t="s">
        <v>1303</v>
      </c>
      <c r="C15" s="260" t="s">
        <v>1286</v>
      </c>
      <c r="D15" s="260" t="s">
        <v>1287</v>
      </c>
      <c r="E15" s="260" t="s">
        <v>1288</v>
      </c>
      <c r="F15" s="260" t="s">
        <v>1325</v>
      </c>
      <c r="G15" s="260" t="s">
        <v>1326</v>
      </c>
      <c r="H15" s="260" t="s">
        <v>1331</v>
      </c>
      <c r="I15" s="260"/>
      <c r="J15" s="260"/>
      <c r="K15" s="260" t="s">
        <v>1332</v>
      </c>
      <c r="L15" s="260" t="s">
        <v>1333</v>
      </c>
      <c r="M15" s="260" t="s">
        <v>1334</v>
      </c>
      <c r="N15" s="260" t="s">
        <v>111</v>
      </c>
      <c r="O15" s="260" t="s">
        <v>112</v>
      </c>
      <c r="P15" s="10">
        <v>25</v>
      </c>
      <c r="Q15" s="11">
        <v>8</v>
      </c>
      <c r="R15" s="11">
        <f t="shared" si="0"/>
        <v>0</v>
      </c>
      <c r="S15" s="157" t="s">
        <v>3511</v>
      </c>
      <c r="T15" s="11">
        <v>0</v>
      </c>
      <c r="U15" s="11">
        <v>0</v>
      </c>
      <c r="V15" s="11">
        <v>0</v>
      </c>
      <c r="W15" s="11">
        <v>0</v>
      </c>
      <c r="X15" s="11">
        <v>0</v>
      </c>
      <c r="Y15" s="11">
        <v>0</v>
      </c>
      <c r="Z15" s="11">
        <v>0</v>
      </c>
      <c r="AA15" s="11"/>
      <c r="AB15" s="11"/>
      <c r="AC15" s="11"/>
      <c r="AD15" s="11">
        <v>4</v>
      </c>
      <c r="AE15" s="11">
        <v>0</v>
      </c>
      <c r="AF15" s="261">
        <v>0</v>
      </c>
      <c r="AG15" s="261"/>
      <c r="AH15" s="9">
        <f t="shared" si="1"/>
        <v>0</v>
      </c>
      <c r="AI15" s="261"/>
      <c r="AJ15" s="159" t="s">
        <v>3503</v>
      </c>
      <c r="AK15" s="261"/>
      <c r="AL15" s="72" t="s">
        <v>3508</v>
      </c>
      <c r="AM15" s="118"/>
      <c r="AN15" s="261"/>
      <c r="AO15" s="11">
        <v>3</v>
      </c>
      <c r="AP15" s="11">
        <v>0</v>
      </c>
      <c r="AQ15" s="11">
        <v>1</v>
      </c>
      <c r="AR15" s="11">
        <v>0</v>
      </c>
      <c r="AS15" s="11">
        <v>0</v>
      </c>
      <c r="AT15" s="11">
        <v>0</v>
      </c>
    </row>
    <row r="16" spans="1:46" ht="18" customHeight="1">
      <c r="A16" s="260" t="s">
        <v>1302</v>
      </c>
      <c r="B16" s="260" t="s">
        <v>1303</v>
      </c>
      <c r="C16" s="260" t="s">
        <v>1286</v>
      </c>
      <c r="D16" s="260" t="s">
        <v>1287</v>
      </c>
      <c r="E16" s="260" t="s">
        <v>1288</v>
      </c>
      <c r="F16" s="260" t="s">
        <v>1325</v>
      </c>
      <c r="G16" s="260" t="s">
        <v>1326</v>
      </c>
      <c r="H16" s="260" t="s">
        <v>1335</v>
      </c>
      <c r="I16" s="260"/>
      <c r="J16" s="260"/>
      <c r="K16" s="260" t="s">
        <v>1336</v>
      </c>
      <c r="L16" s="260" t="s">
        <v>1337</v>
      </c>
      <c r="M16" s="260" t="s">
        <v>1338</v>
      </c>
      <c r="N16" s="260" t="s">
        <v>111</v>
      </c>
      <c r="O16" s="260" t="s">
        <v>112</v>
      </c>
      <c r="P16" s="10">
        <v>88</v>
      </c>
      <c r="Q16" s="11">
        <v>116</v>
      </c>
      <c r="R16" s="11">
        <f t="shared" si="0"/>
        <v>13</v>
      </c>
      <c r="S16" s="157" t="s">
        <v>3512</v>
      </c>
      <c r="T16" s="11">
        <v>10</v>
      </c>
      <c r="U16" s="11">
        <v>0</v>
      </c>
      <c r="V16" s="11">
        <v>13</v>
      </c>
      <c r="W16" s="11">
        <v>0</v>
      </c>
      <c r="X16" s="11">
        <v>13</v>
      </c>
      <c r="Y16" s="11">
        <v>0</v>
      </c>
      <c r="Z16" s="11">
        <v>13</v>
      </c>
      <c r="AA16" s="11" t="s">
        <v>1339</v>
      </c>
      <c r="AB16" s="11" t="s">
        <v>1340</v>
      </c>
      <c r="AC16" s="11">
        <v>0</v>
      </c>
      <c r="AD16" s="11">
        <v>90</v>
      </c>
      <c r="AE16" s="11">
        <v>0</v>
      </c>
      <c r="AF16" s="261">
        <v>0</v>
      </c>
      <c r="AG16" s="261"/>
      <c r="AH16" s="9">
        <f t="shared" si="1"/>
        <v>0</v>
      </c>
      <c r="AI16" s="261"/>
      <c r="AJ16" s="159" t="s">
        <v>3513</v>
      </c>
      <c r="AK16" s="261"/>
      <c r="AL16" s="72" t="s">
        <v>3514</v>
      </c>
      <c r="AM16" s="118"/>
      <c r="AN16" s="261"/>
      <c r="AO16" s="11">
        <v>110</v>
      </c>
      <c r="AP16" s="11">
        <v>0</v>
      </c>
      <c r="AQ16" s="11">
        <v>87</v>
      </c>
      <c r="AR16" s="11">
        <v>0</v>
      </c>
      <c r="AS16" s="11">
        <v>0</v>
      </c>
      <c r="AT16" s="11">
        <v>0</v>
      </c>
    </row>
    <row r="17" spans="1:46" ht="18" customHeight="1">
      <c r="A17" s="260" t="s">
        <v>1302</v>
      </c>
      <c r="B17" s="260" t="s">
        <v>1303</v>
      </c>
      <c r="C17" s="260" t="s">
        <v>1286</v>
      </c>
      <c r="D17" s="260" t="s">
        <v>1287</v>
      </c>
      <c r="E17" s="260" t="s">
        <v>1288</v>
      </c>
      <c r="F17" s="260" t="s">
        <v>1325</v>
      </c>
      <c r="G17" s="260" t="s">
        <v>1326</v>
      </c>
      <c r="H17" s="260" t="s">
        <v>1341</v>
      </c>
      <c r="I17" s="260"/>
      <c r="J17" s="260"/>
      <c r="K17" s="260" t="s">
        <v>1342</v>
      </c>
      <c r="L17" s="260" t="s">
        <v>1343</v>
      </c>
      <c r="M17" s="260" t="s">
        <v>1344</v>
      </c>
      <c r="N17" s="260" t="s">
        <v>111</v>
      </c>
      <c r="O17" s="260" t="s">
        <v>112</v>
      </c>
      <c r="P17" s="10">
        <v>485</v>
      </c>
      <c r="Q17" s="11">
        <v>2000</v>
      </c>
      <c r="R17" s="11">
        <f t="shared" si="0"/>
        <v>0</v>
      </c>
      <c r="S17" s="157" t="s">
        <v>3515</v>
      </c>
      <c r="T17" s="11">
        <v>0</v>
      </c>
      <c r="U17" s="11">
        <v>0</v>
      </c>
      <c r="V17" s="11">
        <v>0</v>
      </c>
      <c r="W17" s="11">
        <v>0</v>
      </c>
      <c r="X17" s="11">
        <v>0</v>
      </c>
      <c r="Y17" s="11">
        <v>0</v>
      </c>
      <c r="Z17" s="11">
        <v>0</v>
      </c>
      <c r="AA17" s="11"/>
      <c r="AB17" s="11"/>
      <c r="AC17" s="11"/>
      <c r="AD17" s="11">
        <v>600</v>
      </c>
      <c r="AE17" s="11">
        <v>0</v>
      </c>
      <c r="AF17" s="261">
        <v>0</v>
      </c>
      <c r="AG17" s="261"/>
      <c r="AH17" s="9">
        <f t="shared" si="1"/>
        <v>0</v>
      </c>
      <c r="AI17" s="261"/>
      <c r="AJ17" s="159" t="s">
        <v>3516</v>
      </c>
      <c r="AK17" s="261"/>
      <c r="AL17" s="72" t="s">
        <v>3508</v>
      </c>
      <c r="AM17" s="118"/>
      <c r="AN17" s="261"/>
      <c r="AO17" s="11">
        <v>1000</v>
      </c>
      <c r="AP17" s="11">
        <v>0</v>
      </c>
      <c r="AQ17" s="11">
        <v>400</v>
      </c>
      <c r="AR17" s="11">
        <v>0</v>
      </c>
      <c r="AS17" s="11">
        <v>0</v>
      </c>
      <c r="AT17" s="11">
        <v>0</v>
      </c>
    </row>
    <row r="18" spans="1:46" ht="18" customHeight="1">
      <c r="A18" s="260" t="s">
        <v>1302</v>
      </c>
      <c r="B18" s="260" t="s">
        <v>1303</v>
      </c>
      <c r="C18" s="260" t="s">
        <v>1286</v>
      </c>
      <c r="D18" s="260" t="s">
        <v>1657</v>
      </c>
      <c r="E18" s="260" t="s">
        <v>1658</v>
      </c>
      <c r="F18" s="260" t="s">
        <v>1688</v>
      </c>
      <c r="G18" s="260" t="s">
        <v>1689</v>
      </c>
      <c r="H18" s="260" t="s">
        <v>1690</v>
      </c>
      <c r="I18" s="260"/>
      <c r="J18" s="260"/>
      <c r="K18" s="260" t="s">
        <v>1691</v>
      </c>
      <c r="L18" s="260" t="s">
        <v>1692</v>
      </c>
      <c r="M18" s="260" t="s">
        <v>1693</v>
      </c>
      <c r="N18" s="260" t="s">
        <v>111</v>
      </c>
      <c r="O18" s="260" t="s">
        <v>112</v>
      </c>
      <c r="P18" s="10">
        <v>7002</v>
      </c>
      <c r="Q18" s="11">
        <v>5000</v>
      </c>
      <c r="R18" s="11">
        <f t="shared" si="0"/>
        <v>2935</v>
      </c>
      <c r="S18" s="159" t="s">
        <v>3517</v>
      </c>
      <c r="T18" s="11">
        <v>400</v>
      </c>
      <c r="U18" s="11">
        <v>0</v>
      </c>
      <c r="V18" s="11">
        <v>50</v>
      </c>
      <c r="W18" s="11">
        <v>0</v>
      </c>
      <c r="X18" s="11">
        <v>52</v>
      </c>
      <c r="Y18" s="11">
        <v>0</v>
      </c>
      <c r="Z18" s="11">
        <v>52</v>
      </c>
      <c r="AA18" s="11" t="s">
        <v>1694</v>
      </c>
      <c r="AB18" s="11" t="s">
        <v>1695</v>
      </c>
      <c r="AC18" s="11">
        <v>0</v>
      </c>
      <c r="AD18" s="11">
        <v>3300</v>
      </c>
      <c r="AE18" s="11">
        <v>0</v>
      </c>
      <c r="AF18" s="261">
        <v>2883</v>
      </c>
      <c r="AG18" s="261"/>
      <c r="AH18" s="9">
        <f t="shared" ref="AH18" si="2">AF18</f>
        <v>2883</v>
      </c>
      <c r="AI18" s="261" t="s">
        <v>3518</v>
      </c>
      <c r="AJ18" s="159" t="s">
        <v>3517</v>
      </c>
      <c r="AK18" s="261"/>
      <c r="AL18" s="72" t="s">
        <v>3519</v>
      </c>
      <c r="AM18" s="118"/>
      <c r="AN18" s="261"/>
      <c r="AO18" s="11">
        <v>1400</v>
      </c>
      <c r="AP18" s="11">
        <v>0</v>
      </c>
      <c r="AQ18" s="11">
        <v>248</v>
      </c>
      <c r="AR18" s="11">
        <v>0</v>
      </c>
      <c r="AS18" s="11">
        <v>0</v>
      </c>
      <c r="AT18" s="11">
        <v>0</v>
      </c>
    </row>
    <row r="19" spans="1:46" ht="18" customHeight="1">
      <c r="A19" s="260" t="s">
        <v>1302</v>
      </c>
      <c r="B19" s="260" t="s">
        <v>1303</v>
      </c>
      <c r="C19" s="260" t="s">
        <v>1286</v>
      </c>
      <c r="D19" s="260" t="s">
        <v>1657</v>
      </c>
      <c r="E19" s="260" t="s">
        <v>1751</v>
      </c>
      <c r="F19" s="260" t="s">
        <v>1752</v>
      </c>
      <c r="G19" s="260" t="s">
        <v>1753</v>
      </c>
      <c r="H19" s="260" t="s">
        <v>1782</v>
      </c>
      <c r="I19" s="260"/>
      <c r="J19" s="260"/>
      <c r="K19" s="260" t="s">
        <v>1783</v>
      </c>
      <c r="L19" s="260" t="s">
        <v>1784</v>
      </c>
      <c r="M19" s="260" t="s">
        <v>1785</v>
      </c>
      <c r="N19" s="260" t="s">
        <v>111</v>
      </c>
      <c r="O19" s="260" t="s">
        <v>112</v>
      </c>
      <c r="P19" s="10">
        <v>280</v>
      </c>
      <c r="Q19" s="11">
        <v>280</v>
      </c>
      <c r="R19" s="11">
        <f t="shared" si="0"/>
        <v>136</v>
      </c>
      <c r="S19" s="157" t="s">
        <v>3520</v>
      </c>
      <c r="T19" s="11">
        <v>4</v>
      </c>
      <c r="U19" s="11">
        <v>0</v>
      </c>
      <c r="V19" s="11">
        <v>26</v>
      </c>
      <c r="W19" s="11">
        <v>0</v>
      </c>
      <c r="X19" s="11">
        <v>26</v>
      </c>
      <c r="Y19" s="11">
        <v>0</v>
      </c>
      <c r="Z19" s="11">
        <v>26</v>
      </c>
      <c r="AA19" s="11" t="s">
        <v>1786</v>
      </c>
      <c r="AB19" s="11" t="s">
        <v>1787</v>
      </c>
      <c r="AC19" s="11">
        <v>0</v>
      </c>
      <c r="AD19" s="11">
        <v>110</v>
      </c>
      <c r="AE19" s="11">
        <v>0</v>
      </c>
      <c r="AF19" s="261">
        <v>110</v>
      </c>
      <c r="AG19" s="261"/>
      <c r="AH19" s="9">
        <f t="shared" ref="AH19" si="3">AF19</f>
        <v>110</v>
      </c>
      <c r="AI19" s="261" t="s">
        <v>3521</v>
      </c>
      <c r="AJ19" s="159" t="s">
        <v>3522</v>
      </c>
      <c r="AK19" s="150"/>
      <c r="AL19" s="72" t="s">
        <v>3523</v>
      </c>
      <c r="AM19" s="118"/>
      <c r="AN19" s="261"/>
      <c r="AO19" s="11">
        <v>75</v>
      </c>
      <c r="AP19" s="11">
        <v>0</v>
      </c>
      <c r="AQ19" s="11">
        <v>69</v>
      </c>
      <c r="AR19" s="11">
        <v>0</v>
      </c>
      <c r="AS19" s="11">
        <v>0</v>
      </c>
      <c r="AT19" s="11">
        <v>0</v>
      </c>
    </row>
    <row r="20" spans="1:46" ht="18" customHeight="1">
      <c r="A20" s="260" t="s">
        <v>1302</v>
      </c>
      <c r="B20" s="260" t="s">
        <v>1303</v>
      </c>
      <c r="C20" s="260" t="s">
        <v>1286</v>
      </c>
      <c r="D20" s="260" t="s">
        <v>1799</v>
      </c>
      <c r="E20" s="260" t="s">
        <v>1800</v>
      </c>
      <c r="F20" s="260" t="s">
        <v>1801</v>
      </c>
      <c r="G20" s="260" t="s">
        <v>1802</v>
      </c>
      <c r="H20" s="260" t="s">
        <v>1803</v>
      </c>
      <c r="I20" s="260"/>
      <c r="J20" s="260"/>
      <c r="K20" s="260" t="s">
        <v>1804</v>
      </c>
      <c r="L20" s="260" t="s">
        <v>1805</v>
      </c>
      <c r="M20" s="260" t="s">
        <v>1806</v>
      </c>
      <c r="N20" s="260" t="s">
        <v>111</v>
      </c>
      <c r="O20" s="260" t="s">
        <v>112</v>
      </c>
      <c r="P20" s="10">
        <v>0</v>
      </c>
      <c r="Q20" s="11">
        <v>1</v>
      </c>
      <c r="R20" s="11">
        <f t="shared" si="0"/>
        <v>0.42000000000000004</v>
      </c>
      <c r="S20" s="159" t="s">
        <v>3524</v>
      </c>
      <c r="T20" s="11">
        <v>0.1</v>
      </c>
      <c r="U20" s="11">
        <v>0</v>
      </c>
      <c r="V20" s="11">
        <v>0.1</v>
      </c>
      <c r="W20" s="11">
        <v>0</v>
      </c>
      <c r="X20" s="11">
        <v>0.08</v>
      </c>
      <c r="Y20" s="11">
        <v>0</v>
      </c>
      <c r="Z20" s="11">
        <v>0.08</v>
      </c>
      <c r="AA20" s="11" t="s">
        <v>1807</v>
      </c>
      <c r="AB20" s="11" t="s">
        <v>1808</v>
      </c>
      <c r="AC20" s="11">
        <v>0</v>
      </c>
      <c r="AD20" s="11">
        <v>0.4</v>
      </c>
      <c r="AE20" s="11">
        <v>0</v>
      </c>
      <c r="AF20" s="261">
        <v>0.34</v>
      </c>
      <c r="AG20" s="261"/>
      <c r="AH20" s="9">
        <f t="shared" ref="AH20:AH23" si="4">AF20</f>
        <v>0.34</v>
      </c>
      <c r="AI20" s="261" t="s">
        <v>3525</v>
      </c>
      <c r="AJ20" s="159" t="s">
        <v>3524</v>
      </c>
      <c r="AK20" s="261"/>
      <c r="AL20" s="72" t="s">
        <v>3519</v>
      </c>
      <c r="AM20" s="157" t="s">
        <v>3526</v>
      </c>
      <c r="AN20" s="165" t="s">
        <v>3527</v>
      </c>
      <c r="AO20" s="11">
        <v>0.28999999999999998</v>
      </c>
      <c r="AP20" s="11">
        <v>0</v>
      </c>
      <c r="AQ20" s="11">
        <v>0.23</v>
      </c>
      <c r="AR20" s="11">
        <v>0</v>
      </c>
      <c r="AS20" s="11">
        <v>0</v>
      </c>
      <c r="AT20" s="11">
        <v>0</v>
      </c>
    </row>
    <row r="21" spans="1:46" ht="18" customHeight="1">
      <c r="A21" s="260" t="s">
        <v>1302</v>
      </c>
      <c r="B21" s="260" t="s">
        <v>1303</v>
      </c>
      <c r="C21" s="260" t="s">
        <v>1828</v>
      </c>
      <c r="D21" s="260" t="s">
        <v>1829</v>
      </c>
      <c r="E21" s="260" t="s">
        <v>1830</v>
      </c>
      <c r="F21" s="260" t="s">
        <v>1837</v>
      </c>
      <c r="G21" s="260" t="s">
        <v>1838</v>
      </c>
      <c r="H21" s="260" t="s">
        <v>1874</v>
      </c>
      <c r="I21" s="260"/>
      <c r="J21" s="260"/>
      <c r="K21" s="260" t="s">
        <v>1875</v>
      </c>
      <c r="L21" s="260" t="s">
        <v>1876</v>
      </c>
      <c r="M21" s="260" t="s">
        <v>1877</v>
      </c>
      <c r="N21" s="260" t="s">
        <v>111</v>
      </c>
      <c r="O21" s="260" t="s">
        <v>112</v>
      </c>
      <c r="P21" s="10">
        <v>20</v>
      </c>
      <c r="Q21" s="11">
        <v>42</v>
      </c>
      <c r="R21" s="11">
        <f t="shared" si="0"/>
        <v>28</v>
      </c>
      <c r="S21" s="157" t="s">
        <v>3528</v>
      </c>
      <c r="T21" s="11">
        <v>10</v>
      </c>
      <c r="U21" s="11">
        <v>0</v>
      </c>
      <c r="V21" s="11">
        <v>17</v>
      </c>
      <c r="W21" s="11">
        <v>0</v>
      </c>
      <c r="X21" s="11">
        <v>17</v>
      </c>
      <c r="Y21" s="11">
        <v>0</v>
      </c>
      <c r="Z21" s="11">
        <v>17</v>
      </c>
      <c r="AA21" s="11" t="s">
        <v>1878</v>
      </c>
      <c r="AB21" s="11" t="s">
        <v>1879</v>
      </c>
      <c r="AC21" s="11">
        <v>0</v>
      </c>
      <c r="AD21" s="11">
        <v>11</v>
      </c>
      <c r="AE21" s="11">
        <v>0</v>
      </c>
      <c r="AF21" s="261">
        <v>11</v>
      </c>
      <c r="AG21" s="261">
        <v>8</v>
      </c>
      <c r="AH21" s="9">
        <f t="shared" si="4"/>
        <v>11</v>
      </c>
      <c r="AI21" s="261" t="s">
        <v>3529</v>
      </c>
      <c r="AJ21" s="159" t="s">
        <v>3530</v>
      </c>
      <c r="AK21" s="261"/>
      <c r="AL21" s="72" t="s">
        <v>3519</v>
      </c>
      <c r="AM21" s="118"/>
      <c r="AN21" s="261"/>
      <c r="AO21" s="11">
        <v>7</v>
      </c>
      <c r="AP21" s="11">
        <v>0</v>
      </c>
      <c r="AQ21" s="11">
        <v>7</v>
      </c>
      <c r="AR21" s="11">
        <v>0</v>
      </c>
      <c r="AS21" s="11">
        <v>0</v>
      </c>
      <c r="AT21" s="11">
        <v>0</v>
      </c>
    </row>
    <row r="22" spans="1:46" ht="18" customHeight="1">
      <c r="A22" s="260" t="s">
        <v>1302</v>
      </c>
      <c r="B22" s="260" t="s">
        <v>1303</v>
      </c>
      <c r="C22" s="260" t="s">
        <v>1828</v>
      </c>
      <c r="D22" s="260" t="s">
        <v>1829</v>
      </c>
      <c r="E22" s="260" t="s">
        <v>1830</v>
      </c>
      <c r="F22" s="260" t="s">
        <v>1837</v>
      </c>
      <c r="G22" s="260" t="s">
        <v>1838</v>
      </c>
      <c r="H22" s="260" t="s">
        <v>1880</v>
      </c>
      <c r="I22" s="260"/>
      <c r="J22" s="260"/>
      <c r="K22" s="260" t="s">
        <v>1881</v>
      </c>
      <c r="L22" s="260" t="s">
        <v>1882</v>
      </c>
      <c r="M22" s="260" t="s">
        <v>1883</v>
      </c>
      <c r="N22" s="260" t="s">
        <v>111</v>
      </c>
      <c r="O22" s="260" t="s">
        <v>112</v>
      </c>
      <c r="P22" s="10">
        <v>0</v>
      </c>
      <c r="Q22" s="11">
        <v>2</v>
      </c>
      <c r="R22" s="11">
        <f t="shared" si="0"/>
        <v>0</v>
      </c>
      <c r="S22" s="157" t="s">
        <v>3531</v>
      </c>
      <c r="T22" s="11">
        <v>0</v>
      </c>
      <c r="U22" s="11">
        <v>0</v>
      </c>
      <c r="V22" s="11">
        <v>0</v>
      </c>
      <c r="W22" s="11">
        <v>0</v>
      </c>
      <c r="X22" s="11">
        <v>0</v>
      </c>
      <c r="Y22" s="11">
        <v>0</v>
      </c>
      <c r="Z22" s="11">
        <v>0</v>
      </c>
      <c r="AA22" s="11"/>
      <c r="AB22" s="11"/>
      <c r="AC22" s="11"/>
      <c r="AD22" s="11">
        <v>0</v>
      </c>
      <c r="AE22" s="11">
        <v>0</v>
      </c>
      <c r="AF22" s="261">
        <v>0</v>
      </c>
      <c r="AG22" s="261"/>
      <c r="AH22" s="9">
        <f t="shared" si="4"/>
        <v>0</v>
      </c>
      <c r="AI22" s="261"/>
      <c r="AJ22" s="159" t="s">
        <v>3532</v>
      </c>
      <c r="AK22" s="261"/>
      <c r="AL22" s="261"/>
      <c r="AM22" s="118"/>
      <c r="AN22" s="261"/>
      <c r="AO22" s="11">
        <v>0</v>
      </c>
      <c r="AP22" s="11">
        <v>0</v>
      </c>
      <c r="AQ22" s="11">
        <v>2</v>
      </c>
      <c r="AR22" s="11">
        <v>0</v>
      </c>
      <c r="AS22" s="11">
        <v>0</v>
      </c>
      <c r="AT22" s="11">
        <v>0</v>
      </c>
    </row>
    <row r="23" spans="1:46" ht="18" customHeight="1">
      <c r="A23" s="260" t="s">
        <v>1302</v>
      </c>
      <c r="B23" s="260" t="s">
        <v>1303</v>
      </c>
      <c r="C23" s="260" t="s">
        <v>1828</v>
      </c>
      <c r="D23" s="260" t="s">
        <v>1829</v>
      </c>
      <c r="E23" s="260" t="s">
        <v>1830</v>
      </c>
      <c r="F23" s="260" t="s">
        <v>1837</v>
      </c>
      <c r="G23" s="260" t="s">
        <v>1838</v>
      </c>
      <c r="H23" s="260" t="s">
        <v>1884</v>
      </c>
      <c r="I23" s="260"/>
      <c r="J23" s="260"/>
      <c r="K23" s="260" t="s">
        <v>1885</v>
      </c>
      <c r="L23" s="260" t="s">
        <v>1886</v>
      </c>
      <c r="M23" s="260" t="s">
        <v>1887</v>
      </c>
      <c r="N23" s="260" t="s">
        <v>111</v>
      </c>
      <c r="O23" s="260" t="s">
        <v>112</v>
      </c>
      <c r="P23" s="10">
        <v>713</v>
      </c>
      <c r="Q23" s="11">
        <v>350</v>
      </c>
      <c r="R23" s="11">
        <f t="shared" si="0"/>
        <v>62</v>
      </c>
      <c r="S23" s="159" t="s">
        <v>3533</v>
      </c>
      <c r="T23" s="11">
        <v>0</v>
      </c>
      <c r="U23" s="11">
        <v>0</v>
      </c>
      <c r="V23" s="11">
        <v>0</v>
      </c>
      <c r="W23" s="11">
        <v>0</v>
      </c>
      <c r="X23" s="11">
        <v>0</v>
      </c>
      <c r="Y23" s="11">
        <v>0</v>
      </c>
      <c r="Z23" s="11">
        <v>0</v>
      </c>
      <c r="AA23" s="11"/>
      <c r="AB23" s="11"/>
      <c r="AC23" s="11"/>
      <c r="AD23" s="11">
        <v>139</v>
      </c>
      <c r="AE23" s="11">
        <v>0</v>
      </c>
      <c r="AF23" s="261">
        <v>62</v>
      </c>
      <c r="AG23" s="261"/>
      <c r="AH23" s="9">
        <f t="shared" si="4"/>
        <v>62</v>
      </c>
      <c r="AI23" s="157" t="s">
        <v>3534</v>
      </c>
      <c r="AJ23" s="159" t="s">
        <v>3533</v>
      </c>
      <c r="AK23" s="261"/>
      <c r="AL23" s="72" t="s">
        <v>3508</v>
      </c>
      <c r="AM23" s="130"/>
      <c r="AN23" s="261"/>
      <c r="AO23" s="11">
        <v>170</v>
      </c>
      <c r="AP23" s="11">
        <v>0</v>
      </c>
      <c r="AQ23" s="11">
        <v>41</v>
      </c>
      <c r="AR23" s="11">
        <v>0</v>
      </c>
      <c r="AS23" s="11">
        <v>0</v>
      </c>
      <c r="AT23" s="11">
        <v>0</v>
      </c>
    </row>
    <row r="24" spans="1:46" ht="18" customHeight="1">
      <c r="A24" s="260" t="s">
        <v>1302</v>
      </c>
      <c r="B24" s="260" t="s">
        <v>1303</v>
      </c>
      <c r="C24" s="260" t="s">
        <v>1828</v>
      </c>
      <c r="D24" s="260" t="s">
        <v>1988</v>
      </c>
      <c r="E24" s="260" t="s">
        <v>2013</v>
      </c>
      <c r="F24" s="260" t="s">
        <v>2014</v>
      </c>
      <c r="G24" s="260" t="s">
        <v>2015</v>
      </c>
      <c r="H24" s="260" t="s">
        <v>2016</v>
      </c>
      <c r="I24" s="260"/>
      <c r="J24" s="260"/>
      <c r="K24" s="260" t="s">
        <v>2017</v>
      </c>
      <c r="L24" s="260" t="s">
        <v>2018</v>
      </c>
      <c r="M24" s="260" t="s">
        <v>2019</v>
      </c>
      <c r="N24" s="260" t="s">
        <v>111</v>
      </c>
      <c r="O24" s="260" t="s">
        <v>112</v>
      </c>
      <c r="P24" s="10">
        <v>9467</v>
      </c>
      <c r="Q24" s="11">
        <v>14000</v>
      </c>
      <c r="R24" s="11">
        <f t="shared" si="0"/>
        <v>13954</v>
      </c>
      <c r="S24" s="157" t="s">
        <v>3535</v>
      </c>
      <c r="T24" s="11">
        <v>1100</v>
      </c>
      <c r="U24" s="11">
        <v>0</v>
      </c>
      <c r="V24" s="11">
        <v>2500</v>
      </c>
      <c r="W24" s="11">
        <v>0</v>
      </c>
      <c r="X24" s="11">
        <v>7562</v>
      </c>
      <c r="Y24" s="11">
        <v>0</v>
      </c>
      <c r="Z24" s="11">
        <v>7562</v>
      </c>
      <c r="AA24" s="11" t="s">
        <v>2020</v>
      </c>
      <c r="AB24" s="11" t="s">
        <v>2021</v>
      </c>
      <c r="AC24" s="11">
        <v>0</v>
      </c>
      <c r="AD24" s="11">
        <v>5100</v>
      </c>
      <c r="AE24" s="11">
        <v>0</v>
      </c>
      <c r="AF24" s="261">
        <v>6392</v>
      </c>
      <c r="AG24" s="261"/>
      <c r="AH24" s="9">
        <f t="shared" ref="AH24" si="5">AF24</f>
        <v>6392</v>
      </c>
      <c r="AI24" s="261" t="s">
        <v>3536</v>
      </c>
      <c r="AJ24" s="159" t="s">
        <v>3537</v>
      </c>
      <c r="AK24" s="261"/>
      <c r="AL24" s="72" t="s">
        <v>3538</v>
      </c>
      <c r="AM24" s="118"/>
      <c r="AN24" s="261"/>
      <c r="AO24" s="11">
        <v>1000</v>
      </c>
      <c r="AP24" s="11">
        <v>0</v>
      </c>
      <c r="AQ24" s="11">
        <v>338</v>
      </c>
      <c r="AR24" s="11">
        <v>0</v>
      </c>
      <c r="AS24" s="11">
        <v>0</v>
      </c>
      <c r="AT24" s="11">
        <v>0</v>
      </c>
    </row>
    <row r="25" spans="1:46" ht="18" customHeight="1">
      <c r="A25" s="260" t="s">
        <v>1302</v>
      </c>
      <c r="B25" s="260" t="s">
        <v>1303</v>
      </c>
      <c r="C25" s="260" t="s">
        <v>2129</v>
      </c>
      <c r="D25" s="260" t="s">
        <v>2130</v>
      </c>
      <c r="E25" s="260" t="s">
        <v>2131</v>
      </c>
      <c r="F25" s="260" t="s">
        <v>3013</v>
      </c>
      <c r="G25" s="260" t="s">
        <v>3014</v>
      </c>
      <c r="H25" s="260" t="s">
        <v>2134</v>
      </c>
      <c r="I25" s="260"/>
      <c r="J25" s="260"/>
      <c r="K25" s="260" t="s">
        <v>2135</v>
      </c>
      <c r="L25" s="260" t="s">
        <v>2136</v>
      </c>
      <c r="M25" s="260" t="s">
        <v>2137</v>
      </c>
      <c r="N25" s="260" t="s">
        <v>111</v>
      </c>
      <c r="O25" s="260" t="s">
        <v>112</v>
      </c>
      <c r="P25" s="10">
        <v>2709</v>
      </c>
      <c r="Q25" s="11">
        <v>3000</v>
      </c>
      <c r="R25" s="11">
        <f t="shared" si="0"/>
        <v>462</v>
      </c>
      <c r="S25" s="159" t="s">
        <v>3539</v>
      </c>
      <c r="T25" s="11">
        <v>300</v>
      </c>
      <c r="U25" s="11">
        <v>0</v>
      </c>
      <c r="V25" s="11">
        <v>5</v>
      </c>
      <c r="W25" s="11">
        <v>0</v>
      </c>
      <c r="X25" s="11">
        <v>0</v>
      </c>
      <c r="Y25" s="11">
        <v>0</v>
      </c>
      <c r="Z25" s="11">
        <v>0</v>
      </c>
      <c r="AA25" s="11">
        <v>0</v>
      </c>
      <c r="AB25" s="11" t="s">
        <v>2138</v>
      </c>
      <c r="AC25" s="11">
        <v>0</v>
      </c>
      <c r="AD25" s="11">
        <v>1417</v>
      </c>
      <c r="AE25" s="11">
        <v>0</v>
      </c>
      <c r="AF25" s="261">
        <v>462</v>
      </c>
      <c r="AG25" s="261"/>
      <c r="AH25" s="9">
        <f t="shared" ref="AH25" si="6">AF25</f>
        <v>462</v>
      </c>
      <c r="AI25" s="157" t="s">
        <v>3540</v>
      </c>
      <c r="AJ25" s="159" t="s">
        <v>3539</v>
      </c>
      <c r="AK25" s="261"/>
      <c r="AL25" s="72" t="s">
        <v>3541</v>
      </c>
      <c r="AM25" s="157" t="s">
        <v>3542</v>
      </c>
      <c r="AN25" s="165" t="s">
        <v>3543</v>
      </c>
      <c r="AO25" s="11">
        <v>1000</v>
      </c>
      <c r="AP25" s="11">
        <v>0</v>
      </c>
      <c r="AQ25" s="11">
        <v>583</v>
      </c>
      <c r="AR25" s="11">
        <v>0</v>
      </c>
      <c r="AS25" s="11">
        <v>0</v>
      </c>
      <c r="AT25" s="11">
        <v>0</v>
      </c>
    </row>
    <row r="26" spans="1:46" s="3" customFormat="1">
      <c r="L26" s="5"/>
      <c r="AM26" s="124"/>
    </row>
  </sheetData>
  <sheetProtection algorithmName="SHA-512" hashValue="P1AJRJDeQ7Bb1+FvGISP4JbinWLPyhNBS0vqpEyKsRMp8vDNj51JxjSkW4cN7NwBtKycg+gWc/v/0+YOYM4kzQ==" saltValue="jyoYDexK2OZuQMS/UtG5QA==" spinCount="100000" sheet="1" autoFilter="0"/>
  <autoFilter ref="A12:IZ25" xr:uid="{00000000-0009-0000-0000-00000C000000}"/>
  <customSheetViews>
    <customSheetView guid="{75629C99-8367-48E9-A2A2-D8C49A9E68E3}" scale="80" showAutoFilter="1" hiddenRows="1" topLeftCell="J12">
      <pane xSplit="3" ySplit="1" topLeftCell="N13" activePane="bottomRight" state="frozen"/>
      <selection pane="bottomRight" activeCell="S25" sqref="S25"/>
      <pageMargins left="0" right="0" top="0" bottom="0" header="0" footer="0"/>
      <pageSetup orientation="portrait" r:id="rId1"/>
      <autoFilter ref="A12:IZ25" xr:uid="{5FE1E55D-079E-428D-8951-55979EC3A1AD}"/>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T21"/>
  <sheetViews>
    <sheetView topLeftCell="K9" zoomScale="80" zoomScaleNormal="80" workbookViewId="0">
      <pane xSplit="1" ySplit="4" topLeftCell="AJ15" activePane="bottomRight" state="frozen"/>
      <selection pane="bottomRight" activeCell="AJ15" sqref="AJ15"/>
      <selection pane="bottomLeft" activeCell="AL12" sqref="AL12:AN12"/>
      <selection pane="topRight"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1409</v>
      </c>
      <c r="B13" s="260" t="s">
        <v>1410</v>
      </c>
      <c r="C13" s="260" t="s">
        <v>1286</v>
      </c>
      <c r="D13" s="260" t="s">
        <v>1389</v>
      </c>
      <c r="E13" s="260" t="s">
        <v>1411</v>
      </c>
      <c r="F13" s="260" t="s">
        <v>1412</v>
      </c>
      <c r="G13" s="260" t="s">
        <v>1413</v>
      </c>
      <c r="H13" s="260" t="s">
        <v>1414</v>
      </c>
      <c r="I13" s="260"/>
      <c r="J13" s="260"/>
      <c r="K13" s="260" t="s">
        <v>1415</v>
      </c>
      <c r="L13" s="260" t="s">
        <v>1416</v>
      </c>
      <c r="M13" s="260" t="s">
        <v>1417</v>
      </c>
      <c r="N13" s="260" t="s">
        <v>111</v>
      </c>
      <c r="O13" s="260" t="s">
        <v>112</v>
      </c>
      <c r="P13" s="10">
        <v>40</v>
      </c>
      <c r="Q13" s="11">
        <v>140</v>
      </c>
      <c r="R13" s="11">
        <f t="shared" ref="R13:R20" si="0">Z13+AH13</f>
        <v>40</v>
      </c>
      <c r="S13" s="65" t="s">
        <v>3544</v>
      </c>
      <c r="T13" s="11">
        <v>0</v>
      </c>
      <c r="U13" s="11">
        <v>0</v>
      </c>
      <c r="V13" s="11">
        <v>20</v>
      </c>
      <c r="W13" s="11">
        <v>0</v>
      </c>
      <c r="X13" s="11">
        <v>0</v>
      </c>
      <c r="Y13" s="11">
        <v>0</v>
      </c>
      <c r="Z13" s="11">
        <v>0</v>
      </c>
      <c r="AA13" s="11"/>
      <c r="AB13" s="11"/>
      <c r="AC13" s="11"/>
      <c r="AD13" s="11">
        <v>40</v>
      </c>
      <c r="AE13" s="11">
        <v>0</v>
      </c>
      <c r="AF13" s="261">
        <v>40</v>
      </c>
      <c r="AG13" s="261"/>
      <c r="AH13" s="9">
        <f t="shared" ref="AH13:AH15" si="1">AF13</f>
        <v>40</v>
      </c>
      <c r="AI13" s="261" t="s">
        <v>3545</v>
      </c>
      <c r="AJ13" s="65" t="s">
        <v>3546</v>
      </c>
      <c r="AK13" s="261" t="s">
        <v>3547</v>
      </c>
      <c r="AL13" s="261" t="s">
        <v>3547</v>
      </c>
      <c r="AM13" s="118" t="s">
        <v>3548</v>
      </c>
      <c r="AN13" s="261" t="s">
        <v>3549</v>
      </c>
      <c r="AO13" s="11">
        <v>70</v>
      </c>
      <c r="AP13" s="11">
        <v>0</v>
      </c>
      <c r="AQ13" s="11">
        <v>30</v>
      </c>
      <c r="AR13" s="11">
        <v>0</v>
      </c>
      <c r="AS13" s="11">
        <v>0</v>
      </c>
      <c r="AT13" s="11">
        <v>0</v>
      </c>
    </row>
    <row r="14" spans="1:46" ht="18" customHeight="1">
      <c r="A14" s="260" t="s">
        <v>1409</v>
      </c>
      <c r="B14" s="260" t="s">
        <v>1410</v>
      </c>
      <c r="C14" s="260" t="s">
        <v>1286</v>
      </c>
      <c r="D14" s="260" t="s">
        <v>1389</v>
      </c>
      <c r="E14" s="260" t="s">
        <v>1411</v>
      </c>
      <c r="F14" s="260" t="s">
        <v>1412</v>
      </c>
      <c r="G14" s="260" t="s">
        <v>1413</v>
      </c>
      <c r="H14" s="260" t="s">
        <v>1418</v>
      </c>
      <c r="I14" s="260"/>
      <c r="J14" s="260"/>
      <c r="K14" s="260" t="s">
        <v>1419</v>
      </c>
      <c r="L14" s="260" t="s">
        <v>1420</v>
      </c>
      <c r="M14" s="260" t="s">
        <v>1421</v>
      </c>
      <c r="N14" s="260" t="s">
        <v>111</v>
      </c>
      <c r="O14" s="260" t="s">
        <v>112</v>
      </c>
      <c r="P14" s="10">
        <v>1</v>
      </c>
      <c r="Q14" s="11">
        <v>14</v>
      </c>
      <c r="R14" s="11">
        <f t="shared" si="0"/>
        <v>6</v>
      </c>
      <c r="S14" s="261" t="s">
        <v>3550</v>
      </c>
      <c r="T14" s="11">
        <v>3</v>
      </c>
      <c r="U14" s="11">
        <v>0</v>
      </c>
      <c r="V14" s="11">
        <v>0</v>
      </c>
      <c r="W14" s="11">
        <v>0</v>
      </c>
      <c r="X14" s="11">
        <v>0</v>
      </c>
      <c r="Y14" s="11">
        <v>0</v>
      </c>
      <c r="Z14" s="11">
        <v>0</v>
      </c>
      <c r="AA14" s="11" t="s">
        <v>1422</v>
      </c>
      <c r="AB14" s="11" t="s">
        <v>1423</v>
      </c>
      <c r="AC14" s="11" t="s">
        <v>1424</v>
      </c>
      <c r="AD14" s="11">
        <v>6</v>
      </c>
      <c r="AE14" s="11">
        <v>0</v>
      </c>
      <c r="AF14" s="261">
        <v>6</v>
      </c>
      <c r="AG14" s="261"/>
      <c r="AH14" s="9">
        <f t="shared" si="1"/>
        <v>6</v>
      </c>
      <c r="AI14" s="65" t="s">
        <v>3551</v>
      </c>
      <c r="AJ14" s="261" t="s">
        <v>3552</v>
      </c>
      <c r="AK14" s="261" t="s">
        <v>3547</v>
      </c>
      <c r="AL14" s="261" t="s">
        <v>3547</v>
      </c>
      <c r="AM14" s="118" t="s">
        <v>3553</v>
      </c>
      <c r="AN14" s="159" t="s">
        <v>3554</v>
      </c>
      <c r="AO14" s="11">
        <v>6</v>
      </c>
      <c r="AP14" s="11">
        <v>0</v>
      </c>
      <c r="AQ14" s="11">
        <v>2</v>
      </c>
      <c r="AR14" s="11">
        <v>0</v>
      </c>
      <c r="AS14" s="11">
        <v>0</v>
      </c>
      <c r="AT14" s="11">
        <v>0</v>
      </c>
    </row>
    <row r="15" spans="1:46" ht="18" customHeight="1">
      <c r="A15" s="260" t="s">
        <v>1409</v>
      </c>
      <c r="B15" s="260" t="s">
        <v>1410</v>
      </c>
      <c r="C15" s="260" t="s">
        <v>1286</v>
      </c>
      <c r="D15" s="260" t="s">
        <v>1389</v>
      </c>
      <c r="E15" s="260" t="s">
        <v>1411</v>
      </c>
      <c r="F15" s="260" t="s">
        <v>1412</v>
      </c>
      <c r="G15" s="260" t="s">
        <v>1413</v>
      </c>
      <c r="H15" s="260" t="s">
        <v>1425</v>
      </c>
      <c r="I15" s="260"/>
      <c r="J15" s="260"/>
      <c r="K15" s="260" t="s">
        <v>1426</v>
      </c>
      <c r="L15" s="260" t="s">
        <v>1427</v>
      </c>
      <c r="M15" s="260" t="s">
        <v>1428</v>
      </c>
      <c r="N15" s="260" t="s">
        <v>111</v>
      </c>
      <c r="O15" s="260" t="s">
        <v>112</v>
      </c>
      <c r="P15" s="10">
        <v>200</v>
      </c>
      <c r="Q15" s="11">
        <v>1000</v>
      </c>
      <c r="R15" s="11">
        <f t="shared" si="0"/>
        <v>220</v>
      </c>
      <c r="S15" s="65" t="s">
        <v>3555</v>
      </c>
      <c r="T15" s="11">
        <v>70</v>
      </c>
      <c r="U15" s="11">
        <v>0</v>
      </c>
      <c r="V15" s="11">
        <v>0</v>
      </c>
      <c r="W15" s="11">
        <v>0</v>
      </c>
      <c r="X15" s="11">
        <v>0</v>
      </c>
      <c r="Y15" s="11">
        <v>0</v>
      </c>
      <c r="Z15" s="11">
        <v>0</v>
      </c>
      <c r="AA15" s="11"/>
      <c r="AB15" s="11"/>
      <c r="AC15" s="11"/>
      <c r="AD15" s="11">
        <v>220</v>
      </c>
      <c r="AE15" s="11">
        <v>0</v>
      </c>
      <c r="AF15" s="261">
        <v>220</v>
      </c>
      <c r="AG15" s="261"/>
      <c r="AH15" s="9">
        <f t="shared" si="1"/>
        <v>220</v>
      </c>
      <c r="AI15" s="65" t="s">
        <v>3556</v>
      </c>
      <c r="AJ15" s="65" t="s">
        <v>3557</v>
      </c>
      <c r="AK15" s="261" t="s">
        <v>3547</v>
      </c>
      <c r="AL15" s="261" t="s">
        <v>3547</v>
      </c>
      <c r="AM15" s="118" t="s">
        <v>3558</v>
      </c>
      <c r="AN15" s="159" t="s">
        <v>3559</v>
      </c>
      <c r="AO15" s="11">
        <v>520</v>
      </c>
      <c r="AP15" s="11">
        <v>0</v>
      </c>
      <c r="AQ15" s="11">
        <v>260</v>
      </c>
      <c r="AR15" s="11">
        <v>0</v>
      </c>
      <c r="AS15" s="11">
        <v>0</v>
      </c>
      <c r="AT15" s="11">
        <v>0</v>
      </c>
    </row>
    <row r="16" spans="1:46" ht="18" customHeight="1">
      <c r="A16" s="260" t="s">
        <v>1409</v>
      </c>
      <c r="B16" s="260" t="s">
        <v>1410</v>
      </c>
      <c r="C16" s="260" t="s">
        <v>1286</v>
      </c>
      <c r="D16" s="260" t="s">
        <v>1389</v>
      </c>
      <c r="E16" s="260" t="s">
        <v>1469</v>
      </c>
      <c r="F16" s="260" t="s">
        <v>1470</v>
      </c>
      <c r="G16" s="260" t="s">
        <v>1471</v>
      </c>
      <c r="H16" s="260" t="s">
        <v>1472</v>
      </c>
      <c r="I16" s="260"/>
      <c r="J16" s="260"/>
      <c r="K16" s="260" t="s">
        <v>1473</v>
      </c>
      <c r="L16" s="260" t="s">
        <v>1474</v>
      </c>
      <c r="M16" s="260" t="s">
        <v>1475</v>
      </c>
      <c r="N16" s="260" t="s">
        <v>111</v>
      </c>
      <c r="O16" s="260" t="s">
        <v>112</v>
      </c>
      <c r="P16" s="10">
        <v>0</v>
      </c>
      <c r="Q16" s="11">
        <v>2</v>
      </c>
      <c r="R16" s="11">
        <f t="shared" si="0"/>
        <v>1.2</v>
      </c>
      <c r="S16" s="65" t="s">
        <v>3560</v>
      </c>
      <c r="T16" s="11">
        <v>0.2</v>
      </c>
      <c r="U16" s="11">
        <v>0</v>
      </c>
      <c r="V16" s="11">
        <v>1</v>
      </c>
      <c r="W16" s="11">
        <v>0</v>
      </c>
      <c r="X16" s="11">
        <v>1</v>
      </c>
      <c r="Y16" s="11">
        <v>0</v>
      </c>
      <c r="Z16" s="11">
        <v>1</v>
      </c>
      <c r="AA16" s="11" t="s">
        <v>1476</v>
      </c>
      <c r="AB16" s="11" t="s">
        <v>1477</v>
      </c>
      <c r="AC16" s="11" t="s">
        <v>1478</v>
      </c>
      <c r="AD16" s="208">
        <v>0.3</v>
      </c>
      <c r="AE16" s="11">
        <v>0</v>
      </c>
      <c r="AF16" s="261">
        <v>0.2</v>
      </c>
      <c r="AG16" s="261"/>
      <c r="AH16" s="9">
        <f t="shared" ref="AH16:AH20" si="2">AF16</f>
        <v>0.2</v>
      </c>
      <c r="AI16" s="65" t="s">
        <v>3561</v>
      </c>
      <c r="AJ16" s="65" t="s">
        <v>3562</v>
      </c>
      <c r="AK16" s="261" t="s">
        <v>3547</v>
      </c>
      <c r="AL16" s="261" t="s">
        <v>3563</v>
      </c>
      <c r="AM16" s="118"/>
      <c r="AN16" s="159"/>
      <c r="AO16" s="11">
        <v>0.5</v>
      </c>
      <c r="AP16" s="11">
        <v>0</v>
      </c>
      <c r="AQ16" s="11">
        <v>0.2</v>
      </c>
      <c r="AR16" s="11">
        <v>0</v>
      </c>
      <c r="AS16" s="11">
        <v>0</v>
      </c>
      <c r="AT16" s="11">
        <v>0</v>
      </c>
    </row>
    <row r="17" spans="1:46" ht="18" customHeight="1">
      <c r="A17" s="260" t="s">
        <v>1409</v>
      </c>
      <c r="B17" s="260" t="s">
        <v>1410</v>
      </c>
      <c r="C17" s="260" t="s">
        <v>1286</v>
      </c>
      <c r="D17" s="260" t="s">
        <v>1389</v>
      </c>
      <c r="E17" s="260" t="s">
        <v>1469</v>
      </c>
      <c r="F17" s="260" t="s">
        <v>1470</v>
      </c>
      <c r="G17" s="260" t="s">
        <v>1471</v>
      </c>
      <c r="H17" s="260" t="s">
        <v>1479</v>
      </c>
      <c r="I17" s="260"/>
      <c r="J17" s="260"/>
      <c r="K17" s="260" t="s">
        <v>1480</v>
      </c>
      <c r="L17" s="260" t="s">
        <v>1481</v>
      </c>
      <c r="M17" s="260" t="s">
        <v>1482</v>
      </c>
      <c r="N17" s="260" t="s">
        <v>111</v>
      </c>
      <c r="O17" s="260" t="s">
        <v>112</v>
      </c>
      <c r="P17" s="10">
        <v>110</v>
      </c>
      <c r="Q17" s="11">
        <v>250</v>
      </c>
      <c r="R17" s="11">
        <f t="shared" si="0"/>
        <v>147</v>
      </c>
      <c r="S17" s="65" t="s">
        <v>3564</v>
      </c>
      <c r="T17" s="11">
        <v>5</v>
      </c>
      <c r="U17" s="11">
        <v>0</v>
      </c>
      <c r="V17" s="11">
        <v>30</v>
      </c>
      <c r="W17" s="11">
        <v>0</v>
      </c>
      <c r="X17" s="11">
        <v>0</v>
      </c>
      <c r="Y17" s="11">
        <v>0</v>
      </c>
      <c r="Z17" s="11">
        <v>0</v>
      </c>
      <c r="AA17" s="11"/>
      <c r="AB17" s="11"/>
      <c r="AC17" s="11"/>
      <c r="AD17" s="11">
        <v>147</v>
      </c>
      <c r="AE17" s="11">
        <v>0</v>
      </c>
      <c r="AF17" s="261">
        <v>147</v>
      </c>
      <c r="AG17" s="261"/>
      <c r="AH17" s="9">
        <f t="shared" si="2"/>
        <v>147</v>
      </c>
      <c r="AI17" s="261" t="s">
        <v>3565</v>
      </c>
      <c r="AJ17" s="261" t="s">
        <v>3566</v>
      </c>
      <c r="AK17" s="261" t="s">
        <v>3547</v>
      </c>
      <c r="AL17" s="261" t="s">
        <v>3547</v>
      </c>
      <c r="AM17" s="118" t="s">
        <v>3567</v>
      </c>
      <c r="AN17" s="159" t="s">
        <v>3568</v>
      </c>
      <c r="AO17" s="11">
        <v>60</v>
      </c>
      <c r="AP17" s="11">
        <v>0</v>
      </c>
      <c r="AQ17" s="11">
        <v>43</v>
      </c>
      <c r="AR17" s="11">
        <v>0</v>
      </c>
      <c r="AS17" s="11">
        <v>0</v>
      </c>
      <c r="AT17" s="11">
        <v>0</v>
      </c>
    </row>
    <row r="18" spans="1:46" ht="18" customHeight="1">
      <c r="A18" s="260" t="s">
        <v>1409</v>
      </c>
      <c r="B18" s="260" t="s">
        <v>1410</v>
      </c>
      <c r="C18" s="260" t="s">
        <v>1286</v>
      </c>
      <c r="D18" s="260" t="s">
        <v>1389</v>
      </c>
      <c r="E18" s="260" t="s">
        <v>1469</v>
      </c>
      <c r="F18" s="260" t="s">
        <v>1470</v>
      </c>
      <c r="G18" s="260" t="s">
        <v>1471</v>
      </c>
      <c r="H18" s="260" t="s">
        <v>1483</v>
      </c>
      <c r="I18" s="260"/>
      <c r="J18" s="260"/>
      <c r="K18" s="260" t="s">
        <v>1484</v>
      </c>
      <c r="L18" s="260" t="s">
        <v>1485</v>
      </c>
      <c r="M18" s="260" t="s">
        <v>1486</v>
      </c>
      <c r="N18" s="260" t="s">
        <v>111</v>
      </c>
      <c r="O18" s="260" t="s">
        <v>112</v>
      </c>
      <c r="P18" s="10">
        <v>0</v>
      </c>
      <c r="Q18" s="11">
        <v>2</v>
      </c>
      <c r="R18" s="11">
        <f t="shared" si="0"/>
        <v>0.35</v>
      </c>
      <c r="S18" s="261" t="s">
        <v>3569</v>
      </c>
      <c r="T18" s="11">
        <v>0.2</v>
      </c>
      <c r="U18" s="11">
        <v>0</v>
      </c>
      <c r="V18" s="11">
        <v>0.5</v>
      </c>
      <c r="W18" s="11">
        <v>0</v>
      </c>
      <c r="X18" s="11">
        <v>0</v>
      </c>
      <c r="Y18" s="11">
        <v>0</v>
      </c>
      <c r="Z18" s="11">
        <v>0</v>
      </c>
      <c r="AA18" s="11"/>
      <c r="AB18" s="11"/>
      <c r="AC18" s="11"/>
      <c r="AD18" s="11">
        <v>0.4</v>
      </c>
      <c r="AE18" s="11">
        <v>0</v>
      </c>
      <c r="AF18" s="261">
        <v>0.35</v>
      </c>
      <c r="AG18" s="261"/>
      <c r="AH18" s="9">
        <f t="shared" si="2"/>
        <v>0.35</v>
      </c>
      <c r="AI18" s="156" t="s">
        <v>3570</v>
      </c>
      <c r="AJ18" s="65" t="s">
        <v>3571</v>
      </c>
      <c r="AK18" s="261" t="s">
        <v>3547</v>
      </c>
      <c r="AL18" s="160" t="s">
        <v>3547</v>
      </c>
      <c r="AM18" s="118"/>
      <c r="AN18" s="159"/>
      <c r="AO18" s="11">
        <v>1</v>
      </c>
      <c r="AP18" s="11">
        <v>0</v>
      </c>
      <c r="AQ18" s="11">
        <v>0.6</v>
      </c>
      <c r="AR18" s="11">
        <v>0</v>
      </c>
      <c r="AS18" s="11">
        <v>0</v>
      </c>
      <c r="AT18" s="11">
        <v>0</v>
      </c>
    </row>
    <row r="19" spans="1:46" ht="18" customHeight="1">
      <c r="A19" s="260" t="s">
        <v>1409</v>
      </c>
      <c r="B19" s="260" t="s">
        <v>1410</v>
      </c>
      <c r="C19" s="260" t="s">
        <v>1286</v>
      </c>
      <c r="D19" s="260" t="s">
        <v>1389</v>
      </c>
      <c r="E19" s="260" t="s">
        <v>1469</v>
      </c>
      <c r="F19" s="260" t="s">
        <v>1470</v>
      </c>
      <c r="G19" s="260" t="s">
        <v>1471</v>
      </c>
      <c r="H19" s="260" t="s">
        <v>1487</v>
      </c>
      <c r="I19" s="260"/>
      <c r="J19" s="260"/>
      <c r="K19" s="260" t="s">
        <v>1488</v>
      </c>
      <c r="L19" s="260" t="s">
        <v>1489</v>
      </c>
      <c r="M19" s="260" t="s">
        <v>1490</v>
      </c>
      <c r="N19" s="260" t="s">
        <v>111</v>
      </c>
      <c r="O19" s="260" t="s">
        <v>112</v>
      </c>
      <c r="P19" s="10">
        <v>1</v>
      </c>
      <c r="Q19" s="11">
        <v>1</v>
      </c>
      <c r="R19" s="11">
        <f t="shared" si="0"/>
        <v>0.35</v>
      </c>
      <c r="S19" s="65" t="s">
        <v>3572</v>
      </c>
      <c r="T19" s="11">
        <v>0.1</v>
      </c>
      <c r="U19" s="11">
        <v>0</v>
      </c>
      <c r="V19" s="11">
        <v>0</v>
      </c>
      <c r="W19" s="11">
        <v>0</v>
      </c>
      <c r="X19" s="11">
        <v>0</v>
      </c>
      <c r="Y19" s="11">
        <v>0</v>
      </c>
      <c r="Z19" s="11">
        <v>0</v>
      </c>
      <c r="AA19" s="11"/>
      <c r="AB19" s="11"/>
      <c r="AC19" s="11"/>
      <c r="AD19" s="11">
        <v>0.4</v>
      </c>
      <c r="AE19" s="11">
        <v>0</v>
      </c>
      <c r="AF19" s="261">
        <v>0.35</v>
      </c>
      <c r="AG19" s="261"/>
      <c r="AH19" s="9">
        <f t="shared" si="2"/>
        <v>0.35</v>
      </c>
      <c r="AI19" s="160" t="s">
        <v>3573</v>
      </c>
      <c r="AJ19" s="261" t="s">
        <v>3574</v>
      </c>
      <c r="AK19" s="191" t="s">
        <v>3547</v>
      </c>
      <c r="AL19" s="261" t="s">
        <v>3547</v>
      </c>
      <c r="AM19" s="118"/>
      <c r="AN19" s="159"/>
      <c r="AO19" s="11">
        <v>0.4</v>
      </c>
      <c r="AP19" s="11">
        <v>0</v>
      </c>
      <c r="AQ19" s="11">
        <v>0.2</v>
      </c>
      <c r="AR19" s="11">
        <v>0</v>
      </c>
      <c r="AS19" s="11">
        <v>0</v>
      </c>
      <c r="AT19" s="11">
        <v>0</v>
      </c>
    </row>
    <row r="20" spans="1:46" ht="18" customHeight="1">
      <c r="A20" s="260" t="s">
        <v>1409</v>
      </c>
      <c r="B20" s="260" t="s">
        <v>1410</v>
      </c>
      <c r="C20" s="260" t="s">
        <v>1286</v>
      </c>
      <c r="D20" s="260" t="s">
        <v>1389</v>
      </c>
      <c r="E20" s="260" t="s">
        <v>1469</v>
      </c>
      <c r="F20" s="260" t="s">
        <v>1470</v>
      </c>
      <c r="G20" s="260" t="s">
        <v>1471</v>
      </c>
      <c r="H20" s="260" t="s">
        <v>1491</v>
      </c>
      <c r="I20" s="260"/>
      <c r="J20" s="260"/>
      <c r="K20" s="260" t="s">
        <v>1492</v>
      </c>
      <c r="L20" s="260" t="s">
        <v>1493</v>
      </c>
      <c r="M20" s="260" t="s">
        <v>1494</v>
      </c>
      <c r="N20" s="260" t="s">
        <v>111</v>
      </c>
      <c r="O20" s="260" t="s">
        <v>112</v>
      </c>
      <c r="P20" s="10">
        <v>0</v>
      </c>
      <c r="Q20" s="11">
        <v>8</v>
      </c>
      <c r="R20" s="11">
        <f t="shared" si="0"/>
        <v>3</v>
      </c>
      <c r="S20" s="65" t="s">
        <v>3575</v>
      </c>
      <c r="T20" s="11">
        <v>2</v>
      </c>
      <c r="U20" s="11">
        <v>0</v>
      </c>
      <c r="V20" s="11">
        <v>2</v>
      </c>
      <c r="W20" s="11">
        <v>0</v>
      </c>
      <c r="X20" s="11">
        <v>0</v>
      </c>
      <c r="Y20" s="11">
        <v>0</v>
      </c>
      <c r="Z20" s="11">
        <v>0</v>
      </c>
      <c r="AA20" s="11" t="s">
        <v>1495</v>
      </c>
      <c r="AB20" s="11"/>
      <c r="AC20" s="11">
        <v>0</v>
      </c>
      <c r="AD20" s="11">
        <v>3</v>
      </c>
      <c r="AE20" s="11">
        <v>0</v>
      </c>
      <c r="AF20" s="261">
        <v>3</v>
      </c>
      <c r="AG20" s="261"/>
      <c r="AH20" s="9">
        <f t="shared" si="2"/>
        <v>3</v>
      </c>
      <c r="AI20" s="65" t="s">
        <v>3576</v>
      </c>
      <c r="AJ20" s="191" t="s">
        <v>3577</v>
      </c>
      <c r="AK20" s="261" t="s">
        <v>3578</v>
      </c>
      <c r="AL20" s="261" t="s">
        <v>3547</v>
      </c>
      <c r="AM20" s="118"/>
      <c r="AN20" s="159"/>
      <c r="AO20" s="11">
        <v>3</v>
      </c>
      <c r="AP20" s="11">
        <v>0</v>
      </c>
      <c r="AQ20" s="11">
        <v>2</v>
      </c>
      <c r="AR20" s="11">
        <v>0</v>
      </c>
      <c r="AS20" s="11">
        <v>0</v>
      </c>
      <c r="AT20" s="11">
        <v>0</v>
      </c>
    </row>
    <row r="21" spans="1:46" s="3" customFormat="1">
      <c r="L21" s="5"/>
      <c r="AM21" s="124"/>
    </row>
  </sheetData>
  <sheetProtection algorithmName="SHA-512" hashValue="Yg4eYEIh80bnO2VlhgYyJdXxJaPRaqpwXvUlnH1WvHW/axFJQRLxXnsqQ82KjtR8i+4ZW/lKcjn9DJ8tMLBkcQ==" saltValue="pqm9/uZUsPdWw6rPJD8rew==" spinCount="100000" sheet="1" autoFilter="0"/>
  <autoFilter ref="A12:IZ20" xr:uid="{00000000-0009-0000-0000-00000D000000}"/>
  <customSheetViews>
    <customSheetView guid="{75629C99-8367-48E9-A2A2-D8C49A9E68E3}" scale="80" showAutoFilter="1" hiddenRows="1" topLeftCell="K9">
      <pane xSplit="1" ySplit="4" topLeftCell="Y13" activePane="bottomRight" state="frozen"/>
      <selection pane="bottomRight" activeCell="AI19" sqref="AI19"/>
      <pageMargins left="0" right="0" top="0" bottom="0" header="0" footer="0"/>
      <pageSetup orientation="portrait" r:id="rId1"/>
      <autoFilter ref="A12:IZ20" xr:uid="{C50DF850-942A-4376-9C12-309164CC1FDF}"/>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T60"/>
  <sheetViews>
    <sheetView showGridLines="0" topLeftCell="A12" zoomScale="80" zoomScaleNormal="80" workbookViewId="0">
      <pane ySplit="1" topLeftCell="N13" activePane="bottomLeft" state="frozen"/>
      <selection pane="bottomLeft" activeCell="AH58" sqref="AH12:AH58"/>
    </sheetView>
  </sheetViews>
  <sheetFormatPr defaultColWidth="11.42578125" defaultRowHeight="14.45"/>
  <cols>
    <col min="1" max="1" width="12.7109375" customWidth="1"/>
    <col min="2" max="2" width="18.7109375" customWidth="1"/>
    <col min="3" max="4" width="12.7109375" customWidth="1"/>
    <col min="5" max="5" width="9.42578125" customWidth="1"/>
    <col min="6" max="6" width="20" customWidth="1"/>
    <col min="7" max="7" width="35.85546875" customWidth="1"/>
    <col min="8" max="8" width="12.7109375" customWidth="1"/>
    <col min="9" max="9" width="38.85546875"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8.28515625" style="119" customWidth="1"/>
    <col min="40" max="40" width="14.42578125" customWidth="1"/>
    <col min="41"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75">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414"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144</v>
      </c>
      <c r="B13" s="260" t="s">
        <v>145</v>
      </c>
      <c r="C13" s="260" t="s">
        <v>100</v>
      </c>
      <c r="D13" s="260" t="s">
        <v>101</v>
      </c>
      <c r="E13" s="260" t="s">
        <v>102</v>
      </c>
      <c r="F13" s="260" t="s">
        <v>155</v>
      </c>
      <c r="G13" s="260" t="s">
        <v>156</v>
      </c>
      <c r="H13" s="260" t="s">
        <v>148</v>
      </c>
      <c r="I13" s="260" t="s">
        <v>106</v>
      </c>
      <c r="J13" s="260"/>
      <c r="K13" s="260" t="s">
        <v>149</v>
      </c>
      <c r="L13" s="260" t="s">
        <v>150</v>
      </c>
      <c r="M13" s="260" t="s">
        <v>151</v>
      </c>
      <c r="N13" s="260" t="s">
        <v>111</v>
      </c>
      <c r="O13" s="260" t="s">
        <v>112</v>
      </c>
      <c r="P13" s="10">
        <v>2000</v>
      </c>
      <c r="Q13" s="11">
        <v>2500</v>
      </c>
      <c r="R13" s="11">
        <f t="shared" ref="R13:R14" si="0">Z13+AH13</f>
        <v>1508</v>
      </c>
      <c r="S13" s="261" t="s">
        <v>3579</v>
      </c>
      <c r="T13" s="11">
        <v>200</v>
      </c>
      <c r="U13" s="11">
        <v>0</v>
      </c>
      <c r="V13" s="11">
        <v>200</v>
      </c>
      <c r="W13" s="11">
        <v>0</v>
      </c>
      <c r="X13" s="11">
        <v>253</v>
      </c>
      <c r="Y13" s="11">
        <v>0</v>
      </c>
      <c r="Z13" s="11">
        <v>253</v>
      </c>
      <c r="AA13" s="11" t="s">
        <v>152</v>
      </c>
      <c r="AB13" s="11" t="s">
        <v>153</v>
      </c>
      <c r="AC13" s="11" t="s">
        <v>154</v>
      </c>
      <c r="AD13" s="11">
        <v>200</v>
      </c>
      <c r="AE13" s="11">
        <v>0</v>
      </c>
      <c r="AF13" s="261">
        <v>1255</v>
      </c>
      <c r="AG13" s="261"/>
      <c r="AH13" s="9">
        <f t="shared" ref="AH13:AH14" si="1">AF13</f>
        <v>1255</v>
      </c>
      <c r="AI13" s="261"/>
      <c r="AJ13" s="70" t="s">
        <v>3580</v>
      </c>
      <c r="AK13" s="261"/>
      <c r="AL13" s="61"/>
      <c r="AM13" s="125"/>
      <c r="AN13" s="61"/>
      <c r="AO13" s="11">
        <v>1000</v>
      </c>
      <c r="AP13" s="11">
        <v>0</v>
      </c>
      <c r="AQ13" s="11">
        <v>1047</v>
      </c>
      <c r="AR13" s="11">
        <v>0</v>
      </c>
      <c r="AS13" s="11">
        <v>0</v>
      </c>
      <c r="AT13" s="11">
        <v>0</v>
      </c>
    </row>
    <row r="14" spans="1:46" ht="18" customHeight="1">
      <c r="A14" s="260" t="s">
        <v>144</v>
      </c>
      <c r="B14" s="260" t="s">
        <v>145</v>
      </c>
      <c r="C14" s="260" t="s">
        <v>100</v>
      </c>
      <c r="D14" s="260" t="s">
        <v>101</v>
      </c>
      <c r="E14" s="260" t="s">
        <v>102</v>
      </c>
      <c r="F14" s="260" t="s">
        <v>155</v>
      </c>
      <c r="G14" s="260" t="s">
        <v>156</v>
      </c>
      <c r="H14" s="260" t="s">
        <v>157</v>
      </c>
      <c r="I14" s="260" t="s">
        <v>106</v>
      </c>
      <c r="J14" s="260"/>
      <c r="K14" s="260" t="s">
        <v>158</v>
      </c>
      <c r="L14" s="260" t="s">
        <v>159</v>
      </c>
      <c r="M14" s="260" t="s">
        <v>160</v>
      </c>
      <c r="N14" s="260" t="s">
        <v>123</v>
      </c>
      <c r="O14" s="260" t="s">
        <v>112</v>
      </c>
      <c r="P14" s="10">
        <v>0</v>
      </c>
      <c r="Q14" s="11">
        <v>50</v>
      </c>
      <c r="R14" s="11">
        <f t="shared" si="0"/>
        <v>20</v>
      </c>
      <c r="S14" s="261"/>
      <c r="T14" s="11">
        <v>0</v>
      </c>
      <c r="U14" s="11">
        <v>0</v>
      </c>
      <c r="V14" s="11">
        <v>5</v>
      </c>
      <c r="W14" s="11">
        <v>0</v>
      </c>
      <c r="X14" s="11">
        <v>5</v>
      </c>
      <c r="Y14" s="11">
        <v>0</v>
      </c>
      <c r="Z14" s="11">
        <v>5</v>
      </c>
      <c r="AA14" s="11">
        <v>0</v>
      </c>
      <c r="AB14" s="11" t="s">
        <v>161</v>
      </c>
      <c r="AC14" s="11">
        <v>0</v>
      </c>
      <c r="AD14" s="11">
        <v>10</v>
      </c>
      <c r="AE14" s="11">
        <v>0</v>
      </c>
      <c r="AF14" s="261">
        <v>15</v>
      </c>
      <c r="AG14" s="261"/>
      <c r="AH14" s="9">
        <f t="shared" si="1"/>
        <v>15</v>
      </c>
      <c r="AI14" s="261" t="s">
        <v>3581</v>
      </c>
      <c r="AJ14" s="76" t="s">
        <v>3582</v>
      </c>
      <c r="AK14" s="261"/>
      <c r="AL14" s="61"/>
      <c r="AM14" s="125"/>
      <c r="AN14" s="61"/>
      <c r="AO14" s="11">
        <v>15</v>
      </c>
      <c r="AP14" s="11">
        <v>0</v>
      </c>
      <c r="AQ14" s="11">
        <v>20</v>
      </c>
      <c r="AR14" s="11">
        <v>0</v>
      </c>
      <c r="AS14" s="11">
        <v>0</v>
      </c>
      <c r="AT14" s="11">
        <v>0</v>
      </c>
    </row>
    <row r="15" spans="1:46" ht="18" customHeight="1">
      <c r="A15" s="260" t="s">
        <v>144</v>
      </c>
      <c r="B15" s="260" t="s">
        <v>145</v>
      </c>
      <c r="C15" s="260" t="s">
        <v>100</v>
      </c>
      <c r="D15" s="260" t="s">
        <v>101</v>
      </c>
      <c r="E15" s="260" t="s">
        <v>102</v>
      </c>
      <c r="F15" s="260" t="s">
        <v>155</v>
      </c>
      <c r="G15" s="260" t="s">
        <v>156</v>
      </c>
      <c r="H15" s="260" t="s">
        <v>164</v>
      </c>
      <c r="I15" s="260" t="s">
        <v>165</v>
      </c>
      <c r="J15" s="260"/>
      <c r="K15" s="260" t="s">
        <v>166</v>
      </c>
      <c r="L15" s="260" t="s">
        <v>167</v>
      </c>
      <c r="M15" s="260" t="s">
        <v>168</v>
      </c>
      <c r="N15" s="260" t="s">
        <v>111</v>
      </c>
      <c r="O15" s="260" t="s">
        <v>124</v>
      </c>
      <c r="P15" s="10">
        <v>12000</v>
      </c>
      <c r="Q15" s="11">
        <v>12000</v>
      </c>
      <c r="R15" s="11">
        <f>(Z15+AH15)/2</f>
        <v>13285</v>
      </c>
      <c r="S15" s="261"/>
      <c r="T15" s="11">
        <v>0</v>
      </c>
      <c r="U15" s="11">
        <v>12000</v>
      </c>
      <c r="V15" s="11">
        <v>0</v>
      </c>
      <c r="W15" s="11">
        <v>0</v>
      </c>
      <c r="X15" s="11" t="s">
        <v>115</v>
      </c>
      <c r="Y15" s="11">
        <v>570</v>
      </c>
      <c r="Z15" s="11">
        <v>570</v>
      </c>
      <c r="AA15" s="11">
        <v>0</v>
      </c>
      <c r="AB15" s="11" t="s">
        <v>169</v>
      </c>
      <c r="AC15" s="11">
        <v>0</v>
      </c>
      <c r="AD15" s="11">
        <v>0</v>
      </c>
      <c r="AE15" s="11">
        <v>12000</v>
      </c>
      <c r="AF15" s="261"/>
      <c r="AG15" s="261">
        <v>26000</v>
      </c>
      <c r="AH15" s="11">
        <f>AG15</f>
        <v>26000</v>
      </c>
      <c r="AI15" s="261"/>
      <c r="AJ15" s="76"/>
      <c r="AK15" s="261"/>
      <c r="AL15" s="61"/>
      <c r="AM15" s="412">
        <v>1095000000</v>
      </c>
      <c r="AN15" s="61" t="s">
        <v>3583</v>
      </c>
      <c r="AO15" s="11">
        <v>0</v>
      </c>
      <c r="AP15" s="11">
        <v>12000</v>
      </c>
      <c r="AQ15" s="11">
        <v>0</v>
      </c>
      <c r="AR15" s="11">
        <v>12000</v>
      </c>
      <c r="AS15" s="11">
        <v>0</v>
      </c>
      <c r="AT15" s="11">
        <v>0</v>
      </c>
    </row>
    <row r="16" spans="1:46" ht="18" customHeight="1">
      <c r="A16" s="260" t="s">
        <v>144</v>
      </c>
      <c r="B16" s="260" t="s">
        <v>145</v>
      </c>
      <c r="C16" s="260" t="s">
        <v>100</v>
      </c>
      <c r="D16" s="260" t="s">
        <v>508</v>
      </c>
      <c r="E16" s="260" t="s">
        <v>509</v>
      </c>
      <c r="F16" s="260" t="s">
        <v>524</v>
      </c>
      <c r="G16" s="260" t="s">
        <v>525</v>
      </c>
      <c r="H16" s="260" t="s">
        <v>526</v>
      </c>
      <c r="I16" s="260"/>
      <c r="J16" s="260"/>
      <c r="K16" s="260" t="s">
        <v>527</v>
      </c>
      <c r="L16" s="260" t="s">
        <v>528</v>
      </c>
      <c r="M16" s="260" t="s">
        <v>529</v>
      </c>
      <c r="N16" s="260" t="s">
        <v>111</v>
      </c>
      <c r="O16" s="260" t="s">
        <v>112</v>
      </c>
      <c r="P16" s="10">
        <v>12000</v>
      </c>
      <c r="Q16" s="11">
        <v>4686</v>
      </c>
      <c r="R16" s="11">
        <f t="shared" ref="R16:R23" si="2">Z16+AH16</f>
        <v>0</v>
      </c>
      <c r="S16" s="261"/>
      <c r="T16" s="11">
        <v>0</v>
      </c>
      <c r="U16" s="11">
        <v>0</v>
      </c>
      <c r="V16" s="11">
        <v>3000</v>
      </c>
      <c r="W16" s="11">
        <v>0</v>
      </c>
      <c r="X16" s="11">
        <v>0</v>
      </c>
      <c r="Y16" s="11">
        <v>0</v>
      </c>
      <c r="Z16" s="11">
        <v>0</v>
      </c>
      <c r="AA16" s="11"/>
      <c r="AB16" s="11"/>
      <c r="AC16" s="11"/>
      <c r="AD16" s="11">
        <v>3000</v>
      </c>
      <c r="AE16" s="11">
        <v>0</v>
      </c>
      <c r="AF16" s="261"/>
      <c r="AG16" s="261"/>
      <c r="AH16" s="9">
        <f t="shared" ref="AH16" si="3">AF16</f>
        <v>0</v>
      </c>
      <c r="AI16" s="261"/>
      <c r="AJ16" s="76" t="s">
        <v>3584</v>
      </c>
      <c r="AK16" s="261"/>
      <c r="AL16" s="61"/>
      <c r="AM16" s="125"/>
      <c r="AN16" s="61"/>
      <c r="AO16" s="11">
        <v>3000</v>
      </c>
      <c r="AP16" s="11">
        <v>0</v>
      </c>
      <c r="AQ16" s="11">
        <v>3000</v>
      </c>
      <c r="AR16" s="11">
        <v>0</v>
      </c>
      <c r="AS16" s="11">
        <v>0</v>
      </c>
      <c r="AT16" s="11">
        <v>0</v>
      </c>
    </row>
    <row r="17" spans="1:46" ht="18" customHeight="1">
      <c r="A17" s="260" t="s">
        <v>144</v>
      </c>
      <c r="B17" s="260" t="s">
        <v>145</v>
      </c>
      <c r="C17" s="260" t="s">
        <v>100</v>
      </c>
      <c r="D17" s="260" t="s">
        <v>508</v>
      </c>
      <c r="E17" s="260" t="s">
        <v>509</v>
      </c>
      <c r="F17" s="260" t="s">
        <v>561</v>
      </c>
      <c r="G17" s="260" t="s">
        <v>562</v>
      </c>
      <c r="H17" s="260" t="s">
        <v>577</v>
      </c>
      <c r="I17" s="260"/>
      <c r="J17" s="260"/>
      <c r="K17" s="260" t="s">
        <v>578</v>
      </c>
      <c r="L17" s="260" t="s">
        <v>579</v>
      </c>
      <c r="M17" s="260" t="s">
        <v>580</v>
      </c>
      <c r="N17" s="260" t="s">
        <v>111</v>
      </c>
      <c r="O17" s="260" t="s">
        <v>112</v>
      </c>
      <c r="P17" s="10">
        <v>4200</v>
      </c>
      <c r="Q17" s="11">
        <v>4000</v>
      </c>
      <c r="R17" s="11">
        <f t="shared" si="2"/>
        <v>0</v>
      </c>
      <c r="S17" s="261"/>
      <c r="T17" s="11">
        <v>0</v>
      </c>
      <c r="U17" s="11">
        <v>0</v>
      </c>
      <c r="V17" s="11">
        <v>0</v>
      </c>
      <c r="W17" s="11">
        <v>0</v>
      </c>
      <c r="X17" s="11">
        <v>0</v>
      </c>
      <c r="Y17" s="11">
        <v>0</v>
      </c>
      <c r="Z17" s="11">
        <v>0</v>
      </c>
      <c r="AA17" s="11"/>
      <c r="AB17" s="11"/>
      <c r="AC17" s="11"/>
      <c r="AD17" s="11">
        <v>2000</v>
      </c>
      <c r="AE17" s="11">
        <v>0</v>
      </c>
      <c r="AF17" s="261"/>
      <c r="AG17" s="261"/>
      <c r="AH17" s="9">
        <f t="shared" ref="AH17" si="4">AF17</f>
        <v>0</v>
      </c>
      <c r="AI17" s="261"/>
      <c r="AJ17" s="76" t="s">
        <v>3585</v>
      </c>
      <c r="AK17" s="261"/>
      <c r="AL17" s="61"/>
      <c r="AM17" s="125"/>
      <c r="AN17" s="61"/>
      <c r="AO17" s="11">
        <v>3000</v>
      </c>
      <c r="AP17" s="11">
        <v>0</v>
      </c>
      <c r="AQ17" s="11">
        <v>3000</v>
      </c>
      <c r="AR17" s="11">
        <v>0</v>
      </c>
      <c r="AS17" s="11">
        <v>0</v>
      </c>
      <c r="AT17" s="11">
        <v>0</v>
      </c>
    </row>
    <row r="18" spans="1:46" ht="18" customHeight="1">
      <c r="A18" s="260" t="s">
        <v>144</v>
      </c>
      <c r="B18" s="260" t="s">
        <v>145</v>
      </c>
      <c r="C18" s="260" t="s">
        <v>100</v>
      </c>
      <c r="D18" s="260" t="s">
        <v>508</v>
      </c>
      <c r="E18" s="260" t="s">
        <v>509</v>
      </c>
      <c r="F18" s="260" t="s">
        <v>656</v>
      </c>
      <c r="G18" s="260" t="s">
        <v>657</v>
      </c>
      <c r="H18" s="260" t="s">
        <v>658</v>
      </c>
      <c r="I18" s="260" t="s">
        <v>106</v>
      </c>
      <c r="J18" s="260"/>
      <c r="K18" s="260" t="s">
        <v>659</v>
      </c>
      <c r="L18" s="260" t="s">
        <v>660</v>
      </c>
      <c r="M18" s="260" t="s">
        <v>661</v>
      </c>
      <c r="N18" s="260" t="s">
        <v>111</v>
      </c>
      <c r="O18" s="260" t="s">
        <v>112</v>
      </c>
      <c r="P18" s="10">
        <v>8</v>
      </c>
      <c r="Q18" s="11">
        <v>8</v>
      </c>
      <c r="R18" s="11">
        <f t="shared" si="2"/>
        <v>4</v>
      </c>
      <c r="S18" s="261" t="s">
        <v>3586</v>
      </c>
      <c r="T18" s="11">
        <v>1</v>
      </c>
      <c r="U18" s="11">
        <v>0</v>
      </c>
      <c r="V18" s="11">
        <v>1</v>
      </c>
      <c r="W18" s="11">
        <v>0</v>
      </c>
      <c r="X18" s="11">
        <v>1</v>
      </c>
      <c r="Y18" s="11">
        <v>0</v>
      </c>
      <c r="Z18" s="11">
        <v>1</v>
      </c>
      <c r="AA18" s="11" t="s">
        <v>662</v>
      </c>
      <c r="AB18" s="11" t="s">
        <v>663</v>
      </c>
      <c r="AC18" s="11" t="s">
        <v>664</v>
      </c>
      <c r="AD18" s="11">
        <v>3</v>
      </c>
      <c r="AE18" s="11">
        <v>0</v>
      </c>
      <c r="AF18" s="261">
        <v>3</v>
      </c>
      <c r="AG18" s="261"/>
      <c r="AH18" s="9">
        <f t="shared" ref="AH18:AH22" si="5">AF18</f>
        <v>3</v>
      </c>
      <c r="AI18" s="261" t="s">
        <v>3587</v>
      </c>
      <c r="AJ18" s="76" t="s">
        <v>3588</v>
      </c>
      <c r="AK18" s="261"/>
      <c r="AL18" s="61"/>
      <c r="AM18" s="125"/>
      <c r="AN18" s="61"/>
      <c r="AO18" s="11">
        <v>3</v>
      </c>
      <c r="AP18" s="11">
        <v>0</v>
      </c>
      <c r="AQ18" s="11">
        <v>1</v>
      </c>
      <c r="AR18" s="11">
        <v>0</v>
      </c>
      <c r="AS18" s="11">
        <v>0</v>
      </c>
      <c r="AT18" s="11">
        <v>0</v>
      </c>
    </row>
    <row r="19" spans="1:46" ht="18" customHeight="1">
      <c r="A19" s="260" t="s">
        <v>144</v>
      </c>
      <c r="B19" s="260" t="s">
        <v>145</v>
      </c>
      <c r="C19" s="260" t="s">
        <v>100</v>
      </c>
      <c r="D19" s="260" t="s">
        <v>508</v>
      </c>
      <c r="E19" s="260" t="s">
        <v>509</v>
      </c>
      <c r="F19" s="260" t="s">
        <v>674</v>
      </c>
      <c r="G19" s="260" t="s">
        <v>675</v>
      </c>
      <c r="H19" s="260" t="s">
        <v>667</v>
      </c>
      <c r="I19" s="260" t="s">
        <v>106</v>
      </c>
      <c r="J19" s="260"/>
      <c r="K19" s="260" t="s">
        <v>668</v>
      </c>
      <c r="L19" s="260" t="s">
        <v>669</v>
      </c>
      <c r="M19" s="260" t="s">
        <v>670</v>
      </c>
      <c r="N19" s="260" t="s">
        <v>111</v>
      </c>
      <c r="O19" s="260" t="s">
        <v>112</v>
      </c>
      <c r="P19" s="10">
        <v>116</v>
      </c>
      <c r="Q19" s="11">
        <v>116</v>
      </c>
      <c r="R19" s="11">
        <f t="shared" si="2"/>
        <v>51</v>
      </c>
      <c r="S19" s="261" t="s">
        <v>3589</v>
      </c>
      <c r="T19" s="11">
        <v>20</v>
      </c>
      <c r="U19" s="11">
        <v>0</v>
      </c>
      <c r="V19" s="11">
        <v>20</v>
      </c>
      <c r="W19" s="11">
        <v>0</v>
      </c>
      <c r="X19" s="11">
        <v>20</v>
      </c>
      <c r="Y19" s="11">
        <v>0</v>
      </c>
      <c r="Z19" s="11">
        <v>20</v>
      </c>
      <c r="AA19" s="11" t="s">
        <v>671</v>
      </c>
      <c r="AB19" s="11" t="s">
        <v>672</v>
      </c>
      <c r="AC19" s="11" t="s">
        <v>673</v>
      </c>
      <c r="AD19" s="11">
        <v>30</v>
      </c>
      <c r="AE19" s="11">
        <v>0</v>
      </c>
      <c r="AF19" s="261">
        <v>31</v>
      </c>
      <c r="AG19" s="261"/>
      <c r="AH19" s="9">
        <f t="shared" si="5"/>
        <v>31</v>
      </c>
      <c r="AI19" s="261"/>
      <c r="AJ19" s="76" t="s">
        <v>3580</v>
      </c>
      <c r="AK19" s="261"/>
      <c r="AL19" s="61"/>
      <c r="AM19" s="125"/>
      <c r="AN19" s="61"/>
      <c r="AO19" s="11">
        <v>40</v>
      </c>
      <c r="AP19" s="11">
        <v>0</v>
      </c>
      <c r="AQ19" s="11">
        <v>26</v>
      </c>
      <c r="AR19" s="11">
        <v>0</v>
      </c>
      <c r="AS19" s="11">
        <v>0</v>
      </c>
      <c r="AT19" s="11">
        <v>0</v>
      </c>
    </row>
    <row r="20" spans="1:46" ht="18" customHeight="1">
      <c r="A20" s="260" t="s">
        <v>144</v>
      </c>
      <c r="B20" s="260" t="s">
        <v>145</v>
      </c>
      <c r="C20" s="260" t="s">
        <v>100</v>
      </c>
      <c r="D20" s="260" t="s">
        <v>508</v>
      </c>
      <c r="E20" s="260" t="s">
        <v>509</v>
      </c>
      <c r="F20" s="260" t="s">
        <v>674</v>
      </c>
      <c r="G20" s="260" t="s">
        <v>675</v>
      </c>
      <c r="H20" s="260" t="s">
        <v>676</v>
      </c>
      <c r="I20" s="260" t="s">
        <v>677</v>
      </c>
      <c r="J20" s="260"/>
      <c r="K20" s="260" t="s">
        <v>678</v>
      </c>
      <c r="L20" s="260" t="s">
        <v>679</v>
      </c>
      <c r="M20" s="260" t="s">
        <v>680</v>
      </c>
      <c r="N20" s="260" t="s">
        <v>111</v>
      </c>
      <c r="O20" s="260" t="s">
        <v>112</v>
      </c>
      <c r="P20" s="10">
        <v>15</v>
      </c>
      <c r="Q20" s="11">
        <v>15</v>
      </c>
      <c r="R20" s="11">
        <f t="shared" si="2"/>
        <v>4</v>
      </c>
      <c r="S20" s="261"/>
      <c r="T20" s="11">
        <v>3</v>
      </c>
      <c r="U20" s="11">
        <v>0</v>
      </c>
      <c r="V20" s="11">
        <v>3</v>
      </c>
      <c r="W20" s="11">
        <v>0</v>
      </c>
      <c r="X20" s="11">
        <v>3</v>
      </c>
      <c r="Y20" s="11">
        <v>0</v>
      </c>
      <c r="Z20" s="11">
        <v>3</v>
      </c>
      <c r="AA20" s="11" t="s">
        <v>681</v>
      </c>
      <c r="AB20" s="11" t="s">
        <v>682</v>
      </c>
      <c r="AC20" s="11" t="s">
        <v>683</v>
      </c>
      <c r="AD20" s="11">
        <v>4</v>
      </c>
      <c r="AE20" s="11">
        <v>0</v>
      </c>
      <c r="AF20" s="413">
        <v>1</v>
      </c>
      <c r="AG20" s="261"/>
      <c r="AH20" s="9">
        <f t="shared" si="5"/>
        <v>1</v>
      </c>
      <c r="AI20" s="261"/>
      <c r="AJ20" s="76" t="s">
        <v>3590</v>
      </c>
      <c r="AK20" s="261"/>
      <c r="AL20" s="61"/>
      <c r="AM20" s="125"/>
      <c r="AN20" s="61"/>
      <c r="AO20" s="11">
        <v>4</v>
      </c>
      <c r="AP20" s="11">
        <v>0</v>
      </c>
      <c r="AQ20" s="11">
        <v>4</v>
      </c>
      <c r="AR20" s="11">
        <v>0</v>
      </c>
      <c r="AS20" s="11">
        <v>0</v>
      </c>
      <c r="AT20" s="11">
        <v>0</v>
      </c>
    </row>
    <row r="21" spans="1:46" ht="18" customHeight="1">
      <c r="A21" s="260" t="s">
        <v>144</v>
      </c>
      <c r="B21" s="260" t="s">
        <v>145</v>
      </c>
      <c r="C21" s="260" t="s">
        <v>100</v>
      </c>
      <c r="D21" s="260" t="s">
        <v>508</v>
      </c>
      <c r="E21" s="260" t="s">
        <v>509</v>
      </c>
      <c r="F21" s="260" t="s">
        <v>674</v>
      </c>
      <c r="G21" s="260" t="s">
        <v>675</v>
      </c>
      <c r="H21" s="260" t="s">
        <v>684</v>
      </c>
      <c r="I21" s="260" t="s">
        <v>106</v>
      </c>
      <c r="J21" s="260"/>
      <c r="K21" s="260" t="s">
        <v>685</v>
      </c>
      <c r="L21" s="260" t="s">
        <v>686</v>
      </c>
      <c r="M21" s="260" t="s">
        <v>687</v>
      </c>
      <c r="N21" s="260" t="s">
        <v>111</v>
      </c>
      <c r="O21" s="260" t="s">
        <v>112</v>
      </c>
      <c r="P21" s="10">
        <v>70</v>
      </c>
      <c r="Q21" s="11">
        <v>70</v>
      </c>
      <c r="R21" s="11">
        <f t="shared" si="2"/>
        <v>27</v>
      </c>
      <c r="S21" s="261"/>
      <c r="T21" s="11">
        <v>5</v>
      </c>
      <c r="U21" s="11">
        <v>0</v>
      </c>
      <c r="V21" s="11">
        <v>5</v>
      </c>
      <c r="W21" s="11">
        <v>0</v>
      </c>
      <c r="X21" s="11">
        <v>5</v>
      </c>
      <c r="Y21" s="11">
        <v>0</v>
      </c>
      <c r="Z21" s="11">
        <v>5</v>
      </c>
      <c r="AA21" s="11" t="s">
        <v>688</v>
      </c>
      <c r="AB21" s="11" t="s">
        <v>689</v>
      </c>
      <c r="AC21" s="11" t="s">
        <v>690</v>
      </c>
      <c r="AD21" s="11">
        <v>21</v>
      </c>
      <c r="AE21" s="11">
        <v>0</v>
      </c>
      <c r="AF21" s="261">
        <v>22</v>
      </c>
      <c r="AG21" s="261"/>
      <c r="AH21" s="9">
        <f t="shared" si="5"/>
        <v>22</v>
      </c>
      <c r="AI21" s="261" t="s">
        <v>3591</v>
      </c>
      <c r="AJ21" s="76" t="s">
        <v>3592</v>
      </c>
      <c r="AK21" s="261"/>
      <c r="AL21" s="61"/>
      <c r="AM21" s="125"/>
      <c r="AN21" s="61"/>
      <c r="AO21" s="11">
        <v>26</v>
      </c>
      <c r="AP21" s="11">
        <v>0</v>
      </c>
      <c r="AQ21" s="11">
        <v>18</v>
      </c>
      <c r="AR21" s="11">
        <v>0</v>
      </c>
      <c r="AS21" s="11">
        <v>0</v>
      </c>
      <c r="AT21" s="11">
        <v>0</v>
      </c>
    </row>
    <row r="22" spans="1:46" ht="18" customHeight="1">
      <c r="A22" s="260" t="s">
        <v>144</v>
      </c>
      <c r="B22" s="260" t="s">
        <v>145</v>
      </c>
      <c r="C22" s="260" t="s">
        <v>100</v>
      </c>
      <c r="D22" s="260" t="s">
        <v>508</v>
      </c>
      <c r="E22" s="260" t="s">
        <v>509</v>
      </c>
      <c r="F22" s="260" t="s">
        <v>674</v>
      </c>
      <c r="G22" s="260" t="s">
        <v>675</v>
      </c>
      <c r="H22" s="260" t="s">
        <v>691</v>
      </c>
      <c r="I22" s="260" t="s">
        <v>106</v>
      </c>
      <c r="J22" s="260"/>
      <c r="K22" s="260" t="s">
        <v>692</v>
      </c>
      <c r="L22" s="260" t="s">
        <v>693</v>
      </c>
      <c r="M22" s="260" t="s">
        <v>140</v>
      </c>
      <c r="N22" s="260" t="s">
        <v>111</v>
      </c>
      <c r="O22" s="260" t="s">
        <v>112</v>
      </c>
      <c r="P22" s="10">
        <v>116</v>
      </c>
      <c r="Q22" s="11">
        <v>116</v>
      </c>
      <c r="R22" s="11">
        <f t="shared" si="2"/>
        <v>50</v>
      </c>
      <c r="S22" s="261" t="s">
        <v>3593</v>
      </c>
      <c r="T22" s="11">
        <v>10</v>
      </c>
      <c r="U22" s="11">
        <v>0</v>
      </c>
      <c r="V22" s="11">
        <v>10</v>
      </c>
      <c r="W22" s="11">
        <v>0</v>
      </c>
      <c r="X22" s="11">
        <v>10</v>
      </c>
      <c r="Y22" s="11">
        <v>0</v>
      </c>
      <c r="Z22" s="11">
        <v>10</v>
      </c>
      <c r="AA22" s="11" t="s">
        <v>694</v>
      </c>
      <c r="AB22" s="11" t="s">
        <v>695</v>
      </c>
      <c r="AC22" s="11" t="s">
        <v>696</v>
      </c>
      <c r="AD22" s="11">
        <v>40</v>
      </c>
      <c r="AE22" s="11">
        <v>0</v>
      </c>
      <c r="AF22" s="261">
        <v>40</v>
      </c>
      <c r="AG22" s="261"/>
      <c r="AH22" s="9">
        <f t="shared" si="5"/>
        <v>40</v>
      </c>
      <c r="AI22" s="261"/>
      <c r="AJ22" s="76" t="s">
        <v>3580</v>
      </c>
      <c r="AK22" s="261"/>
      <c r="AL22" s="61"/>
      <c r="AM22" s="125"/>
      <c r="AN22" s="61"/>
      <c r="AO22" s="11">
        <v>40</v>
      </c>
      <c r="AP22" s="11">
        <v>0</v>
      </c>
      <c r="AQ22" s="11">
        <v>26</v>
      </c>
      <c r="AR22" s="11">
        <v>0</v>
      </c>
      <c r="AS22" s="11">
        <v>0</v>
      </c>
      <c r="AT22" s="11">
        <v>0</v>
      </c>
    </row>
    <row r="23" spans="1:46" ht="18" customHeight="1">
      <c r="A23" s="260" t="s">
        <v>144</v>
      </c>
      <c r="B23" s="260" t="s">
        <v>145</v>
      </c>
      <c r="C23" s="260" t="s">
        <v>100</v>
      </c>
      <c r="D23" s="260" t="s">
        <v>508</v>
      </c>
      <c r="E23" s="260" t="s">
        <v>509</v>
      </c>
      <c r="F23" s="260" t="s">
        <v>756</v>
      </c>
      <c r="G23" s="260" t="s">
        <v>757</v>
      </c>
      <c r="H23" s="260" t="s">
        <v>758</v>
      </c>
      <c r="I23" s="260" t="s">
        <v>106</v>
      </c>
      <c r="J23" s="260"/>
      <c r="K23" s="260" t="s">
        <v>759</v>
      </c>
      <c r="L23" s="260" t="s">
        <v>760</v>
      </c>
      <c r="M23" s="260" t="s">
        <v>140</v>
      </c>
      <c r="N23" s="260" t="s">
        <v>111</v>
      </c>
      <c r="O23" s="260" t="s">
        <v>112</v>
      </c>
      <c r="P23" s="10">
        <v>116</v>
      </c>
      <c r="Q23" s="11">
        <v>116</v>
      </c>
      <c r="R23" s="11">
        <f t="shared" si="2"/>
        <v>57</v>
      </c>
      <c r="S23" s="261" t="s">
        <v>3594</v>
      </c>
      <c r="T23" s="11">
        <v>20</v>
      </c>
      <c r="U23" s="11">
        <v>0</v>
      </c>
      <c r="V23" s="11">
        <v>20</v>
      </c>
      <c r="W23" s="11">
        <v>0</v>
      </c>
      <c r="X23" s="11">
        <v>20</v>
      </c>
      <c r="Y23" s="11">
        <v>0</v>
      </c>
      <c r="Z23" s="11">
        <v>20</v>
      </c>
      <c r="AA23" s="11" t="s">
        <v>761</v>
      </c>
      <c r="AB23" s="11" t="s">
        <v>762</v>
      </c>
      <c r="AC23" s="11">
        <v>0</v>
      </c>
      <c r="AD23" s="11">
        <v>16</v>
      </c>
      <c r="AE23" s="11">
        <v>0</v>
      </c>
      <c r="AF23" s="261">
        <v>37</v>
      </c>
      <c r="AG23" s="261"/>
      <c r="AH23" s="9">
        <f t="shared" ref="AH23" si="6">AF23</f>
        <v>37</v>
      </c>
      <c r="AI23" s="261" t="s">
        <v>3595</v>
      </c>
      <c r="AJ23" s="76" t="s">
        <v>3596</v>
      </c>
      <c r="AK23" s="261"/>
      <c r="AL23" s="61"/>
      <c r="AM23" s="125"/>
      <c r="AN23" s="61"/>
      <c r="AO23" s="11">
        <v>40</v>
      </c>
      <c r="AP23" s="11">
        <v>0</v>
      </c>
      <c r="AQ23" s="11">
        <v>40</v>
      </c>
      <c r="AR23" s="11">
        <v>0</v>
      </c>
      <c r="AS23" s="11">
        <v>0</v>
      </c>
      <c r="AT23" s="11">
        <v>0</v>
      </c>
    </row>
    <row r="24" spans="1:46" ht="18" customHeight="1">
      <c r="A24" s="260" t="s">
        <v>144</v>
      </c>
      <c r="B24" s="260" t="s">
        <v>145</v>
      </c>
      <c r="C24" s="260" t="s">
        <v>100</v>
      </c>
      <c r="D24" s="260" t="s">
        <v>508</v>
      </c>
      <c r="E24" s="260" t="s">
        <v>769</v>
      </c>
      <c r="F24" s="260" t="s">
        <v>819</v>
      </c>
      <c r="G24" s="260" t="s">
        <v>820</v>
      </c>
      <c r="H24" s="260" t="s">
        <v>837</v>
      </c>
      <c r="I24" s="260"/>
      <c r="J24" s="260"/>
      <c r="K24" s="260" t="s">
        <v>838</v>
      </c>
      <c r="L24" s="260" t="s">
        <v>839</v>
      </c>
      <c r="M24" s="260" t="s">
        <v>840</v>
      </c>
      <c r="N24" s="260" t="s">
        <v>111</v>
      </c>
      <c r="O24" s="260" t="s">
        <v>124</v>
      </c>
      <c r="P24" s="10">
        <v>14</v>
      </c>
      <c r="Q24" s="11">
        <v>15</v>
      </c>
      <c r="R24" s="11">
        <f>(Z24+AH24)/2</f>
        <v>15</v>
      </c>
      <c r="S24" s="261" t="s">
        <v>3597</v>
      </c>
      <c r="T24" s="11">
        <v>0</v>
      </c>
      <c r="U24" s="11">
        <v>15</v>
      </c>
      <c r="V24" s="11">
        <v>0</v>
      </c>
      <c r="W24" s="11">
        <v>15</v>
      </c>
      <c r="X24" s="11" t="s">
        <v>115</v>
      </c>
      <c r="Y24" s="11">
        <v>15</v>
      </c>
      <c r="Z24" s="11">
        <v>15</v>
      </c>
      <c r="AA24" s="11" t="s">
        <v>841</v>
      </c>
      <c r="AB24" s="11" t="s">
        <v>842</v>
      </c>
      <c r="AC24" s="11" t="s">
        <v>843</v>
      </c>
      <c r="AD24" s="11">
        <v>0</v>
      </c>
      <c r="AE24" s="11">
        <v>15</v>
      </c>
      <c r="AF24" s="261"/>
      <c r="AG24" s="261">
        <v>15</v>
      </c>
      <c r="AH24" s="11">
        <v>15</v>
      </c>
      <c r="AI24" s="261"/>
      <c r="AJ24" s="76" t="s">
        <v>3598</v>
      </c>
      <c r="AK24" s="261"/>
      <c r="AL24" s="61"/>
      <c r="AM24" s="125"/>
      <c r="AN24" s="61"/>
      <c r="AO24" s="11">
        <v>0</v>
      </c>
      <c r="AP24" s="11">
        <v>15</v>
      </c>
      <c r="AQ24" s="11">
        <v>0</v>
      </c>
      <c r="AR24" s="11">
        <v>15</v>
      </c>
      <c r="AS24" s="11">
        <v>0</v>
      </c>
      <c r="AT24" s="11">
        <v>0</v>
      </c>
    </row>
    <row r="25" spans="1:46" ht="18" customHeight="1">
      <c r="A25" s="260" t="s">
        <v>144</v>
      </c>
      <c r="B25" s="260" t="s">
        <v>145</v>
      </c>
      <c r="C25" s="260" t="s">
        <v>100</v>
      </c>
      <c r="D25" s="260" t="s">
        <v>508</v>
      </c>
      <c r="E25" s="260" t="s">
        <v>769</v>
      </c>
      <c r="F25" s="260" t="s">
        <v>819</v>
      </c>
      <c r="G25" s="260" t="s">
        <v>820</v>
      </c>
      <c r="H25" s="260" t="s">
        <v>844</v>
      </c>
      <c r="I25" s="260"/>
      <c r="J25" s="260"/>
      <c r="K25" s="260" t="s">
        <v>845</v>
      </c>
      <c r="L25" s="260" t="s">
        <v>846</v>
      </c>
      <c r="M25" s="260" t="s">
        <v>847</v>
      </c>
      <c r="N25" s="260" t="s">
        <v>111</v>
      </c>
      <c r="O25" s="260" t="s">
        <v>112</v>
      </c>
      <c r="P25" s="10">
        <v>0</v>
      </c>
      <c r="Q25" s="11">
        <v>5</v>
      </c>
      <c r="R25" s="11">
        <f t="shared" ref="R25:R28" si="7">Z25+AH25</f>
        <v>0.3</v>
      </c>
      <c r="S25" s="261" t="s">
        <v>3599</v>
      </c>
      <c r="T25" s="11">
        <v>1</v>
      </c>
      <c r="U25" s="11">
        <v>0</v>
      </c>
      <c r="V25" s="11">
        <v>0</v>
      </c>
      <c r="W25" s="11">
        <v>0</v>
      </c>
      <c r="X25" s="11">
        <v>0</v>
      </c>
      <c r="Y25" s="11">
        <v>0</v>
      </c>
      <c r="Z25" s="11">
        <v>0</v>
      </c>
      <c r="AA25" s="11">
        <v>0</v>
      </c>
      <c r="AB25" s="11" t="s">
        <v>848</v>
      </c>
      <c r="AC25" s="11" t="s">
        <v>849</v>
      </c>
      <c r="AD25" s="11">
        <v>1</v>
      </c>
      <c r="AE25" s="11">
        <v>0</v>
      </c>
      <c r="AF25" s="261" t="s">
        <v>3600</v>
      </c>
      <c r="AG25" s="261"/>
      <c r="AH25" s="9" t="str">
        <f t="shared" ref="AH25:AH28" si="8">AF25</f>
        <v>0,3</v>
      </c>
      <c r="AI25" s="261"/>
      <c r="AJ25" s="76" t="s">
        <v>3601</v>
      </c>
      <c r="AK25" s="261"/>
      <c r="AL25" s="61"/>
      <c r="AM25" s="125"/>
      <c r="AN25" s="61"/>
      <c r="AO25" s="11">
        <v>2</v>
      </c>
      <c r="AP25" s="11">
        <v>0</v>
      </c>
      <c r="AQ25" s="11">
        <v>2</v>
      </c>
      <c r="AR25" s="11">
        <v>0</v>
      </c>
      <c r="AS25" s="11">
        <v>0</v>
      </c>
      <c r="AT25" s="11">
        <v>0</v>
      </c>
    </row>
    <row r="26" spans="1:46" ht="18" customHeight="1">
      <c r="A26" s="260" t="s">
        <v>144</v>
      </c>
      <c r="B26" s="260" t="s">
        <v>145</v>
      </c>
      <c r="C26" s="260" t="s">
        <v>100</v>
      </c>
      <c r="D26" s="260" t="s">
        <v>508</v>
      </c>
      <c r="E26" s="260" t="s">
        <v>769</v>
      </c>
      <c r="F26" s="260" t="s">
        <v>819</v>
      </c>
      <c r="G26" s="260" t="s">
        <v>820</v>
      </c>
      <c r="H26" s="260" t="s">
        <v>850</v>
      </c>
      <c r="I26" s="260"/>
      <c r="J26" s="260"/>
      <c r="K26" s="260" t="s">
        <v>851</v>
      </c>
      <c r="L26" s="260" t="s">
        <v>852</v>
      </c>
      <c r="M26" s="260" t="s">
        <v>853</v>
      </c>
      <c r="N26" s="260" t="s">
        <v>111</v>
      </c>
      <c r="O26" s="260" t="s">
        <v>112</v>
      </c>
      <c r="P26" s="10">
        <v>3</v>
      </c>
      <c r="Q26" s="11">
        <v>4</v>
      </c>
      <c r="R26" s="11">
        <f t="shared" si="7"/>
        <v>2.5</v>
      </c>
      <c r="S26" s="261" t="s">
        <v>3602</v>
      </c>
      <c r="T26" s="11">
        <v>0.5</v>
      </c>
      <c r="U26" s="11">
        <v>0</v>
      </c>
      <c r="V26" s="11">
        <v>0.5</v>
      </c>
      <c r="W26" s="11">
        <v>0</v>
      </c>
      <c r="X26" s="11">
        <v>0.5</v>
      </c>
      <c r="Y26" s="11">
        <v>0</v>
      </c>
      <c r="Z26" s="11">
        <v>0.5</v>
      </c>
      <c r="AA26" s="11">
        <v>0</v>
      </c>
      <c r="AB26" s="11" t="s">
        <v>854</v>
      </c>
      <c r="AC26" s="11" t="s">
        <v>855</v>
      </c>
      <c r="AD26" s="11">
        <v>0.5</v>
      </c>
      <c r="AE26" s="11">
        <v>0</v>
      </c>
      <c r="AF26" s="261">
        <v>2</v>
      </c>
      <c r="AG26" s="261"/>
      <c r="AH26" s="9">
        <f t="shared" si="8"/>
        <v>2</v>
      </c>
      <c r="AI26" s="261"/>
      <c r="AJ26" s="76" t="s">
        <v>3603</v>
      </c>
      <c r="AK26" s="261"/>
      <c r="AL26" s="61"/>
      <c r="AM26" s="125"/>
      <c r="AN26" s="61"/>
      <c r="AO26" s="11">
        <v>2</v>
      </c>
      <c r="AP26" s="11">
        <v>0</v>
      </c>
      <c r="AQ26" s="11">
        <v>1</v>
      </c>
      <c r="AR26" s="11">
        <v>0</v>
      </c>
      <c r="AS26" s="11">
        <v>0</v>
      </c>
      <c r="AT26" s="11">
        <v>0</v>
      </c>
    </row>
    <row r="27" spans="1:46" ht="18" customHeight="1">
      <c r="A27" s="260" t="s">
        <v>144</v>
      </c>
      <c r="B27" s="260" t="s">
        <v>145</v>
      </c>
      <c r="C27" s="260" t="s">
        <v>100</v>
      </c>
      <c r="D27" s="260" t="s">
        <v>508</v>
      </c>
      <c r="E27" s="260" t="s">
        <v>769</v>
      </c>
      <c r="F27" s="260" t="s">
        <v>819</v>
      </c>
      <c r="G27" s="260" t="s">
        <v>820</v>
      </c>
      <c r="H27" s="260" t="s">
        <v>856</v>
      </c>
      <c r="I27" s="260"/>
      <c r="J27" s="260"/>
      <c r="K27" s="260" t="s">
        <v>857</v>
      </c>
      <c r="L27" s="260" t="s">
        <v>858</v>
      </c>
      <c r="M27" s="260" t="s">
        <v>859</v>
      </c>
      <c r="N27" s="260" t="s">
        <v>111</v>
      </c>
      <c r="O27" s="260" t="s">
        <v>112</v>
      </c>
      <c r="P27" s="10">
        <v>10000</v>
      </c>
      <c r="Q27" s="11">
        <v>10000</v>
      </c>
      <c r="R27" s="11">
        <f t="shared" si="7"/>
        <v>4175</v>
      </c>
      <c r="S27" s="261" t="s">
        <v>3604</v>
      </c>
      <c r="T27" s="11">
        <v>1000</v>
      </c>
      <c r="U27" s="11">
        <v>0</v>
      </c>
      <c r="V27" s="11">
        <v>1000</v>
      </c>
      <c r="W27" s="11">
        <v>0</v>
      </c>
      <c r="X27" s="11">
        <v>896</v>
      </c>
      <c r="Y27" s="11">
        <v>0</v>
      </c>
      <c r="Z27" s="11">
        <v>896</v>
      </c>
      <c r="AA27" s="11" t="s">
        <v>860</v>
      </c>
      <c r="AB27" s="11" t="s">
        <v>861</v>
      </c>
      <c r="AC27" s="11" t="s">
        <v>862</v>
      </c>
      <c r="AD27" s="11">
        <v>3104</v>
      </c>
      <c r="AE27" s="11">
        <v>0</v>
      </c>
      <c r="AF27" s="261">
        <v>3279</v>
      </c>
      <c r="AG27" s="261"/>
      <c r="AH27" s="9">
        <f t="shared" si="8"/>
        <v>3279</v>
      </c>
      <c r="AI27" s="261"/>
      <c r="AJ27" s="76" t="s">
        <v>3605</v>
      </c>
      <c r="AK27" s="261"/>
      <c r="AL27" s="61"/>
      <c r="AM27" s="125"/>
      <c r="AN27" s="61"/>
      <c r="AO27" s="11">
        <v>3000</v>
      </c>
      <c r="AP27" s="11">
        <v>0</v>
      </c>
      <c r="AQ27" s="11">
        <v>3000</v>
      </c>
      <c r="AR27" s="11">
        <v>0</v>
      </c>
      <c r="AS27" s="11">
        <v>0</v>
      </c>
      <c r="AT27" s="11">
        <v>0</v>
      </c>
    </row>
    <row r="28" spans="1:46" ht="18" customHeight="1">
      <c r="A28" s="260" t="s">
        <v>144</v>
      </c>
      <c r="B28" s="260" t="s">
        <v>145</v>
      </c>
      <c r="C28" s="260" t="s">
        <v>100</v>
      </c>
      <c r="D28" s="260" t="s">
        <v>508</v>
      </c>
      <c r="E28" s="260" t="s">
        <v>769</v>
      </c>
      <c r="F28" s="260" t="s">
        <v>819</v>
      </c>
      <c r="G28" s="260" t="s">
        <v>820</v>
      </c>
      <c r="H28" s="260" t="s">
        <v>863</v>
      </c>
      <c r="I28" s="260"/>
      <c r="J28" s="260"/>
      <c r="K28" s="260" t="s">
        <v>864</v>
      </c>
      <c r="L28" s="260" t="s">
        <v>865</v>
      </c>
      <c r="M28" s="260" t="s">
        <v>866</v>
      </c>
      <c r="N28" s="260" t="s">
        <v>111</v>
      </c>
      <c r="O28" s="260" t="s">
        <v>112</v>
      </c>
      <c r="P28" s="10">
        <v>100</v>
      </c>
      <c r="Q28" s="11">
        <v>100</v>
      </c>
      <c r="R28" s="11">
        <f t="shared" si="7"/>
        <v>26</v>
      </c>
      <c r="S28" s="261" t="s">
        <v>3606</v>
      </c>
      <c r="T28" s="11">
        <v>14</v>
      </c>
      <c r="U28" s="11">
        <v>0</v>
      </c>
      <c r="V28" s="11">
        <v>14</v>
      </c>
      <c r="W28" s="11">
        <v>0</v>
      </c>
      <c r="X28" s="11">
        <v>15</v>
      </c>
      <c r="Y28" s="11">
        <v>0</v>
      </c>
      <c r="Z28" s="11">
        <v>15</v>
      </c>
      <c r="AA28" s="11">
        <v>0</v>
      </c>
      <c r="AB28" s="11" t="s">
        <v>867</v>
      </c>
      <c r="AC28" s="11">
        <v>0</v>
      </c>
      <c r="AD28" s="11">
        <v>20</v>
      </c>
      <c r="AE28" s="11">
        <v>0</v>
      </c>
      <c r="AF28" s="261">
        <v>11</v>
      </c>
      <c r="AG28" s="261"/>
      <c r="AH28" s="9">
        <f t="shared" si="8"/>
        <v>11</v>
      </c>
      <c r="AI28" s="261"/>
      <c r="AJ28" s="76" t="s">
        <v>3607</v>
      </c>
      <c r="AK28" s="261"/>
      <c r="AL28" s="61"/>
      <c r="AM28" s="125"/>
      <c r="AN28" s="61"/>
      <c r="AO28" s="11">
        <v>36</v>
      </c>
      <c r="AP28" s="11">
        <v>0</v>
      </c>
      <c r="AQ28" s="11">
        <v>29</v>
      </c>
      <c r="AR28" s="11">
        <v>0</v>
      </c>
      <c r="AS28" s="11">
        <v>0</v>
      </c>
      <c r="AT28" s="11">
        <v>0</v>
      </c>
    </row>
    <row r="29" spans="1:46" ht="18" customHeight="1">
      <c r="A29" s="260" t="s">
        <v>144</v>
      </c>
      <c r="B29" s="260" t="s">
        <v>145</v>
      </c>
      <c r="C29" s="260" t="s">
        <v>100</v>
      </c>
      <c r="D29" s="260" t="s">
        <v>508</v>
      </c>
      <c r="E29" s="260" t="s">
        <v>870</v>
      </c>
      <c r="F29" s="260" t="s">
        <v>909</v>
      </c>
      <c r="G29" s="260" t="s">
        <v>910</v>
      </c>
      <c r="H29" s="260" t="s">
        <v>923</v>
      </c>
      <c r="I29" s="260"/>
      <c r="J29" s="260"/>
      <c r="K29" s="260" t="s">
        <v>924</v>
      </c>
      <c r="L29" s="260" t="s">
        <v>925</v>
      </c>
      <c r="M29" s="260" t="s">
        <v>926</v>
      </c>
      <c r="N29" s="260" t="s">
        <v>111</v>
      </c>
      <c r="O29" s="260" t="s">
        <v>124</v>
      </c>
      <c r="P29" s="10">
        <v>2000</v>
      </c>
      <c r="Q29" s="11">
        <v>2500</v>
      </c>
      <c r="R29" s="11">
        <f t="shared" ref="R29:R30" si="9">(Z29+AH29)/2</f>
        <v>2116.5</v>
      </c>
      <c r="S29" s="261" t="s">
        <v>3608</v>
      </c>
      <c r="T29" s="11">
        <v>0</v>
      </c>
      <c r="U29" s="11">
        <v>2500</v>
      </c>
      <c r="V29" s="11">
        <v>0</v>
      </c>
      <c r="W29" s="11">
        <v>2500</v>
      </c>
      <c r="X29" s="11" t="s">
        <v>115</v>
      </c>
      <c r="Y29" s="11">
        <v>1754</v>
      </c>
      <c r="Z29" s="11">
        <v>1754</v>
      </c>
      <c r="AA29" s="11">
        <v>0</v>
      </c>
      <c r="AB29" s="11" t="s">
        <v>927</v>
      </c>
      <c r="AC29" s="11">
        <v>0</v>
      </c>
      <c r="AD29" s="11">
        <v>0</v>
      </c>
      <c r="AE29" s="11">
        <v>2500</v>
      </c>
      <c r="AF29" s="261"/>
      <c r="AG29" s="261">
        <v>2479</v>
      </c>
      <c r="AH29" s="11">
        <f t="shared" ref="AH29:AH30" si="10">AG29</f>
        <v>2479</v>
      </c>
      <c r="AI29" s="261" t="s">
        <v>3609</v>
      </c>
      <c r="AJ29" s="76" t="s">
        <v>3610</v>
      </c>
      <c r="AK29" s="261" t="s">
        <v>3611</v>
      </c>
      <c r="AL29" s="61"/>
      <c r="AM29" s="125"/>
      <c r="AN29" s="61"/>
      <c r="AO29" s="11">
        <v>0</v>
      </c>
      <c r="AP29" s="11">
        <v>2500</v>
      </c>
      <c r="AQ29" s="11">
        <v>0</v>
      </c>
      <c r="AR29" s="11">
        <v>2500</v>
      </c>
      <c r="AS29" s="11">
        <v>0</v>
      </c>
      <c r="AT29" s="11">
        <v>0</v>
      </c>
    </row>
    <row r="30" spans="1:46" ht="18" customHeight="1">
      <c r="A30" s="260" t="s">
        <v>144</v>
      </c>
      <c r="B30" s="260" t="s">
        <v>145</v>
      </c>
      <c r="C30" s="260" t="s">
        <v>100</v>
      </c>
      <c r="D30" s="260" t="s">
        <v>508</v>
      </c>
      <c r="E30" s="260" t="s">
        <v>870</v>
      </c>
      <c r="F30" s="260" t="s">
        <v>909</v>
      </c>
      <c r="G30" s="260" t="s">
        <v>910</v>
      </c>
      <c r="H30" s="260" t="s">
        <v>928</v>
      </c>
      <c r="I30" s="260"/>
      <c r="J30" s="260"/>
      <c r="K30" s="260" t="s">
        <v>929</v>
      </c>
      <c r="L30" s="260" t="s">
        <v>930</v>
      </c>
      <c r="M30" s="260" t="s">
        <v>931</v>
      </c>
      <c r="N30" s="260" t="s">
        <v>123</v>
      </c>
      <c r="O30" s="260" t="s">
        <v>124</v>
      </c>
      <c r="P30" s="10">
        <v>0</v>
      </c>
      <c r="Q30" s="11">
        <v>100</v>
      </c>
      <c r="R30" s="11">
        <f t="shared" si="9"/>
        <v>59</v>
      </c>
      <c r="S30" s="261"/>
      <c r="T30" s="11">
        <v>0</v>
      </c>
      <c r="U30" s="11">
        <v>100</v>
      </c>
      <c r="V30" s="11">
        <v>0</v>
      </c>
      <c r="W30" s="11">
        <v>100</v>
      </c>
      <c r="X30" s="11" t="s">
        <v>115</v>
      </c>
      <c r="Y30" s="11">
        <v>20</v>
      </c>
      <c r="Z30" s="11">
        <v>20</v>
      </c>
      <c r="AA30" s="11">
        <v>0</v>
      </c>
      <c r="AB30" s="11" t="s">
        <v>932</v>
      </c>
      <c r="AC30" s="11" t="s">
        <v>933</v>
      </c>
      <c r="AD30" s="11">
        <v>0</v>
      </c>
      <c r="AE30" s="11">
        <v>100</v>
      </c>
      <c r="AF30" s="261"/>
      <c r="AG30" s="261">
        <v>98</v>
      </c>
      <c r="AH30" s="11">
        <f t="shared" si="10"/>
        <v>98</v>
      </c>
      <c r="AI30" s="261" t="s">
        <v>3612</v>
      </c>
      <c r="AJ30" s="76" t="s">
        <v>3613</v>
      </c>
      <c r="AK30" s="261"/>
      <c r="AL30" s="61"/>
      <c r="AM30" s="125"/>
      <c r="AN30" s="61"/>
      <c r="AO30" s="11">
        <v>0</v>
      </c>
      <c r="AP30" s="11">
        <v>100</v>
      </c>
      <c r="AQ30" s="11">
        <v>0</v>
      </c>
      <c r="AR30" s="11">
        <v>100</v>
      </c>
      <c r="AS30" s="11">
        <v>0</v>
      </c>
      <c r="AT30" s="11">
        <v>0</v>
      </c>
    </row>
    <row r="31" spans="1:46" ht="18" customHeight="1">
      <c r="A31" s="260" t="s">
        <v>144</v>
      </c>
      <c r="B31" s="260" t="s">
        <v>145</v>
      </c>
      <c r="C31" s="260" t="s">
        <v>100</v>
      </c>
      <c r="D31" s="260" t="s">
        <v>508</v>
      </c>
      <c r="E31" s="260" t="s">
        <v>870</v>
      </c>
      <c r="F31" s="260" t="s">
        <v>909</v>
      </c>
      <c r="G31" s="260" t="s">
        <v>910</v>
      </c>
      <c r="H31" s="260" t="s">
        <v>934</v>
      </c>
      <c r="I31" s="260"/>
      <c r="J31" s="260"/>
      <c r="K31" s="260" t="s">
        <v>935</v>
      </c>
      <c r="L31" s="260" t="s">
        <v>936</v>
      </c>
      <c r="M31" s="260" t="s">
        <v>937</v>
      </c>
      <c r="N31" s="260" t="s">
        <v>111</v>
      </c>
      <c r="O31" s="260" t="s">
        <v>112</v>
      </c>
      <c r="P31" s="10">
        <v>250</v>
      </c>
      <c r="Q31" s="11">
        <v>250</v>
      </c>
      <c r="R31" s="11">
        <f>Z31+AH31</f>
        <v>0</v>
      </c>
      <c r="S31" s="261" t="s">
        <v>3614</v>
      </c>
      <c r="T31" s="11">
        <v>25</v>
      </c>
      <c r="U31" s="11">
        <v>0</v>
      </c>
      <c r="V31" s="11">
        <v>7</v>
      </c>
      <c r="W31" s="11">
        <v>0</v>
      </c>
      <c r="X31" s="11">
        <v>0</v>
      </c>
      <c r="Y31" s="11">
        <v>0</v>
      </c>
      <c r="Z31" s="11">
        <v>0</v>
      </c>
      <c r="AA31" s="11">
        <v>0</v>
      </c>
      <c r="AB31" s="11" t="s">
        <v>938</v>
      </c>
      <c r="AC31" s="11" t="s">
        <v>939</v>
      </c>
      <c r="AD31" s="11">
        <v>50</v>
      </c>
      <c r="AE31" s="11">
        <v>0</v>
      </c>
      <c r="AF31" s="261"/>
      <c r="AG31" s="261"/>
      <c r="AH31" s="9">
        <f>AF31</f>
        <v>0</v>
      </c>
      <c r="AI31" s="261" t="s">
        <v>3615</v>
      </c>
      <c r="AJ31" s="76" t="s">
        <v>3616</v>
      </c>
      <c r="AK31" s="261"/>
      <c r="AL31" s="61"/>
      <c r="AM31" s="125"/>
      <c r="AN31" s="61"/>
      <c r="AO31" s="11">
        <v>100</v>
      </c>
      <c r="AP31" s="11">
        <v>0</v>
      </c>
      <c r="AQ31" s="11">
        <v>100</v>
      </c>
      <c r="AR31" s="11">
        <v>0</v>
      </c>
      <c r="AS31" s="11">
        <v>0</v>
      </c>
      <c r="AT31" s="11">
        <v>0</v>
      </c>
    </row>
    <row r="32" spans="1:46" ht="18" customHeight="1">
      <c r="A32" s="260" t="s">
        <v>144</v>
      </c>
      <c r="B32" s="260" t="s">
        <v>145</v>
      </c>
      <c r="C32" s="260" t="s">
        <v>100</v>
      </c>
      <c r="D32" s="260" t="s">
        <v>508</v>
      </c>
      <c r="E32" s="260" t="s">
        <v>870</v>
      </c>
      <c r="F32" s="260" t="s">
        <v>909</v>
      </c>
      <c r="G32" s="260" t="s">
        <v>910</v>
      </c>
      <c r="H32" s="260" t="s">
        <v>940</v>
      </c>
      <c r="I32" s="260"/>
      <c r="J32" s="260"/>
      <c r="K32" s="260" t="s">
        <v>941</v>
      </c>
      <c r="L32" s="260" t="s">
        <v>942</v>
      </c>
      <c r="M32" s="260" t="s">
        <v>943</v>
      </c>
      <c r="N32" s="260" t="s">
        <v>111</v>
      </c>
      <c r="O32" s="260" t="s">
        <v>124</v>
      </c>
      <c r="P32" s="10">
        <v>116</v>
      </c>
      <c r="Q32" s="11">
        <v>116</v>
      </c>
      <c r="R32" s="11">
        <f>(Z32+AH32)/2</f>
        <v>116</v>
      </c>
      <c r="S32" s="261" t="s">
        <v>3617</v>
      </c>
      <c r="T32" s="11">
        <v>0</v>
      </c>
      <c r="U32" s="11">
        <v>116</v>
      </c>
      <c r="V32" s="11">
        <v>0</v>
      </c>
      <c r="W32" s="11">
        <v>116</v>
      </c>
      <c r="X32" s="11" t="s">
        <v>115</v>
      </c>
      <c r="Y32" s="11">
        <v>116</v>
      </c>
      <c r="Z32" s="11">
        <v>116</v>
      </c>
      <c r="AA32" s="11" t="s">
        <v>944</v>
      </c>
      <c r="AB32" s="11" t="s">
        <v>945</v>
      </c>
      <c r="AC32" s="11" t="s">
        <v>946</v>
      </c>
      <c r="AD32" s="11">
        <v>0</v>
      </c>
      <c r="AE32" s="11">
        <v>116</v>
      </c>
      <c r="AF32" s="261"/>
      <c r="AG32" s="261">
        <v>116</v>
      </c>
      <c r="AH32" s="11">
        <f>AG32</f>
        <v>116</v>
      </c>
      <c r="AI32" s="261" t="s">
        <v>3618</v>
      </c>
      <c r="AJ32" s="76" t="s">
        <v>3619</v>
      </c>
      <c r="AK32" s="261"/>
      <c r="AL32" s="61"/>
      <c r="AM32" s="125"/>
      <c r="AN32" s="61"/>
      <c r="AO32" s="11">
        <v>0</v>
      </c>
      <c r="AP32" s="11">
        <v>116</v>
      </c>
      <c r="AQ32" s="11">
        <v>0</v>
      </c>
      <c r="AR32" s="11">
        <v>116</v>
      </c>
      <c r="AS32" s="11">
        <v>0</v>
      </c>
      <c r="AT32" s="11">
        <v>0</v>
      </c>
    </row>
    <row r="33" spans="1:46" ht="18" customHeight="1">
      <c r="A33" s="260" t="s">
        <v>144</v>
      </c>
      <c r="B33" s="260" t="s">
        <v>145</v>
      </c>
      <c r="C33" s="260" t="s">
        <v>100</v>
      </c>
      <c r="D33" s="260" t="s">
        <v>508</v>
      </c>
      <c r="E33" s="260" t="s">
        <v>870</v>
      </c>
      <c r="F33" s="260" t="s">
        <v>909</v>
      </c>
      <c r="G33" s="260" t="s">
        <v>910</v>
      </c>
      <c r="H33" s="260" t="s">
        <v>947</v>
      </c>
      <c r="I33" s="260"/>
      <c r="J33" s="260"/>
      <c r="K33" s="260" t="s">
        <v>948</v>
      </c>
      <c r="L33" s="260" t="s">
        <v>949</v>
      </c>
      <c r="M33" s="260" t="s">
        <v>950</v>
      </c>
      <c r="N33" s="260" t="s">
        <v>111</v>
      </c>
      <c r="O33" s="260" t="s">
        <v>112</v>
      </c>
      <c r="P33" s="10">
        <v>15</v>
      </c>
      <c r="Q33" s="11">
        <v>15</v>
      </c>
      <c r="R33" s="11">
        <f t="shared" ref="R33:R36" si="11">Z33+AH33</f>
        <v>15</v>
      </c>
      <c r="S33" s="261" t="s">
        <v>3620</v>
      </c>
      <c r="T33" s="11">
        <v>3</v>
      </c>
      <c r="U33" s="11">
        <v>0</v>
      </c>
      <c r="V33" s="11">
        <v>3</v>
      </c>
      <c r="W33" s="11">
        <v>0</v>
      </c>
      <c r="X33" s="11">
        <v>3</v>
      </c>
      <c r="Y33" s="11">
        <v>0</v>
      </c>
      <c r="Z33" s="11">
        <v>3</v>
      </c>
      <c r="AA33" s="11" t="s">
        <v>951</v>
      </c>
      <c r="AB33" s="11" t="s">
        <v>952</v>
      </c>
      <c r="AC33" s="11">
        <v>0</v>
      </c>
      <c r="AD33" s="11">
        <v>3</v>
      </c>
      <c r="AE33" s="11">
        <v>0</v>
      </c>
      <c r="AF33" s="261">
        <v>3</v>
      </c>
      <c r="AG33" s="261"/>
      <c r="AH33" s="9">
        <v>12</v>
      </c>
      <c r="AI33" s="261" t="s">
        <v>3621</v>
      </c>
      <c r="AJ33" s="76" t="s">
        <v>3622</v>
      </c>
      <c r="AK33" s="261"/>
      <c r="AL33" s="61"/>
      <c r="AM33" s="125"/>
      <c r="AN33" s="61"/>
      <c r="AO33" s="11">
        <v>4</v>
      </c>
      <c r="AP33" s="11">
        <v>0</v>
      </c>
      <c r="AQ33" s="11">
        <v>5</v>
      </c>
      <c r="AR33" s="11">
        <v>0</v>
      </c>
      <c r="AS33" s="11">
        <v>0</v>
      </c>
      <c r="AT33" s="11">
        <v>0</v>
      </c>
    </row>
    <row r="34" spans="1:46" ht="18" customHeight="1">
      <c r="A34" s="260" t="s">
        <v>144</v>
      </c>
      <c r="B34" s="260" t="s">
        <v>145</v>
      </c>
      <c r="C34" s="260" t="s">
        <v>100</v>
      </c>
      <c r="D34" s="260" t="s">
        <v>508</v>
      </c>
      <c r="E34" s="260" t="s">
        <v>870</v>
      </c>
      <c r="F34" s="260" t="s">
        <v>909</v>
      </c>
      <c r="G34" s="260" t="s">
        <v>910</v>
      </c>
      <c r="H34" s="260" t="s">
        <v>953</v>
      </c>
      <c r="I34" s="260"/>
      <c r="J34" s="260"/>
      <c r="K34" s="260" t="s">
        <v>954</v>
      </c>
      <c r="L34" s="260" t="s">
        <v>955</v>
      </c>
      <c r="M34" s="260" t="s">
        <v>956</v>
      </c>
      <c r="N34" s="260" t="s">
        <v>111</v>
      </c>
      <c r="O34" s="260" t="s">
        <v>112</v>
      </c>
      <c r="P34" s="10">
        <v>4000</v>
      </c>
      <c r="Q34" s="11">
        <v>4000</v>
      </c>
      <c r="R34" s="11">
        <f t="shared" si="11"/>
        <v>2056</v>
      </c>
      <c r="S34" s="261" t="s">
        <v>3623</v>
      </c>
      <c r="T34" s="11">
        <v>400</v>
      </c>
      <c r="U34" s="11">
        <v>0</v>
      </c>
      <c r="V34" s="11">
        <v>400</v>
      </c>
      <c r="W34" s="11">
        <v>0</v>
      </c>
      <c r="X34" s="11">
        <v>400</v>
      </c>
      <c r="Y34" s="11">
        <v>0</v>
      </c>
      <c r="Z34" s="11">
        <v>400</v>
      </c>
      <c r="AA34" s="11" t="s">
        <v>957</v>
      </c>
      <c r="AB34" s="11" t="s">
        <v>958</v>
      </c>
      <c r="AC34" s="11" t="s">
        <v>959</v>
      </c>
      <c r="AD34" s="11">
        <v>1600</v>
      </c>
      <c r="AE34" s="11">
        <v>0</v>
      </c>
      <c r="AF34" s="261">
        <v>1656</v>
      </c>
      <c r="AG34" s="261"/>
      <c r="AH34" s="9">
        <f t="shared" ref="AH33:AH34" si="12">AF34</f>
        <v>1656</v>
      </c>
      <c r="AI34" s="261" t="s">
        <v>3624</v>
      </c>
      <c r="AJ34" s="76" t="s">
        <v>3625</v>
      </c>
      <c r="AK34" s="261"/>
      <c r="AL34" s="61"/>
      <c r="AM34" s="125"/>
      <c r="AN34" s="61"/>
      <c r="AO34" s="11">
        <v>2000</v>
      </c>
      <c r="AP34" s="11">
        <v>0</v>
      </c>
      <c r="AQ34" s="11">
        <v>0</v>
      </c>
      <c r="AR34" s="11">
        <v>0</v>
      </c>
      <c r="AS34" s="11">
        <v>0</v>
      </c>
      <c r="AT34" s="11">
        <v>0</v>
      </c>
    </row>
    <row r="35" spans="1:46" ht="18" customHeight="1">
      <c r="A35" s="260" t="s">
        <v>144</v>
      </c>
      <c r="B35" s="260" t="s">
        <v>145</v>
      </c>
      <c r="C35" s="260" t="s">
        <v>100</v>
      </c>
      <c r="D35" s="260" t="s">
        <v>994</v>
      </c>
      <c r="E35" s="260" t="s">
        <v>1057</v>
      </c>
      <c r="F35" s="260" t="s">
        <v>1058</v>
      </c>
      <c r="G35" s="260" t="s">
        <v>1059</v>
      </c>
      <c r="H35" s="260" t="s">
        <v>1060</v>
      </c>
      <c r="I35" s="260"/>
      <c r="J35" s="260"/>
      <c r="K35" s="260" t="s">
        <v>1061</v>
      </c>
      <c r="L35" s="260" t="s">
        <v>1062</v>
      </c>
      <c r="M35" s="260" t="s">
        <v>1063</v>
      </c>
      <c r="N35" s="260" t="s">
        <v>111</v>
      </c>
      <c r="O35" s="260" t="s">
        <v>112</v>
      </c>
      <c r="P35" s="10">
        <v>0</v>
      </c>
      <c r="Q35" s="11">
        <v>1</v>
      </c>
      <c r="R35" s="11">
        <f t="shared" si="11"/>
        <v>0.79999999999999993</v>
      </c>
      <c r="S35" s="261" t="s">
        <v>3626</v>
      </c>
      <c r="T35" s="11">
        <v>0.1</v>
      </c>
      <c r="U35" s="11">
        <v>0</v>
      </c>
      <c r="V35" s="11">
        <v>0.1</v>
      </c>
      <c r="W35" s="11">
        <v>0</v>
      </c>
      <c r="X35" s="11">
        <v>0.1</v>
      </c>
      <c r="Y35" s="11">
        <v>0</v>
      </c>
      <c r="Z35" s="11">
        <v>0.1</v>
      </c>
      <c r="AA35" s="11">
        <v>0</v>
      </c>
      <c r="AB35" s="11" t="s">
        <v>1064</v>
      </c>
      <c r="AC35" s="11" t="s">
        <v>1065</v>
      </c>
      <c r="AD35" s="11">
        <v>0.8</v>
      </c>
      <c r="AE35" s="11">
        <v>0</v>
      </c>
      <c r="AF35" s="261">
        <v>0.7</v>
      </c>
      <c r="AG35" s="261"/>
      <c r="AH35" s="9">
        <f t="shared" ref="AH35:AH36" si="13">AF35</f>
        <v>0.7</v>
      </c>
      <c r="AI35" s="261"/>
      <c r="AJ35" s="76" t="s">
        <v>3627</v>
      </c>
      <c r="AK35" s="261"/>
      <c r="AL35" s="61"/>
      <c r="AM35" s="125"/>
      <c r="AN35" s="61"/>
      <c r="AO35" s="11">
        <v>0.1</v>
      </c>
      <c r="AP35" s="11">
        <v>0</v>
      </c>
      <c r="AQ35" s="11">
        <v>0</v>
      </c>
      <c r="AR35" s="11">
        <v>0</v>
      </c>
      <c r="AS35" s="11">
        <v>0</v>
      </c>
      <c r="AT35" s="11">
        <v>0</v>
      </c>
    </row>
    <row r="36" spans="1:46" ht="18" customHeight="1">
      <c r="A36" s="260" t="s">
        <v>144</v>
      </c>
      <c r="B36" s="260" t="s">
        <v>145</v>
      </c>
      <c r="C36" s="260" t="s">
        <v>100</v>
      </c>
      <c r="D36" s="260" t="s">
        <v>994</v>
      </c>
      <c r="E36" s="260" t="s">
        <v>1057</v>
      </c>
      <c r="F36" s="260" t="s">
        <v>1058</v>
      </c>
      <c r="G36" s="260" t="s">
        <v>1059</v>
      </c>
      <c r="H36" s="260" t="s">
        <v>1066</v>
      </c>
      <c r="I36" s="260"/>
      <c r="J36" s="260"/>
      <c r="K36" s="260" t="s">
        <v>1067</v>
      </c>
      <c r="L36" s="260" t="s">
        <v>1068</v>
      </c>
      <c r="M36" s="260" t="s">
        <v>1069</v>
      </c>
      <c r="N36" s="260" t="s">
        <v>111</v>
      </c>
      <c r="O36" s="260" t="s">
        <v>112</v>
      </c>
      <c r="P36" s="10">
        <v>0</v>
      </c>
      <c r="Q36" s="11">
        <v>1</v>
      </c>
      <c r="R36" s="11">
        <f t="shared" si="11"/>
        <v>0.9</v>
      </c>
      <c r="S36" s="261" t="s">
        <v>3628</v>
      </c>
      <c r="T36" s="11">
        <v>0.1</v>
      </c>
      <c r="U36" s="11">
        <v>0</v>
      </c>
      <c r="V36" s="11">
        <v>0.1</v>
      </c>
      <c r="W36" s="11">
        <v>0</v>
      </c>
      <c r="X36" s="11">
        <v>0.1</v>
      </c>
      <c r="Y36" s="11">
        <v>0</v>
      </c>
      <c r="Z36" s="11">
        <v>0.1</v>
      </c>
      <c r="AA36" s="11">
        <v>0</v>
      </c>
      <c r="AB36" s="11" t="s">
        <v>1070</v>
      </c>
      <c r="AC36" s="11" t="s">
        <v>1071</v>
      </c>
      <c r="AD36" s="11">
        <v>0.8</v>
      </c>
      <c r="AE36" s="11">
        <v>0</v>
      </c>
      <c r="AF36" s="261">
        <v>0.8</v>
      </c>
      <c r="AG36" s="261"/>
      <c r="AH36" s="9">
        <f t="shared" si="13"/>
        <v>0.8</v>
      </c>
      <c r="AI36" s="261"/>
      <c r="AJ36" s="76" t="s">
        <v>3629</v>
      </c>
      <c r="AK36" s="261"/>
      <c r="AL36" s="61"/>
      <c r="AM36" s="125"/>
      <c r="AN36" s="61"/>
      <c r="AO36" s="11">
        <v>0.1</v>
      </c>
      <c r="AP36" s="11">
        <v>0</v>
      </c>
      <c r="AQ36" s="11">
        <v>0</v>
      </c>
      <c r="AR36" s="11">
        <v>0</v>
      </c>
      <c r="AS36" s="11">
        <v>0</v>
      </c>
      <c r="AT36" s="11">
        <v>0</v>
      </c>
    </row>
    <row r="37" spans="1:46" ht="18" customHeight="1">
      <c r="A37" s="260" t="s">
        <v>144</v>
      </c>
      <c r="B37" s="260" t="s">
        <v>145</v>
      </c>
      <c r="C37" s="260" t="s">
        <v>100</v>
      </c>
      <c r="D37" s="260" t="s">
        <v>1074</v>
      </c>
      <c r="E37" s="260" t="s">
        <v>1134</v>
      </c>
      <c r="F37" s="260" t="s">
        <v>1217</v>
      </c>
      <c r="G37" s="260" t="s">
        <v>1218</v>
      </c>
      <c r="H37" s="260" t="s">
        <v>1156</v>
      </c>
      <c r="I37" s="260" t="s">
        <v>973</v>
      </c>
      <c r="J37" s="260"/>
      <c r="K37" s="260" t="s">
        <v>1157</v>
      </c>
      <c r="L37" s="260" t="s">
        <v>1158</v>
      </c>
      <c r="M37" s="260" t="s">
        <v>1159</v>
      </c>
      <c r="N37" s="260" t="s">
        <v>111</v>
      </c>
      <c r="O37" s="260" t="s">
        <v>124</v>
      </c>
      <c r="P37" s="10">
        <v>116</v>
      </c>
      <c r="Q37" s="11">
        <v>116</v>
      </c>
      <c r="R37" s="11">
        <f t="shared" ref="R37:R38" si="14">(Z37+AH37)/2</f>
        <v>109</v>
      </c>
      <c r="S37" s="261" t="s">
        <v>3630</v>
      </c>
      <c r="T37" s="11">
        <v>0</v>
      </c>
      <c r="U37" s="11">
        <v>116</v>
      </c>
      <c r="V37" s="11">
        <v>0</v>
      </c>
      <c r="W37" s="11">
        <v>116</v>
      </c>
      <c r="X37" s="11" t="s">
        <v>115</v>
      </c>
      <c r="Y37" s="11">
        <v>116</v>
      </c>
      <c r="Z37" s="11">
        <v>116</v>
      </c>
      <c r="AA37" s="11" t="s">
        <v>1160</v>
      </c>
      <c r="AB37" s="11" t="s">
        <v>1161</v>
      </c>
      <c r="AC37" s="11">
        <v>0</v>
      </c>
      <c r="AD37" s="11">
        <v>0</v>
      </c>
      <c r="AE37" s="11">
        <v>116</v>
      </c>
      <c r="AF37" s="261"/>
      <c r="AG37" s="261">
        <v>102</v>
      </c>
      <c r="AH37" s="11">
        <f t="shared" ref="AH37:AH38" si="15">AG37</f>
        <v>102</v>
      </c>
      <c r="AI37" s="261"/>
      <c r="AJ37" s="410" t="s">
        <v>3631</v>
      </c>
      <c r="AK37" s="261"/>
      <c r="AL37" s="61"/>
      <c r="AM37" s="125"/>
      <c r="AN37" s="61"/>
      <c r="AO37" s="11">
        <v>0</v>
      </c>
      <c r="AP37" s="11">
        <v>116</v>
      </c>
      <c r="AQ37" s="11">
        <v>0</v>
      </c>
      <c r="AR37" s="11">
        <v>116</v>
      </c>
      <c r="AS37" s="11">
        <v>0</v>
      </c>
      <c r="AT37" s="11">
        <v>0</v>
      </c>
    </row>
    <row r="38" spans="1:46" ht="18" customHeight="1">
      <c r="A38" s="260" t="s">
        <v>144</v>
      </c>
      <c r="B38" s="260" t="s">
        <v>145</v>
      </c>
      <c r="C38" s="260" t="s">
        <v>100</v>
      </c>
      <c r="D38" s="260" t="s">
        <v>1074</v>
      </c>
      <c r="E38" s="260" t="s">
        <v>1134</v>
      </c>
      <c r="F38" s="260" t="s">
        <v>1217</v>
      </c>
      <c r="G38" s="260" t="s">
        <v>1218</v>
      </c>
      <c r="H38" s="260" t="s">
        <v>1162</v>
      </c>
      <c r="I38" s="260" t="s">
        <v>973</v>
      </c>
      <c r="J38" s="260"/>
      <c r="K38" s="260" t="s">
        <v>1163</v>
      </c>
      <c r="L38" s="260" t="s">
        <v>1164</v>
      </c>
      <c r="M38" s="260" t="s">
        <v>1165</v>
      </c>
      <c r="N38" s="260" t="s">
        <v>111</v>
      </c>
      <c r="O38" s="260" t="s">
        <v>124</v>
      </c>
      <c r="P38" s="10">
        <v>2000</v>
      </c>
      <c r="Q38" s="11">
        <v>2500</v>
      </c>
      <c r="R38" s="11">
        <f t="shared" si="14"/>
        <v>1931</v>
      </c>
      <c r="S38" s="261" t="s">
        <v>3632</v>
      </c>
      <c r="T38" s="11">
        <v>0</v>
      </c>
      <c r="U38" s="11">
        <v>2000</v>
      </c>
      <c r="V38" s="11">
        <v>0</v>
      </c>
      <c r="W38" s="11">
        <v>2000</v>
      </c>
      <c r="X38" s="11" t="s">
        <v>115</v>
      </c>
      <c r="Y38" s="11">
        <v>1970</v>
      </c>
      <c r="Z38" s="11">
        <v>1970</v>
      </c>
      <c r="AA38" s="11" t="s">
        <v>1166</v>
      </c>
      <c r="AB38" s="11" t="s">
        <v>1167</v>
      </c>
      <c r="AC38" s="11" t="s">
        <v>1168</v>
      </c>
      <c r="AD38" s="11">
        <v>0</v>
      </c>
      <c r="AE38" s="11">
        <v>2500</v>
      </c>
      <c r="AF38" s="261"/>
      <c r="AG38" s="261">
        <v>1892</v>
      </c>
      <c r="AH38" s="11">
        <f t="shared" si="15"/>
        <v>1892</v>
      </c>
      <c r="AI38" s="261" t="s">
        <v>3633</v>
      </c>
      <c r="AJ38" s="76" t="s">
        <v>3634</v>
      </c>
      <c r="AK38" s="261"/>
      <c r="AL38" s="61"/>
      <c r="AM38" s="125"/>
      <c r="AN38" s="61"/>
      <c r="AO38" s="11">
        <v>0</v>
      </c>
      <c r="AP38" s="11">
        <v>2500</v>
      </c>
      <c r="AQ38" s="11">
        <v>0</v>
      </c>
      <c r="AR38" s="11">
        <v>2500</v>
      </c>
      <c r="AS38" s="11">
        <v>0</v>
      </c>
      <c r="AT38" s="11">
        <v>0</v>
      </c>
    </row>
    <row r="39" spans="1:46" ht="18" customHeight="1">
      <c r="A39" s="260" t="s">
        <v>144</v>
      </c>
      <c r="B39" s="260" t="s">
        <v>145</v>
      </c>
      <c r="C39" s="260" t="s">
        <v>100</v>
      </c>
      <c r="D39" s="260" t="s">
        <v>1074</v>
      </c>
      <c r="E39" s="260" t="s">
        <v>1134</v>
      </c>
      <c r="F39" s="260" t="s">
        <v>1217</v>
      </c>
      <c r="G39" s="260" t="s">
        <v>1218</v>
      </c>
      <c r="H39" s="260" t="s">
        <v>1169</v>
      </c>
      <c r="I39" s="260" t="s">
        <v>973</v>
      </c>
      <c r="J39" s="260"/>
      <c r="K39" s="260" t="s">
        <v>1170</v>
      </c>
      <c r="L39" s="260" t="s">
        <v>1171</v>
      </c>
      <c r="M39" s="260" t="s">
        <v>1172</v>
      </c>
      <c r="N39" s="260" t="s">
        <v>111</v>
      </c>
      <c r="O39" s="260" t="s">
        <v>112</v>
      </c>
      <c r="P39" s="10">
        <v>0</v>
      </c>
      <c r="Q39" s="11">
        <v>15</v>
      </c>
      <c r="R39" s="11">
        <f t="shared" ref="R39:R41" si="16">Z39+AH39</f>
        <v>1</v>
      </c>
      <c r="S39" s="261"/>
      <c r="T39" s="11">
        <v>1</v>
      </c>
      <c r="U39" s="11">
        <v>0</v>
      </c>
      <c r="V39" s="11">
        <v>1</v>
      </c>
      <c r="W39" s="11">
        <v>0</v>
      </c>
      <c r="X39" s="11">
        <v>0</v>
      </c>
      <c r="Y39" s="11">
        <v>0</v>
      </c>
      <c r="Z39" s="11">
        <v>0</v>
      </c>
      <c r="AA39" s="11">
        <v>0</v>
      </c>
      <c r="AB39" s="11" t="s">
        <v>1173</v>
      </c>
      <c r="AC39" s="11">
        <v>0</v>
      </c>
      <c r="AD39" s="11">
        <v>5</v>
      </c>
      <c r="AE39" s="11">
        <v>0</v>
      </c>
      <c r="AF39" s="261"/>
      <c r="AG39" s="261"/>
      <c r="AH39" s="9">
        <v>1</v>
      </c>
      <c r="AI39" s="261"/>
      <c r="AJ39" s="76" t="s">
        <v>3635</v>
      </c>
      <c r="AK39" s="261"/>
      <c r="AL39" s="61"/>
      <c r="AM39" s="125"/>
      <c r="AN39" s="61"/>
      <c r="AO39" s="11">
        <v>8</v>
      </c>
      <c r="AP39" s="11">
        <v>0</v>
      </c>
      <c r="AQ39" s="11">
        <v>7</v>
      </c>
      <c r="AR39" s="11">
        <v>0</v>
      </c>
      <c r="AS39" s="11">
        <v>0</v>
      </c>
      <c r="AT39" s="11">
        <v>0</v>
      </c>
    </row>
    <row r="40" spans="1:46" ht="18" customHeight="1">
      <c r="A40" s="260" t="s">
        <v>144</v>
      </c>
      <c r="B40" s="260" t="s">
        <v>145</v>
      </c>
      <c r="C40" s="260" t="s">
        <v>100</v>
      </c>
      <c r="D40" s="260" t="s">
        <v>1074</v>
      </c>
      <c r="E40" s="260" t="s">
        <v>1134</v>
      </c>
      <c r="F40" s="260" t="s">
        <v>1217</v>
      </c>
      <c r="G40" s="260" t="s">
        <v>1218</v>
      </c>
      <c r="H40" s="260" t="s">
        <v>1174</v>
      </c>
      <c r="I40" s="260" t="s">
        <v>973</v>
      </c>
      <c r="J40" s="260"/>
      <c r="K40" s="260" t="s">
        <v>1175</v>
      </c>
      <c r="L40" s="260" t="s">
        <v>1176</v>
      </c>
      <c r="M40" s="260" t="s">
        <v>1177</v>
      </c>
      <c r="N40" s="260" t="s">
        <v>111</v>
      </c>
      <c r="O40" s="260" t="s">
        <v>112</v>
      </c>
      <c r="P40" s="10">
        <v>15</v>
      </c>
      <c r="Q40" s="11">
        <v>15</v>
      </c>
      <c r="R40" s="11">
        <f t="shared" si="16"/>
        <v>6</v>
      </c>
      <c r="S40" s="261"/>
      <c r="T40" s="11">
        <v>3</v>
      </c>
      <c r="U40" s="11">
        <v>0</v>
      </c>
      <c r="V40" s="11">
        <v>0</v>
      </c>
      <c r="W40" s="11">
        <v>0</v>
      </c>
      <c r="X40" s="11">
        <v>0</v>
      </c>
      <c r="Y40" s="11">
        <v>0</v>
      </c>
      <c r="Z40" s="11">
        <v>0</v>
      </c>
      <c r="AA40" s="11">
        <v>0</v>
      </c>
      <c r="AB40" s="11" t="s">
        <v>1178</v>
      </c>
      <c r="AC40" s="11" t="s">
        <v>1179</v>
      </c>
      <c r="AD40" s="11">
        <v>5</v>
      </c>
      <c r="AE40" s="11">
        <v>0</v>
      </c>
      <c r="AF40" s="261">
        <v>6</v>
      </c>
      <c r="AG40" s="261"/>
      <c r="AH40" s="9">
        <f t="shared" ref="AH39:AH41" si="17">AF40</f>
        <v>6</v>
      </c>
      <c r="AI40" s="261" t="s">
        <v>3636</v>
      </c>
      <c r="AJ40" s="76" t="s">
        <v>3637</v>
      </c>
      <c r="AK40" s="261"/>
      <c r="AL40" s="61"/>
      <c r="AM40" s="125"/>
      <c r="AN40" s="61"/>
      <c r="AO40" s="11">
        <v>7</v>
      </c>
      <c r="AP40" s="11">
        <v>0</v>
      </c>
      <c r="AQ40" s="11">
        <v>3</v>
      </c>
      <c r="AR40" s="11">
        <v>0</v>
      </c>
      <c r="AS40" s="11">
        <v>0</v>
      </c>
      <c r="AT40" s="11">
        <v>0</v>
      </c>
    </row>
    <row r="41" spans="1:46" ht="18" customHeight="1">
      <c r="A41" s="260" t="s">
        <v>144</v>
      </c>
      <c r="B41" s="260" t="s">
        <v>145</v>
      </c>
      <c r="C41" s="260" t="s">
        <v>100</v>
      </c>
      <c r="D41" s="260" t="s">
        <v>1074</v>
      </c>
      <c r="E41" s="260" t="s">
        <v>1134</v>
      </c>
      <c r="F41" s="260" t="s">
        <v>1217</v>
      </c>
      <c r="G41" s="260" t="s">
        <v>1218</v>
      </c>
      <c r="H41" s="260" t="s">
        <v>1180</v>
      </c>
      <c r="I41" s="260" t="s">
        <v>1181</v>
      </c>
      <c r="J41" s="260"/>
      <c r="K41" s="260" t="s">
        <v>1182</v>
      </c>
      <c r="L41" s="260" t="s">
        <v>1183</v>
      </c>
      <c r="M41" s="260" t="s">
        <v>1184</v>
      </c>
      <c r="N41" s="260" t="s">
        <v>111</v>
      </c>
      <c r="O41" s="260" t="s">
        <v>112</v>
      </c>
      <c r="P41" s="10">
        <v>1</v>
      </c>
      <c r="Q41" s="11">
        <v>1</v>
      </c>
      <c r="R41" s="11">
        <f t="shared" si="16"/>
        <v>1</v>
      </c>
      <c r="S41" s="261"/>
      <c r="T41" s="11">
        <v>0</v>
      </c>
      <c r="U41" s="11">
        <v>0</v>
      </c>
      <c r="V41" s="11">
        <v>0.1</v>
      </c>
      <c r="W41" s="11">
        <v>0</v>
      </c>
      <c r="X41" s="11">
        <v>0.1</v>
      </c>
      <c r="Y41" s="11">
        <v>0</v>
      </c>
      <c r="Z41" s="11">
        <v>0.1</v>
      </c>
      <c r="AA41" s="11">
        <v>0</v>
      </c>
      <c r="AB41" s="11" t="s">
        <v>1185</v>
      </c>
      <c r="AC41" s="11">
        <v>0</v>
      </c>
      <c r="AD41" s="11">
        <v>0.9</v>
      </c>
      <c r="AE41" s="11">
        <v>0</v>
      </c>
      <c r="AF41" s="261">
        <v>0.9</v>
      </c>
      <c r="AG41" s="261"/>
      <c r="AH41" s="9">
        <f t="shared" si="17"/>
        <v>0.9</v>
      </c>
      <c r="AI41" s="261" t="s">
        <v>3638</v>
      </c>
      <c r="AJ41" s="76" t="s">
        <v>3639</v>
      </c>
      <c r="AK41" s="261"/>
      <c r="AL41" s="61"/>
      <c r="AM41" s="125"/>
      <c r="AN41" s="61"/>
      <c r="AO41" s="11">
        <v>0</v>
      </c>
      <c r="AP41" s="11">
        <v>0</v>
      </c>
      <c r="AQ41" s="11">
        <v>0</v>
      </c>
      <c r="AR41" s="11">
        <v>0</v>
      </c>
      <c r="AS41" s="11">
        <v>0</v>
      </c>
      <c r="AT41" s="11">
        <v>0</v>
      </c>
    </row>
    <row r="42" spans="1:46" ht="18" customHeight="1">
      <c r="A42" s="260" t="s">
        <v>144</v>
      </c>
      <c r="B42" s="260" t="s">
        <v>145</v>
      </c>
      <c r="C42" s="260" t="s">
        <v>100</v>
      </c>
      <c r="D42" s="260" t="s">
        <v>1074</v>
      </c>
      <c r="E42" s="260" t="s">
        <v>1134</v>
      </c>
      <c r="F42" s="260" t="s">
        <v>1217</v>
      </c>
      <c r="G42" s="260" t="s">
        <v>1218</v>
      </c>
      <c r="H42" s="260" t="s">
        <v>1186</v>
      </c>
      <c r="I42" s="260" t="s">
        <v>973</v>
      </c>
      <c r="J42" s="260"/>
      <c r="K42" s="260" t="s">
        <v>1187</v>
      </c>
      <c r="L42" s="260" t="s">
        <v>1188</v>
      </c>
      <c r="M42" s="260" t="s">
        <v>1189</v>
      </c>
      <c r="N42" s="260" t="s">
        <v>123</v>
      </c>
      <c r="O42" s="260" t="s">
        <v>124</v>
      </c>
      <c r="P42" s="10">
        <v>70</v>
      </c>
      <c r="Q42" s="11">
        <v>90</v>
      </c>
      <c r="R42" s="11">
        <f>(Z42+AH42)/2</f>
        <v>90</v>
      </c>
      <c r="S42" s="261" t="s">
        <v>3640</v>
      </c>
      <c r="T42" s="11">
        <v>0</v>
      </c>
      <c r="U42" s="11">
        <v>90</v>
      </c>
      <c r="V42" s="11">
        <v>0</v>
      </c>
      <c r="W42" s="11">
        <v>90</v>
      </c>
      <c r="X42" s="11" t="s">
        <v>115</v>
      </c>
      <c r="Y42" s="11">
        <v>90</v>
      </c>
      <c r="Z42" s="11">
        <v>90</v>
      </c>
      <c r="AA42" s="11">
        <v>0</v>
      </c>
      <c r="AB42" s="11" t="s">
        <v>1190</v>
      </c>
      <c r="AC42" s="11">
        <v>0</v>
      </c>
      <c r="AD42" s="11">
        <v>0</v>
      </c>
      <c r="AE42" s="11">
        <v>90</v>
      </c>
      <c r="AF42" s="261"/>
      <c r="AG42" s="261">
        <v>90</v>
      </c>
      <c r="AH42" s="11">
        <f>AG42</f>
        <v>90</v>
      </c>
      <c r="AI42" s="261" t="s">
        <v>3641</v>
      </c>
      <c r="AJ42" s="76" t="s">
        <v>3642</v>
      </c>
      <c r="AK42" s="261"/>
      <c r="AL42" s="61"/>
      <c r="AM42" s="125"/>
      <c r="AN42" s="61"/>
      <c r="AO42" s="11">
        <v>0</v>
      </c>
      <c r="AP42" s="11">
        <v>90</v>
      </c>
      <c r="AQ42" s="11">
        <v>0</v>
      </c>
      <c r="AR42" s="11">
        <v>90</v>
      </c>
      <c r="AS42" s="11">
        <v>0</v>
      </c>
      <c r="AT42" s="11">
        <v>0</v>
      </c>
    </row>
    <row r="43" spans="1:46" ht="18" customHeight="1">
      <c r="A43" s="260" t="s">
        <v>144</v>
      </c>
      <c r="B43" s="260" t="s">
        <v>145</v>
      </c>
      <c r="C43" s="260" t="s">
        <v>100</v>
      </c>
      <c r="D43" s="260" t="s">
        <v>1074</v>
      </c>
      <c r="E43" s="260" t="s">
        <v>1134</v>
      </c>
      <c r="F43" s="260" t="s">
        <v>1217</v>
      </c>
      <c r="G43" s="260" t="s">
        <v>1218</v>
      </c>
      <c r="H43" s="260" t="s">
        <v>1191</v>
      </c>
      <c r="I43" s="260" t="s">
        <v>1181</v>
      </c>
      <c r="J43" s="260"/>
      <c r="K43" s="260" t="s">
        <v>1192</v>
      </c>
      <c r="L43" s="260" t="s">
        <v>1193</v>
      </c>
      <c r="M43" s="260" t="s">
        <v>1194</v>
      </c>
      <c r="N43" s="260" t="s">
        <v>111</v>
      </c>
      <c r="O43" s="260" t="s">
        <v>112</v>
      </c>
      <c r="P43" s="10">
        <v>15</v>
      </c>
      <c r="Q43" s="11">
        <v>15</v>
      </c>
      <c r="R43" s="11">
        <f t="shared" ref="R43:R44" si="18">Z43+AH43</f>
        <v>0.5</v>
      </c>
      <c r="S43" s="261" t="s">
        <v>3643</v>
      </c>
      <c r="T43" s="11">
        <v>5</v>
      </c>
      <c r="U43" s="11">
        <v>0</v>
      </c>
      <c r="V43" s="11">
        <v>2</v>
      </c>
      <c r="W43" s="11">
        <v>0</v>
      </c>
      <c r="X43" s="11">
        <v>0.5</v>
      </c>
      <c r="Y43" s="11">
        <v>0</v>
      </c>
      <c r="Z43" s="11">
        <v>0.5</v>
      </c>
      <c r="AA43" s="11" t="s">
        <v>1195</v>
      </c>
      <c r="AB43" s="11" t="s">
        <v>1196</v>
      </c>
      <c r="AC43" s="11" t="s">
        <v>1197</v>
      </c>
      <c r="AD43" s="11">
        <v>5.5</v>
      </c>
      <c r="AE43" s="11">
        <v>0</v>
      </c>
      <c r="AF43" s="261"/>
      <c r="AG43" s="261"/>
      <c r="AH43" s="9">
        <f t="shared" ref="AH43:AH44" si="19">AF43</f>
        <v>0</v>
      </c>
      <c r="AI43" s="261"/>
      <c r="AJ43" s="76" t="s">
        <v>3644</v>
      </c>
      <c r="AK43" s="261"/>
      <c r="AL43" s="61"/>
      <c r="AM43" s="125"/>
      <c r="AN43" s="61"/>
      <c r="AO43" s="11">
        <v>5</v>
      </c>
      <c r="AP43" s="11">
        <v>0</v>
      </c>
      <c r="AQ43" s="11">
        <v>4</v>
      </c>
      <c r="AR43" s="11">
        <v>0</v>
      </c>
      <c r="AS43" s="11">
        <v>0</v>
      </c>
      <c r="AT43" s="11">
        <v>0</v>
      </c>
    </row>
    <row r="44" spans="1:46" ht="18" customHeight="1">
      <c r="A44" s="260" t="s">
        <v>144</v>
      </c>
      <c r="B44" s="260" t="s">
        <v>145</v>
      </c>
      <c r="C44" s="260" t="s">
        <v>100</v>
      </c>
      <c r="D44" s="260" t="s">
        <v>1074</v>
      </c>
      <c r="E44" s="260" t="s">
        <v>1134</v>
      </c>
      <c r="F44" s="260" t="s">
        <v>1217</v>
      </c>
      <c r="G44" s="260" t="s">
        <v>1218</v>
      </c>
      <c r="H44" s="260" t="s">
        <v>1198</v>
      </c>
      <c r="I44" s="260" t="s">
        <v>200</v>
      </c>
      <c r="J44" s="260"/>
      <c r="K44" s="260" t="s">
        <v>1199</v>
      </c>
      <c r="L44" s="260" t="s">
        <v>1200</v>
      </c>
      <c r="M44" s="260" t="s">
        <v>1201</v>
      </c>
      <c r="N44" s="260" t="s">
        <v>111</v>
      </c>
      <c r="O44" s="260" t="s">
        <v>112</v>
      </c>
      <c r="P44" s="10">
        <v>15</v>
      </c>
      <c r="Q44" s="11">
        <v>15</v>
      </c>
      <c r="R44" s="11">
        <f t="shared" si="18"/>
        <v>5</v>
      </c>
      <c r="S44" s="261"/>
      <c r="T44" s="11">
        <v>2</v>
      </c>
      <c r="U44" s="11">
        <v>0</v>
      </c>
      <c r="V44" s="11">
        <v>2</v>
      </c>
      <c r="W44" s="11">
        <v>0</v>
      </c>
      <c r="X44" s="11">
        <v>2</v>
      </c>
      <c r="Y44" s="11">
        <v>0</v>
      </c>
      <c r="Z44" s="11">
        <v>2</v>
      </c>
      <c r="AA44" s="11">
        <v>0</v>
      </c>
      <c r="AB44" s="11" t="s">
        <v>1202</v>
      </c>
      <c r="AC44" s="11">
        <v>0</v>
      </c>
      <c r="AD44" s="11">
        <v>3</v>
      </c>
      <c r="AE44" s="11">
        <v>0</v>
      </c>
      <c r="AF44" s="261">
        <v>3</v>
      </c>
      <c r="AG44" s="261"/>
      <c r="AH44" s="9">
        <f t="shared" si="19"/>
        <v>3</v>
      </c>
      <c r="AI44" s="261"/>
      <c r="AJ44" s="76" t="s">
        <v>3645</v>
      </c>
      <c r="AK44" s="261"/>
      <c r="AL44" s="61"/>
      <c r="AM44" s="125"/>
      <c r="AN44" s="61"/>
      <c r="AO44" s="11">
        <v>5</v>
      </c>
      <c r="AP44" s="11">
        <v>0</v>
      </c>
      <c r="AQ44" s="11">
        <v>5</v>
      </c>
      <c r="AR44" s="11">
        <v>0</v>
      </c>
      <c r="AS44" s="11">
        <v>0</v>
      </c>
      <c r="AT44" s="11">
        <v>0</v>
      </c>
    </row>
    <row r="45" spans="1:46" ht="18" customHeight="1">
      <c r="A45" s="260" t="s">
        <v>144</v>
      </c>
      <c r="B45" s="260" t="s">
        <v>145</v>
      </c>
      <c r="C45" s="260" t="s">
        <v>100</v>
      </c>
      <c r="D45" s="260" t="s">
        <v>1225</v>
      </c>
      <c r="E45" s="260" t="s">
        <v>1226</v>
      </c>
      <c r="F45" s="260" t="s">
        <v>2949</v>
      </c>
      <c r="G45" s="260" t="s">
        <v>2950</v>
      </c>
      <c r="H45" s="260" t="s">
        <v>1229</v>
      </c>
      <c r="I45" s="260" t="s">
        <v>165</v>
      </c>
      <c r="J45" s="260"/>
      <c r="K45" s="260" t="s">
        <v>1230</v>
      </c>
      <c r="L45" s="260" t="s">
        <v>1231</v>
      </c>
      <c r="M45" s="260" t="s">
        <v>1232</v>
      </c>
      <c r="N45" s="260" t="s">
        <v>111</v>
      </c>
      <c r="O45" s="260" t="s">
        <v>112</v>
      </c>
      <c r="P45" s="10">
        <v>6</v>
      </c>
      <c r="Q45" s="11">
        <v>6</v>
      </c>
      <c r="R45" s="11">
        <f>Z45+AH45</f>
        <v>3</v>
      </c>
      <c r="S45" s="261" t="s">
        <v>3646</v>
      </c>
      <c r="T45" s="11">
        <v>1</v>
      </c>
      <c r="U45" s="11">
        <v>0</v>
      </c>
      <c r="V45" s="11">
        <v>1</v>
      </c>
      <c r="W45" s="11">
        <v>0</v>
      </c>
      <c r="X45" s="11">
        <v>3</v>
      </c>
      <c r="Y45" s="11">
        <v>0</v>
      </c>
      <c r="Z45" s="11">
        <v>3</v>
      </c>
      <c r="AA45" s="11" t="s">
        <v>1233</v>
      </c>
      <c r="AB45" s="11" t="s">
        <v>1234</v>
      </c>
      <c r="AC45" s="11" t="s">
        <v>1235</v>
      </c>
      <c r="AD45" s="11">
        <v>0</v>
      </c>
      <c r="AE45" s="11">
        <v>0</v>
      </c>
      <c r="AF45" s="261">
        <v>0</v>
      </c>
      <c r="AG45" s="261"/>
      <c r="AH45" s="415">
        <f>AF45</f>
        <v>0</v>
      </c>
      <c r="AI45" s="261"/>
      <c r="AJ45" s="76" t="s">
        <v>3647</v>
      </c>
      <c r="AK45" s="261"/>
      <c r="AL45" s="61"/>
      <c r="AM45" s="125"/>
      <c r="AN45" s="61"/>
      <c r="AO45" s="11">
        <v>2</v>
      </c>
      <c r="AP45" s="11">
        <v>0</v>
      </c>
      <c r="AQ45" s="11">
        <v>1</v>
      </c>
      <c r="AR45" s="11">
        <v>0</v>
      </c>
      <c r="AS45" s="11">
        <v>0</v>
      </c>
      <c r="AT45" s="11">
        <v>0</v>
      </c>
    </row>
    <row r="46" spans="1:46" ht="18" customHeight="1">
      <c r="A46" s="260" t="s">
        <v>144</v>
      </c>
      <c r="B46" s="260" t="s">
        <v>145</v>
      </c>
      <c r="C46" s="260" t="s">
        <v>100</v>
      </c>
      <c r="D46" s="260" t="s">
        <v>1225</v>
      </c>
      <c r="E46" s="260" t="s">
        <v>1226</v>
      </c>
      <c r="F46" s="260" t="s">
        <v>2949</v>
      </c>
      <c r="G46" s="260" t="s">
        <v>2950</v>
      </c>
      <c r="H46" s="260" t="s">
        <v>1236</v>
      </c>
      <c r="I46" s="260" t="s">
        <v>200</v>
      </c>
      <c r="J46" s="260"/>
      <c r="K46" s="260" t="s">
        <v>1237</v>
      </c>
      <c r="L46" s="260" t="s">
        <v>1238</v>
      </c>
      <c r="M46" s="260" t="s">
        <v>1239</v>
      </c>
      <c r="N46" s="260" t="s">
        <v>123</v>
      </c>
      <c r="O46" s="260" t="s">
        <v>124</v>
      </c>
      <c r="P46" s="10">
        <v>0</v>
      </c>
      <c r="Q46" s="11">
        <v>100</v>
      </c>
      <c r="R46" s="11">
        <f t="shared" ref="R46:R47" si="20">(Z46+AH46)/2</f>
        <v>100</v>
      </c>
      <c r="S46" s="261" t="s">
        <v>3648</v>
      </c>
      <c r="T46" s="11">
        <v>0</v>
      </c>
      <c r="U46" s="11">
        <v>100</v>
      </c>
      <c r="V46" s="11">
        <v>0</v>
      </c>
      <c r="W46" s="11">
        <v>100</v>
      </c>
      <c r="X46" s="11" t="s">
        <v>115</v>
      </c>
      <c r="Y46" s="11">
        <v>100</v>
      </c>
      <c r="Z46" s="11">
        <v>100</v>
      </c>
      <c r="AA46" s="11" t="s">
        <v>1240</v>
      </c>
      <c r="AB46" s="11" t="s">
        <v>1241</v>
      </c>
      <c r="AC46" s="11" t="s">
        <v>1242</v>
      </c>
      <c r="AD46" s="11">
        <v>0</v>
      </c>
      <c r="AE46" s="11">
        <v>100</v>
      </c>
      <c r="AF46" s="261"/>
      <c r="AG46" s="261">
        <v>100</v>
      </c>
      <c r="AH46" s="11">
        <f t="shared" ref="AH46:AH47" si="21">AG46</f>
        <v>100</v>
      </c>
      <c r="AI46" s="261" t="s">
        <v>3649</v>
      </c>
      <c r="AJ46" s="76" t="s">
        <v>3650</v>
      </c>
      <c r="AK46" s="261"/>
      <c r="AL46" s="61"/>
      <c r="AM46" s="125"/>
      <c r="AN46" s="61"/>
      <c r="AO46" s="11">
        <v>0</v>
      </c>
      <c r="AP46" s="11">
        <v>100</v>
      </c>
      <c r="AQ46" s="11">
        <v>0</v>
      </c>
      <c r="AR46" s="11">
        <v>100</v>
      </c>
      <c r="AS46" s="11">
        <v>0</v>
      </c>
      <c r="AT46" s="11">
        <v>0</v>
      </c>
    </row>
    <row r="47" spans="1:46" ht="18" customHeight="1">
      <c r="A47" s="260" t="s">
        <v>144</v>
      </c>
      <c r="B47" s="260" t="s">
        <v>145</v>
      </c>
      <c r="C47" s="260" t="s">
        <v>100</v>
      </c>
      <c r="D47" s="260" t="s">
        <v>1225</v>
      </c>
      <c r="E47" s="260" t="s">
        <v>1226</v>
      </c>
      <c r="F47" s="260" t="s">
        <v>2949</v>
      </c>
      <c r="G47" s="260" t="s">
        <v>2950</v>
      </c>
      <c r="H47" s="260" t="s">
        <v>1243</v>
      </c>
      <c r="I47" s="260" t="s">
        <v>1244</v>
      </c>
      <c r="J47" s="260"/>
      <c r="K47" s="260" t="s">
        <v>1245</v>
      </c>
      <c r="L47" s="260" t="s">
        <v>1246</v>
      </c>
      <c r="M47" s="260" t="s">
        <v>1247</v>
      </c>
      <c r="N47" s="260" t="s">
        <v>111</v>
      </c>
      <c r="O47" s="260" t="s">
        <v>124</v>
      </c>
      <c r="P47" s="10">
        <v>0</v>
      </c>
      <c r="Q47" s="11">
        <v>4</v>
      </c>
      <c r="R47" s="11">
        <f t="shared" si="20"/>
        <v>4</v>
      </c>
      <c r="S47" s="261" t="s">
        <v>3651</v>
      </c>
      <c r="T47" s="11">
        <v>0</v>
      </c>
      <c r="U47" s="11">
        <v>4</v>
      </c>
      <c r="V47" s="11">
        <v>0</v>
      </c>
      <c r="W47" s="11">
        <v>4</v>
      </c>
      <c r="X47" s="11" t="s">
        <v>115</v>
      </c>
      <c r="Y47" s="11">
        <v>4</v>
      </c>
      <c r="Z47" s="11">
        <v>4</v>
      </c>
      <c r="AA47" s="11" t="s">
        <v>1248</v>
      </c>
      <c r="AB47" s="11" t="s">
        <v>1249</v>
      </c>
      <c r="AC47" s="11" t="s">
        <v>1250</v>
      </c>
      <c r="AD47" s="11">
        <v>0</v>
      </c>
      <c r="AE47" s="11">
        <v>4</v>
      </c>
      <c r="AF47" s="261"/>
      <c r="AG47" s="261">
        <v>4</v>
      </c>
      <c r="AH47" s="11">
        <f t="shared" si="21"/>
        <v>4</v>
      </c>
      <c r="AI47" s="261"/>
      <c r="AJ47" s="76" t="s">
        <v>3652</v>
      </c>
      <c r="AK47" s="261"/>
      <c r="AL47" s="61"/>
      <c r="AM47" s="125"/>
      <c r="AN47" s="61"/>
      <c r="AO47" s="11">
        <v>0</v>
      </c>
      <c r="AP47" s="11">
        <v>4</v>
      </c>
      <c r="AQ47" s="11">
        <v>0</v>
      </c>
      <c r="AR47" s="11">
        <v>4</v>
      </c>
      <c r="AS47" s="11">
        <v>0</v>
      </c>
      <c r="AT47" s="11">
        <v>0</v>
      </c>
    </row>
    <row r="48" spans="1:46" ht="18" customHeight="1">
      <c r="A48" s="260" t="s">
        <v>144</v>
      </c>
      <c r="B48" s="260" t="s">
        <v>145</v>
      </c>
      <c r="C48" s="260" t="s">
        <v>100</v>
      </c>
      <c r="D48" s="260" t="s">
        <v>1225</v>
      </c>
      <c r="E48" s="260" t="s">
        <v>1226</v>
      </c>
      <c r="F48" s="260" t="s">
        <v>2949</v>
      </c>
      <c r="G48" s="260" t="s">
        <v>2950</v>
      </c>
      <c r="H48" s="260" t="s">
        <v>1251</v>
      </c>
      <c r="I48" s="260" t="s">
        <v>200</v>
      </c>
      <c r="J48" s="260"/>
      <c r="K48" s="260" t="s">
        <v>1252</v>
      </c>
      <c r="L48" s="260" t="s">
        <v>1253</v>
      </c>
      <c r="M48" s="260" t="s">
        <v>1254</v>
      </c>
      <c r="N48" s="260" t="s">
        <v>111</v>
      </c>
      <c r="O48" s="260" t="s">
        <v>112</v>
      </c>
      <c r="P48" s="10">
        <v>0</v>
      </c>
      <c r="Q48" s="11">
        <v>1</v>
      </c>
      <c r="R48" s="11">
        <f>Z48+AH48</f>
        <v>0.85</v>
      </c>
      <c r="S48" s="261"/>
      <c r="T48" s="11">
        <v>0</v>
      </c>
      <c r="U48" s="11">
        <v>0</v>
      </c>
      <c r="V48" s="11">
        <v>0.1</v>
      </c>
      <c r="W48" s="11">
        <v>0</v>
      </c>
      <c r="X48" s="11">
        <v>0.1</v>
      </c>
      <c r="Y48" s="11">
        <v>0</v>
      </c>
      <c r="Z48" s="11">
        <v>0.1</v>
      </c>
      <c r="AA48" s="11">
        <v>0</v>
      </c>
      <c r="AB48" s="11" t="s">
        <v>1255</v>
      </c>
      <c r="AC48" s="11">
        <v>0</v>
      </c>
      <c r="AD48" s="11">
        <v>0.1</v>
      </c>
      <c r="AE48" s="11">
        <v>0</v>
      </c>
      <c r="AF48" s="261">
        <v>0.75</v>
      </c>
      <c r="AG48" s="261"/>
      <c r="AH48" s="9">
        <f>AF48</f>
        <v>0.75</v>
      </c>
      <c r="AI48" s="261"/>
      <c r="AJ48" s="76" t="s">
        <v>3653</v>
      </c>
      <c r="AK48" s="261"/>
      <c r="AL48" s="61"/>
      <c r="AM48" s="125"/>
      <c r="AN48" s="61"/>
      <c r="AO48" s="11">
        <v>0.8</v>
      </c>
      <c r="AP48" s="11">
        <v>0</v>
      </c>
      <c r="AQ48" s="11">
        <v>0</v>
      </c>
      <c r="AR48" s="11">
        <v>0</v>
      </c>
      <c r="AS48" s="11">
        <v>0</v>
      </c>
      <c r="AT48" s="11">
        <v>0</v>
      </c>
    </row>
    <row r="49" spans="1:46" ht="18" customHeight="1">
      <c r="A49" s="260" t="s">
        <v>144</v>
      </c>
      <c r="B49" s="260" t="s">
        <v>145</v>
      </c>
      <c r="C49" s="260" t="s">
        <v>100</v>
      </c>
      <c r="D49" s="260" t="s">
        <v>1225</v>
      </c>
      <c r="E49" s="260" t="s">
        <v>1256</v>
      </c>
      <c r="F49" s="260" t="s">
        <v>2951</v>
      </c>
      <c r="G49" s="260" t="s">
        <v>2952</v>
      </c>
      <c r="H49" s="260" t="s">
        <v>1259</v>
      </c>
      <c r="I49" s="260" t="s">
        <v>677</v>
      </c>
      <c r="J49" s="260"/>
      <c r="K49" s="260" t="s">
        <v>1260</v>
      </c>
      <c r="L49" s="260" t="s">
        <v>1261</v>
      </c>
      <c r="M49" s="260" t="s">
        <v>1262</v>
      </c>
      <c r="N49" s="260" t="s">
        <v>111</v>
      </c>
      <c r="O49" s="260" t="s">
        <v>124</v>
      </c>
      <c r="P49" s="10">
        <v>8</v>
      </c>
      <c r="Q49" s="11">
        <v>8</v>
      </c>
      <c r="R49" s="11">
        <f>(Z49+AH49)/2</f>
        <v>27</v>
      </c>
      <c r="S49" s="261" t="s">
        <v>3654</v>
      </c>
      <c r="T49" s="11">
        <v>0</v>
      </c>
      <c r="U49" s="11">
        <v>8</v>
      </c>
      <c r="V49" s="11">
        <v>0</v>
      </c>
      <c r="W49" s="11">
        <v>8</v>
      </c>
      <c r="X49" s="11" t="s">
        <v>115</v>
      </c>
      <c r="Y49" s="11">
        <v>46</v>
      </c>
      <c r="Z49" s="11">
        <v>46</v>
      </c>
      <c r="AA49" s="11" t="s">
        <v>1263</v>
      </c>
      <c r="AB49" s="11" t="s">
        <v>1264</v>
      </c>
      <c r="AC49" s="11" t="s">
        <v>1265</v>
      </c>
      <c r="AD49" s="11">
        <v>0</v>
      </c>
      <c r="AE49" s="11">
        <v>8</v>
      </c>
      <c r="AF49" s="261"/>
      <c r="AG49" s="261">
        <v>8</v>
      </c>
      <c r="AH49" s="11">
        <f>AG49</f>
        <v>8</v>
      </c>
      <c r="AI49" s="261"/>
      <c r="AJ49" s="76" t="s">
        <v>3655</v>
      </c>
      <c r="AK49" s="261"/>
      <c r="AL49" s="61"/>
      <c r="AM49" s="125"/>
      <c r="AN49" s="61"/>
      <c r="AO49" s="11">
        <v>0</v>
      </c>
      <c r="AP49" s="11">
        <v>8</v>
      </c>
      <c r="AQ49" s="11">
        <v>0</v>
      </c>
      <c r="AR49" s="11">
        <v>8</v>
      </c>
      <c r="AS49" s="11">
        <v>0</v>
      </c>
      <c r="AT49" s="11">
        <v>0</v>
      </c>
    </row>
    <row r="50" spans="1:46" ht="18" customHeight="1">
      <c r="A50" s="260" t="s">
        <v>144</v>
      </c>
      <c r="B50" s="260" t="s">
        <v>145</v>
      </c>
      <c r="C50" s="260" t="s">
        <v>100</v>
      </c>
      <c r="D50" s="260" t="s">
        <v>1225</v>
      </c>
      <c r="E50" s="260" t="s">
        <v>1256</v>
      </c>
      <c r="F50" s="260" t="s">
        <v>2951</v>
      </c>
      <c r="G50" s="260" t="s">
        <v>2952</v>
      </c>
      <c r="H50" s="260" t="s">
        <v>1266</v>
      </c>
      <c r="I50" s="260" t="s">
        <v>165</v>
      </c>
      <c r="J50" s="260"/>
      <c r="K50" s="260" t="s">
        <v>1267</v>
      </c>
      <c r="L50" s="260" t="s">
        <v>1268</v>
      </c>
      <c r="M50" s="260" t="s">
        <v>1269</v>
      </c>
      <c r="N50" s="260" t="s">
        <v>111</v>
      </c>
      <c r="O50" s="260" t="s">
        <v>112</v>
      </c>
      <c r="P50" s="10">
        <v>8</v>
      </c>
      <c r="Q50" s="11">
        <v>8</v>
      </c>
      <c r="R50" s="11">
        <f t="shared" ref="R50:R56" si="22">Z50+AH50</f>
        <v>0.5</v>
      </c>
      <c r="S50" s="261" t="s">
        <v>3656</v>
      </c>
      <c r="T50" s="11">
        <v>1</v>
      </c>
      <c r="U50" s="11">
        <v>0</v>
      </c>
      <c r="V50" s="11">
        <v>1</v>
      </c>
      <c r="W50" s="11">
        <v>0</v>
      </c>
      <c r="X50" s="11">
        <v>0.5</v>
      </c>
      <c r="Y50" s="11">
        <v>0</v>
      </c>
      <c r="Z50" s="11">
        <v>0.5</v>
      </c>
      <c r="AA50" s="11" t="s">
        <v>1270</v>
      </c>
      <c r="AB50" s="11" t="s">
        <v>1271</v>
      </c>
      <c r="AC50" s="11">
        <v>0</v>
      </c>
      <c r="AD50" s="11">
        <v>2.5</v>
      </c>
      <c r="AE50" s="11">
        <v>0</v>
      </c>
      <c r="AF50" s="261"/>
      <c r="AG50" s="261"/>
      <c r="AH50" s="9">
        <f t="shared" ref="AH50:AH52" si="23">AF50</f>
        <v>0</v>
      </c>
      <c r="AI50" s="261"/>
      <c r="AJ50" s="76" t="s">
        <v>3657</v>
      </c>
      <c r="AK50" s="261"/>
      <c r="AL50" s="61"/>
      <c r="AM50" s="125"/>
      <c r="AN50" s="61"/>
      <c r="AO50" s="11">
        <v>3</v>
      </c>
      <c r="AP50" s="11">
        <v>0</v>
      </c>
      <c r="AQ50" s="11">
        <v>2</v>
      </c>
      <c r="AR50" s="11">
        <v>0</v>
      </c>
      <c r="AS50" s="11">
        <v>0</v>
      </c>
      <c r="AT50" s="11">
        <v>0</v>
      </c>
    </row>
    <row r="51" spans="1:46" ht="18" customHeight="1">
      <c r="A51" s="260" t="s">
        <v>144</v>
      </c>
      <c r="B51" s="260" t="s">
        <v>145</v>
      </c>
      <c r="C51" s="260" t="s">
        <v>100</v>
      </c>
      <c r="D51" s="260" t="s">
        <v>1225</v>
      </c>
      <c r="E51" s="260" t="s">
        <v>1272</v>
      </c>
      <c r="F51" s="260" t="s">
        <v>2953</v>
      </c>
      <c r="G51" s="260" t="s">
        <v>2954</v>
      </c>
      <c r="H51" s="260" t="s">
        <v>1275</v>
      </c>
      <c r="I51" s="260" t="s">
        <v>165</v>
      </c>
      <c r="J51" s="260"/>
      <c r="K51" s="260" t="s">
        <v>1276</v>
      </c>
      <c r="L51" s="260" t="s">
        <v>1277</v>
      </c>
      <c r="M51" s="260" t="s">
        <v>1278</v>
      </c>
      <c r="N51" s="260" t="s">
        <v>111</v>
      </c>
      <c r="O51" s="260" t="s">
        <v>112</v>
      </c>
      <c r="P51" s="10">
        <v>0</v>
      </c>
      <c r="Q51" s="11">
        <v>2</v>
      </c>
      <c r="R51" s="11">
        <f t="shared" si="22"/>
        <v>0.7</v>
      </c>
      <c r="S51" s="261" t="s">
        <v>3658</v>
      </c>
      <c r="T51" s="11">
        <v>0.1</v>
      </c>
      <c r="U51" s="11">
        <v>0</v>
      </c>
      <c r="V51" s="11">
        <v>1</v>
      </c>
      <c r="W51" s="11">
        <v>0</v>
      </c>
      <c r="X51" s="11">
        <v>0.6</v>
      </c>
      <c r="Y51" s="11">
        <v>0</v>
      </c>
      <c r="Z51" s="11">
        <v>0.6</v>
      </c>
      <c r="AA51" s="11" t="s">
        <v>1279</v>
      </c>
      <c r="AB51" s="11" t="s">
        <v>1280</v>
      </c>
      <c r="AC51" s="11">
        <v>0</v>
      </c>
      <c r="AD51" s="11">
        <v>0.4</v>
      </c>
      <c r="AE51" s="11">
        <v>0</v>
      </c>
      <c r="AF51" s="261">
        <v>0.1</v>
      </c>
      <c r="AG51" s="261">
        <v>0</v>
      </c>
      <c r="AH51" s="9">
        <f t="shared" si="23"/>
        <v>0.1</v>
      </c>
      <c r="AI51" s="261"/>
      <c r="AJ51" s="76" t="s">
        <v>3657</v>
      </c>
      <c r="AK51" s="261"/>
      <c r="AL51" s="61"/>
      <c r="AM51" s="125"/>
      <c r="AN51" s="61"/>
      <c r="AO51" s="11">
        <v>1</v>
      </c>
      <c r="AP51" s="11">
        <v>0</v>
      </c>
      <c r="AQ51" s="11">
        <v>0</v>
      </c>
      <c r="AR51" s="11">
        <v>0</v>
      </c>
      <c r="AS51" s="11">
        <v>0</v>
      </c>
      <c r="AT51" s="11">
        <v>0</v>
      </c>
    </row>
    <row r="52" spans="1:46" ht="18" customHeight="1">
      <c r="A52" s="260" t="s">
        <v>144</v>
      </c>
      <c r="B52" s="260" t="s">
        <v>145</v>
      </c>
      <c r="C52" s="260" t="s">
        <v>100</v>
      </c>
      <c r="D52" s="260" t="s">
        <v>1225</v>
      </c>
      <c r="E52" s="260" t="s">
        <v>1272</v>
      </c>
      <c r="F52" s="260" t="s">
        <v>2953</v>
      </c>
      <c r="G52" s="260" t="s">
        <v>2954</v>
      </c>
      <c r="H52" s="260" t="s">
        <v>1281</v>
      </c>
      <c r="I52" s="260" t="s">
        <v>677</v>
      </c>
      <c r="J52" s="260"/>
      <c r="K52" s="260" t="s">
        <v>1282</v>
      </c>
      <c r="L52" s="260" t="s">
        <v>1283</v>
      </c>
      <c r="M52" s="260" t="s">
        <v>1284</v>
      </c>
      <c r="N52" s="260" t="s">
        <v>111</v>
      </c>
      <c r="O52" s="260" t="s">
        <v>112</v>
      </c>
      <c r="P52" s="10">
        <v>0</v>
      </c>
      <c r="Q52" s="11">
        <v>4</v>
      </c>
      <c r="R52" s="11">
        <f t="shared" si="22"/>
        <v>2</v>
      </c>
      <c r="S52" s="261" t="s">
        <v>1285</v>
      </c>
      <c r="T52" s="11">
        <v>1</v>
      </c>
      <c r="U52" s="11">
        <v>0</v>
      </c>
      <c r="V52" s="11">
        <v>0</v>
      </c>
      <c r="W52" s="11">
        <v>0</v>
      </c>
      <c r="X52" s="11">
        <v>0</v>
      </c>
      <c r="Y52" s="11">
        <v>0</v>
      </c>
      <c r="Z52" s="11">
        <v>0</v>
      </c>
      <c r="AA52" s="11">
        <v>0</v>
      </c>
      <c r="AB52" s="11" t="s">
        <v>1285</v>
      </c>
      <c r="AC52" s="11">
        <v>0</v>
      </c>
      <c r="AD52" s="11">
        <v>2</v>
      </c>
      <c r="AE52" s="11">
        <v>0</v>
      </c>
      <c r="AF52" s="261">
        <v>2</v>
      </c>
      <c r="AG52" s="261"/>
      <c r="AH52" s="9">
        <f t="shared" si="23"/>
        <v>2</v>
      </c>
      <c r="AI52" s="261"/>
      <c r="AJ52" s="76" t="s">
        <v>3659</v>
      </c>
      <c r="AK52" s="261"/>
      <c r="AL52" s="61"/>
      <c r="AM52" s="125"/>
      <c r="AN52" s="61"/>
      <c r="AO52" s="11">
        <v>1</v>
      </c>
      <c r="AP52" s="11">
        <v>0</v>
      </c>
      <c r="AQ52" s="11">
        <v>1</v>
      </c>
      <c r="AR52" s="11">
        <v>0</v>
      </c>
      <c r="AS52" s="11">
        <v>0</v>
      </c>
      <c r="AT52" s="11">
        <v>0</v>
      </c>
    </row>
    <row r="53" spans="1:46" ht="18" customHeight="1">
      <c r="A53" s="260" t="s">
        <v>144</v>
      </c>
      <c r="B53" s="260" t="s">
        <v>145</v>
      </c>
      <c r="C53" s="260" t="s">
        <v>2371</v>
      </c>
      <c r="D53" s="260" t="s">
        <v>2372</v>
      </c>
      <c r="E53" s="260" t="s">
        <v>2535</v>
      </c>
      <c r="F53" s="260" t="s">
        <v>2536</v>
      </c>
      <c r="G53" s="260" t="s">
        <v>2537</v>
      </c>
      <c r="H53" s="260" t="s">
        <v>2538</v>
      </c>
      <c r="I53" s="260" t="s">
        <v>106</v>
      </c>
      <c r="J53" s="260"/>
      <c r="K53" s="260" t="s">
        <v>2539</v>
      </c>
      <c r="L53" s="260" t="s">
        <v>2540</v>
      </c>
      <c r="M53" s="260" t="s">
        <v>2541</v>
      </c>
      <c r="N53" s="260" t="s">
        <v>111</v>
      </c>
      <c r="O53" s="260" t="s">
        <v>112</v>
      </c>
      <c r="P53" s="10">
        <v>4</v>
      </c>
      <c r="Q53" s="11">
        <v>4</v>
      </c>
      <c r="R53" s="11">
        <f t="shared" si="22"/>
        <v>2</v>
      </c>
      <c r="S53" s="261" t="s">
        <v>3660</v>
      </c>
      <c r="T53" s="11">
        <v>1</v>
      </c>
      <c r="U53" s="11">
        <v>0</v>
      </c>
      <c r="V53" s="11">
        <v>1</v>
      </c>
      <c r="W53" s="11">
        <v>0</v>
      </c>
      <c r="X53" s="11">
        <v>1</v>
      </c>
      <c r="Y53" s="11">
        <v>0</v>
      </c>
      <c r="Z53" s="11">
        <v>1</v>
      </c>
      <c r="AA53" s="11" t="s">
        <v>2542</v>
      </c>
      <c r="AB53" s="11" t="s">
        <v>2543</v>
      </c>
      <c r="AC53" s="11" t="s">
        <v>2544</v>
      </c>
      <c r="AD53" s="11">
        <v>1</v>
      </c>
      <c r="AE53" s="11">
        <v>0</v>
      </c>
      <c r="AF53" s="261">
        <v>1</v>
      </c>
      <c r="AG53" s="261"/>
      <c r="AH53" s="9">
        <f t="shared" ref="AH53" si="24">AF53</f>
        <v>1</v>
      </c>
      <c r="AI53" s="261" t="s">
        <v>3661</v>
      </c>
      <c r="AJ53" s="76" t="s">
        <v>3662</v>
      </c>
      <c r="AK53" s="261"/>
      <c r="AL53" s="61"/>
      <c r="AM53" s="125"/>
      <c r="AN53" s="61"/>
      <c r="AO53" s="11">
        <v>1</v>
      </c>
      <c r="AP53" s="11">
        <v>0</v>
      </c>
      <c r="AQ53" s="11">
        <v>1</v>
      </c>
      <c r="AR53" s="11">
        <v>0</v>
      </c>
      <c r="AS53" s="11">
        <v>0</v>
      </c>
      <c r="AT53" s="11">
        <v>0</v>
      </c>
    </row>
    <row r="54" spans="1:46" ht="18" customHeight="1">
      <c r="A54" s="260" t="s">
        <v>144</v>
      </c>
      <c r="B54" s="260" t="s">
        <v>145</v>
      </c>
      <c r="C54" s="260" t="s">
        <v>2371</v>
      </c>
      <c r="D54" s="260" t="s">
        <v>2588</v>
      </c>
      <c r="E54" s="260" t="s">
        <v>2606</v>
      </c>
      <c r="F54" s="260" t="s">
        <v>2607</v>
      </c>
      <c r="G54" s="260" t="s">
        <v>2608</v>
      </c>
      <c r="H54" s="260" t="s">
        <v>2609</v>
      </c>
      <c r="I54" s="260" t="s">
        <v>677</v>
      </c>
      <c r="J54" s="260"/>
      <c r="K54" s="260" t="s">
        <v>2610</v>
      </c>
      <c r="L54" s="260" t="s">
        <v>2611</v>
      </c>
      <c r="M54" s="260" t="s">
        <v>2612</v>
      </c>
      <c r="N54" s="260" t="s">
        <v>111</v>
      </c>
      <c r="O54" s="260" t="s">
        <v>112</v>
      </c>
      <c r="P54" s="10">
        <v>100</v>
      </c>
      <c r="Q54" s="11">
        <v>116</v>
      </c>
      <c r="R54" s="11">
        <f t="shared" si="22"/>
        <v>42</v>
      </c>
      <c r="S54" s="149" t="s">
        <v>3663</v>
      </c>
      <c r="T54" s="11">
        <v>9</v>
      </c>
      <c r="U54" s="11">
        <v>0</v>
      </c>
      <c r="V54" s="11">
        <v>12</v>
      </c>
      <c r="W54" s="11">
        <v>0</v>
      </c>
      <c r="X54" s="11">
        <v>12</v>
      </c>
      <c r="Y54" s="11">
        <v>0</v>
      </c>
      <c r="Z54" s="11">
        <v>12</v>
      </c>
      <c r="AA54" s="11" t="s">
        <v>2613</v>
      </c>
      <c r="AB54" s="11" t="s">
        <v>2614</v>
      </c>
      <c r="AC54" s="11" t="s">
        <v>2615</v>
      </c>
      <c r="AD54" s="11">
        <v>30</v>
      </c>
      <c r="AE54" s="11">
        <v>0</v>
      </c>
      <c r="AF54" s="261">
        <v>30</v>
      </c>
      <c r="AG54" s="261"/>
      <c r="AH54" s="9">
        <f t="shared" ref="AH54:AH56" si="25">AF54</f>
        <v>30</v>
      </c>
      <c r="AI54" s="261"/>
      <c r="AJ54" s="76" t="s">
        <v>3664</v>
      </c>
      <c r="AK54" s="261"/>
      <c r="AL54" s="61"/>
      <c r="AM54" s="125"/>
      <c r="AN54" s="61"/>
      <c r="AO54" s="11">
        <v>40</v>
      </c>
      <c r="AP54" s="11">
        <v>0</v>
      </c>
      <c r="AQ54" s="11">
        <v>34</v>
      </c>
      <c r="AR54" s="11">
        <v>0</v>
      </c>
      <c r="AS54" s="11">
        <v>0</v>
      </c>
      <c r="AT54" s="11">
        <v>0</v>
      </c>
    </row>
    <row r="55" spans="1:46" ht="18" customHeight="1">
      <c r="A55" s="260" t="s">
        <v>144</v>
      </c>
      <c r="B55" s="260" t="s">
        <v>145</v>
      </c>
      <c r="C55" s="260" t="s">
        <v>2371</v>
      </c>
      <c r="D55" s="260" t="s">
        <v>2588</v>
      </c>
      <c r="E55" s="260" t="s">
        <v>2606</v>
      </c>
      <c r="F55" s="260" t="s">
        <v>2607</v>
      </c>
      <c r="G55" s="260" t="s">
        <v>2608</v>
      </c>
      <c r="H55" s="260" t="s">
        <v>2616</v>
      </c>
      <c r="I55" s="260" t="s">
        <v>677</v>
      </c>
      <c r="J55" s="260"/>
      <c r="K55" s="260" t="s">
        <v>2617</v>
      </c>
      <c r="L55" s="260" t="s">
        <v>2618</v>
      </c>
      <c r="M55" s="260" t="s">
        <v>2619</v>
      </c>
      <c r="N55" s="260" t="s">
        <v>111</v>
      </c>
      <c r="O55" s="260" t="s">
        <v>124</v>
      </c>
      <c r="P55" s="10">
        <v>14</v>
      </c>
      <c r="Q55" s="11">
        <v>15</v>
      </c>
      <c r="R55" s="11">
        <f t="shared" si="22"/>
        <v>15</v>
      </c>
      <c r="S55" s="261" t="s">
        <v>3665</v>
      </c>
      <c r="T55" s="11">
        <v>2</v>
      </c>
      <c r="U55" s="11">
        <v>0</v>
      </c>
      <c r="V55" s="11">
        <v>2</v>
      </c>
      <c r="W55" s="11">
        <v>0</v>
      </c>
      <c r="X55" s="11">
        <v>14</v>
      </c>
      <c r="Y55" s="11">
        <v>0</v>
      </c>
      <c r="Z55" s="11">
        <v>14</v>
      </c>
      <c r="AA55" s="11" t="s">
        <v>2620</v>
      </c>
      <c r="AB55" s="11" t="s">
        <v>2621</v>
      </c>
      <c r="AC55" s="11" t="s">
        <v>2622</v>
      </c>
      <c r="AD55" s="11">
        <v>1</v>
      </c>
      <c r="AE55" s="11">
        <v>14</v>
      </c>
      <c r="AF55" s="261">
        <v>1</v>
      </c>
      <c r="AG55" s="261">
        <v>14</v>
      </c>
      <c r="AH55" s="9">
        <f t="shared" si="25"/>
        <v>1</v>
      </c>
      <c r="AI55" s="261"/>
      <c r="AJ55" s="76" t="s">
        <v>3666</v>
      </c>
      <c r="AK55" s="261"/>
      <c r="AL55" s="61"/>
      <c r="AM55" s="125"/>
      <c r="AN55" s="61"/>
      <c r="AO55" s="11">
        <v>0</v>
      </c>
      <c r="AP55" s="11">
        <v>15</v>
      </c>
      <c r="AQ55" s="11">
        <v>0</v>
      </c>
      <c r="AR55" s="11">
        <v>15</v>
      </c>
      <c r="AS55" s="11">
        <v>0</v>
      </c>
      <c r="AT55" s="11">
        <v>0</v>
      </c>
    </row>
    <row r="56" spans="1:46" ht="18" customHeight="1">
      <c r="A56" s="260" t="s">
        <v>144</v>
      </c>
      <c r="B56" s="260" t="s">
        <v>145</v>
      </c>
      <c r="C56" s="260" t="s">
        <v>2371</v>
      </c>
      <c r="D56" s="260" t="s">
        <v>2588</v>
      </c>
      <c r="E56" s="260" t="s">
        <v>2606</v>
      </c>
      <c r="F56" s="260" t="s">
        <v>2607</v>
      </c>
      <c r="G56" s="260" t="s">
        <v>2608</v>
      </c>
      <c r="H56" s="260" t="s">
        <v>2623</v>
      </c>
      <c r="I56" s="260" t="s">
        <v>677</v>
      </c>
      <c r="J56" s="260"/>
      <c r="K56" s="260" t="s">
        <v>2624</v>
      </c>
      <c r="L56" s="260" t="s">
        <v>2625</v>
      </c>
      <c r="M56" s="260" t="s">
        <v>2626</v>
      </c>
      <c r="N56" s="260" t="s">
        <v>111</v>
      </c>
      <c r="O56" s="260" t="s">
        <v>112</v>
      </c>
      <c r="P56" s="10">
        <v>0</v>
      </c>
      <c r="Q56" s="11">
        <v>116</v>
      </c>
      <c r="R56" s="11">
        <f t="shared" si="22"/>
        <v>116</v>
      </c>
      <c r="S56" s="261" t="s">
        <v>3667</v>
      </c>
      <c r="T56" s="11">
        <v>30</v>
      </c>
      <c r="U56" s="11">
        <v>0</v>
      </c>
      <c r="V56" s="11">
        <v>30</v>
      </c>
      <c r="W56" s="11">
        <v>0</v>
      </c>
      <c r="X56" s="11">
        <v>30</v>
      </c>
      <c r="Y56" s="11">
        <v>0</v>
      </c>
      <c r="Z56" s="11">
        <v>30</v>
      </c>
      <c r="AA56" s="11" t="s">
        <v>2627</v>
      </c>
      <c r="AB56" s="11" t="s">
        <v>2628</v>
      </c>
      <c r="AC56" s="11" t="s">
        <v>2629</v>
      </c>
      <c r="AD56" s="11">
        <v>50</v>
      </c>
      <c r="AE56" s="11">
        <v>0</v>
      </c>
      <c r="AF56" s="261">
        <v>86</v>
      </c>
      <c r="AG56" s="261">
        <v>30</v>
      </c>
      <c r="AH56" s="9">
        <f t="shared" si="25"/>
        <v>86</v>
      </c>
      <c r="AI56" s="261"/>
      <c r="AJ56" s="76" t="s">
        <v>3668</v>
      </c>
      <c r="AK56" s="261"/>
      <c r="AL56" s="61"/>
      <c r="AM56" s="125"/>
      <c r="AN56" s="61"/>
      <c r="AO56" s="11">
        <v>30</v>
      </c>
      <c r="AP56" s="11">
        <v>0</v>
      </c>
      <c r="AQ56" s="11">
        <v>6</v>
      </c>
      <c r="AR56" s="11">
        <v>0</v>
      </c>
      <c r="AS56" s="11">
        <v>0</v>
      </c>
      <c r="AT56" s="11">
        <v>0</v>
      </c>
    </row>
    <row r="57" spans="1:46" ht="18" customHeight="1">
      <c r="A57" s="260" t="s">
        <v>144</v>
      </c>
      <c r="B57" s="260" t="s">
        <v>145</v>
      </c>
      <c r="C57" s="260" t="s">
        <v>2371</v>
      </c>
      <c r="D57" s="260" t="s">
        <v>2588</v>
      </c>
      <c r="E57" s="260" t="s">
        <v>2606</v>
      </c>
      <c r="F57" s="260" t="s">
        <v>2607</v>
      </c>
      <c r="G57" s="260" t="s">
        <v>2608</v>
      </c>
      <c r="H57" s="260" t="s">
        <v>2630</v>
      </c>
      <c r="I57" s="260" t="s">
        <v>677</v>
      </c>
      <c r="J57" s="260"/>
      <c r="K57" s="260" t="s">
        <v>2631</v>
      </c>
      <c r="L57" s="260" t="s">
        <v>2632</v>
      </c>
      <c r="M57" s="260" t="s">
        <v>2633</v>
      </c>
      <c r="N57" s="260" t="s">
        <v>111</v>
      </c>
      <c r="O57" s="260" t="s">
        <v>124</v>
      </c>
      <c r="P57" s="10">
        <v>117</v>
      </c>
      <c r="Q57" s="11">
        <v>117</v>
      </c>
      <c r="R57" s="11">
        <f t="shared" ref="R57:R58" si="26">(Z57+AH57)/2</f>
        <v>106.5</v>
      </c>
      <c r="S57" s="261" t="s">
        <v>3669</v>
      </c>
      <c r="T57" s="11">
        <v>0</v>
      </c>
      <c r="U57" s="11">
        <v>117</v>
      </c>
      <c r="V57" s="11">
        <v>0</v>
      </c>
      <c r="W57" s="11">
        <v>117</v>
      </c>
      <c r="X57" s="11" t="s">
        <v>115</v>
      </c>
      <c r="Y57" s="11">
        <v>96</v>
      </c>
      <c r="Z57" s="11">
        <v>96</v>
      </c>
      <c r="AA57" s="11" t="s">
        <v>2634</v>
      </c>
      <c r="AB57" s="11" t="s">
        <v>2635</v>
      </c>
      <c r="AC57" s="11">
        <v>0</v>
      </c>
      <c r="AD57" s="11">
        <v>0</v>
      </c>
      <c r="AE57" s="11">
        <v>117</v>
      </c>
      <c r="AF57" s="261"/>
      <c r="AG57" s="261">
        <v>117</v>
      </c>
      <c r="AH57" s="11">
        <f t="shared" ref="AH57:AH58" si="27">AG57</f>
        <v>117</v>
      </c>
      <c r="AI57" s="261"/>
      <c r="AJ57" s="76" t="s">
        <v>3670</v>
      </c>
      <c r="AK57" s="261"/>
      <c r="AL57" s="61"/>
      <c r="AM57" s="125"/>
      <c r="AN57" s="61"/>
      <c r="AO57" s="11">
        <v>0</v>
      </c>
      <c r="AP57" s="11">
        <v>117</v>
      </c>
      <c r="AQ57" s="11">
        <v>0</v>
      </c>
      <c r="AR57" s="11">
        <v>117</v>
      </c>
      <c r="AS57" s="11">
        <v>0</v>
      </c>
      <c r="AT57" s="11">
        <v>0</v>
      </c>
    </row>
    <row r="58" spans="1:46" ht="18" customHeight="1">
      <c r="A58" s="260" t="s">
        <v>144</v>
      </c>
      <c r="B58" s="260" t="s">
        <v>145</v>
      </c>
      <c r="C58" s="260" t="s">
        <v>2371</v>
      </c>
      <c r="D58" s="260" t="s">
        <v>2588</v>
      </c>
      <c r="E58" s="260" t="s">
        <v>2606</v>
      </c>
      <c r="F58" s="260" t="s">
        <v>2607</v>
      </c>
      <c r="G58" s="260" t="s">
        <v>2608</v>
      </c>
      <c r="H58" s="260" t="s">
        <v>2636</v>
      </c>
      <c r="I58" s="260" t="s">
        <v>677</v>
      </c>
      <c r="J58" s="260"/>
      <c r="K58" s="260" t="s">
        <v>2637</v>
      </c>
      <c r="L58" s="260" t="s">
        <v>2638</v>
      </c>
      <c r="M58" s="260" t="s">
        <v>2639</v>
      </c>
      <c r="N58" s="260" t="s">
        <v>111</v>
      </c>
      <c r="O58" s="260" t="s">
        <v>124</v>
      </c>
      <c r="P58" s="10">
        <v>116</v>
      </c>
      <c r="Q58" s="11">
        <v>116</v>
      </c>
      <c r="R58" s="11">
        <f t="shared" si="26"/>
        <v>97</v>
      </c>
      <c r="S58" s="261" t="s">
        <v>3671</v>
      </c>
      <c r="T58" s="11">
        <v>0</v>
      </c>
      <c r="U58" s="11">
        <v>116</v>
      </c>
      <c r="V58" s="11">
        <v>0</v>
      </c>
      <c r="W58" s="11">
        <v>116</v>
      </c>
      <c r="X58" s="11" t="s">
        <v>115</v>
      </c>
      <c r="Y58" s="11">
        <v>80</v>
      </c>
      <c r="Z58" s="11">
        <v>80</v>
      </c>
      <c r="AA58" s="11" t="s">
        <v>2640</v>
      </c>
      <c r="AB58" s="11" t="s">
        <v>2641</v>
      </c>
      <c r="AC58" s="11" t="s">
        <v>2642</v>
      </c>
      <c r="AD58" s="11">
        <v>0</v>
      </c>
      <c r="AE58" s="11">
        <v>116</v>
      </c>
      <c r="AF58" s="261"/>
      <c r="AG58" s="261">
        <v>114</v>
      </c>
      <c r="AH58" s="11">
        <f t="shared" si="27"/>
        <v>114</v>
      </c>
      <c r="AI58" s="261"/>
      <c r="AJ58" s="76" t="s">
        <v>3672</v>
      </c>
      <c r="AK58" s="261"/>
      <c r="AL58" s="61"/>
      <c r="AM58" s="125"/>
      <c r="AN58" s="61"/>
      <c r="AO58" s="11">
        <v>0</v>
      </c>
      <c r="AP58" s="11">
        <v>116</v>
      </c>
      <c r="AQ58" s="11">
        <v>0</v>
      </c>
      <c r="AR58" s="11">
        <v>116</v>
      </c>
      <c r="AS58" s="11">
        <v>0</v>
      </c>
      <c r="AT58" s="11">
        <v>0</v>
      </c>
    </row>
    <row r="59" spans="1:46" ht="18" customHeight="1">
      <c r="A59" s="260" t="s">
        <v>144</v>
      </c>
      <c r="B59" s="260" t="s">
        <v>145</v>
      </c>
      <c r="C59" s="260" t="s">
        <v>100</v>
      </c>
      <c r="D59" s="260" t="s">
        <v>508</v>
      </c>
      <c r="E59" s="260" t="s">
        <v>870</v>
      </c>
      <c r="F59" s="260" t="s">
        <v>909</v>
      </c>
      <c r="G59" s="260" t="s">
        <v>910</v>
      </c>
      <c r="H59" s="260" t="s">
        <v>2797</v>
      </c>
      <c r="I59" s="260"/>
      <c r="J59" s="260"/>
      <c r="K59" s="260" t="s">
        <v>2798</v>
      </c>
      <c r="L59" s="260" t="s">
        <v>2799</v>
      </c>
      <c r="M59" s="260" t="s">
        <v>2800</v>
      </c>
      <c r="N59" s="260" t="s">
        <v>111</v>
      </c>
      <c r="O59" s="260" t="s">
        <v>112</v>
      </c>
      <c r="P59" s="10">
        <v>0</v>
      </c>
      <c r="Q59" s="11">
        <v>6</v>
      </c>
      <c r="R59" s="11">
        <v>0</v>
      </c>
      <c r="S59" s="261"/>
      <c r="T59" s="11">
        <v>0</v>
      </c>
      <c r="U59" s="11">
        <v>0</v>
      </c>
      <c r="V59" s="11">
        <v>0</v>
      </c>
      <c r="W59" s="11">
        <v>0</v>
      </c>
      <c r="X59" s="11">
        <v>0</v>
      </c>
      <c r="Y59" s="11">
        <v>0</v>
      </c>
      <c r="Z59" s="11">
        <v>0</v>
      </c>
      <c r="AA59" s="11">
        <v>0</v>
      </c>
      <c r="AB59" s="11">
        <v>0</v>
      </c>
      <c r="AC59" s="11">
        <v>0</v>
      </c>
      <c r="AD59" s="261">
        <v>1</v>
      </c>
      <c r="AE59" s="208">
        <v>0</v>
      </c>
      <c r="AF59" s="411">
        <v>1</v>
      </c>
      <c r="AG59" s="176"/>
      <c r="AH59" s="176">
        <f>AF59</f>
        <v>1</v>
      </c>
      <c r="AI59" s="176"/>
      <c r="AJ59" s="56" t="s">
        <v>3673</v>
      </c>
      <c r="AK59" s="56"/>
      <c r="AL59" s="56"/>
      <c r="AM59" s="56"/>
      <c r="AN59" s="56"/>
      <c r="AO59" s="11">
        <v>3</v>
      </c>
      <c r="AP59" s="11">
        <v>0</v>
      </c>
      <c r="AQ59" s="11">
        <v>2</v>
      </c>
      <c r="AR59" s="11">
        <v>0</v>
      </c>
      <c r="AS59" s="11">
        <v>0</v>
      </c>
      <c r="AT59" s="11">
        <v>0</v>
      </c>
    </row>
    <row r="60" spans="1:46" s="3" customFormat="1">
      <c r="L60" s="5"/>
      <c r="AM60" s="124"/>
    </row>
  </sheetData>
  <sheetProtection autoFilter="0"/>
  <autoFilter ref="A12:IZ59" xr:uid="{00000000-0009-0000-0000-00000E000000}"/>
  <customSheetViews>
    <customSheetView guid="{75629C99-8367-48E9-A2A2-D8C49A9E68E3}" scale="80" showGridLines="0" showAutoFilter="1" hiddenRows="1" topLeftCell="J7">
      <selection activeCell="AH57" sqref="AH57"/>
      <pageMargins left="0" right="0" top="0" bottom="0" header="0" footer="0"/>
      <pageSetup orientation="portrait" r:id="rId1"/>
      <autoFilter ref="A12:IZ58" xr:uid="{6EF208B6-CD4B-4E45-9EE8-850D448C426F}"/>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A904F-BEE8-427D-8A0D-3C79FEBAF557}">
  <dimension ref="A1"/>
  <sheetViews>
    <sheetView workbookViewId="0"/>
  </sheetViews>
  <sheetFormatPr defaultColWidth="8.85546875" defaultRowHeight="14.4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T28"/>
  <sheetViews>
    <sheetView topLeftCell="X17" zoomScale="80" zoomScaleNormal="80" workbookViewId="0">
      <selection activeCell="AF25" sqref="AF25"/>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1434</v>
      </c>
      <c r="B13" s="260" t="s">
        <v>1435</v>
      </c>
      <c r="C13" s="260" t="s">
        <v>1286</v>
      </c>
      <c r="D13" s="260" t="s">
        <v>1389</v>
      </c>
      <c r="E13" s="260" t="s">
        <v>1411</v>
      </c>
      <c r="F13" s="260" t="s">
        <v>1412</v>
      </c>
      <c r="G13" s="260" t="s">
        <v>1413</v>
      </c>
      <c r="H13" s="260" t="s">
        <v>1436</v>
      </c>
      <c r="I13" s="260"/>
      <c r="J13" s="260"/>
      <c r="K13" s="260" t="s">
        <v>1437</v>
      </c>
      <c r="L13" s="260" t="s">
        <v>1438</v>
      </c>
      <c r="M13" s="260" t="s">
        <v>1439</v>
      </c>
      <c r="N13" s="260" t="s">
        <v>111</v>
      </c>
      <c r="O13" s="260" t="s">
        <v>112</v>
      </c>
      <c r="P13" s="10">
        <v>0</v>
      </c>
      <c r="Q13" s="11">
        <v>1</v>
      </c>
      <c r="R13" s="11">
        <f t="shared" ref="R13" si="0">Z13+AH13</f>
        <v>0.48000000000000004</v>
      </c>
      <c r="S13" s="248" t="str">
        <f>AI13</f>
        <v>Se realizó taller de emprendimiento digital, con  acompañamiento del MINTIC,  
Se iniciara en el mes de diciembre  un PROCESO DE FORMACIÓN CERTIFICADA EN HERRAMIENTAS TIC PARA IMPULSAR EL EMPRENDIMIENTO DE JÓVENES EN CUNDINAMARCA".</v>
      </c>
      <c r="T13" s="11">
        <v>0</v>
      </c>
      <c r="U13" s="11">
        <v>0</v>
      </c>
      <c r="V13" s="11">
        <v>0</v>
      </c>
      <c r="W13" s="11">
        <v>0</v>
      </c>
      <c r="X13" s="11">
        <v>0</v>
      </c>
      <c r="Y13" s="11">
        <v>0</v>
      </c>
      <c r="Z13" s="11">
        <v>0</v>
      </c>
      <c r="AA13" s="11"/>
      <c r="AB13" s="11"/>
      <c r="AC13" s="11"/>
      <c r="AD13" s="11">
        <v>0.5</v>
      </c>
      <c r="AE13" s="11">
        <v>0</v>
      </c>
      <c r="AF13" s="343">
        <f>0.3+0.02+0.08+0.08</f>
        <v>0.48000000000000004</v>
      </c>
      <c r="AG13" s="374">
        <v>0</v>
      </c>
      <c r="AH13" s="368">
        <f>AF13</f>
        <v>0.48000000000000004</v>
      </c>
      <c r="AI13" s="344" t="s">
        <v>3674</v>
      </c>
      <c r="AJ13" s="344" t="str">
        <f>AI13</f>
        <v>Se realizó taller de emprendimiento digital, con  acompañamiento del MINTIC,  
Se iniciara en el mes de diciembre  un PROCESO DE FORMACIÓN CERTIFICADA EN HERRAMIENTAS TIC PARA IMPULSAR EL EMPRENDIMIENTO DE JÓVENES EN CUNDINAMARCA".</v>
      </c>
      <c r="AK13" s="261"/>
      <c r="AL13" s="261"/>
      <c r="AM13" s="118"/>
      <c r="AN13" s="261"/>
      <c r="AO13" s="11">
        <v>0.5</v>
      </c>
      <c r="AP13" s="11">
        <v>0</v>
      </c>
      <c r="AQ13" s="11">
        <v>0</v>
      </c>
      <c r="AR13" s="11">
        <v>0</v>
      </c>
      <c r="AS13" s="11">
        <v>0</v>
      </c>
      <c r="AT13" s="11">
        <v>0</v>
      </c>
    </row>
    <row r="14" spans="1:46" ht="18" customHeight="1">
      <c r="A14" s="260" t="s">
        <v>1434</v>
      </c>
      <c r="B14" s="260" t="s">
        <v>1435</v>
      </c>
      <c r="C14" s="260" t="s">
        <v>1286</v>
      </c>
      <c r="D14" s="260" t="s">
        <v>1389</v>
      </c>
      <c r="E14" s="260" t="s">
        <v>1411</v>
      </c>
      <c r="F14" s="260" t="s">
        <v>1440</v>
      </c>
      <c r="G14" s="260" t="s">
        <v>1441</v>
      </c>
      <c r="H14" s="260" t="s">
        <v>1442</v>
      </c>
      <c r="I14" s="260"/>
      <c r="J14" s="260"/>
      <c r="K14" s="260" t="s">
        <v>1443</v>
      </c>
      <c r="L14" s="260" t="s">
        <v>1444</v>
      </c>
      <c r="M14" s="260" t="s">
        <v>1445</v>
      </c>
      <c r="N14" s="260" t="s">
        <v>111</v>
      </c>
      <c r="O14" s="260" t="s">
        <v>124</v>
      </c>
      <c r="P14" s="10">
        <v>5</v>
      </c>
      <c r="Q14" s="11">
        <v>8</v>
      </c>
      <c r="R14" s="11">
        <f>(Z14+AH14)/2</f>
        <v>8</v>
      </c>
      <c r="S14" s="261" t="str">
        <f>AI14</f>
        <v>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v>
      </c>
      <c r="T14" s="11">
        <v>0</v>
      </c>
      <c r="U14" s="11">
        <v>8</v>
      </c>
      <c r="V14" s="11">
        <v>0</v>
      </c>
      <c r="W14" s="11">
        <v>8</v>
      </c>
      <c r="X14" s="11" t="s">
        <v>115</v>
      </c>
      <c r="Y14" s="11">
        <v>8</v>
      </c>
      <c r="Z14" s="11">
        <v>8</v>
      </c>
      <c r="AA14" s="11" t="s">
        <v>1446</v>
      </c>
      <c r="AB14" s="11" t="s">
        <v>1447</v>
      </c>
      <c r="AC14" s="11">
        <v>0</v>
      </c>
      <c r="AD14" s="11">
        <v>0</v>
      </c>
      <c r="AE14" s="11">
        <v>8</v>
      </c>
      <c r="AF14" s="261">
        <v>0</v>
      </c>
      <c r="AG14" s="372">
        <v>8</v>
      </c>
      <c r="AH14" s="373">
        <f>AG14</f>
        <v>8</v>
      </c>
      <c r="AI14" s="361" t="s">
        <v>3675</v>
      </c>
      <c r="AJ14" s="343" t="str">
        <f t="shared" ref="AJ14:AJ23" si="1">AI14</f>
        <v>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v>
      </c>
      <c r="AK14" s="261"/>
      <c r="AL14" s="261"/>
      <c r="AM14" s="118"/>
      <c r="AN14" s="261"/>
      <c r="AO14" s="11">
        <v>0</v>
      </c>
      <c r="AP14" s="11">
        <v>8</v>
      </c>
      <c r="AQ14" s="11">
        <v>0</v>
      </c>
      <c r="AR14" s="11">
        <v>8</v>
      </c>
      <c r="AS14" s="11">
        <v>0</v>
      </c>
      <c r="AT14" s="11">
        <v>0</v>
      </c>
    </row>
    <row r="15" spans="1:46" ht="18" customHeight="1">
      <c r="A15" s="260" t="s">
        <v>1434</v>
      </c>
      <c r="B15" s="260" t="s">
        <v>1435</v>
      </c>
      <c r="C15" s="260" t="s">
        <v>1286</v>
      </c>
      <c r="D15" s="260" t="s">
        <v>1389</v>
      </c>
      <c r="E15" s="260" t="s">
        <v>1411</v>
      </c>
      <c r="F15" s="260" t="s">
        <v>1440</v>
      </c>
      <c r="G15" s="260" t="s">
        <v>1441</v>
      </c>
      <c r="H15" s="260" t="s">
        <v>1448</v>
      </c>
      <c r="I15" s="260"/>
      <c r="J15" s="260"/>
      <c r="K15" s="260" t="s">
        <v>1449</v>
      </c>
      <c r="L15" s="260" t="s">
        <v>1450</v>
      </c>
      <c r="M15" s="260" t="s">
        <v>1451</v>
      </c>
      <c r="N15" s="260" t="s">
        <v>111</v>
      </c>
      <c r="O15" s="260" t="s">
        <v>124</v>
      </c>
      <c r="P15" s="10">
        <v>0</v>
      </c>
      <c r="Q15" s="11">
        <v>100</v>
      </c>
      <c r="R15" s="11">
        <f t="shared" ref="R15:R19" si="2">Z15+AH15</f>
        <v>176</v>
      </c>
      <c r="S15" s="261" t="s">
        <v>3676</v>
      </c>
      <c r="T15" s="11">
        <v>30</v>
      </c>
      <c r="U15" s="11">
        <v>0</v>
      </c>
      <c r="V15" s="11">
        <v>30</v>
      </c>
      <c r="W15" s="11">
        <v>0</v>
      </c>
      <c r="X15" s="11">
        <v>60</v>
      </c>
      <c r="Y15" s="11">
        <v>0</v>
      </c>
      <c r="Z15" s="11">
        <v>60</v>
      </c>
      <c r="AA15" s="11" t="s">
        <v>1446</v>
      </c>
      <c r="AB15" s="11" t="s">
        <v>1452</v>
      </c>
      <c r="AC15" s="11">
        <v>0</v>
      </c>
      <c r="AD15" s="11">
        <v>0</v>
      </c>
      <c r="AE15" s="11">
        <v>100</v>
      </c>
      <c r="AF15" s="261">
        <v>0</v>
      </c>
      <c r="AG15" s="372">
        <v>116</v>
      </c>
      <c r="AH15" s="371">
        <f>AG15</f>
        <v>116</v>
      </c>
      <c r="AI15" s="369" t="s">
        <v>3677</v>
      </c>
      <c r="AJ15" s="343" t="str">
        <f t="shared" si="1"/>
        <v>LA  ADC BRINDA SERVICIO DE CONECTIVIDAD A 116 SEDES PUBLICAS DE SALUD</v>
      </c>
      <c r="AK15" s="261"/>
      <c r="AL15" s="261"/>
      <c r="AM15" s="118"/>
      <c r="AN15" s="261"/>
      <c r="AO15" s="11">
        <v>0</v>
      </c>
      <c r="AP15" s="11">
        <v>100</v>
      </c>
      <c r="AQ15" s="11">
        <v>0</v>
      </c>
      <c r="AR15" s="11">
        <v>100</v>
      </c>
      <c r="AS15" s="11">
        <v>0</v>
      </c>
      <c r="AT15" s="11">
        <v>0</v>
      </c>
    </row>
    <row r="16" spans="1:46" ht="18" customHeight="1">
      <c r="A16" s="260" t="s">
        <v>1434</v>
      </c>
      <c r="B16" s="260" t="s">
        <v>1435</v>
      </c>
      <c r="C16" s="260" t="s">
        <v>1286</v>
      </c>
      <c r="D16" s="260" t="s">
        <v>1389</v>
      </c>
      <c r="E16" s="260" t="s">
        <v>1411</v>
      </c>
      <c r="F16" s="260" t="s">
        <v>1440</v>
      </c>
      <c r="G16" s="260" t="s">
        <v>1441</v>
      </c>
      <c r="H16" s="260" t="s">
        <v>1453</v>
      </c>
      <c r="I16" s="260"/>
      <c r="J16" s="260"/>
      <c r="K16" s="260" t="s">
        <v>1454</v>
      </c>
      <c r="L16" s="260" t="s">
        <v>1455</v>
      </c>
      <c r="M16" s="260" t="s">
        <v>1456</v>
      </c>
      <c r="N16" s="260" t="s">
        <v>111</v>
      </c>
      <c r="O16" s="260" t="s">
        <v>124</v>
      </c>
      <c r="P16" s="10">
        <v>0</v>
      </c>
      <c r="Q16" s="11">
        <v>6</v>
      </c>
      <c r="R16" s="11">
        <f t="shared" si="2"/>
        <v>11749</v>
      </c>
      <c r="S16" s="261" t="s">
        <v>3678</v>
      </c>
      <c r="T16" s="11">
        <v>10000</v>
      </c>
      <c r="U16" s="11">
        <v>0</v>
      </c>
      <c r="V16" s="11">
        <v>10000</v>
      </c>
      <c r="W16" s="11">
        <v>0</v>
      </c>
      <c r="X16" s="11">
        <v>11743</v>
      </c>
      <c r="Y16" s="11">
        <v>0</v>
      </c>
      <c r="Z16" s="11">
        <v>11743</v>
      </c>
      <c r="AA16" s="11" t="s">
        <v>1457</v>
      </c>
      <c r="AB16" s="11" t="s">
        <v>1458</v>
      </c>
      <c r="AC16" s="11">
        <v>0</v>
      </c>
      <c r="AD16" s="11">
        <v>0</v>
      </c>
      <c r="AE16" s="11">
        <v>6</v>
      </c>
      <c r="AF16" s="261">
        <v>0</v>
      </c>
      <c r="AG16" s="372">
        <v>6</v>
      </c>
      <c r="AH16" s="371">
        <f>AG16</f>
        <v>6</v>
      </c>
      <c r="AI16" s="343" t="s">
        <v>3679</v>
      </c>
      <c r="AJ16" s="343" t="s">
        <v>3680</v>
      </c>
      <c r="AK16" s="261"/>
      <c r="AL16" s="261"/>
      <c r="AM16" s="118"/>
      <c r="AN16" s="261"/>
      <c r="AO16" s="11">
        <v>0</v>
      </c>
      <c r="AP16" s="11">
        <v>6</v>
      </c>
      <c r="AQ16" s="11">
        <v>0</v>
      </c>
      <c r="AR16" s="11">
        <v>6</v>
      </c>
      <c r="AS16" s="11">
        <v>0</v>
      </c>
      <c r="AT16" s="11">
        <v>0</v>
      </c>
    </row>
    <row r="17" spans="1:46" ht="18" customHeight="1">
      <c r="A17" s="260" t="s">
        <v>1434</v>
      </c>
      <c r="B17" s="260" t="s">
        <v>1435</v>
      </c>
      <c r="C17" s="260" t="s">
        <v>1286</v>
      </c>
      <c r="D17" s="260" t="s">
        <v>1389</v>
      </c>
      <c r="E17" s="260" t="s">
        <v>1411</v>
      </c>
      <c r="F17" s="260" t="s">
        <v>1440</v>
      </c>
      <c r="G17" s="260" t="s">
        <v>1441</v>
      </c>
      <c r="H17" s="260" t="s">
        <v>1459</v>
      </c>
      <c r="I17" s="260"/>
      <c r="J17" s="260"/>
      <c r="K17" s="260" t="s">
        <v>1460</v>
      </c>
      <c r="L17" s="260" t="s">
        <v>1461</v>
      </c>
      <c r="M17" s="260" t="s">
        <v>1462</v>
      </c>
      <c r="N17" s="260" t="s">
        <v>111</v>
      </c>
      <c r="O17" s="260" t="s">
        <v>112</v>
      </c>
      <c r="P17" s="10">
        <v>1</v>
      </c>
      <c r="Q17" s="11">
        <v>2</v>
      </c>
      <c r="R17" s="11">
        <f t="shared" si="2"/>
        <v>1</v>
      </c>
      <c r="S17" s="71" t="s">
        <v>3681</v>
      </c>
      <c r="T17" s="11">
        <v>0</v>
      </c>
      <c r="U17" s="11">
        <v>0</v>
      </c>
      <c r="V17" s="11">
        <v>0</v>
      </c>
      <c r="W17" s="11">
        <v>0</v>
      </c>
      <c r="X17" s="11">
        <v>0</v>
      </c>
      <c r="Y17" s="11">
        <v>0</v>
      </c>
      <c r="Z17" s="11">
        <v>0</v>
      </c>
      <c r="AA17" s="11"/>
      <c r="AB17" s="11"/>
      <c r="AC17" s="11"/>
      <c r="AD17" s="11">
        <v>1</v>
      </c>
      <c r="AE17" s="11">
        <v>0</v>
      </c>
      <c r="AF17" s="372">
        <v>1</v>
      </c>
      <c r="AG17" s="374">
        <v>0</v>
      </c>
      <c r="AH17" s="371">
        <f t="shared" ref="AH17:AH18" si="3">AF17</f>
        <v>1</v>
      </c>
      <c r="AI17" s="361" t="s">
        <v>3682</v>
      </c>
      <c r="AJ17" s="361" t="str">
        <f t="shared" si="1"/>
        <v>1. El proyecto Regiobici Cundinamarca, resultó ganador entre los presentados por la región de centro-oriente y es ahora un modelo o proyecto tipo para las demás entidades territoriales. 2. Se suscribió el CONTRATO INTERADMINISTRATIVO STM – CDCTI - 466 -2021, entre la Secretaría de Movilidad y la Universidad Nacional de Colombia que tiene por objeto realizar los "ESTUDIOS DE DEMANDA PARA LA IMPLEMENTACIÓN DEL SISTEMA PÚBLICO DE BICICLETAS – REGIOBICI – EN LOS MUNICIPIOS DE MOSQUERA Y FUNZA", dicho estudio debe ser entregado en el mes de diciembre.</v>
      </c>
      <c r="AK17" s="261"/>
      <c r="AL17" s="261"/>
      <c r="AM17" s="118"/>
      <c r="AN17" s="261"/>
      <c r="AO17" s="11">
        <v>1</v>
      </c>
      <c r="AP17" s="11">
        <v>0</v>
      </c>
      <c r="AQ17" s="11">
        <v>0</v>
      </c>
      <c r="AR17" s="11">
        <v>0</v>
      </c>
      <c r="AS17" s="11">
        <v>0</v>
      </c>
      <c r="AT17" s="11">
        <v>0</v>
      </c>
    </row>
    <row r="18" spans="1:46" ht="18" customHeight="1">
      <c r="A18" s="260" t="s">
        <v>1434</v>
      </c>
      <c r="B18" s="260" t="s">
        <v>1435</v>
      </c>
      <c r="C18" s="260" t="s">
        <v>1286</v>
      </c>
      <c r="D18" s="260" t="s">
        <v>1389</v>
      </c>
      <c r="E18" s="260" t="s">
        <v>1411</v>
      </c>
      <c r="F18" s="260" t="s">
        <v>1440</v>
      </c>
      <c r="G18" s="260" t="s">
        <v>1441</v>
      </c>
      <c r="H18" s="260" t="s">
        <v>1463</v>
      </c>
      <c r="I18" s="260"/>
      <c r="J18" s="260"/>
      <c r="K18" s="260" t="s">
        <v>1464</v>
      </c>
      <c r="L18" s="260" t="s">
        <v>1465</v>
      </c>
      <c r="M18" s="260" t="s">
        <v>1466</v>
      </c>
      <c r="N18" s="260" t="s">
        <v>123</v>
      </c>
      <c r="O18" s="260" t="s">
        <v>112</v>
      </c>
      <c r="P18" s="10">
        <v>78</v>
      </c>
      <c r="Q18" s="11">
        <v>100</v>
      </c>
      <c r="R18" s="11">
        <f t="shared" si="2"/>
        <v>51</v>
      </c>
      <c r="S18" s="261" t="s">
        <v>1468</v>
      </c>
      <c r="T18" s="11">
        <v>10</v>
      </c>
      <c r="U18" s="11">
        <v>0</v>
      </c>
      <c r="V18" s="11">
        <v>10</v>
      </c>
      <c r="W18" s="11">
        <v>0</v>
      </c>
      <c r="X18" s="11">
        <v>46</v>
      </c>
      <c r="Y18" s="11">
        <v>0</v>
      </c>
      <c r="Z18" s="11">
        <v>46</v>
      </c>
      <c r="AA18" s="11" t="s">
        <v>1467</v>
      </c>
      <c r="AB18" s="11" t="s">
        <v>1468</v>
      </c>
      <c r="AC18" s="11">
        <v>0</v>
      </c>
      <c r="AD18" s="11">
        <v>6</v>
      </c>
      <c r="AE18" s="11">
        <v>0</v>
      </c>
      <c r="AF18" s="372">
        <v>5</v>
      </c>
      <c r="AG18" s="261"/>
      <c r="AH18" s="371">
        <f t="shared" si="3"/>
        <v>5</v>
      </c>
      <c r="AI18" s="343" t="s">
        <v>3683</v>
      </c>
      <c r="AJ18" s="361" t="str">
        <f t="shared" si="1"/>
        <v>A LA FECHA SE ENCUENTRAN OPERATIVOS 51 CENTROS INTERACTIVOS (65% DE LOS CENTROS INSTALADOS)</v>
      </c>
      <c r="AK18" s="261"/>
      <c r="AL18" s="261"/>
      <c r="AM18" s="118"/>
      <c r="AN18" s="261"/>
      <c r="AO18" s="11">
        <v>41</v>
      </c>
      <c r="AP18" s="11">
        <v>0</v>
      </c>
      <c r="AQ18" s="11">
        <v>0</v>
      </c>
      <c r="AR18" s="11">
        <v>0</v>
      </c>
      <c r="AS18" s="11">
        <v>0</v>
      </c>
      <c r="AT18" s="11">
        <v>0</v>
      </c>
    </row>
    <row r="19" spans="1:46" ht="18" customHeight="1">
      <c r="A19" s="260" t="s">
        <v>1434</v>
      </c>
      <c r="B19" s="260" t="s">
        <v>1435</v>
      </c>
      <c r="C19" s="260" t="s">
        <v>1828</v>
      </c>
      <c r="D19" s="260" t="s">
        <v>2062</v>
      </c>
      <c r="E19" s="260" t="s">
        <v>2097</v>
      </c>
      <c r="F19" s="260" t="s">
        <v>2105</v>
      </c>
      <c r="G19" s="260" t="s">
        <v>2106</v>
      </c>
      <c r="H19" s="260" t="s">
        <v>2123</v>
      </c>
      <c r="I19" s="260"/>
      <c r="J19" s="260"/>
      <c r="K19" s="260" t="s">
        <v>2124</v>
      </c>
      <c r="L19" s="260" t="s">
        <v>2125</v>
      </c>
      <c r="M19" s="260" t="s">
        <v>2126</v>
      </c>
      <c r="N19" s="260" t="s">
        <v>111</v>
      </c>
      <c r="O19" s="260" t="s">
        <v>112</v>
      </c>
      <c r="P19" s="10">
        <v>150</v>
      </c>
      <c r="Q19" s="11">
        <v>120</v>
      </c>
      <c r="R19" s="11">
        <f t="shared" si="2"/>
        <v>52.480000000000004</v>
      </c>
      <c r="S19" s="261" t="s">
        <v>3684</v>
      </c>
      <c r="T19" s="11">
        <v>5</v>
      </c>
      <c r="U19" s="11">
        <v>0</v>
      </c>
      <c r="V19" s="11">
        <v>5</v>
      </c>
      <c r="W19" s="11">
        <v>0</v>
      </c>
      <c r="X19" s="11">
        <v>5.0199999999999996</v>
      </c>
      <c r="Y19" s="11">
        <v>0</v>
      </c>
      <c r="Z19" s="11">
        <v>5.0199999999999996</v>
      </c>
      <c r="AA19" s="11" t="s">
        <v>2127</v>
      </c>
      <c r="AB19" s="11" t="s">
        <v>2128</v>
      </c>
      <c r="AC19" s="11">
        <v>0</v>
      </c>
      <c r="AD19" s="11">
        <v>40</v>
      </c>
      <c r="AE19" s="11">
        <v>0</v>
      </c>
      <c r="AF19" s="343">
        <v>47.46</v>
      </c>
      <c r="AG19" s="261">
        <v>0</v>
      </c>
      <c r="AH19" s="368">
        <f t="shared" ref="AH19" si="4">AF19</f>
        <v>47.46</v>
      </c>
      <c r="AI19" s="366" t="s">
        <v>3685</v>
      </c>
      <c r="AJ19" s="366" t="s">
        <v>3686</v>
      </c>
      <c r="AK19" s="261"/>
      <c r="AL19" s="261"/>
      <c r="AM19" s="118"/>
      <c r="AN19" s="261"/>
      <c r="AO19" s="11">
        <v>40</v>
      </c>
      <c r="AP19" s="11">
        <v>0</v>
      </c>
      <c r="AQ19" s="11">
        <v>35</v>
      </c>
      <c r="AR19" s="11">
        <v>0</v>
      </c>
      <c r="AS19" s="11">
        <v>0</v>
      </c>
      <c r="AT19" s="11">
        <v>0</v>
      </c>
    </row>
    <row r="20" spans="1:46" ht="18" customHeight="1">
      <c r="A20" s="260" t="s">
        <v>1434</v>
      </c>
      <c r="B20" s="260" t="s">
        <v>1435</v>
      </c>
      <c r="C20" s="260" t="s">
        <v>2371</v>
      </c>
      <c r="D20" s="260" t="s">
        <v>2702</v>
      </c>
      <c r="E20" s="260" t="s">
        <v>2703</v>
      </c>
      <c r="F20" s="260" t="s">
        <v>2704</v>
      </c>
      <c r="G20" s="260" t="s">
        <v>2705</v>
      </c>
      <c r="H20" s="260" t="s">
        <v>2714</v>
      </c>
      <c r="I20" s="260"/>
      <c r="J20" s="260"/>
      <c r="K20" s="260" t="s">
        <v>2715</v>
      </c>
      <c r="L20" s="260" t="s">
        <v>2716</v>
      </c>
      <c r="M20" s="260" t="s">
        <v>2717</v>
      </c>
      <c r="N20" s="260" t="s">
        <v>123</v>
      </c>
      <c r="O20" s="260" t="s">
        <v>124</v>
      </c>
      <c r="P20" s="10">
        <v>100</v>
      </c>
      <c r="Q20" s="11">
        <v>100</v>
      </c>
      <c r="R20" s="11">
        <f t="shared" ref="R20:R22" si="5">(Z20+AH20)/2</f>
        <v>100</v>
      </c>
      <c r="S20" s="261" t="s">
        <v>2719</v>
      </c>
      <c r="T20" s="11">
        <v>0</v>
      </c>
      <c r="U20" s="11">
        <v>100</v>
      </c>
      <c r="V20" s="11">
        <v>0</v>
      </c>
      <c r="W20" s="11">
        <v>100</v>
      </c>
      <c r="X20" s="11" t="s">
        <v>115</v>
      </c>
      <c r="Y20" s="11">
        <v>100</v>
      </c>
      <c r="Z20" s="11">
        <v>100</v>
      </c>
      <c r="AA20" s="11" t="s">
        <v>2718</v>
      </c>
      <c r="AB20" s="11" t="s">
        <v>2719</v>
      </c>
      <c r="AC20" s="11">
        <v>0</v>
      </c>
      <c r="AD20" s="11">
        <v>0</v>
      </c>
      <c r="AE20" s="11">
        <v>100</v>
      </c>
      <c r="AF20" s="261">
        <v>0</v>
      </c>
      <c r="AG20" s="372">
        <f>100</f>
        <v>100</v>
      </c>
      <c r="AH20" s="373">
        <f>AG20</f>
        <v>100</v>
      </c>
      <c r="AI20" s="343" t="s">
        <v>3687</v>
      </c>
      <c r="AJ20" s="343" t="str">
        <f t="shared" si="1"/>
        <v>Todas las 26 entidades del departamento se han atendido con capacitación en temas de Gobierno Digital</v>
      </c>
      <c r="AK20" s="261"/>
      <c r="AL20" s="261"/>
      <c r="AM20" s="118"/>
      <c r="AN20" s="261"/>
      <c r="AO20" s="11">
        <v>0</v>
      </c>
      <c r="AP20" s="11">
        <v>100</v>
      </c>
      <c r="AQ20" s="11">
        <v>0</v>
      </c>
      <c r="AR20" s="11">
        <v>100</v>
      </c>
      <c r="AS20" s="11">
        <v>0</v>
      </c>
      <c r="AT20" s="11">
        <v>0</v>
      </c>
    </row>
    <row r="21" spans="1:46" ht="18" customHeight="1">
      <c r="A21" s="260" t="s">
        <v>1434</v>
      </c>
      <c r="B21" s="260" t="s">
        <v>1435</v>
      </c>
      <c r="C21" s="260" t="s">
        <v>2371</v>
      </c>
      <c r="D21" s="260" t="s">
        <v>2702</v>
      </c>
      <c r="E21" s="260" t="s">
        <v>2703</v>
      </c>
      <c r="F21" s="260" t="s">
        <v>2704</v>
      </c>
      <c r="G21" s="260" t="s">
        <v>2705</v>
      </c>
      <c r="H21" s="260" t="s">
        <v>2720</v>
      </c>
      <c r="I21" s="260"/>
      <c r="J21" s="260"/>
      <c r="K21" s="260" t="s">
        <v>2721</v>
      </c>
      <c r="L21" s="260" t="s">
        <v>2722</v>
      </c>
      <c r="M21" s="260" t="s">
        <v>2723</v>
      </c>
      <c r="N21" s="260" t="s">
        <v>111</v>
      </c>
      <c r="O21" s="260" t="s">
        <v>124</v>
      </c>
      <c r="P21" s="10">
        <v>116</v>
      </c>
      <c r="Q21" s="11">
        <v>116</v>
      </c>
      <c r="R21" s="11">
        <f t="shared" si="5"/>
        <v>116</v>
      </c>
      <c r="S21" s="261" t="s">
        <v>3688</v>
      </c>
      <c r="T21" s="11">
        <v>0</v>
      </c>
      <c r="U21" s="11">
        <v>116</v>
      </c>
      <c r="V21" s="11">
        <v>0</v>
      </c>
      <c r="W21" s="11">
        <v>116</v>
      </c>
      <c r="X21" s="11" t="s">
        <v>115</v>
      </c>
      <c r="Y21" s="11">
        <v>116</v>
      </c>
      <c r="Z21" s="11">
        <v>116</v>
      </c>
      <c r="AA21" s="11" t="s">
        <v>2724</v>
      </c>
      <c r="AB21" s="11" t="s">
        <v>2725</v>
      </c>
      <c r="AC21" s="11">
        <v>0</v>
      </c>
      <c r="AD21" s="11">
        <v>0</v>
      </c>
      <c r="AE21" s="11">
        <v>116</v>
      </c>
      <c r="AF21" s="261">
        <v>0</v>
      </c>
      <c r="AG21" s="372">
        <v>116</v>
      </c>
      <c r="AH21" s="373">
        <f t="shared" ref="AH21:AH22" si="6">AG21</f>
        <v>116</v>
      </c>
      <c r="AI21" s="343" t="s">
        <v>3689</v>
      </c>
      <c r="AJ21" s="343" t="str">
        <f t="shared" si="1"/>
        <v>Se han atendido las solicitudes efectuadas por los 116 municipios</v>
      </c>
      <c r="AK21" s="261"/>
      <c r="AL21" s="261"/>
      <c r="AM21" s="118"/>
      <c r="AN21" s="261"/>
      <c r="AO21" s="11">
        <v>0</v>
      </c>
      <c r="AP21" s="11">
        <v>116</v>
      </c>
      <c r="AQ21" s="11">
        <v>0</v>
      </c>
      <c r="AR21" s="11">
        <v>116</v>
      </c>
      <c r="AS21" s="11">
        <v>0</v>
      </c>
      <c r="AT21" s="11">
        <v>0</v>
      </c>
    </row>
    <row r="22" spans="1:46" ht="18" customHeight="1">
      <c r="A22" s="260" t="s">
        <v>1434</v>
      </c>
      <c r="B22" s="260" t="s">
        <v>1435</v>
      </c>
      <c r="C22" s="260" t="s">
        <v>2371</v>
      </c>
      <c r="D22" s="260" t="s">
        <v>2702</v>
      </c>
      <c r="E22" s="260" t="s">
        <v>2703</v>
      </c>
      <c r="F22" s="260" t="s">
        <v>2704</v>
      </c>
      <c r="G22" s="260" t="s">
        <v>2705</v>
      </c>
      <c r="H22" s="260" t="s">
        <v>2726</v>
      </c>
      <c r="I22" s="260"/>
      <c r="J22" s="260"/>
      <c r="K22" s="260" t="s">
        <v>2727</v>
      </c>
      <c r="L22" s="260" t="s">
        <v>2728</v>
      </c>
      <c r="M22" s="260" t="s">
        <v>2729</v>
      </c>
      <c r="N22" s="260" t="s">
        <v>111</v>
      </c>
      <c r="O22" s="260" t="s">
        <v>124</v>
      </c>
      <c r="P22" s="10">
        <v>9</v>
      </c>
      <c r="Q22" s="11">
        <v>9</v>
      </c>
      <c r="R22" s="11">
        <f t="shared" si="5"/>
        <v>9</v>
      </c>
      <c r="S22" s="261" t="s">
        <v>3690</v>
      </c>
      <c r="T22" s="11">
        <v>0</v>
      </c>
      <c r="U22" s="11">
        <v>9</v>
      </c>
      <c r="V22" s="11">
        <v>0</v>
      </c>
      <c r="W22" s="11">
        <v>9</v>
      </c>
      <c r="X22" s="11" t="s">
        <v>115</v>
      </c>
      <c r="Y22" s="11">
        <v>9</v>
      </c>
      <c r="Z22" s="11">
        <v>9</v>
      </c>
      <c r="AA22" s="11" t="s">
        <v>2730</v>
      </c>
      <c r="AB22" s="11" t="s">
        <v>2731</v>
      </c>
      <c r="AC22" s="11">
        <v>0</v>
      </c>
      <c r="AD22" s="11">
        <v>0</v>
      </c>
      <c r="AE22" s="11">
        <v>9</v>
      </c>
      <c r="AF22" s="261">
        <v>0</v>
      </c>
      <c r="AG22" s="372">
        <v>9</v>
      </c>
      <c r="AH22" s="373">
        <f t="shared" si="6"/>
        <v>9</v>
      </c>
      <c r="AI22" s="343" t="s">
        <v>3691</v>
      </c>
      <c r="AJ22" s="343" t="str">
        <f t="shared" si="1"/>
        <v>Se han mantenido disponibles los servicios asociados a los 9  sistemas de información: 1. MERCURIO, 2. ISOLUCIÓN, 3. SISTEMA DE SEGUIMIENTO AL PLAN DE DESARROLLO, 4. KACTUS, 5. SAGA, 6. INTEGRACIÓN REGISTRADURÍA, 7. SUPERVISA, 8. BANCO DE PROYECTOS, 9. SWIM. Mediante la renovación de los contratos de soporte y mantenimiento con los proveedores y/o fabricantes. y la contratación del personal capacitado que brindan el soporte y administración de las plataformas que lo requieran.</v>
      </c>
      <c r="AK22" s="261"/>
      <c r="AL22" s="261"/>
      <c r="AM22" s="118"/>
      <c r="AN22" s="261"/>
      <c r="AO22" s="11">
        <v>0</v>
      </c>
      <c r="AP22" s="11">
        <v>9</v>
      </c>
      <c r="AQ22" s="11">
        <v>0</v>
      </c>
      <c r="AR22" s="11">
        <v>9</v>
      </c>
      <c r="AS22" s="11">
        <v>0</v>
      </c>
      <c r="AT22" s="11">
        <v>0</v>
      </c>
    </row>
    <row r="23" spans="1:46" ht="18" customHeight="1">
      <c r="A23" s="260" t="s">
        <v>1434</v>
      </c>
      <c r="B23" s="260" t="s">
        <v>1435</v>
      </c>
      <c r="C23" s="260" t="s">
        <v>2371</v>
      </c>
      <c r="D23" s="260" t="s">
        <v>2702</v>
      </c>
      <c r="E23" s="260" t="s">
        <v>2703</v>
      </c>
      <c r="F23" s="260" t="s">
        <v>2704</v>
      </c>
      <c r="G23" s="260" t="s">
        <v>2705</v>
      </c>
      <c r="H23" s="260" t="s">
        <v>2732</v>
      </c>
      <c r="I23" s="260"/>
      <c r="J23" s="260"/>
      <c r="K23" s="260" t="s">
        <v>2733</v>
      </c>
      <c r="L23" s="260" t="s">
        <v>2734</v>
      </c>
      <c r="M23" s="260" t="s">
        <v>2735</v>
      </c>
      <c r="N23" s="260" t="s">
        <v>111</v>
      </c>
      <c r="O23" s="260" t="s">
        <v>124</v>
      </c>
      <c r="P23" s="10">
        <v>1</v>
      </c>
      <c r="Q23" s="11">
        <v>1</v>
      </c>
      <c r="R23" s="11">
        <f t="shared" ref="R23:R25" si="7">Z23+AH23</f>
        <v>1</v>
      </c>
      <c r="S23" s="192" t="s">
        <v>3692</v>
      </c>
      <c r="T23" s="11">
        <v>0.05</v>
      </c>
      <c r="U23" s="11">
        <v>0</v>
      </c>
      <c r="V23" s="11">
        <v>0.05</v>
      </c>
      <c r="W23" s="11">
        <v>0</v>
      </c>
      <c r="X23" s="11">
        <v>0</v>
      </c>
      <c r="Y23" s="11">
        <v>0</v>
      </c>
      <c r="Z23" s="11">
        <v>0</v>
      </c>
      <c r="AA23" s="11"/>
      <c r="AB23" s="11"/>
      <c r="AC23" s="11"/>
      <c r="AD23" s="11">
        <v>0</v>
      </c>
      <c r="AE23" s="11">
        <v>1</v>
      </c>
      <c r="AF23" s="261"/>
      <c r="AG23" s="372">
        <v>1</v>
      </c>
      <c r="AH23" s="371">
        <f>AG23</f>
        <v>1</v>
      </c>
      <c r="AI23" s="343" t="s">
        <v>3693</v>
      </c>
      <c r="AJ23" s="343" t="str">
        <f t="shared" si="1"/>
        <v>Se han atendido requerimientos por concepto técnico o de viabilidad técnica de proyectos estructurados por entidades del sector central.</v>
      </c>
      <c r="AK23" s="261"/>
      <c r="AL23" s="261"/>
      <c r="AM23" s="118"/>
      <c r="AN23" s="261"/>
      <c r="AO23" s="11">
        <v>0</v>
      </c>
      <c r="AP23" s="11">
        <v>1</v>
      </c>
      <c r="AQ23" s="11">
        <v>0</v>
      </c>
      <c r="AR23" s="11">
        <v>1</v>
      </c>
      <c r="AS23" s="11">
        <v>0</v>
      </c>
      <c r="AT23" s="11">
        <v>0</v>
      </c>
    </row>
    <row r="24" spans="1:46" ht="18" customHeight="1">
      <c r="A24" s="260" t="s">
        <v>1434</v>
      </c>
      <c r="B24" s="260" t="s">
        <v>1435</v>
      </c>
      <c r="C24" s="260" t="s">
        <v>2371</v>
      </c>
      <c r="D24" s="260" t="s">
        <v>2702</v>
      </c>
      <c r="E24" s="260" t="s">
        <v>2736</v>
      </c>
      <c r="F24" s="260" t="s">
        <v>2737</v>
      </c>
      <c r="G24" s="260" t="s">
        <v>2738</v>
      </c>
      <c r="H24" s="260" t="s">
        <v>2739</v>
      </c>
      <c r="I24" s="260"/>
      <c r="J24" s="260"/>
      <c r="K24" s="260" t="s">
        <v>2740</v>
      </c>
      <c r="L24" s="260" t="s">
        <v>2741</v>
      </c>
      <c r="M24" s="260" t="s">
        <v>2742</v>
      </c>
      <c r="N24" s="260" t="s">
        <v>123</v>
      </c>
      <c r="O24" s="260" t="s">
        <v>124</v>
      </c>
      <c r="P24" s="10">
        <v>0</v>
      </c>
      <c r="Q24" s="11">
        <v>100</v>
      </c>
      <c r="R24" s="11">
        <f t="shared" si="7"/>
        <v>102</v>
      </c>
      <c r="S24" s="261" t="s">
        <v>3694</v>
      </c>
      <c r="T24" s="11">
        <v>2</v>
      </c>
      <c r="U24" s="11">
        <v>0</v>
      </c>
      <c r="V24" s="11">
        <v>2</v>
      </c>
      <c r="W24" s="11">
        <v>0</v>
      </c>
      <c r="X24" s="11">
        <v>2</v>
      </c>
      <c r="Y24" s="11">
        <v>0</v>
      </c>
      <c r="Z24" s="11">
        <v>2</v>
      </c>
      <c r="AA24" s="11" t="s">
        <v>2743</v>
      </c>
      <c r="AB24" s="11" t="s">
        <v>2744</v>
      </c>
      <c r="AC24" s="11">
        <v>0</v>
      </c>
      <c r="AD24" s="11">
        <v>0</v>
      </c>
      <c r="AE24" s="11">
        <v>100</v>
      </c>
      <c r="AF24" s="261">
        <v>0</v>
      </c>
      <c r="AG24" s="372">
        <v>100</v>
      </c>
      <c r="AH24" s="371">
        <f>AG24</f>
        <v>100</v>
      </c>
      <c r="AI24" s="370" t="s">
        <v>3695</v>
      </c>
      <c r="AJ24" s="343" t="str">
        <f>AI24</f>
        <v>SE MANTIENE PERMENETEMENTE EL FUNCIONAMIENTO DEL 100% DE LOS DATACENTER PRINCIPAL Y ALTERNO, ESTA EN PROCESO LA CONTRATACIÓN DE MANERA INTEGRADA DEL LICENCIAMIENTO DE EXTENSIÓN DE GARANTÍAS PARA LOS DIFERENTES SISTEMAS UBICADOS EN EL DATACENTER PRINCIPAL DE LA GOBERNACIÓN.</v>
      </c>
      <c r="AK24" s="261"/>
      <c r="AL24" s="261"/>
      <c r="AM24" s="118"/>
      <c r="AN24" s="261"/>
      <c r="AO24" s="11">
        <v>0</v>
      </c>
      <c r="AP24" s="11">
        <v>100</v>
      </c>
      <c r="AQ24" s="11">
        <v>0</v>
      </c>
      <c r="AR24" s="11">
        <v>100</v>
      </c>
      <c r="AS24" s="11">
        <v>0</v>
      </c>
      <c r="AT24" s="11">
        <v>0</v>
      </c>
    </row>
    <row r="25" spans="1:46" ht="18" customHeight="1">
      <c r="A25" s="260" t="s">
        <v>1434</v>
      </c>
      <c r="B25" s="260" t="s">
        <v>1435</v>
      </c>
      <c r="C25" s="260" t="s">
        <v>2371</v>
      </c>
      <c r="D25" s="260" t="s">
        <v>2702</v>
      </c>
      <c r="E25" s="260" t="s">
        <v>2736</v>
      </c>
      <c r="F25" s="260" t="s">
        <v>2737</v>
      </c>
      <c r="G25" s="260" t="s">
        <v>2738</v>
      </c>
      <c r="H25" s="260" t="s">
        <v>2745</v>
      </c>
      <c r="I25" s="260"/>
      <c r="J25" s="260"/>
      <c r="K25" s="260" t="s">
        <v>2746</v>
      </c>
      <c r="L25" s="260" t="s">
        <v>2747</v>
      </c>
      <c r="M25" s="260" t="s">
        <v>2748</v>
      </c>
      <c r="N25" s="260" t="s">
        <v>111</v>
      </c>
      <c r="O25" s="260" t="s">
        <v>112</v>
      </c>
      <c r="P25" s="10">
        <v>20</v>
      </c>
      <c r="Q25" s="11">
        <v>120</v>
      </c>
      <c r="R25" s="11">
        <f t="shared" si="7"/>
        <v>1.74</v>
      </c>
      <c r="S25" s="261" t="s">
        <v>2750</v>
      </c>
      <c r="T25" s="11">
        <v>2.48</v>
      </c>
      <c r="U25" s="11">
        <v>0</v>
      </c>
      <c r="V25" s="11">
        <v>2.48</v>
      </c>
      <c r="W25" s="11">
        <v>0</v>
      </c>
      <c r="X25" s="11">
        <v>1.74</v>
      </c>
      <c r="Y25" s="11">
        <v>0</v>
      </c>
      <c r="Z25" s="11">
        <v>1.74</v>
      </c>
      <c r="AA25" s="11" t="s">
        <v>2749</v>
      </c>
      <c r="AB25" s="11" t="s">
        <v>2750</v>
      </c>
      <c r="AC25" s="11">
        <v>0</v>
      </c>
      <c r="AD25" s="11">
        <v>35</v>
      </c>
      <c r="AE25" s="11">
        <v>0</v>
      </c>
      <c r="AF25" s="372">
        <v>0</v>
      </c>
      <c r="AG25" s="374">
        <v>0</v>
      </c>
      <c r="AH25" s="371">
        <f t="shared" ref="AH25" si="8">AF25</f>
        <v>0</v>
      </c>
      <c r="AI25" s="370" t="s">
        <v>3696</v>
      </c>
      <c r="AJ25" s="343" t="str">
        <f>AI25</f>
        <v>SE ESTA ESTRUCTURANDO LA DOCUMENTACIÓN NECESARIA PARA ADQUIRIR INFRAESTRUCTURA COMPUTACIONAL, UNA VEZ TERMINADA SE  ENVIARÁ A LA UNIDAD DE CONTRATACIÓN PARA REVISIÓN.</v>
      </c>
      <c r="AK25" s="261"/>
      <c r="AL25" s="261"/>
      <c r="AM25" s="118"/>
      <c r="AN25" s="261"/>
      <c r="AO25" s="11">
        <v>55</v>
      </c>
      <c r="AP25" s="11">
        <v>0</v>
      </c>
      <c r="AQ25" s="11">
        <v>30</v>
      </c>
      <c r="AR25" s="11">
        <v>0</v>
      </c>
      <c r="AS25" s="11">
        <v>0</v>
      </c>
      <c r="AT25" s="11">
        <v>0</v>
      </c>
    </row>
    <row r="26" spans="1:46" ht="18" customHeight="1">
      <c r="A26" s="260" t="s">
        <v>1434</v>
      </c>
      <c r="B26" s="260" t="s">
        <v>1435</v>
      </c>
      <c r="C26" s="260" t="s">
        <v>2371</v>
      </c>
      <c r="D26" s="260" t="s">
        <v>2702</v>
      </c>
      <c r="E26" s="260" t="s">
        <v>2736</v>
      </c>
      <c r="F26" s="260" t="s">
        <v>2737</v>
      </c>
      <c r="G26" s="260" t="s">
        <v>2738</v>
      </c>
      <c r="H26" s="260" t="s">
        <v>2751</v>
      </c>
      <c r="I26" s="260"/>
      <c r="J26" s="260"/>
      <c r="K26" s="260" t="s">
        <v>2752</v>
      </c>
      <c r="L26" s="260" t="s">
        <v>2753</v>
      </c>
      <c r="M26" s="260" t="s">
        <v>2754</v>
      </c>
      <c r="N26" s="260" t="s">
        <v>111</v>
      </c>
      <c r="O26" s="260" t="s">
        <v>124</v>
      </c>
      <c r="P26" s="10">
        <v>4</v>
      </c>
      <c r="Q26" s="11">
        <v>6</v>
      </c>
      <c r="R26" s="11">
        <f t="shared" ref="R26:R27" si="9">(Z26+AH26)/2</f>
        <v>6</v>
      </c>
      <c r="S26" s="261" t="s">
        <v>3697</v>
      </c>
      <c r="T26" s="11">
        <v>0</v>
      </c>
      <c r="U26" s="11">
        <v>6</v>
      </c>
      <c r="V26" s="11">
        <v>0</v>
      </c>
      <c r="W26" s="11">
        <v>6</v>
      </c>
      <c r="X26" s="11" t="s">
        <v>115</v>
      </c>
      <c r="Y26" s="11">
        <v>6</v>
      </c>
      <c r="Z26" s="11">
        <v>6</v>
      </c>
      <c r="AA26" s="11" t="s">
        <v>2755</v>
      </c>
      <c r="AB26" s="11" t="s">
        <v>2756</v>
      </c>
      <c r="AC26" s="11">
        <v>0</v>
      </c>
      <c r="AD26" s="11">
        <v>0</v>
      </c>
      <c r="AE26" s="11">
        <v>6</v>
      </c>
      <c r="AF26" s="261">
        <v>0</v>
      </c>
      <c r="AG26" s="372">
        <v>6</v>
      </c>
      <c r="AH26" s="373">
        <f t="shared" ref="AH26:AH27" si="10">AG26</f>
        <v>6</v>
      </c>
      <c r="AI26" s="343" t="s">
        <v>3698</v>
      </c>
      <c r="AJ26" s="343" t="str">
        <f>AI26</f>
        <v>se soportan permanentemente las 6 plataformas de uso de la Gobernación.  1. VIDEOCONFERENCIA DEPARTAMENTAL. 2. SEGURIDAD INFORMATICA. 3. MESA DE AYUDA DE LA INFRAESTRUCTURA DE CÓMPUTO DEL NIVEL CENTRAL, 4.  LICENCIAMIENTO SOFTWARE  5. CORREO ELECTRÓNICO (ALMACENAMIENTO) 6. IMPLEMENTACION INFRAESTRUCTURA DE DATOS (IPV6). Mediante la renovación de los contratos de soporte y mantenimiento con los proveedores y/o fabricantes. y la contratación del personal capacitado que brindan el soporte y administración de las plataformas que lo requieran.</v>
      </c>
      <c r="AK26" s="261"/>
      <c r="AL26" s="261"/>
      <c r="AM26" s="118"/>
      <c r="AN26" s="261"/>
      <c r="AO26" s="11">
        <v>0</v>
      </c>
      <c r="AP26" s="11">
        <v>6</v>
      </c>
      <c r="AQ26" s="11">
        <v>0</v>
      </c>
      <c r="AR26" s="11">
        <v>6</v>
      </c>
      <c r="AS26" s="11">
        <v>0</v>
      </c>
      <c r="AT26" s="11">
        <v>0</v>
      </c>
    </row>
    <row r="27" spans="1:46" ht="18" customHeight="1">
      <c r="A27" s="260" t="s">
        <v>1434</v>
      </c>
      <c r="B27" s="260" t="s">
        <v>1435</v>
      </c>
      <c r="C27" s="260" t="s">
        <v>2371</v>
      </c>
      <c r="D27" s="260" t="s">
        <v>2702</v>
      </c>
      <c r="E27" s="260" t="s">
        <v>2736</v>
      </c>
      <c r="F27" s="260" t="s">
        <v>2737</v>
      </c>
      <c r="G27" s="260" t="s">
        <v>2738</v>
      </c>
      <c r="H27" s="260" t="s">
        <v>2757</v>
      </c>
      <c r="I27" s="260"/>
      <c r="J27" s="260"/>
      <c r="K27" s="260" t="s">
        <v>2758</v>
      </c>
      <c r="L27" s="260" t="s">
        <v>2759</v>
      </c>
      <c r="M27" s="260" t="s">
        <v>2760</v>
      </c>
      <c r="N27" s="260" t="s">
        <v>111</v>
      </c>
      <c r="O27" s="260" t="s">
        <v>124</v>
      </c>
      <c r="P27" s="10">
        <v>9</v>
      </c>
      <c r="Q27" s="11">
        <v>9</v>
      </c>
      <c r="R27" s="11">
        <f t="shared" si="9"/>
        <v>9</v>
      </c>
      <c r="S27" s="261" t="s">
        <v>2762</v>
      </c>
      <c r="T27" s="11">
        <v>0</v>
      </c>
      <c r="U27" s="11">
        <v>9</v>
      </c>
      <c r="V27" s="11">
        <v>0</v>
      </c>
      <c r="W27" s="11">
        <v>9</v>
      </c>
      <c r="X27" s="11" t="s">
        <v>115</v>
      </c>
      <c r="Y27" s="11">
        <v>9</v>
      </c>
      <c r="Z27" s="11">
        <v>9</v>
      </c>
      <c r="AA27" s="11" t="s">
        <v>2761</v>
      </c>
      <c r="AB27" s="11" t="s">
        <v>2762</v>
      </c>
      <c r="AC27" s="11">
        <v>0</v>
      </c>
      <c r="AD27" s="11">
        <v>0</v>
      </c>
      <c r="AE27" s="11">
        <v>9</v>
      </c>
      <c r="AF27" s="261">
        <v>0</v>
      </c>
      <c r="AG27" s="372">
        <v>9</v>
      </c>
      <c r="AH27" s="373">
        <f t="shared" si="10"/>
        <v>9</v>
      </c>
      <c r="AI27" s="343" t="s">
        <v>3699</v>
      </c>
      <c r="AJ27" s="343" t="str">
        <f>AI27</f>
        <v>Se han mantenido disponibles los servicios asociados a las 9 plataformas. . BUS DE INTEGRACIÓN. 2. ORACLE. 3. BIZAGI. 4. SAP (SOPORTE CON EL FABRICANTE). 5. PRIMER Y SEGUNDO NIVEL DE SOPORTE SAP. 6. MOODLE 7. SOPORTE PORTAL WEB 8. SQLSERVER 9. OVM. Mediante la renovación de los contratos de soporte y mantenimiento con los proveedores y/o fabricantes. y la contratación del personal capacitado que brindan el soporte y administración de las plataformas que lo requieran.</v>
      </c>
      <c r="AK27" s="261"/>
      <c r="AL27" s="261"/>
      <c r="AM27" s="118"/>
      <c r="AN27" s="261"/>
      <c r="AO27" s="11">
        <v>0</v>
      </c>
      <c r="AP27" s="11">
        <v>9</v>
      </c>
      <c r="AQ27" s="11">
        <v>0</v>
      </c>
      <c r="AR27" s="11">
        <v>9</v>
      </c>
      <c r="AS27" s="11">
        <v>0</v>
      </c>
      <c r="AT27" s="11">
        <v>0</v>
      </c>
    </row>
    <row r="28" spans="1:46" s="3" customFormat="1">
      <c r="L28" s="5"/>
      <c r="AM28" s="124"/>
    </row>
  </sheetData>
  <sheetProtection autoFilter="0"/>
  <autoFilter ref="A12:IZ27" xr:uid="{00000000-0009-0000-0000-00000F000000}"/>
  <customSheetViews>
    <customSheetView guid="{75629C99-8367-48E9-A2A2-D8C49A9E68E3}" scale="80" showAutoFilter="1" hiddenRows="1" topLeftCell="K4">
      <pane xSplit="1" ySplit="9" topLeftCell="L16" activePane="bottomRight" state="frozen"/>
      <selection pane="bottomRight" activeCell="K16" sqref="K16"/>
      <pageMargins left="0" right="0" top="0" bottom="0" header="0" footer="0"/>
      <pageSetup orientation="portrait" r:id="rId1"/>
      <autoFilter ref="A12:IZ27" xr:uid="{D4FBACEC-2340-4131-9F47-543D96DBACD5}"/>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27">
    <cfRule type="duplicateValues" dxfId="8" priority="1"/>
  </conditionalFormatting>
  <pageMargins left="0.7" right="0.7" top="0.75" bottom="0.75" header="0.3" footer="0.3"/>
  <pageSetup orientation="portrait" r:id="rId2"/>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T19"/>
  <sheetViews>
    <sheetView topLeftCell="T12" zoomScaleNormal="100" workbookViewId="0">
      <selection activeCell="AE23" sqref="AE23"/>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hidden="1">
      <c r="A1" s="502"/>
      <c r="B1" s="502"/>
      <c r="C1" s="502"/>
      <c r="D1" s="502"/>
      <c r="E1" s="486" t="s">
        <v>0</v>
      </c>
      <c r="F1" s="487"/>
      <c r="G1" s="487"/>
      <c r="H1" s="487"/>
      <c r="I1" s="488"/>
      <c r="J1" s="492" t="s">
        <v>1</v>
      </c>
      <c r="K1" s="493"/>
      <c r="L1" s="494"/>
    </row>
    <row r="2" spans="1:46" hidden="1">
      <c r="A2" s="502"/>
      <c r="B2" s="502"/>
      <c r="C2" s="502"/>
      <c r="D2" s="502"/>
      <c r="E2" s="489"/>
      <c r="F2" s="490"/>
      <c r="G2" s="490"/>
      <c r="H2" s="490"/>
      <c r="I2" s="491"/>
      <c r="J2" s="486" t="s">
        <v>2</v>
      </c>
      <c r="K2" s="487"/>
      <c r="L2" s="495"/>
    </row>
    <row r="3" spans="1:46" hidden="1">
      <c r="A3" s="502"/>
      <c r="B3" s="502"/>
      <c r="C3" s="502"/>
      <c r="D3" s="502"/>
      <c r="E3" s="486" t="s">
        <v>3</v>
      </c>
      <c r="F3" s="487"/>
      <c r="G3" s="487"/>
      <c r="H3" s="487"/>
      <c r="I3" s="488"/>
      <c r="J3" s="489"/>
      <c r="K3" s="490"/>
      <c r="L3" s="496"/>
    </row>
    <row r="4" spans="1:46" ht="15" hidden="1"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hidden="1"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77.25" customHeight="1"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2148</v>
      </c>
      <c r="B13" s="260" t="s">
        <v>2149</v>
      </c>
      <c r="C13" s="260" t="s">
        <v>2129</v>
      </c>
      <c r="D13" s="260" t="s">
        <v>2130</v>
      </c>
      <c r="E13" s="260" t="s">
        <v>2131</v>
      </c>
      <c r="F13" s="260" t="s">
        <v>2132</v>
      </c>
      <c r="G13" s="260" t="s">
        <v>2133</v>
      </c>
      <c r="H13" s="260" t="s">
        <v>2150</v>
      </c>
      <c r="I13" s="260"/>
      <c r="J13" s="260"/>
      <c r="K13" s="260" t="s">
        <v>2151</v>
      </c>
      <c r="L13" s="260" t="s">
        <v>2152</v>
      </c>
      <c r="M13" s="260" t="s">
        <v>2153</v>
      </c>
      <c r="N13" s="260" t="s">
        <v>111</v>
      </c>
      <c r="O13" s="260" t="s">
        <v>112</v>
      </c>
      <c r="P13" s="10">
        <v>0</v>
      </c>
      <c r="Q13" s="11">
        <v>8</v>
      </c>
      <c r="R13" s="11">
        <f t="shared" ref="R13" si="0">Z13+AH13</f>
        <v>1.82</v>
      </c>
      <c r="S13" s="65" t="s">
        <v>3700</v>
      </c>
      <c r="T13" s="11">
        <v>0</v>
      </c>
      <c r="U13" s="11">
        <v>0</v>
      </c>
      <c r="V13" s="11">
        <v>0</v>
      </c>
      <c r="W13" s="11">
        <v>0</v>
      </c>
      <c r="X13" s="11">
        <v>0</v>
      </c>
      <c r="Y13" s="11">
        <v>0</v>
      </c>
      <c r="Z13" s="11">
        <v>0</v>
      </c>
      <c r="AA13" s="11">
        <v>0</v>
      </c>
      <c r="AB13" s="11" t="s">
        <v>2154</v>
      </c>
      <c r="AC13" s="11">
        <v>0</v>
      </c>
      <c r="AD13" s="11">
        <v>2</v>
      </c>
      <c r="AE13" s="11">
        <v>0</v>
      </c>
      <c r="AF13" s="261">
        <v>1.82</v>
      </c>
      <c r="AG13" s="261"/>
      <c r="AH13" s="9">
        <f t="shared" ref="AH13" si="1">AF13</f>
        <v>1.82</v>
      </c>
      <c r="AI13" s="261"/>
      <c r="AJ13" s="151" t="s">
        <v>3701</v>
      </c>
      <c r="AK13" s="261" t="s">
        <v>3702</v>
      </c>
      <c r="AL13" s="261"/>
      <c r="AM13" s="118"/>
      <c r="AN13" s="261"/>
      <c r="AO13" s="11">
        <v>4</v>
      </c>
      <c r="AP13" s="11">
        <v>0</v>
      </c>
      <c r="AQ13" s="11">
        <v>2</v>
      </c>
      <c r="AR13" s="11">
        <v>0</v>
      </c>
      <c r="AS13" s="11">
        <v>0</v>
      </c>
      <c r="AT13" s="11">
        <v>0</v>
      </c>
    </row>
    <row r="14" spans="1:46" ht="18" customHeight="1">
      <c r="A14" s="260" t="s">
        <v>2148</v>
      </c>
      <c r="B14" s="260" t="s">
        <v>2149</v>
      </c>
      <c r="C14" s="260" t="s">
        <v>2129</v>
      </c>
      <c r="D14" s="260" t="s">
        <v>2313</v>
      </c>
      <c r="E14" s="260" t="s">
        <v>2327</v>
      </c>
      <c r="F14" s="260" t="s">
        <v>2328</v>
      </c>
      <c r="G14" s="260" t="s">
        <v>2329</v>
      </c>
      <c r="H14" s="260" t="s">
        <v>2330</v>
      </c>
      <c r="I14" s="260"/>
      <c r="J14" s="260"/>
      <c r="K14" s="260" t="s">
        <v>2331</v>
      </c>
      <c r="L14" s="260" t="s">
        <v>2332</v>
      </c>
      <c r="M14" s="260" t="s">
        <v>2333</v>
      </c>
      <c r="N14" s="260" t="s">
        <v>123</v>
      </c>
      <c r="O14" s="260" t="s">
        <v>124</v>
      </c>
      <c r="P14" s="10">
        <v>0</v>
      </c>
      <c r="Q14" s="11">
        <v>100</v>
      </c>
      <c r="R14" s="11">
        <f>(Z14+AH14)/2</f>
        <v>97.5</v>
      </c>
      <c r="S14" s="65" t="s">
        <v>3703</v>
      </c>
      <c r="T14" s="11">
        <v>0</v>
      </c>
      <c r="U14" s="11">
        <v>100</v>
      </c>
      <c r="V14" s="11">
        <v>0</v>
      </c>
      <c r="W14" s="11">
        <v>100</v>
      </c>
      <c r="X14" s="11" t="s">
        <v>115</v>
      </c>
      <c r="Y14" s="11">
        <v>100</v>
      </c>
      <c r="Z14" s="11">
        <v>100</v>
      </c>
      <c r="AA14" s="11">
        <v>0</v>
      </c>
      <c r="AB14" s="11" t="s">
        <v>2334</v>
      </c>
      <c r="AC14" s="11">
        <v>0</v>
      </c>
      <c r="AD14" s="11">
        <v>0</v>
      </c>
      <c r="AE14" s="11">
        <v>100</v>
      </c>
      <c r="AF14" s="261"/>
      <c r="AG14" s="261">
        <v>95</v>
      </c>
      <c r="AH14" s="11">
        <f>AG14</f>
        <v>95</v>
      </c>
      <c r="AI14" s="261"/>
      <c r="AJ14" s="66" t="s">
        <v>3704</v>
      </c>
      <c r="AK14" s="261" t="s">
        <v>3702</v>
      </c>
      <c r="AL14" s="261"/>
      <c r="AM14" s="118"/>
      <c r="AN14" s="261"/>
      <c r="AO14" s="11">
        <v>0</v>
      </c>
      <c r="AP14" s="11">
        <v>100</v>
      </c>
      <c r="AQ14" s="11">
        <v>0</v>
      </c>
      <c r="AR14" s="11">
        <v>100</v>
      </c>
      <c r="AS14" s="11">
        <v>0</v>
      </c>
      <c r="AT14" s="11">
        <v>0</v>
      </c>
    </row>
    <row r="15" spans="1:46" ht="18" customHeight="1">
      <c r="A15" s="260" t="s">
        <v>2148</v>
      </c>
      <c r="B15" s="260" t="s">
        <v>2149</v>
      </c>
      <c r="C15" s="260" t="s">
        <v>2129</v>
      </c>
      <c r="D15" s="260" t="s">
        <v>2313</v>
      </c>
      <c r="E15" s="260" t="s">
        <v>2327</v>
      </c>
      <c r="F15" s="260" t="s">
        <v>2341</v>
      </c>
      <c r="G15" s="260" t="s">
        <v>2342</v>
      </c>
      <c r="H15" s="260" t="s">
        <v>2343</v>
      </c>
      <c r="I15" s="260"/>
      <c r="J15" s="260"/>
      <c r="K15" s="260" t="s">
        <v>2344</v>
      </c>
      <c r="L15" s="260" t="s">
        <v>2345</v>
      </c>
      <c r="M15" s="260" t="s">
        <v>131</v>
      </c>
      <c r="N15" s="260" t="s">
        <v>111</v>
      </c>
      <c r="O15" s="260" t="s">
        <v>112</v>
      </c>
      <c r="P15" s="10">
        <v>1</v>
      </c>
      <c r="Q15" s="11">
        <v>1</v>
      </c>
      <c r="R15" s="11">
        <f t="shared" ref="R15:R18" si="2">Z15+AH15</f>
        <v>21.23</v>
      </c>
      <c r="S15" s="65" t="s">
        <v>3705</v>
      </c>
      <c r="T15" s="11">
        <v>0.16</v>
      </c>
      <c r="U15" s="11">
        <v>0</v>
      </c>
      <c r="V15" s="11">
        <v>0.21</v>
      </c>
      <c r="W15" s="11">
        <v>0</v>
      </c>
      <c r="X15" s="11">
        <v>21</v>
      </c>
      <c r="Y15" s="11">
        <v>0</v>
      </c>
      <c r="Z15" s="11">
        <v>21</v>
      </c>
      <c r="AA15" s="11">
        <v>0</v>
      </c>
      <c r="AB15" s="11" t="s">
        <v>2346</v>
      </c>
      <c r="AC15" s="11">
        <v>0</v>
      </c>
      <c r="AD15" s="11">
        <v>0.25</v>
      </c>
      <c r="AE15" s="11">
        <v>0</v>
      </c>
      <c r="AF15" s="261">
        <v>0.23</v>
      </c>
      <c r="AG15" s="261"/>
      <c r="AH15" s="9">
        <f t="shared" ref="AH15:AH18" si="3">AF15</f>
        <v>0.23</v>
      </c>
      <c r="AI15" s="261"/>
      <c r="AJ15" s="151" t="s">
        <v>3706</v>
      </c>
      <c r="AK15" s="261" t="s">
        <v>3702</v>
      </c>
      <c r="AL15" s="261"/>
      <c r="AM15" s="118"/>
      <c r="AN15" s="261"/>
      <c r="AO15" s="11">
        <v>0.17</v>
      </c>
      <c r="AP15" s="11">
        <v>0</v>
      </c>
      <c r="AQ15" s="11">
        <v>0.37</v>
      </c>
      <c r="AR15" s="11">
        <v>0</v>
      </c>
      <c r="AS15" s="11">
        <v>0</v>
      </c>
      <c r="AT15" s="11">
        <v>0</v>
      </c>
    </row>
    <row r="16" spans="1:46" ht="18" customHeight="1">
      <c r="A16" s="260" t="s">
        <v>2148</v>
      </c>
      <c r="B16" s="260" t="s">
        <v>2149</v>
      </c>
      <c r="C16" s="260" t="s">
        <v>2129</v>
      </c>
      <c r="D16" s="260" t="s">
        <v>2313</v>
      </c>
      <c r="E16" s="260" t="s">
        <v>2327</v>
      </c>
      <c r="F16" s="260" t="s">
        <v>2341</v>
      </c>
      <c r="G16" s="260" t="s">
        <v>2342</v>
      </c>
      <c r="H16" s="260" t="s">
        <v>2347</v>
      </c>
      <c r="I16" s="260"/>
      <c r="J16" s="260"/>
      <c r="K16" s="260" t="s">
        <v>2348</v>
      </c>
      <c r="L16" s="260" t="s">
        <v>2349</v>
      </c>
      <c r="M16" s="260" t="s">
        <v>2350</v>
      </c>
      <c r="N16" s="260" t="s">
        <v>111</v>
      </c>
      <c r="O16" s="260" t="s">
        <v>112</v>
      </c>
      <c r="P16" s="10">
        <v>0</v>
      </c>
      <c r="Q16" s="11">
        <v>4</v>
      </c>
      <c r="R16" s="11">
        <f t="shared" si="2"/>
        <v>0</v>
      </c>
      <c r="S16" s="65" t="s">
        <v>3707</v>
      </c>
      <c r="T16" s="11">
        <v>0</v>
      </c>
      <c r="U16" s="11">
        <v>0</v>
      </c>
      <c r="V16" s="11">
        <v>0</v>
      </c>
      <c r="W16" s="11">
        <v>0</v>
      </c>
      <c r="X16" s="11">
        <v>0</v>
      </c>
      <c r="Y16" s="11">
        <v>0</v>
      </c>
      <c r="Z16" s="11">
        <v>0</v>
      </c>
      <c r="AA16" s="11">
        <v>0</v>
      </c>
      <c r="AB16" s="11" t="s">
        <v>2351</v>
      </c>
      <c r="AC16" s="11">
        <v>0</v>
      </c>
      <c r="AD16" s="11">
        <v>0</v>
      </c>
      <c r="AE16" s="11">
        <v>0</v>
      </c>
      <c r="AF16" s="261">
        <v>0</v>
      </c>
      <c r="AG16" s="261"/>
      <c r="AH16" s="9">
        <f t="shared" si="3"/>
        <v>0</v>
      </c>
      <c r="AI16" s="261"/>
      <c r="AJ16" s="151" t="s">
        <v>3708</v>
      </c>
      <c r="AK16" s="261" t="s">
        <v>3702</v>
      </c>
      <c r="AL16" s="261"/>
      <c r="AM16" s="118"/>
      <c r="AN16" s="261"/>
      <c r="AO16" s="11">
        <v>2</v>
      </c>
      <c r="AP16" s="11">
        <v>0</v>
      </c>
      <c r="AQ16" s="11">
        <v>1</v>
      </c>
      <c r="AR16" s="11">
        <v>0</v>
      </c>
      <c r="AS16" s="11">
        <v>0</v>
      </c>
      <c r="AT16" s="11">
        <v>0</v>
      </c>
    </row>
    <row r="17" spans="1:46" ht="18" customHeight="1">
      <c r="A17" s="260" t="s">
        <v>2148</v>
      </c>
      <c r="B17" s="260" t="s">
        <v>2149</v>
      </c>
      <c r="C17" s="260" t="s">
        <v>2129</v>
      </c>
      <c r="D17" s="260" t="s">
        <v>2313</v>
      </c>
      <c r="E17" s="260" t="s">
        <v>2327</v>
      </c>
      <c r="F17" s="260" t="s">
        <v>2341</v>
      </c>
      <c r="G17" s="260" t="s">
        <v>2342</v>
      </c>
      <c r="H17" s="260" t="s">
        <v>2352</v>
      </c>
      <c r="I17" s="260"/>
      <c r="J17" s="260"/>
      <c r="K17" s="260" t="s">
        <v>2353</v>
      </c>
      <c r="L17" s="260" t="s">
        <v>2354</v>
      </c>
      <c r="M17" s="260" t="s">
        <v>131</v>
      </c>
      <c r="N17" s="260" t="s">
        <v>111</v>
      </c>
      <c r="O17" s="260" t="s">
        <v>112</v>
      </c>
      <c r="P17" s="10">
        <v>0</v>
      </c>
      <c r="Q17" s="11">
        <v>1</v>
      </c>
      <c r="R17" s="11">
        <f t="shared" si="2"/>
        <v>0.37</v>
      </c>
      <c r="S17" s="65" t="s">
        <v>3709</v>
      </c>
      <c r="T17" s="11">
        <v>0.16</v>
      </c>
      <c r="U17" s="11">
        <v>0</v>
      </c>
      <c r="V17" s="11">
        <v>0.18</v>
      </c>
      <c r="W17" s="11">
        <v>0</v>
      </c>
      <c r="X17" s="11">
        <v>0.18</v>
      </c>
      <c r="Y17" s="11">
        <v>0</v>
      </c>
      <c r="Z17" s="11">
        <v>0.18</v>
      </c>
      <c r="AA17" s="11">
        <v>0</v>
      </c>
      <c r="AB17" s="11" t="s">
        <v>2355</v>
      </c>
      <c r="AC17" s="11">
        <v>0</v>
      </c>
      <c r="AD17" s="11">
        <v>0.2</v>
      </c>
      <c r="AE17" s="11">
        <v>0</v>
      </c>
      <c r="AF17" s="261">
        <v>0.19</v>
      </c>
      <c r="AG17" s="261"/>
      <c r="AH17" s="9">
        <f t="shared" si="3"/>
        <v>0.19</v>
      </c>
      <c r="AI17" s="261"/>
      <c r="AJ17" s="66" t="s">
        <v>3710</v>
      </c>
      <c r="AK17" s="261" t="s">
        <v>3702</v>
      </c>
      <c r="AL17" s="261"/>
      <c r="AM17" s="118"/>
      <c r="AN17" s="261"/>
      <c r="AO17" s="11">
        <v>0.21</v>
      </c>
      <c r="AP17" s="11">
        <v>0</v>
      </c>
      <c r="AQ17" s="11">
        <v>0.41</v>
      </c>
      <c r="AR17" s="11">
        <v>0</v>
      </c>
      <c r="AS17" s="11">
        <v>0</v>
      </c>
      <c r="AT17" s="11">
        <v>0</v>
      </c>
    </row>
    <row r="18" spans="1:46" ht="18" customHeight="1">
      <c r="A18" s="260" t="s">
        <v>2148</v>
      </c>
      <c r="B18" s="260" t="s">
        <v>2149</v>
      </c>
      <c r="C18" s="260" t="s">
        <v>2129</v>
      </c>
      <c r="D18" s="260" t="s">
        <v>2313</v>
      </c>
      <c r="E18" s="260" t="s">
        <v>2327</v>
      </c>
      <c r="F18" s="260" t="s">
        <v>2341</v>
      </c>
      <c r="G18" s="260" t="s">
        <v>2342</v>
      </c>
      <c r="H18" s="260" t="s">
        <v>2356</v>
      </c>
      <c r="I18" s="260"/>
      <c r="J18" s="260"/>
      <c r="K18" s="260" t="s">
        <v>2357</v>
      </c>
      <c r="L18" s="260" t="s">
        <v>2358</v>
      </c>
      <c r="M18" s="260" t="s">
        <v>131</v>
      </c>
      <c r="N18" s="260" t="s">
        <v>111</v>
      </c>
      <c r="O18" s="260" t="s">
        <v>112</v>
      </c>
      <c r="P18" s="10">
        <v>0</v>
      </c>
      <c r="Q18" s="11">
        <v>1</v>
      </c>
      <c r="R18" s="11">
        <f t="shared" si="2"/>
        <v>0.41000000000000003</v>
      </c>
      <c r="S18" s="261"/>
      <c r="T18" s="11">
        <v>0.13</v>
      </c>
      <c r="U18" s="11">
        <v>0</v>
      </c>
      <c r="V18" s="11">
        <v>0.13</v>
      </c>
      <c r="W18" s="11">
        <v>0</v>
      </c>
      <c r="X18" s="11">
        <v>0.13</v>
      </c>
      <c r="Y18" s="11">
        <v>0</v>
      </c>
      <c r="Z18" s="11">
        <v>0.13</v>
      </c>
      <c r="AA18" s="11">
        <v>0</v>
      </c>
      <c r="AB18" s="11" t="s">
        <v>2359</v>
      </c>
      <c r="AC18" s="11">
        <v>0</v>
      </c>
      <c r="AD18" s="11">
        <v>0.28999999999999998</v>
      </c>
      <c r="AE18" s="11">
        <v>0</v>
      </c>
      <c r="AF18" s="261">
        <v>0.28000000000000003</v>
      </c>
      <c r="AG18" s="261"/>
      <c r="AH18" s="9">
        <f t="shared" si="3"/>
        <v>0.28000000000000003</v>
      </c>
      <c r="AI18" s="261"/>
      <c r="AJ18" s="66" t="s">
        <v>3711</v>
      </c>
      <c r="AK18" s="261" t="s">
        <v>3702</v>
      </c>
      <c r="AL18" s="261"/>
      <c r="AM18" s="118"/>
      <c r="AN18" s="261"/>
      <c r="AO18" s="11">
        <v>0.28999999999999998</v>
      </c>
      <c r="AP18" s="11">
        <v>0</v>
      </c>
      <c r="AQ18" s="11">
        <v>0.28999999999999998</v>
      </c>
      <c r="AR18" s="11">
        <v>0</v>
      </c>
      <c r="AS18" s="11">
        <v>0</v>
      </c>
      <c r="AT18" s="11">
        <v>0</v>
      </c>
    </row>
    <row r="19" spans="1:46" s="3" customFormat="1">
      <c r="L19" s="5"/>
      <c r="AM19" s="124"/>
    </row>
  </sheetData>
  <sheetProtection autoFilter="0"/>
  <autoFilter ref="A12:IZ18" xr:uid="{00000000-0009-0000-0000-000010000000}"/>
  <customSheetViews>
    <customSheetView guid="{75629C99-8367-48E9-A2A2-D8C49A9E68E3}" showAutoFilter="1" hiddenRows="1" topLeftCell="X9">
      <selection activeCell="AH22" sqref="AH22"/>
      <pageMargins left="0" right="0" top="0" bottom="0" header="0" footer="0"/>
      <pageSetup orientation="portrait" r:id="rId1"/>
      <autoFilter ref="A12:IZ18" xr:uid="{524B2140-9412-4BA5-BB02-DEA4008CC538}"/>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CL458"/>
  <sheetViews>
    <sheetView topLeftCell="BJ1" zoomScaleNormal="100" workbookViewId="0">
      <selection activeCell="CH11" sqref="CH11:CL11"/>
    </sheetView>
  </sheetViews>
  <sheetFormatPr defaultColWidth="11.42578125" defaultRowHeight="14.45"/>
  <cols>
    <col min="1" max="1" width="12.7109375" customWidth="1"/>
    <col min="2" max="2" width="28.42578125" customWidth="1"/>
    <col min="3"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7" width="12.7109375" customWidth="1"/>
    <col min="38" max="39" width="13.42578125" customWidth="1"/>
    <col min="40" max="40" width="13.28515625" customWidth="1"/>
    <col min="41" max="42" width="13.42578125" customWidth="1"/>
    <col min="43" max="43" width="13.28515625" customWidth="1"/>
    <col min="44" max="44" width="19.5703125" hidden="1" customWidth="1"/>
    <col min="45" max="45" width="13.28515625" hidden="1" customWidth="1"/>
    <col min="46" max="46" width="18.85546875" hidden="1" customWidth="1"/>
    <col min="47" max="47" width="17.140625" hidden="1" customWidth="1"/>
    <col min="48" max="48" width="18.7109375" style="34" hidden="1" customWidth="1"/>
    <col min="49" max="50" width="13.28515625" hidden="1" customWidth="1"/>
    <col min="51" max="51" width="19.5703125" style="34" hidden="1" customWidth="1"/>
    <col min="52" max="52" width="18.140625" customWidth="1"/>
    <col min="53" max="53" width="17.42578125" customWidth="1"/>
    <col min="71" max="71" width="11.42578125" style="48"/>
    <col min="73" max="73" width="11.42578125" style="46"/>
  </cols>
  <sheetData>
    <row r="1" spans="1:90">
      <c r="A1" s="502"/>
      <c r="B1" s="502"/>
      <c r="C1" s="502"/>
      <c r="D1" s="502"/>
      <c r="E1" s="486" t="s">
        <v>0</v>
      </c>
      <c r="F1" s="487"/>
      <c r="G1" s="487"/>
      <c r="H1" s="487"/>
      <c r="I1" s="488"/>
      <c r="J1" s="492" t="s">
        <v>1</v>
      </c>
      <c r="K1" s="493"/>
      <c r="L1" s="494"/>
    </row>
    <row r="2" spans="1:90">
      <c r="A2" s="502"/>
      <c r="B2" s="502"/>
      <c r="C2" s="502"/>
      <c r="D2" s="502"/>
      <c r="E2" s="489"/>
      <c r="F2" s="490"/>
      <c r="G2" s="490"/>
      <c r="H2" s="490"/>
      <c r="I2" s="491"/>
      <c r="J2" s="486" t="s">
        <v>2</v>
      </c>
      <c r="K2" s="487"/>
      <c r="L2" s="495"/>
      <c r="N2" t="s">
        <v>2840</v>
      </c>
    </row>
    <row r="3" spans="1:90">
      <c r="A3" s="502"/>
      <c r="B3" s="502"/>
      <c r="C3" s="502"/>
      <c r="D3" s="502"/>
      <c r="E3" s="486" t="s">
        <v>3</v>
      </c>
      <c r="F3" s="487"/>
      <c r="G3" s="487"/>
      <c r="H3" s="487"/>
      <c r="I3" s="488"/>
      <c r="J3" s="489"/>
      <c r="K3" s="490"/>
      <c r="L3" s="496"/>
    </row>
    <row r="4" spans="1:90" ht="15" thickBot="1">
      <c r="A4" s="502"/>
      <c r="B4" s="502"/>
      <c r="C4" s="502"/>
      <c r="D4" s="502"/>
      <c r="E4" s="489"/>
      <c r="F4" s="490"/>
      <c r="G4" s="490"/>
      <c r="H4" s="490"/>
      <c r="I4" s="491"/>
      <c r="J4" s="492" t="s">
        <v>4</v>
      </c>
      <c r="K4" s="493"/>
      <c r="L4" s="494"/>
    </row>
    <row r="5" spans="1:90" ht="15" hidden="1" thickBot="1"/>
    <row r="6" spans="1:90" ht="15" hidden="1" thickBot="1">
      <c r="A6" s="503" t="s">
        <v>5</v>
      </c>
      <c r="B6" s="503"/>
      <c r="C6" s="503"/>
      <c r="D6" s="1">
        <v>44255</v>
      </c>
    </row>
    <row r="7" spans="1:90" ht="15" hidden="1" thickBot="1"/>
    <row r="8" spans="1:90" ht="27" hidden="1" customHeight="1" thickBot="1">
      <c r="A8" s="454" t="s">
        <v>7</v>
      </c>
      <c r="B8" s="455"/>
      <c r="C8" s="455"/>
      <c r="D8" s="455"/>
      <c r="E8" s="455"/>
      <c r="F8" s="455"/>
      <c r="G8" s="455"/>
      <c r="H8" s="455"/>
      <c r="I8" s="455"/>
      <c r="J8" s="455"/>
      <c r="K8" s="455"/>
      <c r="L8" s="456"/>
      <c r="M8" s="455"/>
      <c r="N8" s="455"/>
      <c r="O8" s="455"/>
      <c r="P8" s="457"/>
      <c r="Q8" s="466" t="s">
        <v>8</v>
      </c>
      <c r="R8" s="467"/>
      <c r="S8" s="467"/>
      <c r="T8" s="467"/>
      <c r="U8" s="467"/>
      <c r="V8" s="467"/>
      <c r="W8" s="467"/>
      <c r="X8" s="467"/>
      <c r="Y8" s="467"/>
      <c r="Z8" s="467"/>
      <c r="AA8" s="467"/>
      <c r="AB8" s="467"/>
      <c r="AC8" s="467"/>
      <c r="AD8" s="467"/>
      <c r="AE8" s="467"/>
      <c r="AF8" s="467"/>
      <c r="AG8" s="467"/>
      <c r="AH8" s="467"/>
      <c r="AI8" s="467"/>
      <c r="AJ8" s="467"/>
      <c r="AK8" s="467"/>
      <c r="AL8" s="467"/>
      <c r="AM8" s="467"/>
      <c r="AN8" s="467"/>
      <c r="AO8" s="467"/>
      <c r="AP8" s="467"/>
      <c r="AQ8" s="467"/>
      <c r="AR8" s="468" t="s">
        <v>9</v>
      </c>
      <c r="AS8" s="469"/>
      <c r="AT8" s="469"/>
      <c r="AU8" s="469"/>
      <c r="AV8" s="469"/>
      <c r="AW8" s="469"/>
      <c r="AX8" s="469"/>
      <c r="AY8" s="470"/>
      <c r="AZ8" s="474" t="s">
        <v>10</v>
      </c>
      <c r="BA8" s="475"/>
      <c r="BB8" s="475"/>
      <c r="BC8" s="475"/>
      <c r="BD8" s="475"/>
      <c r="BE8" s="475"/>
      <c r="BF8" s="475"/>
      <c r="BG8" s="475"/>
      <c r="BH8" s="475"/>
      <c r="BI8" s="475"/>
      <c r="BJ8" s="476"/>
      <c r="BK8" s="443" t="s">
        <v>11</v>
      </c>
      <c r="BL8" s="444"/>
      <c r="BM8" s="444"/>
      <c r="BN8" s="444"/>
      <c r="BO8" s="444"/>
      <c r="BP8" s="445"/>
      <c r="BQ8" s="424" t="s">
        <v>12</v>
      </c>
      <c r="BR8" s="425"/>
      <c r="BS8" s="426"/>
      <c r="BT8" s="425"/>
      <c r="BU8" s="427"/>
      <c r="BV8" s="425"/>
      <c r="BW8" s="425"/>
      <c r="BX8" s="425"/>
      <c r="BY8" s="425"/>
      <c r="BZ8" s="425"/>
      <c r="CA8" s="425"/>
      <c r="CB8" s="425"/>
      <c r="CC8" s="425"/>
      <c r="CD8" s="425"/>
      <c r="CE8" s="425"/>
      <c r="CF8" s="425"/>
      <c r="CG8" s="428"/>
    </row>
    <row r="9" spans="1:90" ht="20.25" hidden="1" customHeight="1" thickBot="1">
      <c r="A9" s="458"/>
      <c r="B9" s="459"/>
      <c r="C9" s="459"/>
      <c r="D9" s="459"/>
      <c r="E9" s="459"/>
      <c r="F9" s="459"/>
      <c r="G9" s="459"/>
      <c r="H9" s="459"/>
      <c r="I9" s="459"/>
      <c r="J9" s="459"/>
      <c r="K9" s="459"/>
      <c r="L9" s="460"/>
      <c r="M9" s="459"/>
      <c r="N9" s="459"/>
      <c r="O9" s="459"/>
      <c r="P9" s="461"/>
      <c r="Q9" s="434" t="s">
        <v>13</v>
      </c>
      <c r="R9" s="435"/>
      <c r="S9" s="436"/>
      <c r="T9" s="440">
        <v>2020</v>
      </c>
      <c r="U9" s="441"/>
      <c r="V9" s="441"/>
      <c r="W9" s="441"/>
      <c r="X9" s="441"/>
      <c r="Y9" s="441"/>
      <c r="Z9" s="441"/>
      <c r="AA9" s="441"/>
      <c r="AB9" s="441"/>
      <c r="AC9" s="441"/>
      <c r="AD9" s="440">
        <v>2021</v>
      </c>
      <c r="AE9" s="441"/>
      <c r="AF9" s="441"/>
      <c r="AG9" s="441"/>
      <c r="AH9" s="441"/>
      <c r="AI9" s="441"/>
      <c r="AJ9" s="441"/>
      <c r="AK9" s="441"/>
      <c r="AL9" s="441">
        <v>2022</v>
      </c>
      <c r="AM9" s="441"/>
      <c r="AN9" s="440">
        <v>2023</v>
      </c>
      <c r="AO9" s="442"/>
      <c r="AP9" s="441">
        <v>2024</v>
      </c>
      <c r="AQ9" s="441"/>
      <c r="AR9" s="471"/>
      <c r="AS9" s="472"/>
      <c r="AT9" s="472"/>
      <c r="AU9" s="472"/>
      <c r="AV9" s="472"/>
      <c r="AW9" s="472"/>
      <c r="AX9" s="472"/>
      <c r="AY9" s="473"/>
      <c r="AZ9" s="477"/>
      <c r="BA9" s="478"/>
      <c r="BB9" s="478"/>
      <c r="BC9" s="478"/>
      <c r="BD9" s="478"/>
      <c r="BE9" s="478"/>
      <c r="BF9" s="478"/>
      <c r="BG9" s="478"/>
      <c r="BH9" s="478"/>
      <c r="BI9" s="478"/>
      <c r="BJ9" s="479"/>
      <c r="BK9" s="446"/>
      <c r="BL9" s="447"/>
      <c r="BM9" s="447"/>
      <c r="BN9" s="447"/>
      <c r="BO9" s="447"/>
      <c r="BP9" s="448"/>
      <c r="BQ9" s="429"/>
      <c r="BR9" s="430"/>
      <c r="BS9" s="431"/>
      <c r="BT9" s="430"/>
      <c r="BU9" s="432"/>
      <c r="BV9" s="430"/>
      <c r="BW9" s="430"/>
      <c r="BX9" s="430"/>
      <c r="BY9" s="430"/>
      <c r="BZ9" s="430"/>
      <c r="CA9" s="430"/>
      <c r="CB9" s="430"/>
      <c r="CC9" s="430"/>
      <c r="CD9" s="430"/>
      <c r="CE9" s="430"/>
      <c r="CF9" s="430"/>
      <c r="CG9" s="433"/>
    </row>
    <row r="10" spans="1:90" ht="20.25" hidden="1" customHeight="1" thickBot="1">
      <c r="A10" s="462"/>
      <c r="B10" s="463"/>
      <c r="C10" s="463"/>
      <c r="D10" s="463"/>
      <c r="E10" s="463"/>
      <c r="F10" s="463"/>
      <c r="G10" s="463"/>
      <c r="H10" s="463"/>
      <c r="I10" s="463"/>
      <c r="J10" s="463"/>
      <c r="K10" s="463"/>
      <c r="L10" s="464"/>
      <c r="M10" s="463"/>
      <c r="N10" s="463"/>
      <c r="O10" s="463"/>
      <c r="P10" s="465"/>
      <c r="Q10" s="437"/>
      <c r="R10" s="438"/>
      <c r="S10" s="439"/>
      <c r="T10" s="440" t="s">
        <v>14</v>
      </c>
      <c r="U10" s="441"/>
      <c r="V10" s="441"/>
      <c r="W10" s="441"/>
      <c r="X10" s="441"/>
      <c r="Y10" s="441"/>
      <c r="Z10" s="441"/>
      <c r="AA10" s="441"/>
      <c r="AB10" s="441"/>
      <c r="AC10" s="442"/>
      <c r="AD10" s="440" t="s">
        <v>14</v>
      </c>
      <c r="AE10" s="441"/>
      <c r="AF10" s="441"/>
      <c r="AG10" s="441"/>
      <c r="AH10" s="441"/>
      <c r="AI10" s="441"/>
      <c r="AJ10" s="441"/>
      <c r="AK10" s="441"/>
      <c r="AL10" s="441" t="s">
        <v>14</v>
      </c>
      <c r="AM10" s="441"/>
      <c r="AN10" s="441" t="s">
        <v>14</v>
      </c>
      <c r="AO10" s="441"/>
      <c r="AP10" s="441" t="s">
        <v>14</v>
      </c>
      <c r="AQ10" s="441"/>
      <c r="AR10" s="480">
        <v>2020</v>
      </c>
      <c r="AS10" s="481"/>
      <c r="AT10" s="481"/>
      <c r="AU10" s="482"/>
      <c r="AV10" s="480">
        <v>2021</v>
      </c>
      <c r="AW10" s="481"/>
      <c r="AX10" s="481"/>
      <c r="AY10" s="482"/>
      <c r="AZ10" s="36" t="s">
        <v>13</v>
      </c>
      <c r="BA10" s="452">
        <v>2020</v>
      </c>
      <c r="BB10" s="453"/>
      <c r="BC10" s="452">
        <v>2021</v>
      </c>
      <c r="BD10" s="453"/>
      <c r="BE10" s="452">
        <v>2022</v>
      </c>
      <c r="BF10" s="453"/>
      <c r="BG10" s="452">
        <v>2023</v>
      </c>
      <c r="BH10" s="453"/>
      <c r="BI10" s="452">
        <v>2024</v>
      </c>
      <c r="BJ10" s="453"/>
      <c r="BK10" s="449"/>
      <c r="BL10" s="450"/>
      <c r="BM10" s="450"/>
      <c r="BN10" s="450"/>
      <c r="BO10" s="450"/>
      <c r="BP10" s="451"/>
      <c r="BQ10" s="422" t="s">
        <v>13</v>
      </c>
      <c r="BR10" s="423"/>
      <c r="BS10" s="416">
        <v>2020</v>
      </c>
      <c r="BT10" s="417"/>
      <c r="BU10" s="418"/>
      <c r="BV10" s="419">
        <v>2021</v>
      </c>
      <c r="BW10" s="420"/>
      <c r="BX10" s="421"/>
      <c r="BY10" s="419">
        <v>2022</v>
      </c>
      <c r="BZ10" s="420"/>
      <c r="CA10" s="421"/>
      <c r="CB10" s="419">
        <v>2023</v>
      </c>
      <c r="CC10" s="420"/>
      <c r="CD10" s="421"/>
      <c r="CE10" s="419">
        <v>2024</v>
      </c>
      <c r="CF10" s="420"/>
      <c r="CG10" s="421"/>
    </row>
    <row r="11" spans="1:90" ht="111" customHeight="1" thickBot="1">
      <c r="A11" s="21" t="s">
        <v>15</v>
      </c>
      <c r="B11" s="21" t="s">
        <v>16</v>
      </c>
      <c r="C11" s="21" t="s">
        <v>17</v>
      </c>
      <c r="D11" s="21" t="s">
        <v>18</v>
      </c>
      <c r="E11" s="21" t="s">
        <v>19</v>
      </c>
      <c r="F11" s="21" t="s">
        <v>20</v>
      </c>
      <c r="G11" s="21" t="s">
        <v>21</v>
      </c>
      <c r="H11" s="21" t="s">
        <v>22</v>
      </c>
      <c r="I11" s="21" t="s">
        <v>23</v>
      </c>
      <c r="J11" s="21" t="s">
        <v>24</v>
      </c>
      <c r="K11" s="21" t="s">
        <v>25</v>
      </c>
      <c r="L11" s="21" t="s">
        <v>26</v>
      </c>
      <c r="M11" s="21" t="s">
        <v>27</v>
      </c>
      <c r="N11" s="21" t="s">
        <v>28</v>
      </c>
      <c r="O11" s="21" t="s">
        <v>29</v>
      </c>
      <c r="P11" s="22" t="s">
        <v>30</v>
      </c>
      <c r="Q11" s="20" t="s">
        <v>31</v>
      </c>
      <c r="R11" s="20" t="s">
        <v>32</v>
      </c>
      <c r="S11" s="23" t="s">
        <v>33</v>
      </c>
      <c r="T11" s="2" t="s">
        <v>34</v>
      </c>
      <c r="U11" s="2" t="s">
        <v>35</v>
      </c>
      <c r="V11" s="2" t="s">
        <v>36</v>
      </c>
      <c r="W11" s="2" t="s">
        <v>37</v>
      </c>
      <c r="X11" s="18" t="s">
        <v>38</v>
      </c>
      <c r="Y11" s="18" t="s">
        <v>39</v>
      </c>
      <c r="Z11" s="18" t="s">
        <v>40</v>
      </c>
      <c r="AA11" s="18" t="s">
        <v>41</v>
      </c>
      <c r="AB11" s="18" t="s">
        <v>42</v>
      </c>
      <c r="AC11" s="18" t="s">
        <v>43</v>
      </c>
      <c r="AD11" s="19" t="s">
        <v>44</v>
      </c>
      <c r="AE11" s="19" t="s">
        <v>45</v>
      </c>
      <c r="AF11" s="23" t="s">
        <v>46</v>
      </c>
      <c r="AG11" s="23" t="s">
        <v>47</v>
      </c>
      <c r="AH11" s="19" t="s">
        <v>48</v>
      </c>
      <c r="AI11" s="23" t="s">
        <v>41</v>
      </c>
      <c r="AJ11" s="23" t="s">
        <v>42</v>
      </c>
      <c r="AK11" s="23" t="s">
        <v>43</v>
      </c>
      <c r="AL11" s="2" t="s">
        <v>49</v>
      </c>
      <c r="AM11" s="2" t="s">
        <v>50</v>
      </c>
      <c r="AN11" s="2" t="s">
        <v>51</v>
      </c>
      <c r="AO11" s="2" t="s">
        <v>52</v>
      </c>
      <c r="AP11" s="2" t="s">
        <v>53</v>
      </c>
      <c r="AQ11" s="2" t="s">
        <v>54</v>
      </c>
      <c r="AR11" s="24" t="s">
        <v>55</v>
      </c>
      <c r="AS11" s="24" t="s">
        <v>56</v>
      </c>
      <c r="AT11" s="53" t="s">
        <v>57</v>
      </c>
      <c r="AU11" s="24" t="s">
        <v>58</v>
      </c>
      <c r="AV11" s="91" t="s">
        <v>55</v>
      </c>
      <c r="AW11" s="25" t="s">
        <v>56</v>
      </c>
      <c r="AX11" s="26" t="s">
        <v>57</v>
      </c>
      <c r="AY11" s="93" t="s">
        <v>58</v>
      </c>
      <c r="AZ11" s="37" t="s">
        <v>59</v>
      </c>
      <c r="BA11" s="38" t="s">
        <v>60</v>
      </c>
      <c r="BB11" s="39" t="s">
        <v>61</v>
      </c>
      <c r="BC11" s="38" t="s">
        <v>62</v>
      </c>
      <c r="BD11" s="39" t="s">
        <v>63</v>
      </c>
      <c r="BE11" s="38" t="s">
        <v>64</v>
      </c>
      <c r="BF11" s="39" t="s">
        <v>65</v>
      </c>
      <c r="BG11" s="38" t="s">
        <v>66</v>
      </c>
      <c r="BH11" s="39" t="s">
        <v>67</v>
      </c>
      <c r="BI11" s="38" t="s">
        <v>68</v>
      </c>
      <c r="BJ11" s="39" t="s">
        <v>69</v>
      </c>
      <c r="BK11" s="27" t="s">
        <v>70</v>
      </c>
      <c r="BL11" s="27" t="s">
        <v>71</v>
      </c>
      <c r="BM11" s="27" t="s">
        <v>72</v>
      </c>
      <c r="BN11" s="27" t="s">
        <v>73</v>
      </c>
      <c r="BO11" s="27" t="s">
        <v>74</v>
      </c>
      <c r="BP11" s="27" t="s">
        <v>75</v>
      </c>
      <c r="BQ11" s="40" t="s">
        <v>76</v>
      </c>
      <c r="BR11" s="28" t="s">
        <v>77</v>
      </c>
      <c r="BS11" s="49" t="s">
        <v>78</v>
      </c>
      <c r="BT11" s="29" t="s">
        <v>79</v>
      </c>
      <c r="BU11" s="29" t="s">
        <v>80</v>
      </c>
      <c r="BV11" s="41" t="s">
        <v>81</v>
      </c>
      <c r="BW11" s="29" t="s">
        <v>82</v>
      </c>
      <c r="BX11" s="29" t="s">
        <v>83</v>
      </c>
      <c r="BY11" s="41" t="s">
        <v>84</v>
      </c>
      <c r="BZ11" s="29" t="s">
        <v>85</v>
      </c>
      <c r="CA11" s="29" t="s">
        <v>86</v>
      </c>
      <c r="CB11" s="41" t="s">
        <v>87</v>
      </c>
      <c r="CC11" s="29" t="s">
        <v>88</v>
      </c>
      <c r="CD11" s="29" t="s">
        <v>89</v>
      </c>
      <c r="CE11" s="41" t="s">
        <v>90</v>
      </c>
      <c r="CF11" s="29" t="s">
        <v>91</v>
      </c>
      <c r="CG11" s="29" t="s">
        <v>92</v>
      </c>
      <c r="CH11" s="29" t="s">
        <v>93</v>
      </c>
      <c r="CI11" s="29" t="s">
        <v>94</v>
      </c>
      <c r="CJ11" s="29" t="s">
        <v>95</v>
      </c>
      <c r="CK11" s="29" t="s">
        <v>96</v>
      </c>
      <c r="CL11" s="29" t="s">
        <v>97</v>
      </c>
    </row>
    <row r="12" spans="1:90" ht="18" customHeight="1">
      <c r="A12" s="6" t="s">
        <v>98</v>
      </c>
      <c r="B12" s="6" t="s">
        <v>99</v>
      </c>
      <c r="C12" s="6" t="s">
        <v>100</v>
      </c>
      <c r="D12" s="6" t="s">
        <v>101</v>
      </c>
      <c r="E12" s="6" t="s">
        <v>102</v>
      </c>
      <c r="F12" s="6" t="s">
        <v>103</v>
      </c>
      <c r="G12" s="6" t="s">
        <v>104</v>
      </c>
      <c r="H12" s="6" t="s">
        <v>105</v>
      </c>
      <c r="I12" s="6" t="s">
        <v>106</v>
      </c>
      <c r="J12" s="7" t="s">
        <v>107</v>
      </c>
      <c r="K12" s="6" t="s">
        <v>108</v>
      </c>
      <c r="L12" s="6" t="s">
        <v>109</v>
      </c>
      <c r="M12" s="6" t="s">
        <v>110</v>
      </c>
      <c r="N12" s="6" t="s">
        <v>111</v>
      </c>
      <c r="O12" s="6" t="s">
        <v>112</v>
      </c>
      <c r="P12" s="8">
        <v>7</v>
      </c>
      <c r="Q12" s="9">
        <v>40</v>
      </c>
      <c r="R12" s="9">
        <f>Z12+AH12</f>
        <v>13</v>
      </c>
      <c r="S12" s="9" t="str">
        <f>VLOOKUP(K12,'1197 Salud'!$K$13:$AK$54,9,0)</f>
        <v>Se logra dar cumplimiento a la implementación de lineas estrategicas de politca pública, en los municipios priorizados de Sopo, Fusagasuga, Zipaquirá, Nilo, El Rosal y La Mesa, en la vigencia 2020. Para el año  2021, se ha logrado avanzar en  siete municipios los cuales son : Gachancipa, Cucunuba, Funza, Girardot,  Cota, Guaduas y Villeta con  la implementacion de acciones que permiten fortalecer las areas de politica pública orientadas al trabajador informal en cuanto a deberes y derechos, entornos laborales saludables, fomento del trabajo protegido, red sociales de trabajadores, Sivisala.</v>
      </c>
      <c r="T12" s="9">
        <v>6</v>
      </c>
      <c r="U12" s="9">
        <v>0</v>
      </c>
      <c r="V12" s="9">
        <v>6</v>
      </c>
      <c r="W12" s="9">
        <v>0</v>
      </c>
      <c r="X12" s="9">
        <v>6</v>
      </c>
      <c r="Y12" s="9">
        <v>0</v>
      </c>
      <c r="Z12" s="9">
        <v>6</v>
      </c>
      <c r="AA12" s="9" t="s">
        <v>110</v>
      </c>
      <c r="AB12" s="9" t="s">
        <v>113</v>
      </c>
      <c r="AC12" s="9" t="s">
        <v>114</v>
      </c>
      <c r="AD12" s="9">
        <v>12</v>
      </c>
      <c r="AE12" s="9">
        <v>0</v>
      </c>
      <c r="AF12" s="9">
        <f>VLOOKUP(K12,'1197 Salud'!$K$13:$AK$54,22,0)</f>
        <v>7</v>
      </c>
      <c r="AG12" s="9">
        <f>VLOOKUP($K$12,'1197 Salud'!$K$13:$AK$54,23,0)</f>
        <v>0</v>
      </c>
      <c r="AH12" s="9">
        <f>AF12</f>
        <v>7</v>
      </c>
      <c r="AI12" s="9" t="str">
        <f>VLOOKUP(K12,'1197 Salud'!$K$13:$AK$54,25,0)</f>
        <v>Municipios con líneas estratégicas implementadas de la Política Pública para el Fomento de la Seguridad y Salud de los Trabajadores.</v>
      </c>
      <c r="AJ12" s="9" t="str">
        <f>VLOOKUP(K12,'1197 Salud'!$K$13:$AK$54,26,0)</f>
        <v>Se avanzó en los siete municipios Gachancipa, Cucunuba, Funza, Girardot, Cota, Guaduas y Villeta  con  la implementacion de acciones que permiten fortalecer las areas de politica pública orientadas al trabajador informal en cuanto a deberes y derechos, entornos laborales saludables, fomento del trabajo protegido, red sociales de trabajadores, Sivisala.</v>
      </c>
      <c r="AK12" s="9" t="str">
        <f>VLOOKUP(K12,'1197 Salud'!$K$13:$AK$54,27,0)</f>
        <v xml:space="preserve">La totalidad de los  municipios a la fecha no cuenta con ejecutor de salud laboral.  Algunos no atienden las solciitudes por parte de los referentes, por lo tanto no se cuenta con la totalidad de PAS municipales para conocer quienes cuentan con acciones de la Dimensión y qiuenes no. A la fecha no se cuenta con contrato interadministrativo de concurrencia. </v>
      </c>
      <c r="AL12" s="9">
        <v>12</v>
      </c>
      <c r="AM12" s="9">
        <v>0</v>
      </c>
      <c r="AN12" s="9">
        <v>10</v>
      </c>
      <c r="AO12" s="9">
        <v>0</v>
      </c>
      <c r="AP12" s="9">
        <v>0</v>
      </c>
      <c r="AQ12" s="9">
        <v>0</v>
      </c>
      <c r="AR12" s="51">
        <v>227184557</v>
      </c>
      <c r="AS12" s="54">
        <v>0</v>
      </c>
      <c r="AT12" s="54">
        <f>AR12+AS12</f>
        <v>227184557</v>
      </c>
      <c r="AU12" s="51">
        <v>211070998</v>
      </c>
      <c r="AV12" s="89">
        <v>297192182</v>
      </c>
      <c r="AY12" s="89">
        <v>240271308</v>
      </c>
      <c r="AZ12" s="42">
        <f>R12/Q12</f>
        <v>0.32500000000000001</v>
      </c>
      <c r="BA12" s="42">
        <v>0.15</v>
      </c>
      <c r="BB12" s="42">
        <v>1</v>
      </c>
      <c r="BC12" s="42">
        <f>AD12/Q12</f>
        <v>0.3</v>
      </c>
      <c r="BD12" s="42" cm="1">
        <f t="array" ref="BD12">_xlfn.IFS(AD12=0,"NA",AD12&gt;0,AH12/AD12)</f>
        <v>0.58333333333333337</v>
      </c>
      <c r="BE12" s="42">
        <f>AL12/Q12</f>
        <v>0.3</v>
      </c>
      <c r="BF12" s="42">
        <v>0</v>
      </c>
      <c r="BG12" s="42">
        <f>AN12/Q12</f>
        <v>0.25</v>
      </c>
      <c r="BH12" s="42">
        <v>0</v>
      </c>
      <c r="BI12" s="42">
        <f>AP12/Q12</f>
        <v>0</v>
      </c>
      <c r="BJ12" s="42" t="s">
        <v>115</v>
      </c>
      <c r="BK12" s="42">
        <f>IF(AZ12&gt;100%,"100%",AZ12)</f>
        <v>0.32500000000000001</v>
      </c>
      <c r="BL12" s="42">
        <v>1</v>
      </c>
      <c r="BM12" s="42" cm="1">
        <f t="array" ref="BM12">_xlfn.IFS(BD12="NA","NA",BD12&gt;100%,"100%",BD12&lt;100,BD12)</f>
        <v>0.58333333333333337</v>
      </c>
      <c r="BN12" s="42" cm="1">
        <f t="array" ref="BN12">_xlfn.IFS(BF12="NA","NA",BF12&gt;100%,"100%",BF12&lt;100,BF12)</f>
        <v>0</v>
      </c>
      <c r="BO12" s="42" cm="1">
        <f t="array" ref="BO12">_xlfn.IFS(BH12="NA","NA",BH12&gt;100%,"100%",BH12&lt;100,BH12)</f>
        <v>0</v>
      </c>
      <c r="BP12" s="42" t="str" cm="1">
        <f t="array" ref="BP12">_xlfn.IFS(BJ12="NA","NA",BJ12&gt;100%,"100%",BJ12&lt;100,BJ12)</f>
        <v>NA</v>
      </c>
      <c r="BQ12" s="43">
        <v>0.22500000000000001</v>
      </c>
      <c r="BR12" s="43">
        <f>BQ12*BK12</f>
        <v>7.3125000000000009E-2</v>
      </c>
      <c r="BS12" s="43">
        <v>3.3799999999999997E-2</v>
      </c>
      <c r="BT12" s="43">
        <v>3.3799999999999997E-2</v>
      </c>
      <c r="BU12" s="43">
        <v>3.3799999999999997E-2</v>
      </c>
      <c r="BV12" s="43">
        <f>(AD12*BQ12)/Q12</f>
        <v>6.7500000000000004E-2</v>
      </c>
      <c r="BW12" s="43">
        <f>IF(BM12="NA","NA",BM12*BV12)</f>
        <v>3.9375000000000007E-2</v>
      </c>
      <c r="BX12" s="43">
        <f>BR12-BU12</f>
        <v>3.9325000000000013E-2</v>
      </c>
      <c r="BY12" s="43">
        <f>(AL12*BQ12)/Q12</f>
        <v>6.7500000000000004E-2</v>
      </c>
      <c r="BZ12" s="43">
        <f>IF(BN12="NA","NA",BN12*BY12)</f>
        <v>0</v>
      </c>
      <c r="CA12" s="43">
        <f>BR12-BU12-BX12</f>
        <v>0</v>
      </c>
      <c r="CB12" s="43">
        <f>(AN12*BQ12)/Q12</f>
        <v>5.6250000000000001E-2</v>
      </c>
      <c r="CC12" s="43">
        <f>IF(BO12="NA","NA",BO12*CB12)</f>
        <v>0</v>
      </c>
      <c r="CD12" s="43">
        <v>0</v>
      </c>
      <c r="CE12" s="43">
        <f>(AP12*BQ12)/Q12</f>
        <v>0</v>
      </c>
      <c r="CF12" s="43" t="str">
        <f>IF(BP12="NA","NA",BP12*CE12)</f>
        <v>NA</v>
      </c>
      <c r="CG12" s="43">
        <v>0</v>
      </c>
    </row>
    <row r="13" spans="1:90" ht="18" customHeight="1">
      <c r="A13" s="260" t="s">
        <v>98</v>
      </c>
      <c r="B13" s="260" t="s">
        <v>99</v>
      </c>
      <c r="C13" s="260" t="s">
        <v>100</v>
      </c>
      <c r="D13" s="260" t="s">
        <v>101</v>
      </c>
      <c r="E13" s="260" t="s">
        <v>102</v>
      </c>
      <c r="F13" s="260" t="s">
        <v>116</v>
      </c>
      <c r="G13" s="260" t="s">
        <v>117</v>
      </c>
      <c r="H13" s="260" t="s">
        <v>118</v>
      </c>
      <c r="I13" s="260" t="s">
        <v>106</v>
      </c>
      <c r="J13" s="260" t="s">
        <v>119</v>
      </c>
      <c r="K13" s="260" t="s">
        <v>120</v>
      </c>
      <c r="L13" s="260" t="s">
        <v>121</v>
      </c>
      <c r="M13" s="260" t="s">
        <v>122</v>
      </c>
      <c r="N13" s="260" t="s">
        <v>123</v>
      </c>
      <c r="O13" s="260" t="s">
        <v>124</v>
      </c>
      <c r="P13" s="10">
        <v>100</v>
      </c>
      <c r="Q13" s="11">
        <v>100</v>
      </c>
      <c r="R13" s="11">
        <f>(Z13+AH13)/CL13</f>
        <v>47.75</v>
      </c>
      <c r="S13" s="9" t="str">
        <f>VLOOKUP(K13,'1197 Salud'!$K$13:$AK$54,9,0)</f>
        <v>1. La Secretaría de Salud tramita las solicitudes de los servicios de salud para la población pobre no asegurada y extranjera sin afiliación al Sistema General de Seguridad Social en Salud SGSSS con las Instituciones Prestadoras de Salud IPS públicas, privadas y Empresas Sociales de Estado Hospitales del Departamento garantizando la facturación generada por la prestación de los servicios de salud este acorde con los parámetros contractuales entre las entidades prestadoras de servicio de salud.
2. La cobertura del aseguramiento en salud establece el porcentaje de la población que cuenta con afiliación al sistema general de seguridad social en salud, garantizando así su acceso a los diferentes servicios de salud que brinda el sistema. A nivel Nacional el estándar o meta a cumplir frente al aseguramiento se encuentra en 97% con el propósito de lograr la cobertura universal.</v>
      </c>
      <c r="T13" s="11">
        <v>0</v>
      </c>
      <c r="U13" s="11">
        <v>100</v>
      </c>
      <c r="V13" s="11">
        <v>0</v>
      </c>
      <c r="W13" s="11">
        <v>100</v>
      </c>
      <c r="X13" s="11" t="s">
        <v>115</v>
      </c>
      <c r="Y13" s="11">
        <v>100</v>
      </c>
      <c r="Z13" s="11">
        <v>100</v>
      </c>
      <c r="AA13" s="11" t="s">
        <v>125</v>
      </c>
      <c r="AB13" s="11" t="s">
        <v>126</v>
      </c>
      <c r="AC13" s="11" t="s">
        <v>127</v>
      </c>
      <c r="AD13" s="11">
        <v>0</v>
      </c>
      <c r="AE13" s="11">
        <v>100</v>
      </c>
      <c r="AF13" s="9">
        <f>VLOOKUP(K13,'1197 Salud'!$K$13:$AK$54,22,0)</f>
        <v>0</v>
      </c>
      <c r="AG13" s="9">
        <f>VLOOKUP(K13,'1197 Salud'!$K$13:$AK$54,23,0)</f>
        <v>91</v>
      </c>
      <c r="AH13" s="11">
        <f>AG13</f>
        <v>91</v>
      </c>
      <c r="AI13" s="9" t="str">
        <f>VLOOKUP(K13,'1197 Salud'!$K$13:$AK$54,25,0)</f>
        <v>Solicitudes atendidas</v>
      </c>
      <c r="AJ13" s="9" t="str">
        <f>VLOOKUP(K13,'1197 Salud'!$K$13:$AK$54,26,0)</f>
        <v>1. La Secretaría de Salud tramita las solicitudes de los servicios de salud para la población pobre no asegurada y extranjera sin afiliación al Sistema General de Seguridad Social en Salud SGSSS con las Instituciones Prestadoras de Salud IPS públicas, privadas y Empresas Sociales de Estado Hospitales del Departamento garantizando la facturación generada por la prestación de los servicios de salud este acorde con los parámetros contractuales entre las entidades prestadoras de servicio de salud.
2. La cobertura del aseguramiento en salud establece el porcentaje de la población que cuenta con afiliación al sistema general de seguridad social en salud, garantizando así su acceso a los diferentes servicios de salud que brinda el sistema. A nivel Nacional el estándar o meta a cumplir frente al aseguramiento se encuentra en 97% con el propósito de lograr la cobertura universal.</v>
      </c>
      <c r="AK13" s="9" t="str">
        <f>VLOOKUP(K13,'1197 Salud'!$K$13:$AK$54,27,0)</f>
        <v>•	En la Secretario de Salud del Departamento se ha teniendo en cuenta el recaudo del Departamento de las fuentes que financia esta meta, lo cual es baja en el 1er semestre del año que implica a celebrar contratación de prestación de servicios y el pago de cartera a las Instituciones Prestadoras de Salud. 
•	En la Secretaria de Salud del Departamento no cuenta un cuadro o programa del seguimiento de las factoras o cuentas de cobro desde su la radicación en la Dirección de Aseguramiento hasta su pago. contratación parcial en la medida que se tenga recaudo efectivo.</v>
      </c>
      <c r="AL13" s="11">
        <v>0</v>
      </c>
      <c r="AM13" s="11">
        <v>100</v>
      </c>
      <c r="AN13" s="11">
        <v>0</v>
      </c>
      <c r="AO13" s="11">
        <v>100</v>
      </c>
      <c r="AP13" s="11">
        <v>0</v>
      </c>
      <c r="AQ13" s="11">
        <v>0</v>
      </c>
      <c r="AR13" s="51">
        <v>60756265838</v>
      </c>
      <c r="AS13" s="54">
        <v>0</v>
      </c>
      <c r="AT13" s="54">
        <f t="shared" ref="AT13:AT76" si="0">AR13+AS13</f>
        <v>60756265838</v>
      </c>
      <c r="AU13" s="51">
        <v>43867890418</v>
      </c>
      <c r="AV13" s="89">
        <v>57466454399</v>
      </c>
      <c r="AY13" s="89">
        <v>1543873711</v>
      </c>
      <c r="AZ13" s="44" cm="1">
        <f t="array" ref="AZ13">_xlfn.IFS((BA13=0),(BD13/CL13),(BA13&gt;0),((BB13+BD13)/CL13),(BE13&gt;0),((BB13+BD13+BE13)/CL13),(BG13&gt;0),((BB13+BD13+BE13+G13)/CL13))</f>
        <v>0.47750000000000004</v>
      </c>
      <c r="BA13" s="44">
        <v>0.25</v>
      </c>
      <c r="BB13" s="44">
        <v>1</v>
      </c>
      <c r="BC13" s="44">
        <f>IF(AE13&gt;0,(1/CL13),0)</f>
        <v>0.25</v>
      </c>
      <c r="BD13" s="44" cm="1">
        <f t="array" ref="BD13">_xlfn.IFS(AE13=0,"NA",AE13&gt;0,AH13/AE13)</f>
        <v>0.91</v>
      </c>
      <c r="BE13" s="44">
        <f>IF(AM13&gt;0,(1/CL13),0)</f>
        <v>0.25</v>
      </c>
      <c r="BF13" s="44">
        <v>0</v>
      </c>
      <c r="BG13" s="44">
        <f>IF(AO13&gt;0,(1/CL13),0)</f>
        <v>0.25</v>
      </c>
      <c r="BH13" s="44">
        <v>0</v>
      </c>
      <c r="BI13" s="44">
        <v>0</v>
      </c>
      <c r="BJ13" s="44" t="s">
        <v>115</v>
      </c>
      <c r="BK13" s="44">
        <f t="shared" ref="BK13:BK76" si="1">IF(AZ13&gt;100%,"100%",AZ13)</f>
        <v>0.47750000000000004</v>
      </c>
      <c r="BL13" s="44">
        <v>1</v>
      </c>
      <c r="BM13" s="42" cm="1">
        <f t="array" ref="BM13">_xlfn.IFS(BD13="NA","NA",BD13&gt;100%,"100%",BD13&lt;100,BD13)</f>
        <v>0.91</v>
      </c>
      <c r="BN13" s="44">
        <v>0</v>
      </c>
      <c r="BO13" s="44">
        <v>0</v>
      </c>
      <c r="BP13" s="44" t="s">
        <v>115</v>
      </c>
      <c r="BQ13" s="45">
        <v>0.22500000000000001</v>
      </c>
      <c r="BR13" s="43">
        <f t="shared" ref="BR13:BR76" si="2">BQ13*BK13</f>
        <v>0.10743750000000001</v>
      </c>
      <c r="BS13" s="45">
        <v>5.6300000000000003E-2</v>
      </c>
      <c r="BT13" s="45">
        <v>5.6300000000000003E-2</v>
      </c>
      <c r="BU13" s="45">
        <v>5.6300000000000003E-2</v>
      </c>
      <c r="BV13" s="45">
        <v>5.6300000000000003E-2</v>
      </c>
      <c r="BW13" s="43">
        <f t="shared" ref="BW13:BW76" si="3">IF(BM13="NA","NA",BM13*BV13)</f>
        <v>5.1233000000000008E-2</v>
      </c>
      <c r="BX13" s="43">
        <f t="shared" ref="BX13:BX76" si="4">BR13-BU13</f>
        <v>5.1137500000000002E-2</v>
      </c>
      <c r="BY13" s="45">
        <v>5.6300000000000003E-2</v>
      </c>
      <c r="BZ13" s="45">
        <v>0</v>
      </c>
      <c r="CA13" s="43">
        <f t="shared" ref="CA13:CA76" si="5">BR13-BU13-BX13</f>
        <v>0</v>
      </c>
      <c r="CB13" s="45">
        <v>5.6300000000000003E-2</v>
      </c>
      <c r="CC13" s="45">
        <v>0</v>
      </c>
      <c r="CD13" s="45">
        <v>0</v>
      </c>
      <c r="CE13" s="45">
        <v>0</v>
      </c>
      <c r="CF13" s="45" t="s">
        <v>115</v>
      </c>
      <c r="CG13" s="45">
        <v>0</v>
      </c>
      <c r="CH13">
        <f>IF(W13&gt;0,1,0)</f>
        <v>1</v>
      </c>
      <c r="CI13">
        <f>IF(AE13&gt;0,1,0)</f>
        <v>1</v>
      </c>
      <c r="CJ13">
        <f>IF(AM13&gt;0,1,0)</f>
        <v>1</v>
      </c>
      <c r="CK13">
        <f>IF(AO13&gt;0,1,0)</f>
        <v>1</v>
      </c>
      <c r="CL13">
        <f>CH13+CI13+CJ13+CK13</f>
        <v>4</v>
      </c>
    </row>
    <row r="14" spans="1:90" ht="18" customHeight="1">
      <c r="A14" s="260" t="s">
        <v>98</v>
      </c>
      <c r="B14" s="260" t="s">
        <v>99</v>
      </c>
      <c r="C14" s="260" t="s">
        <v>100</v>
      </c>
      <c r="D14" s="260" t="s">
        <v>101</v>
      </c>
      <c r="E14" s="260" t="s">
        <v>102</v>
      </c>
      <c r="F14" s="260" t="s">
        <v>116</v>
      </c>
      <c r="G14" s="260" t="s">
        <v>117</v>
      </c>
      <c r="H14" s="260" t="s">
        <v>128</v>
      </c>
      <c r="I14" s="260" t="s">
        <v>106</v>
      </c>
      <c r="J14" s="260" t="s">
        <v>119</v>
      </c>
      <c r="K14" s="260" t="s">
        <v>129</v>
      </c>
      <c r="L14" s="260" t="s">
        <v>130</v>
      </c>
      <c r="M14" s="260" t="s">
        <v>131</v>
      </c>
      <c r="N14" s="260" t="s">
        <v>111</v>
      </c>
      <c r="O14" s="260" t="s">
        <v>112</v>
      </c>
      <c r="P14" s="10">
        <v>0</v>
      </c>
      <c r="Q14" s="11">
        <v>1</v>
      </c>
      <c r="R14" s="9">
        <f t="shared" ref="R14:R17" si="6">Z14+AH14</f>
        <v>0.47</v>
      </c>
      <c r="S14" s="9" t="str">
        <f>VLOOKUP(K14,'1197 Salud'!$K$13:$AK$54,9,0)</f>
        <v>1, En la Secretaría de Salud con los diferentes grupos de profesionales de la Dirección de Aseguramiento realiza asistencias técnicas y acompañamientos con las Entidades Administradoras de Planes de Beneficios de Salud EAPB, con los municipios en donde se garantiza el acceso a los servicios de salud de sus afiliados del Departamento de Cundinamarca.
2, Se ha generado un incremento en las afiliacion de los usuarios que demandan servicios de salud y las IPS a través de la herramienta de miseguridad social se ha realizado el aseguramiento por SAT como lo indica el decreto 064 de 2020 permitiendo una disminución considerable de la población no asegurada PNA.</v>
      </c>
      <c r="T14" s="11">
        <v>0.25</v>
      </c>
      <c r="U14" s="11">
        <v>0</v>
      </c>
      <c r="V14" s="11">
        <v>0.25</v>
      </c>
      <c r="W14" s="11">
        <v>0</v>
      </c>
      <c r="X14" s="11">
        <v>0.25</v>
      </c>
      <c r="Y14" s="11">
        <v>0</v>
      </c>
      <c r="Z14" s="11">
        <v>0.25</v>
      </c>
      <c r="AA14" s="11" t="s">
        <v>132</v>
      </c>
      <c r="AB14" s="11" t="s">
        <v>133</v>
      </c>
      <c r="AC14" s="11">
        <v>0</v>
      </c>
      <c r="AD14" s="11">
        <v>0.25</v>
      </c>
      <c r="AE14" s="11">
        <v>0</v>
      </c>
      <c r="AF14" s="9">
        <f>VLOOKUP(K14,'1197 Salud'!$K$13:$AK$54,22,0)</f>
        <v>0.22</v>
      </c>
      <c r="AG14" s="9">
        <f>VLOOKUP(K14,'1197 Salud'!$K$13:$AK$54,23,0)</f>
        <v>0</v>
      </c>
      <c r="AH14" s="9">
        <f t="shared" ref="AH14:AH17" si="7">AF14</f>
        <v>0.22</v>
      </c>
      <c r="AI14" s="9" t="str">
        <f>VLOOKUP(K14,'1197 Salud'!$K$13:$AK$54,25,0)</f>
        <v>Estrategia implementada</v>
      </c>
      <c r="AJ14" s="9" t="str">
        <f>VLOOKUP(K14,'1197 Salud'!$K$13:$AK$54,26,0)</f>
        <v>1, En la Secretaría de Salud con los diferentes grupos de profesionales de la Dirección de Aseguramiento realiza asistencias técnicas y acompañamientos con las Entidades Administradoras de Planes de Beneficios de Salud EAPB, con los municipios en donde se garantiza el acceso a los servicios de salud de sus afiliados del Departamento de Cundinamarca.
2, Se ha generado un incremento en las afiliacion de los usuarios que demandan servicios de salud y las IPS a través de la herramienta de miseguridad social se ha realizado el aseguramiento por SAT como lo indica el decreto 064 de 2020 permitiendo una disminución considerable de la población no asegurada PNA.</v>
      </c>
      <c r="AK14" s="9" t="str">
        <f>VLOOKUP(K14,'1197 Salud'!$K$13:$AK$54,27,0)</f>
        <v>•	Las Entidades Administradoras de Planes de Beneficios de Salud EAPB se demora en la entrega de la información solicitada y solicitan plazo para la entrega.
•	Empresa Prestadora de Salud Sanitas ha incumplido con varios requerimientos, solicitando plazo la entrega y no cumplen con lo acordado.
•	 Las Empresas Prestadoras de Salud no dan respuesta a los requerimientos de la auditoria a los municipios.
•	Los municipios no entregar los informes de auditora oportunamente a Secretaría de Salud con los diferentes grupos de profesionales de la Dirección de Aseguramiento.</v>
      </c>
      <c r="AL14" s="11">
        <v>0.25</v>
      </c>
      <c r="AM14" s="11">
        <v>0</v>
      </c>
      <c r="AN14" s="11">
        <v>0.25</v>
      </c>
      <c r="AO14" s="11">
        <v>0</v>
      </c>
      <c r="AP14" s="11">
        <v>0</v>
      </c>
      <c r="AQ14" s="11">
        <v>0</v>
      </c>
      <c r="AR14" s="51">
        <v>110104293</v>
      </c>
      <c r="AS14" s="54">
        <v>0</v>
      </c>
      <c r="AT14" s="54">
        <f t="shared" si="0"/>
        <v>110104293</v>
      </c>
      <c r="AU14" s="51">
        <v>110104293</v>
      </c>
      <c r="AV14" s="89">
        <v>344419590</v>
      </c>
      <c r="AY14" s="89">
        <v>190000559</v>
      </c>
      <c r="AZ14" s="42">
        <f t="shared" ref="AZ14:AZ17" si="8">R14/Q14</f>
        <v>0.47</v>
      </c>
      <c r="BA14" s="44">
        <v>0.25</v>
      </c>
      <c r="BB14" s="44">
        <v>1</v>
      </c>
      <c r="BC14" s="42">
        <f t="shared" ref="BC14:BC17" si="9">AD14/Q14</f>
        <v>0.25</v>
      </c>
      <c r="BD14" s="42" cm="1">
        <f t="array" ref="BD14">_xlfn.IFS(AD14=0,"NA",AD14&gt;0,AH14/AD14)</f>
        <v>0.88</v>
      </c>
      <c r="BE14" s="42">
        <f t="shared" ref="BE14:BE17" si="10">AL14/Q14</f>
        <v>0.25</v>
      </c>
      <c r="BF14" s="44">
        <v>0</v>
      </c>
      <c r="BG14" s="42">
        <f t="shared" ref="BG14:BG17" si="11">AN14/Q14</f>
        <v>0.25</v>
      </c>
      <c r="BH14" s="44">
        <v>0</v>
      </c>
      <c r="BI14" s="42">
        <f t="shared" ref="BI14:BI17" si="12">AP14/Q14</f>
        <v>0</v>
      </c>
      <c r="BJ14" s="44" t="s">
        <v>115</v>
      </c>
      <c r="BK14" s="42">
        <f t="shared" si="1"/>
        <v>0.47</v>
      </c>
      <c r="BL14" s="44">
        <v>1</v>
      </c>
      <c r="BM14" s="42" cm="1">
        <f t="array" ref="BM14">_xlfn.IFS(BD14="NA","NA",BD14&gt;100%,"100%",BD14&lt;100,BD14)</f>
        <v>0.88</v>
      </c>
      <c r="BN14" s="42" cm="1">
        <f t="array" ref="BN14">_xlfn.IFS(BF14="NA","NA",BF14&gt;100%,"100%",BF14&lt;100,BF14)</f>
        <v>0</v>
      </c>
      <c r="BO14" s="42" cm="1">
        <f t="array" ref="BO14">_xlfn.IFS(BH14="NA","NA",BH14&gt;100%,"100%",BH14&lt;100,BH14)</f>
        <v>0</v>
      </c>
      <c r="BP14" s="42" t="str" cm="1">
        <f t="array" ref="BP14">_xlfn.IFS(BJ14="NA","NA",BJ14&gt;100%,"100%",BJ14&lt;100,BJ14)</f>
        <v>NA</v>
      </c>
      <c r="BQ14" s="45">
        <v>0.22500000000000001</v>
      </c>
      <c r="BR14" s="43">
        <f t="shared" si="2"/>
        <v>0.10575</v>
      </c>
      <c r="BS14" s="45">
        <v>5.6300000000000003E-2</v>
      </c>
      <c r="BT14" s="45">
        <v>5.6300000000000003E-2</v>
      </c>
      <c r="BU14" s="45">
        <v>5.6300000000000003E-2</v>
      </c>
      <c r="BV14" s="43">
        <f t="shared" ref="BV14:BV17" si="13">(AD14*BQ14)/Q14</f>
        <v>5.6250000000000001E-2</v>
      </c>
      <c r="BW14" s="43">
        <f t="shared" si="3"/>
        <v>4.9500000000000002E-2</v>
      </c>
      <c r="BX14" s="43">
        <f t="shared" si="4"/>
        <v>4.9449999999999994E-2</v>
      </c>
      <c r="BY14" s="43">
        <f t="shared" ref="BY14:BY17" si="14">(AL14*BQ14)/Q14</f>
        <v>5.6250000000000001E-2</v>
      </c>
      <c r="BZ14" s="43">
        <f t="shared" ref="BZ14:BZ17" si="15">IF(BN14="NA","NA",BN14*BY14)</f>
        <v>0</v>
      </c>
      <c r="CA14" s="43">
        <f t="shared" si="5"/>
        <v>0</v>
      </c>
      <c r="CB14" s="43">
        <f t="shared" ref="CB14:CB17" si="16">(AN14*BQ14)/Q14</f>
        <v>5.6250000000000001E-2</v>
      </c>
      <c r="CC14" s="43">
        <f t="shared" ref="CC14:CC17" si="17">IF(BO14="NA","NA",BO14*CB14)</f>
        <v>0</v>
      </c>
      <c r="CD14" s="45">
        <v>0</v>
      </c>
      <c r="CE14" s="43">
        <f t="shared" ref="CE14:CE17" si="18">(AP14*BQ14)/Q14</f>
        <v>0</v>
      </c>
      <c r="CF14" s="43" t="str">
        <f t="shared" ref="CF14:CF17" si="19">IF(BP14="NA","NA",BP14*CE14)</f>
        <v>NA</v>
      </c>
      <c r="CG14" s="45">
        <v>0</v>
      </c>
    </row>
    <row r="15" spans="1:90" ht="18" customHeight="1">
      <c r="A15" s="260" t="s">
        <v>98</v>
      </c>
      <c r="B15" s="260" t="s">
        <v>99</v>
      </c>
      <c r="C15" s="260" t="s">
        <v>100</v>
      </c>
      <c r="D15" s="260" t="s">
        <v>101</v>
      </c>
      <c r="E15" s="260" t="s">
        <v>102</v>
      </c>
      <c r="F15" s="260" t="s">
        <v>134</v>
      </c>
      <c r="G15" s="260" t="s">
        <v>135</v>
      </c>
      <c r="H15" s="260" t="s">
        <v>136</v>
      </c>
      <c r="I15" s="260" t="s">
        <v>106</v>
      </c>
      <c r="J15" s="12" t="s">
        <v>137</v>
      </c>
      <c r="K15" s="260" t="s">
        <v>138</v>
      </c>
      <c r="L15" s="260" t="s">
        <v>139</v>
      </c>
      <c r="M15" s="260" t="s">
        <v>140</v>
      </c>
      <c r="N15" s="260" t="s">
        <v>111</v>
      </c>
      <c r="O15" s="260" t="s">
        <v>112</v>
      </c>
      <c r="P15" s="10">
        <v>4</v>
      </c>
      <c r="Q15" s="11">
        <v>11</v>
      </c>
      <c r="R15" s="9">
        <f t="shared" si="6"/>
        <v>5</v>
      </c>
      <c r="S15" s="9" t="str">
        <f>VLOOKUP(K15,'1197 Salud'!$K$13:$AK$54,9,0)</f>
        <v xml:space="preserve">Se han adelantado acciones para la identificacion de enfermerdades trasnmitidas por vectores, georreferenciación, identificación de vector y capacitación a la comunidad, para la identificacion de factores de riesgo en los municipios de Fusagasuga, Girardot y Ricaurte, además, se estan trabajando 4 municipios más del departamento a saber Anapoima, Villeta, La Mesa y Guaduas para avanzar en la consecución de metas del cuatrenio </v>
      </c>
      <c r="T15" s="11">
        <v>2</v>
      </c>
      <c r="U15" s="11">
        <v>0</v>
      </c>
      <c r="V15" s="11">
        <v>2</v>
      </c>
      <c r="W15" s="11">
        <v>0</v>
      </c>
      <c r="X15" s="11">
        <v>2</v>
      </c>
      <c r="Y15" s="11">
        <v>0</v>
      </c>
      <c r="Z15" s="11">
        <v>2</v>
      </c>
      <c r="AA15" s="11" t="s">
        <v>141</v>
      </c>
      <c r="AB15" s="11" t="s">
        <v>142</v>
      </c>
      <c r="AC15" s="11" t="s">
        <v>143</v>
      </c>
      <c r="AD15" s="11">
        <v>3</v>
      </c>
      <c r="AE15" s="11">
        <v>0</v>
      </c>
      <c r="AF15" s="9">
        <f>VLOOKUP(K15,'1197 Salud'!$K$13:$AK$54,22,0)</f>
        <v>3</v>
      </c>
      <c r="AG15" s="9">
        <f>VLOOKUP(K15,'1197 Salud'!$K$13:$AK$54,23,0)</f>
        <v>0</v>
      </c>
      <c r="AH15" s="9">
        <f t="shared" si="7"/>
        <v>3</v>
      </c>
      <c r="AI15" s="9" t="str">
        <f>VLOOKUP(K15,'1197 Salud'!$K$13:$AK$54,25,0)</f>
        <v>Municipios con estrategia implementada</v>
      </c>
      <c r="AJ15" s="9" t="str">
        <f>VLOOKUP(K15,'1197 Salud'!$K$13:$AK$54,26,0)</f>
        <v xml:space="preserve">Se han adelantado acciones para la identificacion de enfermerdades trasnmitidas por vectores, georreferenciación, identificación de vector y capacitación a la comunidad, para la identificacion de factores de riesgo en los municipios de Fusagasuga, Girardot y Ricaurte, además, se estan trabajando 4 municipios más del departamento a saber Anapoima, Villeta, La Mesa y Guaduas para avanzar en la consecución de metas del cuatrenio </v>
      </c>
      <c r="AK15" s="9" t="str">
        <f>VLOOKUP(K15,'1197 Salud'!$K$13:$AK$54,27,0)</f>
        <v>N/A</v>
      </c>
      <c r="AL15" s="11">
        <v>3</v>
      </c>
      <c r="AM15" s="11">
        <v>0</v>
      </c>
      <c r="AN15" s="11">
        <v>3</v>
      </c>
      <c r="AO15" s="11">
        <v>0</v>
      </c>
      <c r="AP15" s="11">
        <v>0</v>
      </c>
      <c r="AQ15" s="11">
        <v>0</v>
      </c>
      <c r="AR15" s="51">
        <v>709634566</v>
      </c>
      <c r="AS15" s="54">
        <v>0</v>
      </c>
      <c r="AT15" s="54">
        <f t="shared" si="0"/>
        <v>709634566</v>
      </c>
      <c r="AU15" s="51">
        <v>121720655</v>
      </c>
      <c r="AV15" s="89">
        <v>3325069446</v>
      </c>
      <c r="AY15" s="89">
        <v>1642123637</v>
      </c>
      <c r="AZ15" s="42">
        <f t="shared" si="8"/>
        <v>0.45454545454545453</v>
      </c>
      <c r="BA15" s="44">
        <v>0.18179999999999999</v>
      </c>
      <c r="BB15" s="44">
        <v>1</v>
      </c>
      <c r="BC15" s="42">
        <f t="shared" si="9"/>
        <v>0.27272727272727271</v>
      </c>
      <c r="BD15" s="42" cm="1">
        <f t="array" ref="BD15">_xlfn.IFS(AD15=0,"NA",AD15&gt;0,AH15/AD15)</f>
        <v>1</v>
      </c>
      <c r="BE15" s="42">
        <f t="shared" si="10"/>
        <v>0.27272727272727271</v>
      </c>
      <c r="BF15" s="44">
        <v>0</v>
      </c>
      <c r="BG15" s="42">
        <f t="shared" si="11"/>
        <v>0.27272727272727271</v>
      </c>
      <c r="BH15" s="44">
        <v>0</v>
      </c>
      <c r="BI15" s="42">
        <f t="shared" si="12"/>
        <v>0</v>
      </c>
      <c r="BJ15" s="44" t="s">
        <v>115</v>
      </c>
      <c r="BK15" s="42">
        <f t="shared" si="1"/>
        <v>0.45454545454545453</v>
      </c>
      <c r="BL15" s="44">
        <v>1</v>
      </c>
      <c r="BM15" s="42" cm="1">
        <f t="array" ref="BM15">_xlfn.IFS(BD15="NA","NA",BD15&gt;100%,"100%",BD15&lt;100,BD15)</f>
        <v>1</v>
      </c>
      <c r="BN15" s="42" cm="1">
        <f t="array" ref="BN15">_xlfn.IFS(BF15="NA","NA",BF15&gt;100%,"100%",BF15&lt;100,BF15)</f>
        <v>0</v>
      </c>
      <c r="BO15" s="42" cm="1">
        <f t="array" ref="BO15">_xlfn.IFS(BH15="NA","NA",BH15&gt;100%,"100%",BH15&lt;100,BH15)</f>
        <v>0</v>
      </c>
      <c r="BP15" s="42" t="str" cm="1">
        <f t="array" ref="BP15">_xlfn.IFS(BJ15="NA","NA",BJ15&gt;100%,"100%",BJ15&lt;100,BJ15)</f>
        <v>NA</v>
      </c>
      <c r="BQ15" s="45">
        <v>0.22500000000000001</v>
      </c>
      <c r="BR15" s="43">
        <f t="shared" si="2"/>
        <v>0.10227272727272727</v>
      </c>
      <c r="BS15" s="45">
        <v>4.0899999999999999E-2</v>
      </c>
      <c r="BT15" s="45">
        <v>4.0899999999999999E-2</v>
      </c>
      <c r="BU15" s="45">
        <v>4.0899999999999999E-2</v>
      </c>
      <c r="BV15" s="43">
        <f t="shared" si="13"/>
        <v>6.136363636363637E-2</v>
      </c>
      <c r="BW15" s="43">
        <f t="shared" si="3"/>
        <v>6.136363636363637E-2</v>
      </c>
      <c r="BX15" s="43">
        <f t="shared" si="4"/>
        <v>6.1372727272727266E-2</v>
      </c>
      <c r="BY15" s="43">
        <f t="shared" si="14"/>
        <v>6.136363636363637E-2</v>
      </c>
      <c r="BZ15" s="43">
        <f t="shared" si="15"/>
        <v>0</v>
      </c>
      <c r="CA15" s="43">
        <f t="shared" si="5"/>
        <v>0</v>
      </c>
      <c r="CB15" s="43">
        <f t="shared" si="16"/>
        <v>6.136363636363637E-2</v>
      </c>
      <c r="CC15" s="43">
        <f t="shared" si="17"/>
        <v>0</v>
      </c>
      <c r="CD15" s="45">
        <v>0</v>
      </c>
      <c r="CE15" s="43">
        <f t="shared" si="18"/>
        <v>0</v>
      </c>
      <c r="CF15" s="43" t="str">
        <f t="shared" si="19"/>
        <v>NA</v>
      </c>
      <c r="CG15" s="45">
        <v>0</v>
      </c>
    </row>
    <row r="16" spans="1:90" ht="18" customHeight="1">
      <c r="A16" s="260" t="s">
        <v>144</v>
      </c>
      <c r="B16" s="260" t="s">
        <v>145</v>
      </c>
      <c r="C16" s="260" t="s">
        <v>100</v>
      </c>
      <c r="D16" s="260" t="s">
        <v>101</v>
      </c>
      <c r="E16" s="260" t="s">
        <v>102</v>
      </c>
      <c r="F16" s="260" t="s">
        <v>155</v>
      </c>
      <c r="G16" s="260" t="s">
        <v>156</v>
      </c>
      <c r="H16" s="260" t="s">
        <v>148</v>
      </c>
      <c r="I16" s="260" t="s">
        <v>106</v>
      </c>
      <c r="J16" s="260"/>
      <c r="K16" s="260" t="s">
        <v>149</v>
      </c>
      <c r="L16" s="260" t="s">
        <v>150</v>
      </c>
      <c r="M16" s="260" t="s">
        <v>151</v>
      </c>
      <c r="N16" s="260" t="s">
        <v>111</v>
      </c>
      <c r="O16" s="260" t="s">
        <v>112</v>
      </c>
      <c r="P16" s="10">
        <v>2000</v>
      </c>
      <c r="Q16" s="11">
        <v>2500</v>
      </c>
      <c r="R16" s="9">
        <f t="shared" si="6"/>
        <v>1508</v>
      </c>
      <c r="S16" s="11" t="str">
        <f>VLOOKUP(K16,'1126 Desarrollo Social'!$K$13:$S$58,9,0)</f>
        <v>Caracterización de 1392 familias en riesgo de desintegraciónCapacitación en alianza con el ICBF sobre los tipos de violencia contra NNA en 6 provincias del DepartamentoEsta meta se ha dado cumplimiento con recursos contratados del plan de desarrollo anterior previo a la armonización del presupuesto</v>
      </c>
      <c r="T16" s="11">
        <v>200</v>
      </c>
      <c r="U16" s="11">
        <v>0</v>
      </c>
      <c r="V16" s="11">
        <v>200</v>
      </c>
      <c r="W16" s="11">
        <v>0</v>
      </c>
      <c r="X16" s="11">
        <v>253</v>
      </c>
      <c r="Y16" s="11">
        <v>0</v>
      </c>
      <c r="Z16" s="11">
        <v>253</v>
      </c>
      <c r="AA16" s="11" t="s">
        <v>152</v>
      </c>
      <c r="AB16" s="11" t="s">
        <v>153</v>
      </c>
      <c r="AC16" s="11" t="s">
        <v>154</v>
      </c>
      <c r="AD16" s="11">
        <v>200</v>
      </c>
      <c r="AE16" s="11">
        <v>0</v>
      </c>
      <c r="AF16" s="11">
        <f>VLOOKUP(K16,'1126 Desarrollo Social'!$K$13:$AK$58,22,0)</f>
        <v>1255</v>
      </c>
      <c r="AG16" s="11">
        <f>VLOOKUP(K16,'1126 Desarrollo Social'!$K$13:$AK$58,23,0)</f>
        <v>0</v>
      </c>
      <c r="AH16" s="9">
        <f t="shared" si="7"/>
        <v>1255</v>
      </c>
      <c r="AI16" s="9">
        <f>VLOOKUP(K16,'1126 Desarrollo Social'!$K$13:$AK$58,25,0)</f>
        <v>0</v>
      </c>
      <c r="AJ16" s="9" t="str">
        <f>VLOOKUP(K16,'1126 Desarrollo Social'!$K$13:$AK$58,26,0)</f>
        <v xml:space="preserve">Se realizo la implementacion de la estrategia una familia que progresa es una familia cundinamarquesa, con el taller "roles de padres e hijos- comunicacion asertiva", taller pareja encuentro entre iguales", primer taller virtual con adolescentes del Sistema de Responsabilidad Penal Adolescentes </v>
      </c>
      <c r="AK16" s="9">
        <f>VLOOKUP(K16,'1126 Desarrollo Social'!$K$13:$AK$58,27,0)</f>
        <v>0</v>
      </c>
      <c r="AL16" s="11">
        <v>1000</v>
      </c>
      <c r="AM16" s="11">
        <v>0</v>
      </c>
      <c r="AN16" s="11">
        <v>1047</v>
      </c>
      <c r="AO16" s="11">
        <v>0</v>
      </c>
      <c r="AP16" s="11">
        <v>0</v>
      </c>
      <c r="AQ16" s="11">
        <v>0</v>
      </c>
      <c r="AR16" s="51">
        <v>24030000</v>
      </c>
      <c r="AS16" s="54">
        <v>0</v>
      </c>
      <c r="AT16" s="54">
        <f t="shared" si="0"/>
        <v>24030000</v>
      </c>
      <c r="AU16" s="51">
        <v>22629999</v>
      </c>
      <c r="AV16" s="89">
        <v>120794631</v>
      </c>
      <c r="AY16" s="89">
        <v>60997200</v>
      </c>
      <c r="AZ16" s="42">
        <f t="shared" si="8"/>
        <v>0.60319999999999996</v>
      </c>
      <c r="BA16" s="44">
        <v>0.08</v>
      </c>
      <c r="BB16" s="44">
        <v>1.2649999999999999</v>
      </c>
      <c r="BC16" s="42">
        <f t="shared" si="9"/>
        <v>0.08</v>
      </c>
      <c r="BD16" s="42" cm="1">
        <f t="array" ref="BD16">_xlfn.IFS(AD16=0,"NA",AD16&gt;0,AH16/AD16)</f>
        <v>6.2750000000000004</v>
      </c>
      <c r="BE16" s="42">
        <f t="shared" si="10"/>
        <v>0.4</v>
      </c>
      <c r="BF16" s="44">
        <v>0</v>
      </c>
      <c r="BG16" s="42">
        <f t="shared" si="11"/>
        <v>0.41880000000000001</v>
      </c>
      <c r="BH16" s="44">
        <v>0</v>
      </c>
      <c r="BI16" s="42">
        <f t="shared" si="12"/>
        <v>0</v>
      </c>
      <c r="BJ16" s="44" t="s">
        <v>115</v>
      </c>
      <c r="BK16" s="42">
        <f t="shared" si="1"/>
        <v>0.60319999999999996</v>
      </c>
      <c r="BL16" s="44">
        <v>1</v>
      </c>
      <c r="BM16" s="42" t="str" cm="1">
        <f t="array" ref="BM16">_xlfn.IFS(BD16="NA","NA",BD16&gt;100%,"100%",BD16&lt;100,BD16)</f>
        <v>100%</v>
      </c>
      <c r="BN16" s="42" cm="1">
        <f t="array" ref="BN16">_xlfn.IFS(BF16="NA","NA",BF16&gt;100%,"100%",BF16&lt;100,BF16)</f>
        <v>0</v>
      </c>
      <c r="BO16" s="42" cm="1">
        <f t="array" ref="BO16">_xlfn.IFS(BH16="NA","NA",BH16&gt;100%,"100%",BH16&lt;100,BH16)</f>
        <v>0</v>
      </c>
      <c r="BP16" s="42" t="str" cm="1">
        <f t="array" ref="BP16">_xlfn.IFS(BJ16="NA","NA",BJ16&gt;100%,"100%",BJ16&lt;100,BJ16)</f>
        <v>NA</v>
      </c>
      <c r="BQ16" s="45">
        <v>0.22500000000000001</v>
      </c>
      <c r="BR16" s="43">
        <f t="shared" si="2"/>
        <v>0.13572000000000001</v>
      </c>
      <c r="BS16" s="45">
        <v>1.7999999999999999E-2</v>
      </c>
      <c r="BT16" s="45">
        <v>1.7999999999999999E-2</v>
      </c>
      <c r="BU16" s="45">
        <v>2.2800000000000001E-2</v>
      </c>
      <c r="BV16" s="43">
        <f t="shared" si="13"/>
        <v>1.7999999999999999E-2</v>
      </c>
      <c r="BW16" s="43">
        <f t="shared" si="3"/>
        <v>1.7999999999999999E-2</v>
      </c>
      <c r="BX16" s="43">
        <f t="shared" si="4"/>
        <v>0.11292000000000001</v>
      </c>
      <c r="BY16" s="43">
        <f t="shared" si="14"/>
        <v>0.09</v>
      </c>
      <c r="BZ16" s="43">
        <f t="shared" si="15"/>
        <v>0</v>
      </c>
      <c r="CA16" s="43">
        <f t="shared" si="5"/>
        <v>0</v>
      </c>
      <c r="CB16" s="43">
        <f t="shared" si="16"/>
        <v>9.4230000000000008E-2</v>
      </c>
      <c r="CC16" s="43">
        <f t="shared" si="17"/>
        <v>0</v>
      </c>
      <c r="CD16" s="45">
        <v>0</v>
      </c>
      <c r="CE16" s="43">
        <f t="shared" si="18"/>
        <v>0</v>
      </c>
      <c r="CF16" s="43" t="str">
        <f t="shared" si="19"/>
        <v>NA</v>
      </c>
      <c r="CG16" s="45">
        <v>0</v>
      </c>
    </row>
    <row r="17" spans="1:90" ht="18" customHeight="1">
      <c r="A17" s="260" t="s">
        <v>144</v>
      </c>
      <c r="B17" s="260" t="s">
        <v>145</v>
      </c>
      <c r="C17" s="260" t="s">
        <v>100</v>
      </c>
      <c r="D17" s="260" t="s">
        <v>101</v>
      </c>
      <c r="E17" s="260" t="s">
        <v>102</v>
      </c>
      <c r="F17" s="260" t="s">
        <v>155</v>
      </c>
      <c r="G17" s="260" t="s">
        <v>156</v>
      </c>
      <c r="H17" s="260" t="s">
        <v>157</v>
      </c>
      <c r="I17" s="260" t="s">
        <v>106</v>
      </c>
      <c r="J17" s="260"/>
      <c r="K17" s="260" t="s">
        <v>158</v>
      </c>
      <c r="L17" s="260" t="s">
        <v>159</v>
      </c>
      <c r="M17" s="260" t="s">
        <v>160</v>
      </c>
      <c r="N17" s="260" t="s">
        <v>123</v>
      </c>
      <c r="O17" s="260" t="s">
        <v>112</v>
      </c>
      <c r="P17" s="10">
        <v>0</v>
      </c>
      <c r="Q17" s="11">
        <v>50</v>
      </c>
      <c r="R17" s="9">
        <f t="shared" si="6"/>
        <v>20</v>
      </c>
      <c r="S17" s="11">
        <f>VLOOKUP(K17,'1126 Desarrollo Social'!$K$13:$S$58,9,0)</f>
        <v>0</v>
      </c>
      <c r="T17" s="11">
        <v>0</v>
      </c>
      <c r="U17" s="11">
        <v>0</v>
      </c>
      <c r="V17" s="11">
        <v>5</v>
      </c>
      <c r="W17" s="11">
        <v>0</v>
      </c>
      <c r="X17" s="11">
        <v>5</v>
      </c>
      <c r="Y17" s="11">
        <v>0</v>
      </c>
      <c r="Z17" s="11">
        <v>5</v>
      </c>
      <c r="AA17" s="11">
        <v>0</v>
      </c>
      <c r="AB17" s="11" t="s">
        <v>161</v>
      </c>
      <c r="AC17" s="11">
        <v>0</v>
      </c>
      <c r="AD17" s="11">
        <v>10</v>
      </c>
      <c r="AE17" s="11">
        <v>0</v>
      </c>
      <c r="AF17" s="11">
        <f>VLOOKUP(K17,'1126 Desarrollo Social'!$K$13:$AK$58,22,0)</f>
        <v>15</v>
      </c>
      <c r="AG17" s="11">
        <f>VLOOKUP(K17,'1126 Desarrollo Social'!$K$13:$AK$58,23,0)</f>
        <v>0</v>
      </c>
      <c r="AH17" s="9">
        <f t="shared" si="7"/>
        <v>15</v>
      </c>
      <c r="AI17" s="9" t="str">
        <f>VLOOKUP(K17,'1126 Desarrollo Social'!$K$13:$AK$58,25,0)</f>
        <v xml:space="preserve">Asesorias - Acompañamiento -asistencia tecnica </v>
      </c>
      <c r="AJ17" s="9" t="str">
        <f>VLOOKUP(K17,'1126 Desarrollo Social'!$K$13:$AK$58,26,0)</f>
        <v>Gira promoción política pública  en 116 municipios, 112 gestores capacitados - Caracterizacion de las familias del Departamento que devengan su sustento del trabajo independiente - Socializacion de la politica publica de familia en los 116 municipios de Cundinamarca - Gira provincial de politica publica  ( con articulacion con la secretatria de planeacion)</v>
      </c>
      <c r="AK17" s="9">
        <f>VLOOKUP(K17,'1126 Desarrollo Social'!$K$13:$AK$58,27,0)</f>
        <v>0</v>
      </c>
      <c r="AL17" s="11">
        <v>15</v>
      </c>
      <c r="AM17" s="11">
        <v>0</v>
      </c>
      <c r="AN17" s="11">
        <v>20</v>
      </c>
      <c r="AO17" s="11">
        <v>0</v>
      </c>
      <c r="AP17" s="11">
        <v>0</v>
      </c>
      <c r="AQ17" s="11">
        <v>0</v>
      </c>
      <c r="AR17" s="52"/>
      <c r="AS17" s="54">
        <v>15000000</v>
      </c>
      <c r="AT17" s="54">
        <f t="shared" si="0"/>
        <v>15000000</v>
      </c>
      <c r="AU17" s="52"/>
      <c r="AV17" s="89">
        <v>30000000</v>
      </c>
      <c r="AY17" s="89">
        <v>15050800</v>
      </c>
      <c r="AZ17" s="42">
        <f t="shared" si="8"/>
        <v>0.4</v>
      </c>
      <c r="BA17" s="44">
        <v>0.1</v>
      </c>
      <c r="BB17" s="44">
        <v>1</v>
      </c>
      <c r="BC17" s="42">
        <f t="shared" si="9"/>
        <v>0.2</v>
      </c>
      <c r="BD17" s="42" cm="1">
        <f t="array" ref="BD17">_xlfn.IFS(AD17=0,"NA",AD17&gt;0,AH17/AD17)</f>
        <v>1.5</v>
      </c>
      <c r="BE17" s="42">
        <f t="shared" si="10"/>
        <v>0.3</v>
      </c>
      <c r="BF17" s="44">
        <v>0</v>
      </c>
      <c r="BG17" s="42">
        <f t="shared" si="11"/>
        <v>0.4</v>
      </c>
      <c r="BH17" s="44">
        <v>0</v>
      </c>
      <c r="BI17" s="42">
        <f t="shared" si="12"/>
        <v>0</v>
      </c>
      <c r="BJ17" s="44" t="s">
        <v>115</v>
      </c>
      <c r="BK17" s="42">
        <f t="shared" si="1"/>
        <v>0.4</v>
      </c>
      <c r="BL17" s="44">
        <v>1</v>
      </c>
      <c r="BM17" s="42" t="str" cm="1">
        <f t="array" ref="BM17">_xlfn.IFS(BD17="NA","NA",BD17&gt;100%,"100%",BD17&lt;100,BD17)</f>
        <v>100%</v>
      </c>
      <c r="BN17" s="42" cm="1">
        <f t="array" ref="BN17">_xlfn.IFS(BF17="NA","NA",BF17&gt;100%,"100%",BF17&lt;100,BF17)</f>
        <v>0</v>
      </c>
      <c r="BO17" s="42" cm="1">
        <f t="array" ref="BO17">_xlfn.IFS(BH17="NA","NA",BH17&gt;100%,"100%",BH17&lt;100,BH17)</f>
        <v>0</v>
      </c>
      <c r="BP17" s="42" t="str" cm="1">
        <f t="array" ref="BP17">_xlfn.IFS(BJ17="NA","NA",BJ17&gt;100%,"100%",BJ17&lt;100,BJ17)</f>
        <v>NA</v>
      </c>
      <c r="BQ17" s="45">
        <v>0.22500000000000001</v>
      </c>
      <c r="BR17" s="43">
        <f t="shared" si="2"/>
        <v>9.0000000000000011E-2</v>
      </c>
      <c r="BS17" s="45">
        <v>2.2499999999999999E-2</v>
      </c>
      <c r="BT17" s="45">
        <v>2.2499999999999999E-2</v>
      </c>
      <c r="BU17" s="45">
        <v>2.2499999999999999E-2</v>
      </c>
      <c r="BV17" s="43">
        <f t="shared" si="13"/>
        <v>4.4999999999999998E-2</v>
      </c>
      <c r="BW17" s="43">
        <f t="shared" si="3"/>
        <v>4.4999999999999998E-2</v>
      </c>
      <c r="BX17" s="43">
        <f t="shared" si="4"/>
        <v>6.7500000000000004E-2</v>
      </c>
      <c r="BY17" s="43">
        <f t="shared" si="14"/>
        <v>6.7500000000000004E-2</v>
      </c>
      <c r="BZ17" s="43">
        <f t="shared" si="15"/>
        <v>0</v>
      </c>
      <c r="CA17" s="43">
        <f t="shared" si="5"/>
        <v>0</v>
      </c>
      <c r="CB17" s="43">
        <f t="shared" si="16"/>
        <v>0.09</v>
      </c>
      <c r="CC17" s="43">
        <f t="shared" si="17"/>
        <v>0</v>
      </c>
      <c r="CD17" s="45">
        <v>0</v>
      </c>
      <c r="CE17" s="43">
        <f t="shared" si="18"/>
        <v>0</v>
      </c>
      <c r="CF17" s="43" t="str">
        <f t="shared" si="19"/>
        <v>NA</v>
      </c>
      <c r="CG17" s="45">
        <v>0</v>
      </c>
    </row>
    <row r="18" spans="1:90" ht="18" customHeight="1">
      <c r="A18" s="260" t="s">
        <v>144</v>
      </c>
      <c r="B18" s="260" t="s">
        <v>145</v>
      </c>
      <c r="C18" s="260" t="s">
        <v>100</v>
      </c>
      <c r="D18" s="260" t="s">
        <v>101</v>
      </c>
      <c r="E18" s="260" t="s">
        <v>102</v>
      </c>
      <c r="F18" s="260" t="s">
        <v>155</v>
      </c>
      <c r="G18" s="260" t="s">
        <v>156</v>
      </c>
      <c r="H18" s="260" t="s">
        <v>164</v>
      </c>
      <c r="I18" s="260" t="s">
        <v>165</v>
      </c>
      <c r="J18" s="260"/>
      <c r="K18" s="260" t="s">
        <v>166</v>
      </c>
      <c r="L18" s="260" t="s">
        <v>167</v>
      </c>
      <c r="M18" s="260" t="s">
        <v>168</v>
      </c>
      <c r="N18" s="260" t="s">
        <v>111</v>
      </c>
      <c r="O18" s="260" t="s">
        <v>124</v>
      </c>
      <c r="P18" s="10">
        <v>12000</v>
      </c>
      <c r="Q18" s="11">
        <v>12000</v>
      </c>
      <c r="R18" s="11">
        <f>(Z18+AH18)/CL18</f>
        <v>8856.6666666666661</v>
      </c>
      <c r="S18" s="11">
        <f>VLOOKUP(K18,'1126 Desarrollo Social'!$K$13:$S$58,9,0)</f>
        <v>0</v>
      </c>
      <c r="T18" s="11">
        <v>0</v>
      </c>
      <c r="U18" s="11">
        <v>12000</v>
      </c>
      <c r="V18" s="11">
        <v>0</v>
      </c>
      <c r="W18" s="11">
        <v>0</v>
      </c>
      <c r="X18" s="11" t="s">
        <v>115</v>
      </c>
      <c r="Y18" s="11">
        <v>570</v>
      </c>
      <c r="Z18" s="11">
        <v>570</v>
      </c>
      <c r="AA18" s="11">
        <v>0</v>
      </c>
      <c r="AB18" s="11" t="s">
        <v>169</v>
      </c>
      <c r="AC18" s="11">
        <v>0</v>
      </c>
      <c r="AD18" s="11">
        <v>0</v>
      </c>
      <c r="AE18" s="11">
        <v>12000</v>
      </c>
      <c r="AF18" s="11">
        <f>VLOOKUP(K18,'1126 Desarrollo Social'!$K$13:$AK$58,22,0)</f>
        <v>0</v>
      </c>
      <c r="AG18" s="11">
        <f>VLOOKUP(K18,'1126 Desarrollo Social'!$K$13:$AK$58,23,0)</f>
        <v>26000</v>
      </c>
      <c r="AH18" s="11">
        <f>AG18</f>
        <v>26000</v>
      </c>
      <c r="AI18" s="9">
        <f>VLOOKUP(K18,'1126 Desarrollo Social'!$K$13:$AK$58,25,0)</f>
        <v>0</v>
      </c>
      <c r="AJ18" s="9">
        <f>VLOOKUP(K18,'1126 Desarrollo Social'!$K$13:$AK$58,26,0)</f>
        <v>0</v>
      </c>
      <c r="AK18" s="9">
        <f>VLOOKUP(K18,'1126 Desarrollo Social'!$K$13:$AK$58,27,0)</f>
        <v>0</v>
      </c>
      <c r="AL18" s="11">
        <v>0</v>
      </c>
      <c r="AM18" s="11">
        <v>12000</v>
      </c>
      <c r="AN18" s="11">
        <v>0</v>
      </c>
      <c r="AO18" s="11">
        <v>12000</v>
      </c>
      <c r="AP18" s="11">
        <v>0</v>
      </c>
      <c r="AQ18" s="11">
        <v>0</v>
      </c>
      <c r="AR18" s="52"/>
      <c r="AS18" s="54">
        <v>0</v>
      </c>
      <c r="AT18" s="54">
        <f t="shared" si="0"/>
        <v>0</v>
      </c>
      <c r="AU18" s="52"/>
      <c r="AV18" s="89">
        <v>2200000000</v>
      </c>
      <c r="AY18" s="89">
        <v>69134000</v>
      </c>
      <c r="AZ18" s="44" cm="1">
        <f t="array" ref="AZ18">_xlfn.IFS((BA18=0),(BD18/CL18),(BA18&gt;0),((BB18+BD18)/CL18),(BE18&gt;0),((BB18+BD18+BE18)/CL18),(BG18&gt;0),((BB18+BD18+BE18+G18)/CL18))</f>
        <v>0.72222222222222221</v>
      </c>
      <c r="BA18" s="44">
        <v>0</v>
      </c>
      <c r="BB18" s="44" t="s">
        <v>115</v>
      </c>
      <c r="BC18" s="44">
        <f>IF(AE18&gt;0,(1/CL18),0)</f>
        <v>0.33333333333333331</v>
      </c>
      <c r="BD18" s="44" cm="1">
        <f t="array" ref="BD18">_xlfn.IFS(AE18=0,"NA",AE18&gt;0,AH18/AE18)</f>
        <v>2.1666666666666665</v>
      </c>
      <c r="BE18" s="44">
        <f>IF(AM18&gt;0,(1/CL18),0)</f>
        <v>0.33333333333333331</v>
      </c>
      <c r="BF18" s="44">
        <v>0</v>
      </c>
      <c r="BG18" s="44">
        <f>IF(AO18&gt;0,(1/CL18),0)</f>
        <v>0.33333333333333331</v>
      </c>
      <c r="BH18" s="44">
        <v>0</v>
      </c>
      <c r="BI18" s="44">
        <v>0</v>
      </c>
      <c r="BJ18" s="44" t="s">
        <v>115</v>
      </c>
      <c r="BK18" s="44">
        <f t="shared" si="1"/>
        <v>0.72222222222222221</v>
      </c>
      <c r="BL18" s="44" t="s">
        <v>115</v>
      </c>
      <c r="BM18" s="42" t="str" cm="1">
        <f t="array" ref="BM18">_xlfn.IFS(BD18="NA","NA",BD18&gt;100%,"100%",BD18&lt;100,BD18)</f>
        <v>100%</v>
      </c>
      <c r="BN18" s="44">
        <v>0</v>
      </c>
      <c r="BO18" s="44">
        <v>0</v>
      </c>
      <c r="BP18" s="44" t="s">
        <v>115</v>
      </c>
      <c r="BQ18" s="45">
        <v>0.22500000000000001</v>
      </c>
      <c r="BR18" s="43">
        <f t="shared" si="2"/>
        <v>0.16250000000000001</v>
      </c>
      <c r="BS18" s="45">
        <v>0</v>
      </c>
      <c r="BT18" s="45" t="s">
        <v>115</v>
      </c>
      <c r="BU18" s="45">
        <v>0</v>
      </c>
      <c r="BV18" s="45">
        <v>7.4999999999999997E-2</v>
      </c>
      <c r="BW18" s="43">
        <f t="shared" si="3"/>
        <v>7.4999999999999997E-2</v>
      </c>
      <c r="BX18" s="43">
        <f t="shared" si="4"/>
        <v>0.16250000000000001</v>
      </c>
      <c r="BY18" s="45">
        <v>7.4999999999999997E-2</v>
      </c>
      <c r="BZ18" s="45">
        <v>0</v>
      </c>
      <c r="CA18" s="43">
        <f t="shared" si="5"/>
        <v>0</v>
      </c>
      <c r="CB18" s="45">
        <v>7.4999999999999997E-2</v>
      </c>
      <c r="CC18" s="45">
        <v>0</v>
      </c>
      <c r="CD18" s="45">
        <v>0</v>
      </c>
      <c r="CE18" s="45">
        <v>0</v>
      </c>
      <c r="CF18" s="45" t="s">
        <v>115</v>
      </c>
      <c r="CG18" s="45">
        <v>0</v>
      </c>
      <c r="CH18">
        <f>IF(W18&gt;0,1,0)</f>
        <v>0</v>
      </c>
      <c r="CI18">
        <f>IF(AE18&gt;0,1,0)</f>
        <v>1</v>
      </c>
      <c r="CJ18">
        <f>IF(AM18&gt;0,1,0)</f>
        <v>1</v>
      </c>
      <c r="CK18">
        <f>IF(AO18&gt;0,1,0)</f>
        <v>1</v>
      </c>
      <c r="CL18">
        <f>CH18+CI18+CJ18+CK18</f>
        <v>3</v>
      </c>
    </row>
    <row r="19" spans="1:90" ht="18" customHeight="1">
      <c r="A19" s="260" t="s">
        <v>98</v>
      </c>
      <c r="B19" s="260" t="s">
        <v>99</v>
      </c>
      <c r="C19" s="260" t="s">
        <v>100</v>
      </c>
      <c r="D19" s="260" t="s">
        <v>101</v>
      </c>
      <c r="E19" s="260" t="s">
        <v>102</v>
      </c>
      <c r="F19" s="260" t="s">
        <v>155</v>
      </c>
      <c r="G19" s="260" t="s">
        <v>156</v>
      </c>
      <c r="H19" s="260" t="s">
        <v>170</v>
      </c>
      <c r="I19" s="260" t="s">
        <v>106</v>
      </c>
      <c r="J19" s="12" t="s">
        <v>171</v>
      </c>
      <c r="K19" s="260" t="s">
        <v>172</v>
      </c>
      <c r="L19" s="260" t="s">
        <v>173</v>
      </c>
      <c r="M19" s="260" t="s">
        <v>174</v>
      </c>
      <c r="N19" s="260" t="s">
        <v>123</v>
      </c>
      <c r="O19" s="260" t="s">
        <v>112</v>
      </c>
      <c r="P19" s="10">
        <v>76</v>
      </c>
      <c r="Q19" s="11">
        <v>24</v>
      </c>
      <c r="R19" s="9">
        <f t="shared" ref="R19:R26" si="20">Z19+AH19</f>
        <v>8</v>
      </c>
      <c r="S19" s="9" t="str">
        <f>VLOOKUP(K19,'1197 Salud'!$K$13:$AK$54,9,0)</f>
        <v>En el año 2.021 a través del modelo de Atención Primaria Región que progresa en salud se logra la caracterización a través de la “Ficha Familiar” de 42.235 personas (8.502 familias) de las cuales el 9% son de la zona urbana y el restante (91%) corresponde a zona rural y rural disperso; desde  la estrategia "Protegiendo a tu bebe" se encontraron y canalizaron  483 gestantes a varios servicios, entre ellos; aseguramiento, vacunación, curso de preparación a la maternidad, controles prenatales, odontología, psicología, otros servicios de salud y servicios sociales; de ellas 304 (63%) efectivamente asisten al servicio canalizado; igualmente se identifican 847 migrantes, son canalizados 378 menores de 5 años por esquema de vacunación incompleto, de los cuales 286 (75%) completan su esquema de vacunación
Se han canalizado un total de 302 gestantes (48%) sin controles prenatales, de las cuales 75 (25%) han retomado o iniciado sus controles prenatales.
De otra parte, se han encontrado y canalizado 23 gestantes (3.6%) sin aseguramiento, siendo afiliadas 16 (69%).
Respecto a Gestantes con diagnóstico o sintomatología de Covid – 19 se han encontrado 25 equivalentes al 4%, quienes de manera prioritaria y efectiva han sido tratadas y se les hace los seguimientos correspondientes de manera obligatoria.
56 de las 630 (8,8%) gestantes son encontradas y canalizadas por no contar con la vacunación regular, de ellas 13 (23%) se hace efectiva la vacunación.
Sólo 2 gestantes son encontradas con diagnóstico de sífilis, son canalizadas y tratadas.
 Por otra parte desde el proyecto piloto en Rio Negro en articulación con Crónicas para abordar los siguientes temas "Hipertensión arterial y Diabetes Mellitus" se logró lo siguiente: 1 ENTREGA: 99 beneficiarios 2 ENTREGA: 202 beneficiarios 3. ENTREGA: 197 beneficiarios</v>
      </c>
      <c r="T19" s="11">
        <v>1</v>
      </c>
      <c r="U19" s="11">
        <v>0</v>
      </c>
      <c r="V19" s="11">
        <v>1</v>
      </c>
      <c r="W19" s="11">
        <v>0</v>
      </c>
      <c r="X19" s="11">
        <v>1</v>
      </c>
      <c r="Y19" s="11">
        <v>0</v>
      </c>
      <c r="Z19" s="11">
        <v>1</v>
      </c>
      <c r="AA19" s="11" t="s">
        <v>175</v>
      </c>
      <c r="AB19" s="11" t="s">
        <v>176</v>
      </c>
      <c r="AC19" s="11">
        <v>0</v>
      </c>
      <c r="AD19" s="11">
        <v>7</v>
      </c>
      <c r="AE19" s="11">
        <v>0</v>
      </c>
      <c r="AF19" s="9">
        <f>VLOOKUP(K19,'1197 Salud'!$K$13:$AK$54,22,0)</f>
        <v>7</v>
      </c>
      <c r="AG19" s="9">
        <f>VLOOKUP(K19,'1197 Salud'!$K$13:$AK$54,23,0)</f>
        <v>0</v>
      </c>
      <c r="AH19" s="9">
        <f t="shared" ref="AH19:AH26" si="21">AF19</f>
        <v>7</v>
      </c>
      <c r="AI19" s="9" t="str">
        <f>VLOOKUP(K19,'1197 Salud'!$K$13:$AK$54,25,0)</f>
        <v>Regionales con el modelo de APS implementado</v>
      </c>
      <c r="AJ19" s="9" t="str">
        <f>VLOOKUP(K19,'1197 Salud'!$K$13:$AK$54,26,0)</f>
        <v>En el año 2.021 a través del modelo de Atención Primaria Región que progresa en salud se logra la caracterización a través de la “Ficha Familiar” de 42.235 personas (8.502 familias) de las cuales el 9% son de la zona urbana y el restante (91%) corresponde a zona rural y rural disperso; desde  la estrategia "Protegiendo a tu bebe" se encontraron y canalizaron  483 gestantes a varios servicios, entre ellos; aseguramiento, vacunación, curso de preparación a la maternidad, controles prenatales, odontología, psicología, otros servicios de salud y servicios sociales; de ellas 304 (63%) efectivamente asisten al servicio canalizado; igualmente se identifican 847 migrantes, son canalizados 378 menores de 5 años por esquema de vacunación incompleto, de los cuales 286 (75%) completan su esquema de vacunación
Se han canalizado un total de 302 gestantes (48%) sin controles prenatales, de las cuales 75 (25%) han retomado o iniciado sus controles prenatales.
De otra parte, se han encontrado y canalizado 23 gestantes (3.6%) sin aseguramiento, siendo afiliadas 16 (69%).
Respecto a Gestantes con diagnóstico o sintomatología de Covid – 19 se han encontrado 25 equivalentes al 4%, quienes de manera prioritaria y efectiva han sido tratadas y se les hace los seguimientos correspondientes de manera obligatoria.
56 de las 630 (8,8%) gestantes son encontradas y canalizadas por no contar con la vacunación regular, de ellas 13 (23%) se hace efectiva la vacunación.
Sólo 2 gestantes son encontradas con diagnóstico de sífilis, son canalizadas y tratadas.
 Por otra parte desde el proyecto piloto en Rio Negro en articulación con Crónicas para abordar los siguientes temas "Hipertensión arterial y Diabetes Mellitus" se logró lo siguiente: 1 ENTREGA: 99 beneficiarios 2 ENTREGA: 202 beneficiarios 3. ENTREGA: 197 beneficiarios</v>
      </c>
      <c r="AK19" s="9" t="str">
        <f>VLOOKUP(K19,'1197 Salud'!$K$13:$AK$54,27,0)</f>
        <v>N/A</v>
      </c>
      <c r="AL19" s="11">
        <v>8</v>
      </c>
      <c r="AM19" s="11">
        <v>0</v>
      </c>
      <c r="AN19" s="11">
        <v>8</v>
      </c>
      <c r="AO19" s="11">
        <v>0</v>
      </c>
      <c r="AP19" s="11">
        <v>0</v>
      </c>
      <c r="AQ19" s="11">
        <v>0</v>
      </c>
      <c r="AR19" s="51">
        <v>240005741</v>
      </c>
      <c r="AS19" s="54">
        <v>0</v>
      </c>
      <c r="AT19" s="54">
        <f t="shared" si="0"/>
        <v>240005741</v>
      </c>
      <c r="AU19" s="51">
        <v>157326789</v>
      </c>
      <c r="AV19" s="89">
        <v>6521494112</v>
      </c>
      <c r="AY19" s="89">
        <v>910317583</v>
      </c>
      <c r="AZ19" s="42">
        <f t="shared" ref="AZ19:AZ26" si="22">R19/Q19</f>
        <v>0.33333333333333331</v>
      </c>
      <c r="BA19" s="44">
        <v>4.1700000000000001E-2</v>
      </c>
      <c r="BB19" s="44">
        <v>1</v>
      </c>
      <c r="BC19" s="42">
        <f t="shared" ref="BC19:BC26" si="23">AD19/Q19</f>
        <v>0.29166666666666669</v>
      </c>
      <c r="BD19" s="42" cm="1">
        <f t="array" ref="BD19">_xlfn.IFS(AD19=0,"NA",AD19&gt;0,AH19/AD19)</f>
        <v>1</v>
      </c>
      <c r="BE19" s="42">
        <f t="shared" ref="BE19:BE26" si="24">AL19/Q19</f>
        <v>0.33333333333333331</v>
      </c>
      <c r="BF19" s="44">
        <v>0</v>
      </c>
      <c r="BG19" s="42">
        <f t="shared" ref="BG19:BG26" si="25">AN19/Q19</f>
        <v>0.33333333333333331</v>
      </c>
      <c r="BH19" s="44">
        <v>0</v>
      </c>
      <c r="BI19" s="42">
        <f t="shared" ref="BI19:BI26" si="26">AP19/Q19</f>
        <v>0</v>
      </c>
      <c r="BJ19" s="44" t="s">
        <v>115</v>
      </c>
      <c r="BK19" s="42">
        <f t="shared" si="1"/>
        <v>0.33333333333333331</v>
      </c>
      <c r="BL19" s="44">
        <v>1</v>
      </c>
      <c r="BM19" s="42" cm="1">
        <f t="array" ref="BM19">_xlfn.IFS(BD19="NA","NA",BD19&gt;100%,"100%",BD19&lt;100,BD19)</f>
        <v>1</v>
      </c>
      <c r="BN19" s="42" cm="1">
        <f t="array" ref="BN19">_xlfn.IFS(BF19="NA","NA",BF19&gt;100%,"100%",BF19&lt;100,BF19)</f>
        <v>0</v>
      </c>
      <c r="BO19" s="42" cm="1">
        <f t="array" ref="BO19">_xlfn.IFS(BH19="NA","NA",BH19&gt;100%,"100%",BH19&lt;100,BH19)</f>
        <v>0</v>
      </c>
      <c r="BP19" s="42" t="str" cm="1">
        <f t="array" ref="BP19">_xlfn.IFS(BJ19="NA","NA",BJ19&gt;100%,"100%",BJ19&lt;100,BJ19)</f>
        <v>NA</v>
      </c>
      <c r="BQ19" s="45">
        <v>0.22500000000000001</v>
      </c>
      <c r="BR19" s="43">
        <f t="shared" si="2"/>
        <v>7.4999999999999997E-2</v>
      </c>
      <c r="BS19" s="45">
        <v>9.4000000000000004E-3</v>
      </c>
      <c r="BT19" s="45">
        <v>9.4000000000000004E-3</v>
      </c>
      <c r="BU19" s="45">
        <v>9.4000000000000004E-3</v>
      </c>
      <c r="BV19" s="43">
        <f t="shared" ref="BV19:BV26" si="27">(AD19*BQ19)/Q19</f>
        <v>6.5625000000000003E-2</v>
      </c>
      <c r="BW19" s="43">
        <f t="shared" si="3"/>
        <v>6.5625000000000003E-2</v>
      </c>
      <c r="BX19" s="43">
        <f t="shared" si="4"/>
        <v>6.5599999999999992E-2</v>
      </c>
      <c r="BY19" s="43">
        <f t="shared" ref="BY19:BY26" si="28">(AL19*BQ19)/Q19</f>
        <v>7.4999999999999997E-2</v>
      </c>
      <c r="BZ19" s="43">
        <f t="shared" ref="BZ19:BZ26" si="29">IF(BN19="NA","NA",BN19*BY19)</f>
        <v>0</v>
      </c>
      <c r="CA19" s="43">
        <f t="shared" si="5"/>
        <v>0</v>
      </c>
      <c r="CB19" s="43">
        <f t="shared" ref="CB19:CB26" si="30">(AN19*BQ19)/Q19</f>
        <v>7.4999999999999997E-2</v>
      </c>
      <c r="CC19" s="43">
        <f t="shared" ref="CC19:CC26" si="31">IF(BO19="NA","NA",BO19*CB19)</f>
        <v>0</v>
      </c>
      <c r="CD19" s="45">
        <v>0</v>
      </c>
      <c r="CE19" s="43">
        <f t="shared" ref="CE19:CE26" si="32">(AP19*BQ19)/Q19</f>
        <v>0</v>
      </c>
      <c r="CF19" s="43" t="str">
        <f t="shared" ref="CF19:CF26" si="33">IF(BP19="NA","NA",BP19*CE19)</f>
        <v>NA</v>
      </c>
      <c r="CG19" s="45">
        <v>0</v>
      </c>
    </row>
    <row r="20" spans="1:90" ht="18" customHeight="1">
      <c r="A20" s="260" t="s">
        <v>98</v>
      </c>
      <c r="B20" s="260" t="s">
        <v>99</v>
      </c>
      <c r="C20" s="260" t="s">
        <v>100</v>
      </c>
      <c r="D20" s="260" t="s">
        <v>101</v>
      </c>
      <c r="E20" s="260" t="s">
        <v>102</v>
      </c>
      <c r="F20" s="260" t="s">
        <v>177</v>
      </c>
      <c r="G20" s="260" t="s">
        <v>178</v>
      </c>
      <c r="H20" s="260" t="s">
        <v>179</v>
      </c>
      <c r="I20" s="260" t="s">
        <v>106</v>
      </c>
      <c r="J20" s="12" t="s">
        <v>180</v>
      </c>
      <c r="K20" s="260" t="s">
        <v>181</v>
      </c>
      <c r="L20" s="260" t="s">
        <v>182</v>
      </c>
      <c r="M20" s="260" t="s">
        <v>183</v>
      </c>
      <c r="N20" s="260" t="s">
        <v>111</v>
      </c>
      <c r="O20" s="260" t="s">
        <v>112</v>
      </c>
      <c r="P20" s="10">
        <v>0</v>
      </c>
      <c r="Q20" s="11">
        <v>20</v>
      </c>
      <c r="R20" s="9">
        <f t="shared" si="20"/>
        <v>8</v>
      </c>
      <c r="S20" s="9" t="str">
        <f>VLOOKUP(K20,'1197 Salud'!$K$13:$AK$54,9,0)</f>
        <v xml:space="preserve">Se logró la caracterización de la población con Tuberculosis en los 20 municipios con mayor carga de la enfermedad en el departamento: Girardot, Guaduas, Soacha, Fusagasugá, Mosquera, Zipaquirá, Chía, La Mesa, Facatativá, Yacopí, Funza, Pacho, Villeta, Nilo, El Colegio, Madrid, Anapoima, La Palma, Puerto Salgar, Tocaima; análisis epidemiológico del comportamiento del evento, evaluando los indicadores de impacto, programáticos y de cumplimiento de las metas de los planes estratégicos nacional y departamental. Se realizaron mesas de trabajo para análisis de la situación de TB con participación de Secretarias de Salud municipal, EAPB, red de prestadores y otros actores en los municipios de Tocaima, Funza, Soacha, Girardot, Puerto Salgar, Fusagasugá, Mosquera, Yacopí, Chía, Zipaquirá, Sibaté, la Mesa, Anapoima, La Palma , Madrid, Villeta, Guaduas, Facatativá, Nilo validando el plan de trabajo presentado por Tocaima, Girardot, Fusagasugá, Yacopí, Chía, Sibaté, Soacha; lográndose un avance del 40% en la implementación de actividades para fortalecimiento de las líneas estratégicas 1 y 2 del plan departamental y nacional "Hacia el fin de la tuberculosis" en los municipios de Tocaima, Girardot, Soacha, Guaduas, Villeta, La Mesa, Yacopí y Anapoima. </v>
      </c>
      <c r="T20" s="11">
        <v>3</v>
      </c>
      <c r="U20" s="11">
        <v>0</v>
      </c>
      <c r="V20" s="11">
        <v>3</v>
      </c>
      <c r="W20" s="11">
        <v>0</v>
      </c>
      <c r="X20" s="11">
        <v>3</v>
      </c>
      <c r="Y20" s="11">
        <v>0</v>
      </c>
      <c r="Z20" s="11">
        <v>3</v>
      </c>
      <c r="AA20" s="11" t="s">
        <v>184</v>
      </c>
      <c r="AB20" s="11" t="s">
        <v>185</v>
      </c>
      <c r="AC20" s="11" t="s">
        <v>186</v>
      </c>
      <c r="AD20" s="11">
        <v>6</v>
      </c>
      <c r="AE20" s="11">
        <v>0</v>
      </c>
      <c r="AF20" s="9">
        <f>VLOOKUP(K20,'1197 Salud'!$K$13:$AK$54,22,0)</f>
        <v>5</v>
      </c>
      <c r="AG20" s="9">
        <f>VLOOKUP(K20,'1197 Salud'!$K$13:$AK$54,23,0)</f>
        <v>0</v>
      </c>
      <c r="AH20" s="9">
        <f t="shared" si="21"/>
        <v>5</v>
      </c>
      <c r="AI20" s="9" t="str">
        <f>VLOOKUP(K20,'1197 Salud'!$K$13:$AK$54,25,0)</f>
        <v>Municipios con acciones del plan estratégico departamental “Hacia el fin de la tuberculosis" en la línea estratégica 1 y 2. implementadas</v>
      </c>
      <c r="AJ20" s="9" t="str">
        <f>VLOOKUP(K20,'1197 Salud'!$K$13:$AK$54,26,0)</f>
        <v>Se avanzó en los cinco municipios Guaduas, Villeta, La Mesa, Yacopí y Anapoima con la implementación de las líneas 1 y 2 del Plan Estratégico hacia el fin de la Tuberculosis, así como en la realización de asistencias técnicas, seguimiento a los pacientes con diagnóstico de Tuberculosis en IPS, EAPB y Entidades Territoriales Municipales fortaleciendo acciones de prevención y control de la tuberculosis.</v>
      </c>
      <c r="AK20" s="9" t="str">
        <f>VLOOKUP(K20,'1197 Salud'!$K$13:$AK$54,27,0)</f>
        <v>Continuidad en las acciones debido a los cortes de vigencias  y los inicios de nuevas contrataciones</v>
      </c>
      <c r="AL20" s="11">
        <v>6</v>
      </c>
      <c r="AM20" s="11">
        <v>0</v>
      </c>
      <c r="AN20" s="11">
        <v>5</v>
      </c>
      <c r="AO20" s="11">
        <v>0</v>
      </c>
      <c r="AP20" s="11">
        <v>0</v>
      </c>
      <c r="AQ20" s="11">
        <v>0</v>
      </c>
      <c r="AR20" s="51">
        <v>57963134</v>
      </c>
      <c r="AS20" s="54">
        <v>0</v>
      </c>
      <c r="AT20" s="54">
        <f t="shared" si="0"/>
        <v>57963134</v>
      </c>
      <c r="AU20" s="51">
        <v>24709815</v>
      </c>
      <c r="AV20" s="89">
        <v>300477846</v>
      </c>
      <c r="AY20" s="89">
        <v>105617381</v>
      </c>
      <c r="AZ20" s="42">
        <f t="shared" si="22"/>
        <v>0.4</v>
      </c>
      <c r="BA20" s="44">
        <v>0.15</v>
      </c>
      <c r="BB20" s="44">
        <v>1</v>
      </c>
      <c r="BC20" s="42">
        <f t="shared" si="23"/>
        <v>0.3</v>
      </c>
      <c r="BD20" s="42" cm="1">
        <f t="array" ref="BD20">_xlfn.IFS(AD20=0,"NA",AD20&gt;0,AH20/AD20)</f>
        <v>0.83333333333333337</v>
      </c>
      <c r="BE20" s="42">
        <f t="shared" si="24"/>
        <v>0.3</v>
      </c>
      <c r="BF20" s="44">
        <v>0</v>
      </c>
      <c r="BG20" s="42">
        <f t="shared" si="25"/>
        <v>0.25</v>
      </c>
      <c r="BH20" s="44">
        <v>0</v>
      </c>
      <c r="BI20" s="42">
        <f t="shared" si="26"/>
        <v>0</v>
      </c>
      <c r="BJ20" s="44" t="s">
        <v>115</v>
      </c>
      <c r="BK20" s="42">
        <f t="shared" si="1"/>
        <v>0.4</v>
      </c>
      <c r="BL20" s="44">
        <v>1</v>
      </c>
      <c r="BM20" s="42" cm="1">
        <f t="array" ref="BM20">_xlfn.IFS(BD20="NA","NA",BD20&gt;100%,"100%",BD20&lt;100,BD20)</f>
        <v>0.83333333333333337</v>
      </c>
      <c r="BN20" s="42" cm="1">
        <f t="array" ref="BN20">_xlfn.IFS(BF20="NA","NA",BF20&gt;100%,"100%",BF20&lt;100,BF20)</f>
        <v>0</v>
      </c>
      <c r="BO20" s="42" cm="1">
        <f t="array" ref="BO20">_xlfn.IFS(BH20="NA","NA",BH20&gt;100%,"100%",BH20&lt;100,BH20)</f>
        <v>0</v>
      </c>
      <c r="BP20" s="42" t="str" cm="1">
        <f t="array" ref="BP20">_xlfn.IFS(BJ20="NA","NA",BJ20&gt;100%,"100%",BJ20&lt;100,BJ20)</f>
        <v>NA</v>
      </c>
      <c r="BQ20" s="45">
        <v>0.22500000000000001</v>
      </c>
      <c r="BR20" s="43">
        <f t="shared" si="2"/>
        <v>9.0000000000000011E-2</v>
      </c>
      <c r="BS20" s="45">
        <v>3.3799999999999997E-2</v>
      </c>
      <c r="BT20" s="45">
        <v>3.3799999999999997E-2</v>
      </c>
      <c r="BU20" s="45">
        <v>3.3799999999999997E-2</v>
      </c>
      <c r="BV20" s="43">
        <f t="shared" si="27"/>
        <v>6.7500000000000004E-2</v>
      </c>
      <c r="BW20" s="43">
        <f t="shared" si="3"/>
        <v>5.6250000000000008E-2</v>
      </c>
      <c r="BX20" s="43">
        <f t="shared" si="4"/>
        <v>5.6200000000000014E-2</v>
      </c>
      <c r="BY20" s="43">
        <f t="shared" si="28"/>
        <v>6.7500000000000004E-2</v>
      </c>
      <c r="BZ20" s="43">
        <f t="shared" si="29"/>
        <v>0</v>
      </c>
      <c r="CA20" s="43">
        <f t="shared" si="5"/>
        <v>0</v>
      </c>
      <c r="CB20" s="43">
        <f t="shared" si="30"/>
        <v>5.6250000000000001E-2</v>
      </c>
      <c r="CC20" s="43">
        <f t="shared" si="31"/>
        <v>0</v>
      </c>
      <c r="CD20" s="45">
        <v>0</v>
      </c>
      <c r="CE20" s="43">
        <f t="shared" si="32"/>
        <v>0</v>
      </c>
      <c r="CF20" s="43" t="str">
        <f t="shared" si="33"/>
        <v>NA</v>
      </c>
      <c r="CG20" s="45">
        <v>0</v>
      </c>
    </row>
    <row r="21" spans="1:90" ht="18" customHeight="1">
      <c r="A21" s="260" t="s">
        <v>187</v>
      </c>
      <c r="B21" s="260" t="s">
        <v>188</v>
      </c>
      <c r="C21" s="260" t="s">
        <v>100</v>
      </c>
      <c r="D21" s="260" t="s">
        <v>101</v>
      </c>
      <c r="E21" s="260" t="s">
        <v>189</v>
      </c>
      <c r="F21" s="260" t="s">
        <v>190</v>
      </c>
      <c r="G21" s="260" t="s">
        <v>191</v>
      </c>
      <c r="H21" s="260" t="s">
        <v>192</v>
      </c>
      <c r="I21" s="260" t="s">
        <v>106</v>
      </c>
      <c r="J21" s="260"/>
      <c r="K21" s="260" t="s">
        <v>193</v>
      </c>
      <c r="L21" s="260" t="s">
        <v>194</v>
      </c>
      <c r="M21" s="260" t="s">
        <v>195</v>
      </c>
      <c r="N21" s="260" t="s">
        <v>111</v>
      </c>
      <c r="O21" s="260" t="s">
        <v>112</v>
      </c>
      <c r="P21" s="10">
        <v>0</v>
      </c>
      <c r="Q21" s="11">
        <v>1</v>
      </c>
      <c r="R21" s="9">
        <f t="shared" si="20"/>
        <v>0.39999999999999997</v>
      </c>
      <c r="S21" s="11" t="str">
        <f>VLOOKUP(K21,'1133 Felicidad'!$K$13:$AK$15,9,0)</f>
        <v>Se realizó acercamiento con el Observatorio de Sabana Como Vamos y el Departamento Nacional de Planeación (DNP) con el propósito de obtener insumos para la estructura  del Observatorio. Se elaboró el Decreto de creación del Observatorio, el cual esta pendiente de firma del Gobernador. De acuerdo con la convocatoria realizada por MinTic, se han realizado reuniones técnicas para la medición del indicador de Felicidad y Bienestar. A la fecha (31 de agosto 2021), el observatorio cuenta con los siguientes documentos técnicos finales: Documento Marco, Parámetros para la elaboración del artículo de investigación y Decreto No. 316 de septiembre 13 de 2021 Por e cual se crea el Observatorio de Felicidad y Bienestar como estrategia fundamental para el soporte, monitoreo y seguimiento a la política publica de felicidad y bienestar subjetivo del Departamento de Cundinamarca.  Se realizó la entrega de los productos desarrolados por MinTic, sobre el indicador de Felicidad del Departramento. La Alta Consejeria adelanto la contratación de servicios profesionales con el fin de dar continuidad  a la meta No. 10 de la Alta Consejeria</v>
      </c>
      <c r="T21" s="11">
        <v>0</v>
      </c>
      <c r="U21" s="11">
        <v>0</v>
      </c>
      <c r="V21" s="11">
        <v>0.05</v>
      </c>
      <c r="W21" s="11">
        <v>0</v>
      </c>
      <c r="X21" s="11">
        <v>0.05</v>
      </c>
      <c r="Y21" s="11">
        <v>0</v>
      </c>
      <c r="Z21" s="11">
        <v>0.05</v>
      </c>
      <c r="AA21" s="11" t="s">
        <v>196</v>
      </c>
      <c r="AB21" s="11" t="s">
        <v>197</v>
      </c>
      <c r="AC21" s="11" t="s">
        <v>198</v>
      </c>
      <c r="AD21" s="11">
        <v>0.4</v>
      </c>
      <c r="AE21" s="11">
        <v>0</v>
      </c>
      <c r="AF21" s="11">
        <f>VLOOKUP(K21,'1133 Felicidad'!$K$13:$AK$15,22,0)</f>
        <v>0.35</v>
      </c>
      <c r="AG21" s="11">
        <f>VLOOKUP(K21,'1133 Felicidad'!$K$13:$AK$15,23,0)</f>
        <v>0</v>
      </c>
      <c r="AH21" s="9">
        <f t="shared" si="21"/>
        <v>0.35</v>
      </c>
      <c r="AI21" s="9">
        <f>VLOOKUP(K21,'1133 Felicidad'!$K$13:$AK$15,25,0)</f>
        <v>0</v>
      </c>
      <c r="AJ21" s="9" t="str">
        <f>VLOOKUP(K21,'1133 Felicidad'!$K$13:$AK$15,26,0)</f>
        <v>Se realizó acercamiento con el Observatorio de Sabana Como Vamos y el Departamento Nacional de Planeación (DNP) con el propósito de obtener insumos para la estructura  del Observatorio. Se elaboró el Decreto de creación del Observatorio, el cual esta pendiente de firma del Gobernador. De acuerdo con la convocatoria realizada por MinTic, se han realizado reuniones técnicas para la medición del indicador de Felicidad y Bienestar. A la fecha (31 de agosto 2021), el observatorio cuenta con los siguientes documentos técnicos finales: Documento Marco, Parámetros para la elaboración del artículo de investigación y Decreto No. 316 de septiembre 13 de 2021 Por e cual se crea el Observatorio de Felicidad y Bienestar como estrategia fundamental para el soporte, monitoreo y seguimiento a la política publica de felicidad y bienestar subjetivo del Departamento de Cundinamarca.  Se realizó la entrega de los productos desarrolados por MinTic, sobre el indicador de Felicidad del Departramento. La Alta Consejeria adelanto la contratación de servicios profesionales con el fin de dar continuidad  a la meta No. 10. Se firmó un contrato interadministrativo con las Universidad de Cundinarma cuyo objeto es Implementar la tercera y cuarta fase del Observatorio de Felicidad y Bienestar, acorde con el documento marco que corresponde al desarrollo de las líneas de investigación y su metodología definida, con sus respectivos procesos de socialización y publicación. Así como fortalecer los procesos de capacitación y formación de la Escuela de Felicidad y Bienestar.</v>
      </c>
      <c r="AK21" s="9" t="str">
        <f>VLOOKUP(K21,'1133 Felicidad'!$K$13:$AK$15,27,0)</f>
        <v>La consolidación de indicadores actualizados de bienestar subjetivo para los 116 municipios del Departamento. Se realizaron dos correcciones al documento original al documento del Decreto del Observatorio. La propuesta metodología del Min.Tic no se ajusta a la metodología utilizada para la medición de indicador de Felicidad. Por falta de recursos no se ha dado inicio con los estudios e investigaciones.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v>
      </c>
      <c r="AL21" s="11">
        <v>0.4</v>
      </c>
      <c r="AM21" s="11">
        <v>0</v>
      </c>
      <c r="AN21" s="11">
        <v>0.15</v>
      </c>
      <c r="AO21" s="11">
        <v>0</v>
      </c>
      <c r="AP21" s="11">
        <v>0</v>
      </c>
      <c r="AQ21" s="11">
        <v>0</v>
      </c>
      <c r="AR21" s="51">
        <v>16000000</v>
      </c>
      <c r="AS21" s="54">
        <v>0</v>
      </c>
      <c r="AT21" s="54">
        <f t="shared" si="0"/>
        <v>16000000</v>
      </c>
      <c r="AU21" s="51">
        <v>16000000</v>
      </c>
      <c r="AV21" s="89">
        <v>130891458</v>
      </c>
      <c r="AY21" s="89">
        <v>126500000</v>
      </c>
      <c r="AZ21" s="42">
        <f t="shared" si="22"/>
        <v>0.39999999999999997</v>
      </c>
      <c r="BA21" s="44">
        <v>0.05</v>
      </c>
      <c r="BB21" s="44">
        <v>1</v>
      </c>
      <c r="BC21" s="42">
        <f t="shared" si="23"/>
        <v>0.4</v>
      </c>
      <c r="BD21" s="42" cm="1">
        <f t="array" ref="BD21">_xlfn.IFS(AD21=0,"NA",AD21&gt;0,AH21/AD21)</f>
        <v>0.87499999999999989</v>
      </c>
      <c r="BE21" s="42">
        <f t="shared" si="24"/>
        <v>0.4</v>
      </c>
      <c r="BF21" s="44">
        <v>0</v>
      </c>
      <c r="BG21" s="42">
        <f t="shared" si="25"/>
        <v>0.15</v>
      </c>
      <c r="BH21" s="44">
        <v>0</v>
      </c>
      <c r="BI21" s="42">
        <f t="shared" si="26"/>
        <v>0</v>
      </c>
      <c r="BJ21" s="44" t="s">
        <v>115</v>
      </c>
      <c r="BK21" s="42">
        <f t="shared" si="1"/>
        <v>0.39999999999999997</v>
      </c>
      <c r="BL21" s="44">
        <v>1</v>
      </c>
      <c r="BM21" s="42" cm="1">
        <f t="array" ref="BM21">_xlfn.IFS(BD21="NA","NA",BD21&gt;100%,"100%",BD21&lt;100,BD21)</f>
        <v>0.87499999999999989</v>
      </c>
      <c r="BN21" s="42" cm="1">
        <f t="array" ref="BN21">_xlfn.IFS(BF21="NA","NA",BF21&gt;100%,"100%",BF21&lt;100,BF21)</f>
        <v>0</v>
      </c>
      <c r="BO21" s="42" cm="1">
        <f t="array" ref="BO21">_xlfn.IFS(BH21="NA","NA",BH21&gt;100%,"100%",BH21&lt;100,BH21)</f>
        <v>0</v>
      </c>
      <c r="BP21" s="42" t="str" cm="1">
        <f t="array" ref="BP21">_xlfn.IFS(BJ21="NA","NA",BJ21&gt;100%,"100%",BJ21&lt;100,BJ21)</f>
        <v>NA</v>
      </c>
      <c r="BQ21" s="45">
        <v>0.22500000000000001</v>
      </c>
      <c r="BR21" s="43">
        <f t="shared" si="2"/>
        <v>0.09</v>
      </c>
      <c r="BS21" s="45">
        <v>1.1299999999999999E-2</v>
      </c>
      <c r="BT21" s="45">
        <v>1.1299999999999999E-2</v>
      </c>
      <c r="BU21" s="45">
        <v>1.1299999999999999E-2</v>
      </c>
      <c r="BV21" s="43">
        <f t="shared" si="27"/>
        <v>9.0000000000000011E-2</v>
      </c>
      <c r="BW21" s="43">
        <f t="shared" si="3"/>
        <v>7.8750000000000001E-2</v>
      </c>
      <c r="BX21" s="43">
        <f t="shared" si="4"/>
        <v>7.8699999999999992E-2</v>
      </c>
      <c r="BY21" s="43">
        <f t="shared" si="28"/>
        <v>9.0000000000000011E-2</v>
      </c>
      <c r="BZ21" s="43">
        <f t="shared" si="29"/>
        <v>0</v>
      </c>
      <c r="CA21" s="43">
        <f t="shared" si="5"/>
        <v>0</v>
      </c>
      <c r="CB21" s="43">
        <f t="shared" si="30"/>
        <v>3.3750000000000002E-2</v>
      </c>
      <c r="CC21" s="43">
        <f t="shared" si="31"/>
        <v>0</v>
      </c>
      <c r="CD21" s="45">
        <v>0</v>
      </c>
      <c r="CE21" s="43">
        <f t="shared" si="32"/>
        <v>0</v>
      </c>
      <c r="CF21" s="43" t="str">
        <f t="shared" si="33"/>
        <v>NA</v>
      </c>
      <c r="CG21" s="45">
        <v>0</v>
      </c>
    </row>
    <row r="22" spans="1:90" ht="18" customHeight="1">
      <c r="A22" s="260" t="s">
        <v>187</v>
      </c>
      <c r="B22" s="260" t="s">
        <v>188</v>
      </c>
      <c r="C22" s="260" t="s">
        <v>100</v>
      </c>
      <c r="D22" s="260" t="s">
        <v>101</v>
      </c>
      <c r="E22" s="260" t="s">
        <v>189</v>
      </c>
      <c r="F22" s="260" t="s">
        <v>190</v>
      </c>
      <c r="G22" s="260" t="s">
        <v>191</v>
      </c>
      <c r="H22" s="260" t="s">
        <v>199</v>
      </c>
      <c r="I22" s="260" t="s">
        <v>200</v>
      </c>
      <c r="J22" s="260"/>
      <c r="K22" s="260" t="s">
        <v>201</v>
      </c>
      <c r="L22" s="260" t="s">
        <v>202</v>
      </c>
      <c r="M22" s="260" t="s">
        <v>203</v>
      </c>
      <c r="N22" s="260" t="s">
        <v>111</v>
      </c>
      <c r="O22" s="260" t="s">
        <v>112</v>
      </c>
      <c r="P22" s="10">
        <v>0</v>
      </c>
      <c r="Q22" s="11">
        <v>1</v>
      </c>
      <c r="R22" s="9">
        <f t="shared" si="20"/>
        <v>0.39</v>
      </c>
      <c r="S22" s="11" t="str">
        <f>VLOOKUP(K22,'1133 Felicidad'!$K$13:$AK$15,9,0)</f>
        <v>Se cuenta con avances de las metas de las diferentes dependencias del Departamento que se articulan en el plan operativo de la política pública de felicidad y bienestar subjetivo. Se realizó el primer y segundo Comité Transversal de Felicidad y Bienestar vigencia 2021 y se realizó socialización de la Política Pública a las instancias de particiación: Consejo Consultivo de Mujeres, las plataformas municipales y departamental de jóvenes y en el mes de julio: Consejo Territorial de Planeación y los representantes de las Juntas de Acción Comunal. Se realizo Conversatorio de Juventud en el Municipio de Cajicá en el marco de la Política Publica de Felicidad y Bienestar; La Alta Consejeria adelanto la contratación de servicios profesionales con el fin de dar continuidad a la meta No.11 de la Alta Consejeria</v>
      </c>
      <c r="T22" s="11">
        <v>0</v>
      </c>
      <c r="U22" s="11">
        <v>0</v>
      </c>
      <c r="V22" s="11">
        <v>0.05</v>
      </c>
      <c r="W22" s="11">
        <v>0</v>
      </c>
      <c r="X22" s="11">
        <v>0.05</v>
      </c>
      <c r="Y22" s="11">
        <v>0</v>
      </c>
      <c r="Z22" s="11">
        <v>0.05</v>
      </c>
      <c r="AA22" s="11" t="s">
        <v>204</v>
      </c>
      <c r="AB22" s="11" t="s">
        <v>205</v>
      </c>
      <c r="AC22" s="11" t="s">
        <v>198</v>
      </c>
      <c r="AD22" s="11">
        <v>0.4</v>
      </c>
      <c r="AE22" s="11">
        <v>0</v>
      </c>
      <c r="AF22" s="11">
        <f>VLOOKUP(K22,'1133 Felicidad'!$K$13:$AK$15,22,0)</f>
        <v>0.34</v>
      </c>
      <c r="AG22" s="11">
        <f>VLOOKUP(K22,'1133 Felicidad'!$K$13:$AK$15,23,0)</f>
        <v>0</v>
      </c>
      <c r="AH22" s="9">
        <f t="shared" si="21"/>
        <v>0.34</v>
      </c>
      <c r="AI22" s="9">
        <f>VLOOKUP(K22,'1133 Felicidad'!$K$13:$AK$15,25,0)</f>
        <v>0</v>
      </c>
      <c r="AJ22" s="9" t="str">
        <f>VLOOKUP(K22,'1133 Felicidad'!$K$13:$AK$15,26,0)</f>
        <v xml:space="preserve">Se cuenta con avances de las metas de las diferentes dependencias del Departamento que se articulan en el plan operativo de la política pública de felicidad y bienestar subjetivo. Se realizó el primer y segundo, Comité Transversal de Felicidad y Bienestar vigencia 2021 y se realizó socialización de la Política Pública a las instancias de particiación: Consejo Consultivo de Mujeres, las plataformas municipales y departamental de jóvenes y en el mes de julio: Consejo Territorial de Planeación y los representantes de las Juntas de Acción Comunal.  Se realizo Conversatorio de Juventud en el Municipio de Cajicá en el marco de la Política Publica de Felicidad y Bienestar; La Alta Consejeria adelanto la contratación de servicios profesionales con el fin de dar continuidad  a la meta No.11 de la Alta Consejeria. Se está adelantando la actualización del plan operativo de la política publica. </v>
      </c>
      <c r="AK22" s="9" t="str">
        <f>VLOOKUP(K22,'1133 Felicidad'!$K$13:$AK$15,27,0)</f>
        <v>Recibir la información de los avances por parte de cada una de las dependencias de la Gobernación de Cundinamarca, lo que genera reprocesos y dificulta la consolidación del avance de las metas del plan operativo de la política pública de felicidad y bienestar. Para la continuidad del desarrollo de la meta 11 se cuenta con una persona de planta, debido a la finalización de los contratos de prestación de servicios.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 Se convocó dos veces el tercer comité de felicidad en el mes de noviembre pero no se llevó a cabo debido a la falta de quorum.</v>
      </c>
      <c r="AL22" s="11">
        <v>0.4</v>
      </c>
      <c r="AM22" s="11">
        <v>0</v>
      </c>
      <c r="AN22" s="11">
        <v>0.15</v>
      </c>
      <c r="AO22" s="11">
        <v>0</v>
      </c>
      <c r="AP22" s="11">
        <v>0</v>
      </c>
      <c r="AQ22" s="11">
        <v>0</v>
      </c>
      <c r="AR22" s="51">
        <v>24000000</v>
      </c>
      <c r="AS22" s="54">
        <v>0</v>
      </c>
      <c r="AT22" s="54">
        <f t="shared" si="0"/>
        <v>24000000</v>
      </c>
      <c r="AU22" s="51">
        <v>24000000</v>
      </c>
      <c r="AV22" s="89">
        <v>100891458</v>
      </c>
      <c r="AY22" s="89">
        <v>97891458</v>
      </c>
      <c r="AZ22" s="42">
        <f t="shared" si="22"/>
        <v>0.39</v>
      </c>
      <c r="BA22" s="44">
        <v>0.05</v>
      </c>
      <c r="BB22" s="44">
        <v>1</v>
      </c>
      <c r="BC22" s="42">
        <f t="shared" si="23"/>
        <v>0.4</v>
      </c>
      <c r="BD22" s="42" cm="1">
        <f t="array" ref="BD22">_xlfn.IFS(AD22=0,"NA",AD22&gt;0,AH22/AD22)</f>
        <v>0.85</v>
      </c>
      <c r="BE22" s="42">
        <f t="shared" si="24"/>
        <v>0.4</v>
      </c>
      <c r="BF22" s="44">
        <v>0</v>
      </c>
      <c r="BG22" s="42">
        <f t="shared" si="25"/>
        <v>0.15</v>
      </c>
      <c r="BH22" s="44">
        <v>0</v>
      </c>
      <c r="BI22" s="42">
        <f t="shared" si="26"/>
        <v>0</v>
      </c>
      <c r="BJ22" s="44" t="s">
        <v>115</v>
      </c>
      <c r="BK22" s="42">
        <f t="shared" si="1"/>
        <v>0.39</v>
      </c>
      <c r="BL22" s="44">
        <v>1</v>
      </c>
      <c r="BM22" s="42" cm="1">
        <f t="array" ref="BM22">_xlfn.IFS(BD22="NA","NA",BD22&gt;100%,"100%",BD22&lt;100,BD22)</f>
        <v>0.85</v>
      </c>
      <c r="BN22" s="42" cm="1">
        <f t="array" ref="BN22">_xlfn.IFS(BF22="NA","NA",BF22&gt;100%,"100%",BF22&lt;100,BF22)</f>
        <v>0</v>
      </c>
      <c r="BO22" s="42" cm="1">
        <f t="array" ref="BO22">_xlfn.IFS(BH22="NA","NA",BH22&gt;100%,"100%",BH22&lt;100,BH22)</f>
        <v>0</v>
      </c>
      <c r="BP22" s="42" t="str" cm="1">
        <f t="array" ref="BP22">_xlfn.IFS(BJ22="NA","NA",BJ22&gt;100%,"100%",BJ22&lt;100,BJ22)</f>
        <v>NA</v>
      </c>
      <c r="BQ22" s="45">
        <v>0.22500000000000001</v>
      </c>
      <c r="BR22" s="43">
        <f t="shared" si="2"/>
        <v>8.7750000000000009E-2</v>
      </c>
      <c r="BS22" s="45">
        <v>1.1299999999999999E-2</v>
      </c>
      <c r="BT22" s="45">
        <v>1.1299999999999999E-2</v>
      </c>
      <c r="BU22" s="45">
        <v>1.1299999999999999E-2</v>
      </c>
      <c r="BV22" s="43">
        <f t="shared" si="27"/>
        <v>9.0000000000000011E-2</v>
      </c>
      <c r="BW22" s="43">
        <f t="shared" si="3"/>
        <v>7.6500000000000012E-2</v>
      </c>
      <c r="BX22" s="43">
        <f t="shared" si="4"/>
        <v>7.6450000000000004E-2</v>
      </c>
      <c r="BY22" s="43">
        <f t="shared" si="28"/>
        <v>9.0000000000000011E-2</v>
      </c>
      <c r="BZ22" s="43">
        <f t="shared" si="29"/>
        <v>0</v>
      </c>
      <c r="CA22" s="43">
        <f t="shared" si="5"/>
        <v>0</v>
      </c>
      <c r="CB22" s="43">
        <f t="shared" si="30"/>
        <v>3.3750000000000002E-2</v>
      </c>
      <c r="CC22" s="43">
        <f t="shared" si="31"/>
        <v>0</v>
      </c>
      <c r="CD22" s="45">
        <v>0</v>
      </c>
      <c r="CE22" s="43">
        <f t="shared" si="32"/>
        <v>0</v>
      </c>
      <c r="CF22" s="43" t="str">
        <f t="shared" si="33"/>
        <v>NA</v>
      </c>
      <c r="CG22" s="45">
        <v>0</v>
      </c>
    </row>
    <row r="23" spans="1:90" ht="18" customHeight="1">
      <c r="A23" s="260" t="s">
        <v>187</v>
      </c>
      <c r="B23" s="260" t="s">
        <v>188</v>
      </c>
      <c r="C23" s="260" t="s">
        <v>100</v>
      </c>
      <c r="D23" s="260" t="s">
        <v>101</v>
      </c>
      <c r="E23" s="260" t="s">
        <v>189</v>
      </c>
      <c r="F23" s="260" t="s">
        <v>190</v>
      </c>
      <c r="G23" s="260" t="s">
        <v>191</v>
      </c>
      <c r="H23" s="260" t="s">
        <v>206</v>
      </c>
      <c r="I23" s="260" t="s">
        <v>200</v>
      </c>
      <c r="J23" s="260"/>
      <c r="K23" s="260" t="s">
        <v>207</v>
      </c>
      <c r="L23" s="260" t="s">
        <v>208</v>
      </c>
      <c r="M23" s="260" t="s">
        <v>209</v>
      </c>
      <c r="N23" s="260" t="s">
        <v>111</v>
      </c>
      <c r="O23" s="260" t="s">
        <v>112</v>
      </c>
      <c r="P23" s="10">
        <v>0</v>
      </c>
      <c r="Q23" s="11">
        <v>1</v>
      </c>
      <c r="R23" s="9">
        <f t="shared" si="20"/>
        <v>0.51</v>
      </c>
      <c r="S23" s="11" t="str">
        <f>VLOOKUP(K23,'1133 Felicidad'!$K$13:$AK$15,9,0)</f>
        <v>Se cuenta con el portafolio de servicios de Felicidad y Bienestar el cual consta de 13 cursos que se orientan a las dimensiones de la política pública de felicidad. Se está elaborando el Documento Marco de la Escuela de Felicidad y Bienestar. Se desarrollaron nueve cursos que se encuentran en revisión para cargar a la Escuela Virtual 2036 en la plataforma Moodle y se abrió el proceso de inscripión. Se prestó asistencia técnica a través de capacitaciones virtuales y presenciales dirigidas a los municipios de Cundinamarca y a las depencidas de la Gobernación. Se cuenta con el documento técnico final "Orientaciones para la construcción de programas de educación para el trabajo y desarrollo humano" de la Escuela de Fellcidad y Bienestar para ser radicado en la Secretaría de Educación Departamental. Se prestó asistencia técnica a través de capacitaciones virtuales y presenciales dirigidas a los municipios de Cundinama. La Alta Consejeria adelanto la contratación de servicios profesionales con el fin de dar continuidad a la meta No.12 de la Alta Consejeria</v>
      </c>
      <c r="T23" s="11">
        <v>0.05</v>
      </c>
      <c r="U23" s="11">
        <v>0</v>
      </c>
      <c r="V23" s="11">
        <v>0.1</v>
      </c>
      <c r="W23" s="11">
        <v>0</v>
      </c>
      <c r="X23" s="11">
        <v>0.15</v>
      </c>
      <c r="Y23" s="11">
        <v>0</v>
      </c>
      <c r="Z23" s="11">
        <v>0.15</v>
      </c>
      <c r="AA23" s="11" t="s">
        <v>210</v>
      </c>
      <c r="AB23" s="11" t="s">
        <v>211</v>
      </c>
      <c r="AC23" s="11" t="s">
        <v>198</v>
      </c>
      <c r="AD23" s="11">
        <v>0.4</v>
      </c>
      <c r="AE23" s="11">
        <v>0</v>
      </c>
      <c r="AF23" s="11">
        <f>VLOOKUP(K23,'1133 Felicidad'!$K$13:$AK$15,22,0)</f>
        <v>0.36</v>
      </c>
      <c r="AG23" s="11">
        <f>VLOOKUP(K23,'1133 Felicidad'!$K$13:$AK$15,23,0)</f>
        <v>0</v>
      </c>
      <c r="AH23" s="9">
        <f t="shared" si="21"/>
        <v>0.36</v>
      </c>
      <c r="AI23" s="9">
        <f>VLOOKUP(K23,'1133 Felicidad'!$K$13:$AK$15,25,0)</f>
        <v>0</v>
      </c>
      <c r="AJ23" s="9" t="str">
        <f>VLOOKUP(K23,'1133 Felicidad'!$K$13:$AK$15,26,0)</f>
        <v>Se cuenta con el portafolio de servicios de Felicidad y Bienestar el cual consta de 13 cursos que se orientan a las dimensiones de la política pública de felicidad. Se está elaborando el Documento Marco de la Escuela de Felicidad y Bienestar.  Se desarrollaron nueve cursos que se encuentran en revisión para cargar a la Escuela Virtual 2036 en la plataforma Moodle y se abrió el proceso de inscripión. Se prestó asistencia técnica a través de capacitaciones virtuales y presenciales dirigidas a los municipios de Cundinamarca y a las depencidas de la Gobernación. Se cuenta con el documento técnico final "Orientaciones para la construcción de programas de educación para el trabajo y desarrollo humano" de la Escuela de Fellcidad y Bienestar para ser radicado en la Secretaría de Educación Departamental.  Se prestó asistencia técnica a través de capacitaciones virtuales y presenciales dirigidas a los municipios de Cundinama. La Alta Consejeria adelanto la contratación de servicios profesionales con el fin de dar continuidad  a la meta No.12 de la Alta Consejeria. Se realizó un convenio interadministrativo con la Universidad de Cundinamarca cuyo objeto es Implementar el laboratorio de iniciativas que consiste en el desarrollar ideas de negocios para ser ejecutadas en el contexto de familia, así como el desarrollo de estrategias de felicidad y bienestar a treinta (30) familias cundinamarquesas  Implementar el laboratorio de iniciativas que consiste en el desarrollar ideas de negocios para ser ejecutadas en el contexto de familia, así como el desarrollo de estrategias de felicidad y bienestar a treinta (30) familias cundinamarquesas. En este contexto se realizó la selección de las 30 familias, se caracterizó la población y comenzaron a participar en el diplomado titulado jovenes emprendedores, felices y exitosos. Asimismo se realizó el conversatorio sobre el manejo del duelo.</v>
      </c>
      <c r="AK23" s="9" t="str">
        <f>VLOOKUP(K23,'1133 Felicidad'!$K$13:$AK$15,27,0)</f>
        <v>El equipo psicosocial es insufuciente para atender la demanda de solicitudes de los municipios, debido a la finalizacion de los contratos de prestación de serivicios. El apoyo profesional es insuficiente debido a la finalización de los contratos de prestación de servicios y apoyo a la gestión de la Alta Consejería para atender las actividades establecidas de cada una de la metas del Plan de Departamental de Desarrollo 2020 - 2024.	Debido a la finalización de los contratos de prestación de servicios y apoyo a la gestión, se interrumpieron las  actividades establecidas de cada una de la metas de la Alta Consejeria que son parte del Plan de Departamental de Desarrollo 2020 - 2024.</v>
      </c>
      <c r="AL23" s="11">
        <v>0.4</v>
      </c>
      <c r="AM23" s="11">
        <v>0</v>
      </c>
      <c r="AN23" s="11">
        <v>0.1</v>
      </c>
      <c r="AO23" s="11">
        <v>0</v>
      </c>
      <c r="AP23" s="11">
        <v>0</v>
      </c>
      <c r="AQ23" s="11">
        <v>0</v>
      </c>
      <c r="AR23" s="51">
        <v>61500000</v>
      </c>
      <c r="AS23" s="54">
        <v>0</v>
      </c>
      <c r="AT23" s="54">
        <f t="shared" si="0"/>
        <v>61500000</v>
      </c>
      <c r="AU23" s="51">
        <v>61500000</v>
      </c>
      <c r="AV23" s="89">
        <v>100891458</v>
      </c>
      <c r="AY23" s="89">
        <v>92500000</v>
      </c>
      <c r="AZ23" s="42">
        <f t="shared" si="22"/>
        <v>0.51</v>
      </c>
      <c r="BA23" s="44">
        <v>0.1</v>
      </c>
      <c r="BB23" s="44">
        <v>1.5</v>
      </c>
      <c r="BC23" s="42">
        <f t="shared" si="23"/>
        <v>0.4</v>
      </c>
      <c r="BD23" s="42" cm="1">
        <f t="array" ref="BD23">_xlfn.IFS(AD23=0,"NA",AD23&gt;0,AH23/AD23)</f>
        <v>0.89999999999999991</v>
      </c>
      <c r="BE23" s="42">
        <f t="shared" si="24"/>
        <v>0.4</v>
      </c>
      <c r="BF23" s="44">
        <v>0</v>
      </c>
      <c r="BG23" s="42">
        <f t="shared" si="25"/>
        <v>0.1</v>
      </c>
      <c r="BH23" s="44">
        <v>0</v>
      </c>
      <c r="BI23" s="42">
        <f t="shared" si="26"/>
        <v>0</v>
      </c>
      <c r="BJ23" s="44" t="s">
        <v>115</v>
      </c>
      <c r="BK23" s="42">
        <f t="shared" si="1"/>
        <v>0.51</v>
      </c>
      <c r="BL23" s="44">
        <v>1</v>
      </c>
      <c r="BM23" s="42" cm="1">
        <f t="array" ref="BM23">_xlfn.IFS(BD23="NA","NA",BD23&gt;100%,"100%",BD23&lt;100,BD23)</f>
        <v>0.89999999999999991</v>
      </c>
      <c r="BN23" s="42" cm="1">
        <f t="array" ref="BN23">_xlfn.IFS(BF23="NA","NA",BF23&gt;100%,"100%",BF23&lt;100,BF23)</f>
        <v>0</v>
      </c>
      <c r="BO23" s="42" cm="1">
        <f t="array" ref="BO23">_xlfn.IFS(BH23="NA","NA",BH23&gt;100%,"100%",BH23&lt;100,BH23)</f>
        <v>0</v>
      </c>
      <c r="BP23" s="42" t="str" cm="1">
        <f t="array" ref="BP23">_xlfn.IFS(BJ23="NA","NA",BJ23&gt;100%,"100%",BJ23&lt;100,BJ23)</f>
        <v>NA</v>
      </c>
      <c r="BQ23" s="45">
        <v>0.22500000000000001</v>
      </c>
      <c r="BR23" s="43">
        <f t="shared" si="2"/>
        <v>0.11475</v>
      </c>
      <c r="BS23" s="45">
        <v>2.2499999999999999E-2</v>
      </c>
      <c r="BT23" s="45">
        <v>2.2499999999999999E-2</v>
      </c>
      <c r="BU23" s="45">
        <v>3.3799999999999997E-2</v>
      </c>
      <c r="BV23" s="43">
        <f t="shared" si="27"/>
        <v>9.0000000000000011E-2</v>
      </c>
      <c r="BW23" s="43">
        <f t="shared" si="3"/>
        <v>8.1000000000000003E-2</v>
      </c>
      <c r="BX23" s="43">
        <f t="shared" si="4"/>
        <v>8.0950000000000008E-2</v>
      </c>
      <c r="BY23" s="43">
        <f t="shared" si="28"/>
        <v>9.0000000000000011E-2</v>
      </c>
      <c r="BZ23" s="43">
        <f t="shared" si="29"/>
        <v>0</v>
      </c>
      <c r="CA23" s="43">
        <f t="shared" si="5"/>
        <v>0</v>
      </c>
      <c r="CB23" s="43">
        <f t="shared" si="30"/>
        <v>2.2500000000000003E-2</v>
      </c>
      <c r="CC23" s="43">
        <f t="shared" si="31"/>
        <v>0</v>
      </c>
      <c r="CD23" s="45">
        <v>0</v>
      </c>
      <c r="CE23" s="43">
        <f t="shared" si="32"/>
        <v>0</v>
      </c>
      <c r="CF23" s="43" t="str">
        <f t="shared" si="33"/>
        <v>NA</v>
      </c>
      <c r="CG23" s="45">
        <v>0</v>
      </c>
    </row>
    <row r="24" spans="1:90" ht="18" customHeight="1">
      <c r="A24" s="260" t="s">
        <v>212</v>
      </c>
      <c r="B24" s="260" t="s">
        <v>213</v>
      </c>
      <c r="C24" s="260" t="s">
        <v>100</v>
      </c>
      <c r="D24" s="260" t="s">
        <v>101</v>
      </c>
      <c r="E24" s="260" t="s">
        <v>189</v>
      </c>
      <c r="F24" s="260" t="s">
        <v>190</v>
      </c>
      <c r="G24" s="260" t="s">
        <v>191</v>
      </c>
      <c r="H24" s="260" t="s">
        <v>214</v>
      </c>
      <c r="I24" s="260"/>
      <c r="J24" s="260"/>
      <c r="K24" s="260" t="s">
        <v>215</v>
      </c>
      <c r="L24" s="260" t="s">
        <v>2841</v>
      </c>
      <c r="M24" s="260" t="s">
        <v>217</v>
      </c>
      <c r="N24" s="260" t="s">
        <v>111</v>
      </c>
      <c r="O24" s="260" t="s">
        <v>112</v>
      </c>
      <c r="P24" s="10">
        <v>651</v>
      </c>
      <c r="Q24" s="11">
        <v>4000</v>
      </c>
      <c r="R24" s="9">
        <f t="shared" si="20"/>
        <v>5873</v>
      </c>
      <c r="S24" s="11" t="str">
        <f>VLOOKUP(K24,'1215 Corporación'!$K$13:$AK$14,9,0)</f>
        <v>Se logró llegar a mas beneficiados de los presupuestados debido a que se generaron nuevas estrategias para mitigar el impacto de la pandemia que afecta a los afiliados de l CSC.</v>
      </c>
      <c r="T24" s="11">
        <v>100</v>
      </c>
      <c r="U24" s="11">
        <v>0</v>
      </c>
      <c r="V24" s="11">
        <v>100</v>
      </c>
      <c r="W24" s="11">
        <v>0</v>
      </c>
      <c r="X24" s="11">
        <v>3852</v>
      </c>
      <c r="Y24" s="11">
        <v>0</v>
      </c>
      <c r="Z24" s="11">
        <v>3852</v>
      </c>
      <c r="AA24" s="11" t="s">
        <v>218</v>
      </c>
      <c r="AB24" s="11" t="s">
        <v>219</v>
      </c>
      <c r="AC24" s="11" t="s">
        <v>220</v>
      </c>
      <c r="AD24" s="11">
        <v>1900</v>
      </c>
      <c r="AE24" s="11">
        <v>0</v>
      </c>
      <c r="AF24" s="11">
        <f>VLOOKUP(K24,'1215 Corporación'!$K$13:$AK$14,22,0)</f>
        <v>2021</v>
      </c>
      <c r="AG24" s="11">
        <f>VLOOKUP(K24,'1215 Corporación'!$K$13:$AK$14,23,0)</f>
        <v>0</v>
      </c>
      <c r="AH24" s="9">
        <f t="shared" si="21"/>
        <v>2021</v>
      </c>
      <c r="AI24" s="9" t="str">
        <f>VLOOKUP(K24,'1215 Corporación'!$K$13:$AK$14,25,0)</f>
        <v>Afiliaciones ,subsidios educativos,Promocion de portafólio de servicios</v>
      </c>
      <c r="AJ24" s="9" t="str">
        <f>VLOOKUP(K24,'1215 Corporación'!$K$13:$AK$14,26,0)</f>
        <v>Aliaciones 384 ,subsidios educativos 21,Promocion de portafolio de servicios 1616</v>
      </c>
      <c r="AK24" s="9" t="str">
        <f>VLOOKUP(K24,'1215 Corporación'!$K$13:$AK$14,27,0)</f>
        <v>Ninguna</v>
      </c>
      <c r="AL24" s="11">
        <v>1000</v>
      </c>
      <c r="AM24" s="11">
        <v>0</v>
      </c>
      <c r="AN24" s="11">
        <v>1000</v>
      </c>
      <c r="AO24" s="11">
        <v>0</v>
      </c>
      <c r="AP24" s="11">
        <v>0</v>
      </c>
      <c r="AQ24" s="11">
        <v>0</v>
      </c>
      <c r="AR24" s="52"/>
      <c r="AS24" s="54">
        <v>904989855</v>
      </c>
      <c r="AT24" s="54">
        <f t="shared" si="0"/>
        <v>904989855</v>
      </c>
      <c r="AU24" s="52"/>
      <c r="AV24" s="89">
        <v>1097374000</v>
      </c>
      <c r="AY24" s="89">
        <v>702836500</v>
      </c>
      <c r="AZ24" s="42">
        <f t="shared" si="22"/>
        <v>1.4682500000000001</v>
      </c>
      <c r="BA24" s="44">
        <v>2.5000000000000001E-2</v>
      </c>
      <c r="BB24" s="44">
        <v>38.520000000000003</v>
      </c>
      <c r="BC24" s="42">
        <f t="shared" si="23"/>
        <v>0.47499999999999998</v>
      </c>
      <c r="BD24" s="42" cm="1">
        <f t="array" ref="BD24">_xlfn.IFS(AD24=0,"NA",AD24&gt;0,AH24/AD24)</f>
        <v>1.0636842105263158</v>
      </c>
      <c r="BE24" s="42">
        <f t="shared" si="24"/>
        <v>0.25</v>
      </c>
      <c r="BF24" s="44">
        <v>0</v>
      </c>
      <c r="BG24" s="42">
        <f t="shared" si="25"/>
        <v>0.25</v>
      </c>
      <c r="BH24" s="44">
        <v>0</v>
      </c>
      <c r="BI24" s="42">
        <f t="shared" si="26"/>
        <v>0</v>
      </c>
      <c r="BJ24" s="44" t="s">
        <v>115</v>
      </c>
      <c r="BK24" s="42" t="str">
        <f t="shared" si="1"/>
        <v>100%</v>
      </c>
      <c r="BL24" s="44">
        <v>1</v>
      </c>
      <c r="BM24" s="42" t="str" cm="1">
        <f t="array" ref="BM24">_xlfn.IFS(BD24="NA","NA",BD24&gt;100%,"100%",BD24&lt;100,BD24)</f>
        <v>100%</v>
      </c>
      <c r="BN24" s="42" cm="1">
        <f t="array" ref="BN24">_xlfn.IFS(BF24="NA","NA",BF24&gt;100%,"100%",BF24&lt;100,BF24)</f>
        <v>0</v>
      </c>
      <c r="BO24" s="42" cm="1">
        <f t="array" ref="BO24">_xlfn.IFS(BH24="NA","NA",BH24&gt;100%,"100%",BH24&lt;100,BH24)</f>
        <v>0</v>
      </c>
      <c r="BP24" s="42" t="str" cm="1">
        <f t="array" ref="BP24">_xlfn.IFS(BJ24="NA","NA",BJ24&gt;100%,"100%",BJ24&lt;100,BJ24)</f>
        <v>NA</v>
      </c>
      <c r="BQ24" s="45">
        <v>0.22500000000000001</v>
      </c>
      <c r="BR24" s="43">
        <f t="shared" si="2"/>
        <v>0.22500000000000001</v>
      </c>
      <c r="BS24" s="45">
        <v>5.5999999999999999E-3</v>
      </c>
      <c r="BT24" s="45">
        <v>5.5999999999999999E-3</v>
      </c>
      <c r="BU24" s="45">
        <v>0.2167</v>
      </c>
      <c r="BV24" s="43">
        <f t="shared" si="27"/>
        <v>0.106875</v>
      </c>
      <c r="BW24" s="43">
        <f t="shared" si="3"/>
        <v>0.106875</v>
      </c>
      <c r="BX24" s="43">
        <f t="shared" si="4"/>
        <v>8.3000000000000018E-3</v>
      </c>
      <c r="BY24" s="43">
        <f t="shared" si="28"/>
        <v>5.6250000000000001E-2</v>
      </c>
      <c r="BZ24" s="43">
        <f t="shared" si="29"/>
        <v>0</v>
      </c>
      <c r="CA24" s="43">
        <f t="shared" si="5"/>
        <v>0</v>
      </c>
      <c r="CB24" s="43">
        <f t="shared" si="30"/>
        <v>5.6250000000000001E-2</v>
      </c>
      <c r="CC24" s="43">
        <f t="shared" si="31"/>
        <v>0</v>
      </c>
      <c r="CD24" s="45">
        <v>0</v>
      </c>
      <c r="CE24" s="43">
        <f t="shared" si="32"/>
        <v>0</v>
      </c>
      <c r="CF24" s="43" t="str">
        <f t="shared" si="33"/>
        <v>NA</v>
      </c>
      <c r="CG24" s="45">
        <v>0</v>
      </c>
    </row>
    <row r="25" spans="1:90" ht="18" customHeight="1">
      <c r="A25" s="260" t="s">
        <v>221</v>
      </c>
      <c r="B25" s="260" t="s">
        <v>222</v>
      </c>
      <c r="C25" s="260" t="s">
        <v>100</v>
      </c>
      <c r="D25" s="260" t="s">
        <v>101</v>
      </c>
      <c r="E25" s="260" t="s">
        <v>189</v>
      </c>
      <c r="F25" s="260" t="s">
        <v>190</v>
      </c>
      <c r="G25" s="260" t="s">
        <v>191</v>
      </c>
      <c r="H25" s="260" t="s">
        <v>223</v>
      </c>
      <c r="I25" s="260"/>
      <c r="J25" s="260"/>
      <c r="K25" s="260" t="s">
        <v>224</v>
      </c>
      <c r="L25" s="260" t="s">
        <v>225</v>
      </c>
      <c r="M25" s="260" t="s">
        <v>226</v>
      </c>
      <c r="N25" s="260" t="s">
        <v>111</v>
      </c>
      <c r="O25" s="260" t="s">
        <v>112</v>
      </c>
      <c r="P25" s="10">
        <v>15</v>
      </c>
      <c r="Q25" s="11">
        <v>25</v>
      </c>
      <c r="R25" s="9">
        <f t="shared" ca="1" si="20"/>
        <v>17</v>
      </c>
      <c r="S25" s="11" t="str">
        <f ca="1">VLOOKUP(K25,'1220 IDECUT'!$K$13:$AK$48,9,0)</f>
        <v>Durante el 2020, se dió acompañamiento a ocho (8) procesos musicales como músicas tradicionales, populares, campesinas, urbanas y  bandísticos desarrollados en los municipios del departamento,  a través de talleres virtuales (técnicas de afinación, digitación, interpretación de instrumentos sinfónicos dirigido a los músicos integrantes de las bandas municipales, lo cual ayuda a su fortalecimiento y evaluación de los avances.  Adicionalmente, se brindó apoyo a los procesos musicales en la edición de audio y video de montajes y ensambles musicales (preproducción, producción , post producción, grabación). En lo corrido del 2021,    Se apoyaron 9 procesos musicales:
Prácticas y agrupaciones
1. Orquestas de cuerdas pulsadas
2. Músicas tradicionales, populares, campesinas y urbanas
Circulación
3. Alianza agrupaciones musicales Región Metropolitana Bogotá-Cundinamarca
Gobernanza
4. Comunicación interactiva entre actores (Red de voceros)
5. Datos e información disponible (SIMUS)
6. Recursos y herramientas facilitadoras de la gestión (Banco de Partituras)
7. Participación real y propositiva
8. Gestión articulada y reciproca con la música (Agendas áreas artísticas con entidades regionales y departamentales)
9. Plan Departamental de Música
aumentando la cobertura en el departamento en  78 municipios con Bandas musicales; en 41 municipios en dotaciòn intrumental;  78 municipios con proceso de formacion musical- escuelas, beneficiando a la población de los municipios de Quipile, Gachalá, Vianí, Cachipay, Tausa, Bojacá, Anolaima, Albán, Arbeláez, Guaduas, Junín, El Rosal, La Vega, Tabio, Cota, Arbeláez, Fúquene, Puerto Salgar, Lenguazaque, La Peña, Beltrán, Chipaque, Venecia, San Bernardo, Quetame, Bituima, Vergara, Vianí, Carmen De Carupa, Fómeque, Zipacón, Albán, Pulí, Fosca, Sutatausa, Bojacá, Ubaque, Gama, Villa pinzón, Tibacuy, Tena, Anolaima, Suesca, Nocaima, Suesca, La Vega, Manta, Cucunubá, Medina, Topaipí, Nemocón, Nimaima, Soacha, Chía, Facatativá, Mosquera, El Rosal, Sopó, Cajicá, Sibaté, Funza, Cota, Gachetá, Nemocón, Guasca, Puerto Salgar, Villeta, Cogua, Lenguazaque, Gachalá, Paratebueno, Gama, Supatá, Gutierrez, Chaguaní, Yacopí, San Francisco y Nariño con servicios de formación, acompañamiento y dotación musical. Se realizó acompañamiento y apoyo técnico a 29 municipios de 6, 5 y 4 categoría. A la fecha se  atendido a más de 321 personas en el área de música.</v>
      </c>
      <c r="T25" s="11">
        <v>5</v>
      </c>
      <c r="U25" s="11">
        <v>0</v>
      </c>
      <c r="V25" s="11">
        <v>5</v>
      </c>
      <c r="W25" s="11">
        <v>0</v>
      </c>
      <c r="X25" s="11">
        <v>8</v>
      </c>
      <c r="Y25" s="11">
        <v>0</v>
      </c>
      <c r="Z25" s="11">
        <v>8</v>
      </c>
      <c r="AA25" s="11" t="s">
        <v>227</v>
      </c>
      <c r="AB25" s="11" t="s">
        <v>228</v>
      </c>
      <c r="AC25" s="11" t="s">
        <v>229</v>
      </c>
      <c r="AD25" s="11">
        <v>7</v>
      </c>
      <c r="AE25" s="11">
        <v>0</v>
      </c>
      <c r="AF25" s="11">
        <f ca="1">VLOOKUP(K25,'1220 IDECUT'!$K$13:$AK$48,22,0)</f>
        <v>9</v>
      </c>
      <c r="AG25" s="11">
        <f ca="1">VLOOKUP(K25,'1220 IDECUT'!$K$13:$AK$48,23,0)</f>
        <v>0</v>
      </c>
      <c r="AH25" s="9">
        <f t="shared" ca="1" si="21"/>
        <v>9</v>
      </c>
      <c r="AI25" s="9" t="str">
        <f ca="1">VLOOKUP(K25,'1220 IDECUT'!$K$13:$AK$48,25,0)</f>
        <v>Clases virtuales</v>
      </c>
      <c r="AJ25" s="9" t="str">
        <f ca="1">VLOOKUP(K25,'1220 IDECUT'!$K$13:$AK$48,26,0)</f>
        <v xml:space="preserve">Se realizó acompañamiento y apoyo técnico a 29 municipios de 6, 5 y 4 categoría. A la fecha se  atendido a más de 321 personas en el área de música </v>
      </c>
      <c r="AK25" s="9">
        <f ca="1">VLOOKUP(K25,'1220 IDECUT'!$K$13:$AK$48,27,0)</f>
        <v>0</v>
      </c>
      <c r="AL25" s="11">
        <v>7</v>
      </c>
      <c r="AM25" s="11">
        <v>0</v>
      </c>
      <c r="AN25" s="11">
        <v>6</v>
      </c>
      <c r="AO25" s="11">
        <v>0</v>
      </c>
      <c r="AP25" s="11">
        <v>0</v>
      </c>
      <c r="AQ25" s="11">
        <v>0</v>
      </c>
      <c r="AR25" s="51">
        <v>20000000</v>
      </c>
      <c r="AS25" s="54">
        <v>0</v>
      </c>
      <c r="AT25" s="54">
        <f t="shared" si="0"/>
        <v>20000000</v>
      </c>
      <c r="AU25" s="51">
        <v>20000000</v>
      </c>
      <c r="AV25" s="89">
        <v>150000000</v>
      </c>
      <c r="AY25" s="89">
        <v>129800000</v>
      </c>
      <c r="AZ25" s="42">
        <f t="shared" ca="1" si="22"/>
        <v>0.68</v>
      </c>
      <c r="BA25" s="44">
        <v>0.2</v>
      </c>
      <c r="BB25" s="44">
        <v>1.6</v>
      </c>
      <c r="BC25" s="42">
        <f t="shared" si="23"/>
        <v>0.28000000000000003</v>
      </c>
      <c r="BD25" s="42" cm="1">
        <f t="array" aca="1" ref="BD25" ca="1">_xlfn.IFS(AD25=0,"NA",AD25&gt;0,AH25/AD25)</f>
        <v>1.2857142857142858</v>
      </c>
      <c r="BE25" s="42">
        <f t="shared" si="24"/>
        <v>0.28000000000000003</v>
      </c>
      <c r="BF25" s="44">
        <v>0</v>
      </c>
      <c r="BG25" s="42">
        <f t="shared" si="25"/>
        <v>0.24</v>
      </c>
      <c r="BH25" s="44">
        <v>0</v>
      </c>
      <c r="BI25" s="42">
        <f t="shared" si="26"/>
        <v>0</v>
      </c>
      <c r="BJ25" s="44" t="s">
        <v>115</v>
      </c>
      <c r="BK25" s="42">
        <f t="shared" ca="1" si="1"/>
        <v>0.68</v>
      </c>
      <c r="BL25" s="44">
        <v>1</v>
      </c>
      <c r="BM25" s="42" t="str" cm="1">
        <f t="array" aca="1" ref="BM25" ca="1">_xlfn.IFS(BD25="NA","NA",BD25&gt;100%,"100%",BD25&lt;100,BD25)</f>
        <v>100%</v>
      </c>
      <c r="BN25" s="42" cm="1">
        <f t="array" ref="BN25">_xlfn.IFS(BF25="NA","NA",BF25&gt;100%,"100%",BF25&lt;100,BF25)</f>
        <v>0</v>
      </c>
      <c r="BO25" s="42" cm="1">
        <f t="array" ref="BO25">_xlfn.IFS(BH25="NA","NA",BH25&gt;100%,"100%",BH25&lt;100,BH25)</f>
        <v>0</v>
      </c>
      <c r="BP25" s="42" t="str" cm="1">
        <f t="array" ref="BP25">_xlfn.IFS(BJ25="NA","NA",BJ25&gt;100%,"100%",BJ25&lt;100,BJ25)</f>
        <v>NA</v>
      </c>
      <c r="BQ25" s="45">
        <v>0.22500000000000001</v>
      </c>
      <c r="BR25" s="43">
        <f t="shared" ca="1" si="2"/>
        <v>0.15300000000000002</v>
      </c>
      <c r="BS25" s="45">
        <v>4.4999999999999998E-2</v>
      </c>
      <c r="BT25" s="45">
        <v>4.4999999999999998E-2</v>
      </c>
      <c r="BU25" s="45">
        <v>7.1999999999999995E-2</v>
      </c>
      <c r="BV25" s="43">
        <f t="shared" si="27"/>
        <v>6.3E-2</v>
      </c>
      <c r="BW25" s="43">
        <f t="shared" ca="1" si="3"/>
        <v>6.3E-2</v>
      </c>
      <c r="BX25" s="43">
        <f t="shared" ca="1" si="4"/>
        <v>8.100000000000003E-2</v>
      </c>
      <c r="BY25" s="43">
        <f t="shared" si="28"/>
        <v>6.3E-2</v>
      </c>
      <c r="BZ25" s="43">
        <f t="shared" si="29"/>
        <v>0</v>
      </c>
      <c r="CA25" s="43">
        <f t="shared" ca="1" si="5"/>
        <v>0</v>
      </c>
      <c r="CB25" s="43">
        <f t="shared" si="30"/>
        <v>5.4000000000000006E-2</v>
      </c>
      <c r="CC25" s="43">
        <f t="shared" si="31"/>
        <v>0</v>
      </c>
      <c r="CD25" s="45">
        <v>0</v>
      </c>
      <c r="CE25" s="43">
        <f t="shared" si="32"/>
        <v>0</v>
      </c>
      <c r="CF25" s="43" t="str">
        <f t="shared" si="33"/>
        <v>NA</v>
      </c>
      <c r="CG25" s="45">
        <v>0</v>
      </c>
    </row>
    <row r="26" spans="1:90" ht="18" customHeight="1">
      <c r="A26" s="260" t="s">
        <v>221</v>
      </c>
      <c r="B26" s="260" t="s">
        <v>222</v>
      </c>
      <c r="C26" s="260" t="s">
        <v>100</v>
      </c>
      <c r="D26" s="260" t="s">
        <v>101</v>
      </c>
      <c r="E26" s="260" t="s">
        <v>189</v>
      </c>
      <c r="F26" s="260" t="s">
        <v>190</v>
      </c>
      <c r="G26" s="260" t="s">
        <v>191</v>
      </c>
      <c r="H26" s="260" t="s">
        <v>230</v>
      </c>
      <c r="I26" s="260"/>
      <c r="J26" s="260"/>
      <c r="K26" s="260" t="s">
        <v>231</v>
      </c>
      <c r="L26" s="260" t="s">
        <v>232</v>
      </c>
      <c r="M26" s="260" t="s">
        <v>233</v>
      </c>
      <c r="N26" s="260" t="s">
        <v>111</v>
      </c>
      <c r="O26" s="260" t="s">
        <v>112</v>
      </c>
      <c r="P26" s="10">
        <v>4</v>
      </c>
      <c r="Q26" s="11">
        <v>12</v>
      </c>
      <c r="R26" s="9">
        <f t="shared" ca="1" si="20"/>
        <v>3</v>
      </c>
      <c r="S26" s="11" t="str">
        <f ca="1">VLOOKUP(K26,'1220 IDECUT'!$K$13:$AK$48,9,0)</f>
        <v xml:space="preserve">Durante la vigencia 2021, se han cofinanciado 3 eventos de celebraciones de prácticas artísticas y culturales colectiva beneficiando a los municipios de Sopo, Cucunuba, Soacha, Girardot, Facatativá y Fusagasugá. La primera, corresponde a  la celebración del día nacional de la afro colombianidad, donde se logro la participación de las comunidades afro del departamento, logrando así el rescate de la identidad cultural, sus raíces y sus costumbres afro; así como también  se realizaron capacitaciones a la población afro sobre el origen y el uso de sus derechos, beneficiando de esta manera a la comunidad perteneciente a esta etnia, en especial a los representantes de los municipios de Soacha, Fusagasugá, Girardot y Facatativá quienes fueron los que asistieron al evento y replicaron la información. 
Por otro lado, el segundo evento se realizo en  el municipio de Sopo,  donde se llevó a cabo el XX festival de teatro, arte y folclor del 8 de septiembre hasta el 11 de septiembre; en éste se apoyó con  la entrega de insumos alimenticios para los artistas que invitados . Con la realización de este evento, se rescato los valores de identidad cultural y artística, logrando de esta forma la debida construcción del tejido social mediante la consolidación de actividades desarrolladas alrededor del arte y la cultura. 
y por ultimo,se brindó  apoyo  a la Segunda feria artesanal “ Expolana" en el municipio de Cucunuba, especificamente apoyo logístico y de soporte  con el alquiler del sonido y de la tarima para el desarrollo  de la feria. Cabe anotar, que estos eventos benefician a toda la población del municipio, en especial a los artesanos y comerciantes con la  generación de espacios y estrategias de  reactivación económica.
La primera, la celebración del día nacional de la afro colombianidad, donde se logro la participación de las comunidades afro del departamento, logrando así el rescate de la identidad cultural, sus raíces y sus costumbres afro.  Se realizaron capacitaciones a la población afro sobre el origen y el uso de sus derechos. El beneficio fue para toda la comunidad perteneciente a esta etnia, en especial para los representantes de los municipios de Soacha, Fusagasugá, Girardot y Facatativá quienes fueron los que asistieron al evento y replicaron la información. 
Por otro lado, el segundo evento se realizo con el municipio de Sopo,  XX festival de teatro, arte y folclor en el municipio. Se realizo la entrega de insumos alimenticios para los artistas invitados del 8 de septiembre hasta el 11 de septiembre. Con la realización de este evento, se rescato los valores de identidad cultural y artística, logrando de esta forma la debida construcción del tejido social mediante la consolidación de actividades desarrolladas alrededor del arte y la cultura. 
y por ultimo, apoyo  a la 2da feria artesanal “ expolanas en el municipio de Cucunuba, para este evento se apoya con el alquiler del sonido y de la tarima para el desarrollo total de la feria. Cabe anotar, que estos eventos benefician a toda la población del municipio, en especial a los artesanos y comerciantes en la medida que genera una reactivación económica importante, pues este evento genera un impacto importante en la región.  </v>
      </c>
      <c r="T26" s="11">
        <v>1</v>
      </c>
      <c r="U26" s="11">
        <v>0</v>
      </c>
      <c r="V26" s="11">
        <v>1</v>
      </c>
      <c r="W26" s="11">
        <v>0</v>
      </c>
      <c r="X26" s="11">
        <v>0</v>
      </c>
      <c r="Y26" s="11">
        <v>0</v>
      </c>
      <c r="Z26" s="11">
        <v>0</v>
      </c>
      <c r="AA26" s="11"/>
      <c r="AB26" s="11"/>
      <c r="AC26" s="11"/>
      <c r="AD26" s="11">
        <v>4</v>
      </c>
      <c r="AE26" s="11">
        <v>0</v>
      </c>
      <c r="AF26" s="11">
        <f ca="1">VLOOKUP(K26,'1220 IDECUT'!$K$13:$AK$48,22,0)</f>
        <v>3</v>
      </c>
      <c r="AG26" s="11">
        <f ca="1">VLOOKUP(K26,'1220 IDECUT'!$K$13:$AK$48,23,0)</f>
        <v>0</v>
      </c>
      <c r="AH26" s="9">
        <f t="shared" ca="1" si="21"/>
        <v>3</v>
      </c>
      <c r="AI26" s="9" t="str">
        <f ca="1">VLOOKUP(K26,'1220 IDECUT'!$K$13:$AK$48,25,0)</f>
        <v>Cofinanciacion</v>
      </c>
      <c r="AJ26" s="9" t="str">
        <f ca="1">VLOOKUP(K26,'1220 IDECUT'!$K$13:$AK$48,26,0)</f>
        <v>Durante la vigencia 2021, se han cofinanciado 3 eventos de celebraciones de prácticas artísticas y culturales colectiva beneficiando a los municipios de Sopo, Cucunuba, Soacha, Girardot, Facatativá y Fusagasugá. La primera, corresponde a  la celebración del día nacional de la afro colombianidad, donde se logro la participación de las comunidades afro del departamento, logrando así el rescate de la identidad cultural, sus raíces y sus costumbres afro; así como también  se realizaron capacitaciones a la población afro sobre el origen y el uso de sus derechos, beneficiando de esta manera a la comunidad perteneciente a esta etnia, en especial a los representantes de los municipios de Soacha, Fusagasugá, Girardot y Facatativá quienes fueron los que asistieron al evento y replicaron la información. 
Por otro lado, el segundo evento se realizo en  el municipio de Sopo,  donde se llevó a cabo el XX festival de teatro, arte y folclor del 8 de septiembre hasta el 11 de septiembre; en éste se apoyó con  la entrega de insumos alimenticios para los artistas que invitados . Con la realización de este evento, se rescato los valores de identidad cultural y artística, logrando de esta forma la debida construcción del tejido social mediante la consolidación de actividades desarrolladas alrededor del arte y la cultura. 
y por ultimo,se brindó  apoyo  a la Segunda feria artesanal “ Expolana" en el municipio de Cucunuba, especificamente apoyo logístico y de soporte  con el alquiler del sonido y de la tarima para el desarrollo  de la feria. Cabe anotar, que estos eventos benefician a toda la población del municipio, en especial a los artesanos y comerciantes con la  generación de espacios y estrategias de  reactivación económica.</v>
      </c>
      <c r="AK26" s="9">
        <f ca="1">VLOOKUP(K26,'1220 IDECUT'!$K$13:$AK$48,27,0)</f>
        <v>0</v>
      </c>
      <c r="AL26" s="11">
        <v>4</v>
      </c>
      <c r="AM26" s="11">
        <v>0</v>
      </c>
      <c r="AN26" s="11">
        <v>3</v>
      </c>
      <c r="AO26" s="11">
        <v>0</v>
      </c>
      <c r="AP26" s="11">
        <v>0</v>
      </c>
      <c r="AQ26" s="11">
        <v>0</v>
      </c>
      <c r="AR26" s="51">
        <v>15000000</v>
      </c>
      <c r="AS26" s="54">
        <v>0</v>
      </c>
      <c r="AT26" s="54">
        <f t="shared" si="0"/>
        <v>15000000</v>
      </c>
      <c r="AU26" s="51">
        <v>15000000</v>
      </c>
      <c r="AV26" s="89">
        <v>40000000</v>
      </c>
      <c r="AY26" s="89"/>
      <c r="AZ26" s="42">
        <f t="shared" ca="1" si="22"/>
        <v>0.25</v>
      </c>
      <c r="BA26" s="44">
        <v>8.3299999999999999E-2</v>
      </c>
      <c r="BB26" s="44">
        <v>0</v>
      </c>
      <c r="BC26" s="42">
        <f t="shared" si="23"/>
        <v>0.33333333333333331</v>
      </c>
      <c r="BD26" s="42" cm="1">
        <f t="array" aca="1" ref="BD26" ca="1">_xlfn.IFS(AD26=0,"NA",AD26&gt;0,AH26/AD26)</f>
        <v>0.75</v>
      </c>
      <c r="BE26" s="42">
        <f t="shared" si="24"/>
        <v>0.33333333333333331</v>
      </c>
      <c r="BF26" s="44">
        <v>0</v>
      </c>
      <c r="BG26" s="42">
        <f t="shared" si="25"/>
        <v>0.25</v>
      </c>
      <c r="BH26" s="44">
        <v>0</v>
      </c>
      <c r="BI26" s="42">
        <f t="shared" si="26"/>
        <v>0</v>
      </c>
      <c r="BJ26" s="44" t="s">
        <v>115</v>
      </c>
      <c r="BK26" s="42">
        <f t="shared" ca="1" si="1"/>
        <v>0.25</v>
      </c>
      <c r="BL26" s="44">
        <v>0</v>
      </c>
      <c r="BM26" s="42" cm="1">
        <f t="array" aca="1" ref="BM26" ca="1">_xlfn.IFS(BD26="NA","NA",BD26&gt;100%,"100%",BD26&lt;100,BD26)</f>
        <v>0.75</v>
      </c>
      <c r="BN26" s="42" cm="1">
        <f t="array" ref="BN26">_xlfn.IFS(BF26="NA","NA",BF26&gt;100%,"100%",BF26&lt;100,BF26)</f>
        <v>0</v>
      </c>
      <c r="BO26" s="42" cm="1">
        <f t="array" ref="BO26">_xlfn.IFS(BH26="NA","NA",BH26&gt;100%,"100%",BH26&lt;100,BH26)</f>
        <v>0</v>
      </c>
      <c r="BP26" s="42" t="str" cm="1">
        <f t="array" ref="BP26">_xlfn.IFS(BJ26="NA","NA",BJ26&gt;100%,"100%",BJ26&lt;100,BJ26)</f>
        <v>NA</v>
      </c>
      <c r="BQ26" s="45">
        <v>0.22500000000000001</v>
      </c>
      <c r="BR26" s="43">
        <f t="shared" ca="1" si="2"/>
        <v>5.6250000000000001E-2</v>
      </c>
      <c r="BS26" s="45">
        <v>1.8700000000000001E-2</v>
      </c>
      <c r="BT26" s="45">
        <v>0</v>
      </c>
      <c r="BU26" s="45">
        <v>0</v>
      </c>
      <c r="BV26" s="43">
        <f t="shared" si="27"/>
        <v>7.4999999999999997E-2</v>
      </c>
      <c r="BW26" s="43">
        <f t="shared" ca="1" si="3"/>
        <v>5.6249999999999994E-2</v>
      </c>
      <c r="BX26" s="43">
        <f t="shared" ca="1" si="4"/>
        <v>5.6250000000000001E-2</v>
      </c>
      <c r="BY26" s="43">
        <f t="shared" si="28"/>
        <v>7.4999999999999997E-2</v>
      </c>
      <c r="BZ26" s="43">
        <f t="shared" si="29"/>
        <v>0</v>
      </c>
      <c r="CA26" s="43">
        <f t="shared" ca="1" si="5"/>
        <v>0</v>
      </c>
      <c r="CB26" s="43">
        <f t="shared" si="30"/>
        <v>5.6250000000000001E-2</v>
      </c>
      <c r="CC26" s="43">
        <f t="shared" si="31"/>
        <v>0</v>
      </c>
      <c r="CD26" s="45">
        <v>0</v>
      </c>
      <c r="CE26" s="43">
        <f t="shared" si="32"/>
        <v>0</v>
      </c>
      <c r="CF26" s="43" t="str">
        <f t="shared" si="33"/>
        <v>NA</v>
      </c>
      <c r="CG26" s="45">
        <v>0</v>
      </c>
    </row>
    <row r="27" spans="1:90" ht="18" customHeight="1">
      <c r="A27" s="260" t="s">
        <v>221</v>
      </c>
      <c r="B27" s="260" t="s">
        <v>222</v>
      </c>
      <c r="C27" s="260" t="s">
        <v>100</v>
      </c>
      <c r="D27" s="260" t="s">
        <v>101</v>
      </c>
      <c r="E27" s="260" t="s">
        <v>189</v>
      </c>
      <c r="F27" s="260" t="s">
        <v>190</v>
      </c>
      <c r="G27" s="260" t="s">
        <v>191</v>
      </c>
      <c r="H27" s="260" t="s">
        <v>234</v>
      </c>
      <c r="I27" s="260"/>
      <c r="J27" s="260"/>
      <c r="K27" s="260" t="s">
        <v>235</v>
      </c>
      <c r="L27" s="260" t="s">
        <v>236</v>
      </c>
      <c r="M27" s="260" t="s">
        <v>237</v>
      </c>
      <c r="N27" s="260" t="s">
        <v>111</v>
      </c>
      <c r="O27" s="260" t="s">
        <v>124</v>
      </c>
      <c r="P27" s="10">
        <v>90</v>
      </c>
      <c r="Q27" s="11">
        <v>90</v>
      </c>
      <c r="R27" s="11">
        <f ca="1">(Z27+AH27)/CL27</f>
        <v>48.75</v>
      </c>
      <c r="S27" s="11" t="str">
        <f ca="1">VLOOKUP(K27,'1220 IDECUT'!$K$13:$AK$48,9,0)</f>
        <v xml:space="preserve">Durante la vigencia 2020 se apoyaron 92 municipios del departamento con la contratación de 148 formadores  y en lo corrido de la vigencia 2021. Se han potencializado 103 municipios (AGUA DE DIOS, ALBÁN, ANOLAIMA, APULO, ARBELAÉZ, BELTRAN, BITUIMA, BOJACÁ, CABRERA, CACHIPAY, CAPARRAPÍ, CAQUEZA, CARMEN DE CARUPA, CHAGUANÍ, CHIPAQUE, CHOACHÍ, CHOCONTÁ, COGUA, COTA, CUCUNUBÁ, EL COLEGIO, EL PEÑÓN, EL ROSAL, FACATATIVÁ, FÓMEQUE, FOSCA, FÚQUENE, FUSAGASUGA, GACHALÁ, GACHANCIPÁ, GACHETÁ, GAMA, GRANADA, GUACHETÁ, GUADUAS, GUASCA, GUATAVITA, GUAYABAL DE SÍQUIMA, GUAYABETAL, GUTIERREZ, JERUSALÉN, JUNIN, LA MESA, LA PALMA, LA PEÑA, LA VEGA, LENGUAZAQUE, MACHETÁ, MANTA, MEDINA, NARIÑO, NEMOCÓN, NILO, NIMAIMA, NOCAIMA, PACHO, PAIME, PANDI, PARATEBUENO, PASCA, PUERTO SALGAR, PULÍ, QUEBRADANEGRA, QUETAME, QUIPILE, RICAURTE, SAN ANTONIO DEL TEQUENDAMA, SAN BERNARDO, SAN CAYETANO, SAN FRANCISCO, SAN JUAN DE RIO SECO, SASAIMA, SESQUILÉ, SIBATÉ, SILVANIA, SIMIJACA, SOACHA, CHÍA,, MOSQUERA, SOPÓ, CAJICÁ, FUNZA, SUBACHOQUE, SUESCA, SUPATÁ, SUSA, SUTATAUSA, TABIO, TAUSA, TENA, TIBACUY, TIBIRITA, TOCAIMA, TOPAIPÍ, UBALÁ, UBAQUE, UBATÉ, UNE, ÚTICA, VENECIA, VERGARA, VIANÍ, VILLAGÓMEZ, VILLAPINZÓN, VILLETA, VIOTÁ, YACOPÍ, ZIPACÓN.) con 249 formadores en las diferentes áreas artísticas. Los procesos de formación artística se desarrollan de forma transversal e incluyente para toda la población, lo cual permite beneficiar porblación victima, ROM, Indígena, Afrodescendiente, en condición de discapacidad, LGTBI, entre otros; y a su vez, se ha buscado garatnizar el acceso a  la población rural, priorizando a los  municipios de categoría 5 y 6.  
</v>
      </c>
      <c r="T27" s="11">
        <v>0</v>
      </c>
      <c r="U27" s="11">
        <v>90</v>
      </c>
      <c r="V27" s="11">
        <v>0</v>
      </c>
      <c r="W27" s="11">
        <v>90</v>
      </c>
      <c r="X27" s="11" t="s">
        <v>115</v>
      </c>
      <c r="Y27" s="11">
        <v>92</v>
      </c>
      <c r="Z27" s="11">
        <v>92</v>
      </c>
      <c r="AA27" s="11" t="s">
        <v>238</v>
      </c>
      <c r="AB27" s="11" t="s">
        <v>239</v>
      </c>
      <c r="AC27" s="11" t="s">
        <v>240</v>
      </c>
      <c r="AD27" s="11">
        <v>0</v>
      </c>
      <c r="AE27" s="11">
        <v>90</v>
      </c>
      <c r="AF27" s="11">
        <f ca="1">VLOOKUP(K27,'1220 IDECUT'!$K$13:$AK$48,22,0)</f>
        <v>0</v>
      </c>
      <c r="AG27" s="11">
        <f ca="1">VLOOKUP(K27,'1220 IDECUT'!$K$13:$AK$48,23,0)</f>
        <v>103</v>
      </c>
      <c r="AH27" s="11">
        <f ca="1">AG27</f>
        <v>103</v>
      </c>
      <c r="AI27" s="9" t="str">
        <f ca="1">VLOOKUP(K27,'1220 IDECUT'!$K$13:$AK$48,25,0)</f>
        <v>Clases en areas artisticas</v>
      </c>
      <c r="AJ27" s="9" t="str">
        <f ca="1">VLOOKUP(K27,'1220 IDECUT'!$K$13:$AK$48,26,0)</f>
        <v xml:space="preserve">Se han potencializado 103 municipios (AGUA DE DIOS, ALBÁN, ANOLAIMA, APULO, ARBELAÉZ, BELTRAN, BITUIMA, BOJACÁ, CABRERA, CACHIPAY, CAPARRAPÍ, CAQUEZA, CARMEN DE CARUPA, CHAGUANÍ, CHIPAQUE, CHOACHÍ, CHOCONTÁ, COGUA, COTA, CUCUNUBÁ, EL COLEGIO, EL PEÑÓN, EL ROSAL, FACATATIVÁ, FÓMEQUE, FOSCA, FÚQUENE, FUSAGASUGA, GACHALÁ, GACHANCIPÁ, GACHETÁ, GAMA, GRANADA, GUACHETÁ, GUADUAS, GUASCA, GUATAVITA, GUAYABAL DE SÍQUIMA, GUAYABETAL, GUTIERREZ, JERUSALÉN, JUNIN, LA MESA, LA PALMA, LA PEÑA, LA VEGA, LENGUAZAQUE, MACHETÁ, MANTA, MEDINA, NARIÑO, NEMOCÓN, NILO, NIMAIMA, NOCAIMA, PACHO, PAIME, PANDI, PARATEBUENO, PASCA, PUERTO SALGAR, PULÍ, QUEBRADANEGRA, QUETAME, QUIPILE, RICAURTE, SAN ANTONIO DEL TEQUENDAMA, SAN BERNARDO, SAN CAYETANO, SAN FRANCISCO, SAN JUAN DE RIO SECO, SASAIMA, SESQUILÉ, SIBATÉ, SILVANIA, SIMIJACA, SOACHA, CHÍA,, MOSQUERA, SOPÓ, CAJICÁ, FUNZA, SUBACHOQUE, SUESCA, SUPATÁ, SUSA, SUTATAUSA, TABIO, TAUSA, TENA, TIBACUY, TIBIRITA, TOCAIMA, TOPAIPÍ, UBALÁ, UBAQUE, UBATÉ, UNE, ÚTICA, VENECIA, VERGARA, VIANÍ, VILLAGÓMEZ, VILLAPINZÓN, VILLETA, VIOTÁ, YACOPÍ, ZIPACÓN.) con 249 formadores en las diferentes áreas artísticas. Los procesos de formación artística se desarrollan de forma transversal e incluyente para toda la población, lo cual permite beneficiar porblación victima, ROM, Indígena, Afrodescendiente, en condición de discapacidad, LGTBI, entre otros; y a su vez, se ha buscado garatnizar el acceso a  la población rural, priorizando a los  municipios de categoría 5 y 6.  
</v>
      </c>
      <c r="AK27" s="9">
        <f ca="1">VLOOKUP(K27,'1220 IDECUT'!$K$13:$AK$48,27,0)</f>
        <v>0</v>
      </c>
      <c r="AL27" s="11">
        <v>0</v>
      </c>
      <c r="AM27" s="11">
        <v>90</v>
      </c>
      <c r="AN27" s="11">
        <v>0</v>
      </c>
      <c r="AO27" s="11">
        <v>90</v>
      </c>
      <c r="AP27" s="11">
        <v>0</v>
      </c>
      <c r="AQ27" s="11">
        <v>0</v>
      </c>
      <c r="AR27" s="51">
        <v>815700000</v>
      </c>
      <c r="AS27" s="54">
        <v>0</v>
      </c>
      <c r="AT27" s="54">
        <f t="shared" si="0"/>
        <v>815700000</v>
      </c>
      <c r="AU27" s="51">
        <v>815700000</v>
      </c>
      <c r="AV27" s="89">
        <v>2762155000</v>
      </c>
      <c r="AY27" s="89">
        <v>1165200000</v>
      </c>
      <c r="AZ27" s="44" cm="1">
        <f t="array" aca="1" ref="AZ27" ca="1">_xlfn.IFS((BA27=0),(BD27/CL27),(BA27&gt;0),((BB27+BD27)/CL27),(BE27&gt;0),((BB27+BD27+BE27)/CL27),(BG27&gt;0),((BB27+BD27+BE27+G27)/CL27))</f>
        <v>0.54166111111111115</v>
      </c>
      <c r="BA27" s="44">
        <v>0.25</v>
      </c>
      <c r="BB27" s="44">
        <v>1.0222</v>
      </c>
      <c r="BC27" s="44">
        <f>IF(AE27&gt;0,(1/CL27),0)</f>
        <v>0.25</v>
      </c>
      <c r="BD27" s="44" cm="1">
        <f t="array" aca="1" ref="BD27" ca="1">_xlfn.IFS(AE27=0,"NA",AE27&gt;0,AH27/AE27)</f>
        <v>1.1444444444444444</v>
      </c>
      <c r="BE27" s="44">
        <f>IF(AM27&gt;0,(1/CL27),0)</f>
        <v>0.25</v>
      </c>
      <c r="BF27" s="44">
        <v>0</v>
      </c>
      <c r="BG27" s="44">
        <f>IF(AO27&gt;0,(1/CL27),0)</f>
        <v>0.25</v>
      </c>
      <c r="BH27" s="44">
        <v>0</v>
      </c>
      <c r="BI27" s="44">
        <v>0</v>
      </c>
      <c r="BJ27" s="44" t="s">
        <v>115</v>
      </c>
      <c r="BK27" s="44">
        <f t="shared" ca="1" si="1"/>
        <v>0.54166111111111115</v>
      </c>
      <c r="BL27" s="44">
        <v>1</v>
      </c>
      <c r="BM27" s="42" t="str" cm="1">
        <f t="array" aca="1" ref="BM27" ca="1">_xlfn.IFS(BD27="NA","NA",BD27&gt;100%,"100%",BD27&lt;100,BD27)</f>
        <v>100%</v>
      </c>
      <c r="BN27" s="44">
        <v>0</v>
      </c>
      <c r="BO27" s="44">
        <v>0</v>
      </c>
      <c r="BP27" s="44" t="s">
        <v>115</v>
      </c>
      <c r="BQ27" s="45">
        <v>0.22500000000000001</v>
      </c>
      <c r="BR27" s="43">
        <f t="shared" ca="1" si="2"/>
        <v>0.12187375000000002</v>
      </c>
      <c r="BS27" s="45">
        <v>5.6300000000000003E-2</v>
      </c>
      <c r="BT27" s="45">
        <v>5.6300000000000003E-2</v>
      </c>
      <c r="BU27" s="45">
        <v>5.6300000000000003E-2</v>
      </c>
      <c r="BV27" s="45">
        <v>5.6300000000000003E-2</v>
      </c>
      <c r="BW27" s="43">
        <f t="shared" ca="1" si="3"/>
        <v>5.6300000000000003E-2</v>
      </c>
      <c r="BX27" s="43">
        <f t="shared" ca="1" si="4"/>
        <v>6.5573750000000014E-2</v>
      </c>
      <c r="BY27" s="45">
        <v>5.6300000000000003E-2</v>
      </c>
      <c r="BZ27" s="45">
        <v>0</v>
      </c>
      <c r="CA27" s="43">
        <f t="shared" ca="1" si="5"/>
        <v>0</v>
      </c>
      <c r="CB27" s="45">
        <v>5.6300000000000003E-2</v>
      </c>
      <c r="CC27" s="45">
        <v>0</v>
      </c>
      <c r="CD27" s="45">
        <v>0</v>
      </c>
      <c r="CE27" s="45">
        <v>0</v>
      </c>
      <c r="CF27" s="45" t="s">
        <v>115</v>
      </c>
      <c r="CG27" s="45">
        <v>0</v>
      </c>
      <c r="CH27">
        <f>IF(W27&gt;0,1,0)</f>
        <v>1</v>
      </c>
      <c r="CI27">
        <f>IF(AE27&gt;0,1,0)</f>
        <v>1</v>
      </c>
      <c r="CJ27">
        <f>IF(AM27&gt;0,1,0)</f>
        <v>1</v>
      </c>
      <c r="CK27">
        <f>IF(AO27&gt;0,1,0)</f>
        <v>1</v>
      </c>
      <c r="CL27">
        <f>CH27+CI27+CJ27+CK27</f>
        <v>4</v>
      </c>
    </row>
    <row r="28" spans="1:90" ht="18" customHeight="1">
      <c r="A28" s="260" t="s">
        <v>221</v>
      </c>
      <c r="B28" s="260" t="s">
        <v>222</v>
      </c>
      <c r="C28" s="260" t="s">
        <v>100</v>
      </c>
      <c r="D28" s="260" t="s">
        <v>101</v>
      </c>
      <c r="E28" s="260" t="s">
        <v>189</v>
      </c>
      <c r="F28" s="260" t="s">
        <v>190</v>
      </c>
      <c r="G28" s="260" t="s">
        <v>191</v>
      </c>
      <c r="H28" s="260" t="s">
        <v>241</v>
      </c>
      <c r="I28" s="260"/>
      <c r="J28" s="260"/>
      <c r="K28" s="260" t="s">
        <v>242</v>
      </c>
      <c r="L28" s="260" t="s">
        <v>243</v>
      </c>
      <c r="M28" s="260" t="s">
        <v>244</v>
      </c>
      <c r="N28" s="260" t="s">
        <v>111</v>
      </c>
      <c r="O28" s="260" t="s">
        <v>112</v>
      </c>
      <c r="P28" s="10">
        <v>17</v>
      </c>
      <c r="Q28" s="11">
        <v>40</v>
      </c>
      <c r="R28" s="9">
        <f t="shared" ref="R28:R36" ca="1" si="34">Z28+AH28</f>
        <v>21</v>
      </c>
      <c r="S28" s="11" t="str">
        <f ca="1">VLOOKUP(K28,'1220 IDECUT'!$K$13:$AK$48,9,0)</f>
        <v>Durante la vigencia 2020 se dió acompañamiento a ocho (8) municipios y se designaron formadores en seis(6) municipios.  En lo corrido de la vigencia 2021. A la fecha se han implementado 13 procesos de formación  literaria por medio de talleres, los cuales se desarrollan  entre la teoría y la práctica a través de la  conformación de grupos en la cabecera municipal y por lo menos en dos zonas rurales de cada municipio, beneficiando a los diferentes grupos etarios y poblacionales en los municipios de Alban, Anapoima, Cachipay, Caparrapí, Fúquene, Puerto Salgar, Simijaca, Soacha, Tabio, Topaipí, Útica, Viotá y Zipacón.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
Se implementaron procesos de formación literaria a través de la estrategia de literatura diseñada por el Idecut, y desarrollada en 13 municipios en el 2021 (Alban, Anapoima, Cachipay, Caparrapí, Fúquene, Puerto Salgar, Simijaca, Soacha, Tabio, Topaipí, Útica, Viotá y Zipacón.)
Se ha logrado gran impacto en niños, adultos mayores, población discapacitada y víctimas del conflicto armado en el municipio de Viotá.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v>
      </c>
      <c r="T28" s="11">
        <v>10</v>
      </c>
      <c r="U28" s="11">
        <v>0</v>
      </c>
      <c r="V28" s="11">
        <v>8</v>
      </c>
      <c r="W28" s="11">
        <v>0</v>
      </c>
      <c r="X28" s="11">
        <v>8</v>
      </c>
      <c r="Y28" s="11">
        <v>0</v>
      </c>
      <c r="Z28" s="11">
        <v>8</v>
      </c>
      <c r="AA28" s="11" t="s">
        <v>245</v>
      </c>
      <c r="AB28" s="11" t="s">
        <v>246</v>
      </c>
      <c r="AC28" s="11" t="s">
        <v>247</v>
      </c>
      <c r="AD28" s="11">
        <v>12</v>
      </c>
      <c r="AE28" s="11">
        <v>0</v>
      </c>
      <c r="AF28" s="11">
        <f ca="1">VLOOKUP(K28,'1220 IDECUT'!$K$13:$AK$48,22,0)</f>
        <v>13</v>
      </c>
      <c r="AG28" s="11">
        <f ca="1">VLOOKUP(K28,'1220 IDECUT'!$K$13:$AK$48,23,0)</f>
        <v>0</v>
      </c>
      <c r="AH28" s="9">
        <f t="shared" ref="AH28:AH36" ca="1" si="35">AF28</f>
        <v>13</v>
      </c>
      <c r="AI28" s="9" t="str">
        <f ca="1">VLOOKUP(K28,'1220 IDECUT'!$K$13:$AK$48,25,0)</f>
        <v>Clases de literatura</v>
      </c>
      <c r="AJ28" s="9" t="str">
        <f ca="1">VLOOKUP(K28,'1220 IDECUT'!$K$13:$AK$48,26,0)</f>
        <v>A la fecha se han implementado 13 procesos de formación  literaria por medio de talleres, los cuales se desarrollan  entre la teoría y la práctica a través de la  conformación de grupos en la cabecera municipal y por lo menos en dos zonas rurales de cada municipio, beneficiando a los diferentes grupos etarios y poblacionales en los municipios de Alban, Anapoima, Cachipay, Caparrapí, Fúquene, Puerto Salgar, Simijaca, Soacha, Tabio, Topaipí, Útica, Viotá y Zipacón. Adicionalmente se ha logrado gran impacto en la población beneficiada en de Viotá, Simijaca, Fúquene y en la Fundación Amigo de Soacha, fundación que atiende a los adolescentes con responsabilidad penal, mediante la alianza con la Red de Bibliotecas del Banco de la República - Biblioteca Luis Ángel Arango- BLAA y el Idecut establecieron un acuerdo de voluntades para que el Idecut haga parte del proyecto Maletas Viajeras liderado por la Biblioteca Luis Ángel Arango - BLAA.  Se entregaron maletas viajeras y maletines familiares que harán parte del piloto beneficiando a los municipios citados.</v>
      </c>
      <c r="AK28" s="9">
        <f ca="1">VLOOKUP(K28,'1220 IDECUT'!$K$13:$AK$48,27,0)</f>
        <v>0</v>
      </c>
      <c r="AL28" s="11">
        <v>10</v>
      </c>
      <c r="AM28" s="11">
        <v>0</v>
      </c>
      <c r="AN28" s="11">
        <v>10</v>
      </c>
      <c r="AO28" s="11">
        <v>0</v>
      </c>
      <c r="AP28" s="11">
        <v>0</v>
      </c>
      <c r="AQ28" s="11">
        <v>0</v>
      </c>
      <c r="AR28" s="51">
        <v>60000000</v>
      </c>
      <c r="AS28" s="54">
        <v>0</v>
      </c>
      <c r="AT28" s="54">
        <f t="shared" si="0"/>
        <v>60000000</v>
      </c>
      <c r="AU28" s="51">
        <v>60000000</v>
      </c>
      <c r="AV28" s="89">
        <v>180000000</v>
      </c>
      <c r="AY28" s="89">
        <v>105600000</v>
      </c>
      <c r="AZ28" s="42">
        <f t="shared" ref="AZ28:AZ36" ca="1" si="36">R28/Q28</f>
        <v>0.52500000000000002</v>
      </c>
      <c r="BA28" s="44">
        <v>0.2</v>
      </c>
      <c r="BB28" s="44">
        <v>1</v>
      </c>
      <c r="BC28" s="42">
        <f t="shared" ref="BC28:BC36" si="37">AD28/Q28</f>
        <v>0.3</v>
      </c>
      <c r="BD28" s="42" cm="1">
        <f t="array" aca="1" ref="BD28" ca="1">_xlfn.IFS(AD28=0,"NA",AD28&gt;0,AH28/AD28)</f>
        <v>1.0833333333333333</v>
      </c>
      <c r="BE28" s="42">
        <f t="shared" ref="BE28:BE36" si="38">AL28/Q28</f>
        <v>0.25</v>
      </c>
      <c r="BF28" s="44">
        <v>0</v>
      </c>
      <c r="BG28" s="42">
        <f t="shared" ref="BG28:BG36" si="39">AN28/Q28</f>
        <v>0.25</v>
      </c>
      <c r="BH28" s="44">
        <v>0</v>
      </c>
      <c r="BI28" s="42">
        <f t="shared" ref="BI28:BI36" si="40">AP28/Q28</f>
        <v>0</v>
      </c>
      <c r="BJ28" s="44" t="s">
        <v>115</v>
      </c>
      <c r="BK28" s="42">
        <f t="shared" ca="1" si="1"/>
        <v>0.52500000000000002</v>
      </c>
      <c r="BL28" s="44">
        <v>1</v>
      </c>
      <c r="BM28" s="42" t="str" cm="1">
        <f t="array" aca="1" ref="BM28" ca="1">_xlfn.IFS(BD28="NA","NA",BD28&gt;100%,"100%",BD28&lt;100,BD28)</f>
        <v>100%</v>
      </c>
      <c r="BN28" s="42" cm="1">
        <f t="array" ref="BN28">_xlfn.IFS(BF28="NA","NA",BF28&gt;100%,"100%",BF28&lt;100,BF28)</f>
        <v>0</v>
      </c>
      <c r="BO28" s="42" cm="1">
        <f t="array" ref="BO28">_xlfn.IFS(BH28="NA","NA",BH28&gt;100%,"100%",BH28&lt;100,BH28)</f>
        <v>0</v>
      </c>
      <c r="BP28" s="42" t="str" cm="1">
        <f t="array" ref="BP28">_xlfn.IFS(BJ28="NA","NA",BJ28&gt;100%,"100%",BJ28&lt;100,BJ28)</f>
        <v>NA</v>
      </c>
      <c r="BQ28" s="45">
        <v>0.22500000000000001</v>
      </c>
      <c r="BR28" s="43">
        <f t="shared" ca="1" si="2"/>
        <v>0.11812500000000001</v>
      </c>
      <c r="BS28" s="45">
        <v>4.4999999999999998E-2</v>
      </c>
      <c r="BT28" s="45">
        <v>4.4999999999999998E-2</v>
      </c>
      <c r="BU28" s="45">
        <v>4.4999999999999998E-2</v>
      </c>
      <c r="BV28" s="43">
        <f t="shared" ref="BV28:BV36" si="41">(AD28*BQ28)/Q28</f>
        <v>6.7500000000000004E-2</v>
      </c>
      <c r="BW28" s="43">
        <f t="shared" ca="1" si="3"/>
        <v>6.7500000000000004E-2</v>
      </c>
      <c r="BX28" s="43">
        <f t="shared" ca="1" si="4"/>
        <v>7.3125000000000009E-2</v>
      </c>
      <c r="BY28" s="43">
        <f t="shared" ref="BY28:BY36" si="42">(AL28*BQ28)/Q28</f>
        <v>5.6250000000000001E-2</v>
      </c>
      <c r="BZ28" s="43">
        <f t="shared" ref="BZ28:BZ36" si="43">IF(BN28="NA","NA",BN28*BY28)</f>
        <v>0</v>
      </c>
      <c r="CA28" s="43">
        <f t="shared" ca="1" si="5"/>
        <v>0</v>
      </c>
      <c r="CB28" s="43">
        <f t="shared" ref="CB28:CB36" si="44">(AN28*BQ28)/Q28</f>
        <v>5.6250000000000001E-2</v>
      </c>
      <c r="CC28" s="43">
        <f t="shared" ref="CC28:CC36" si="45">IF(BO28="NA","NA",BO28*CB28)</f>
        <v>0</v>
      </c>
      <c r="CD28" s="45">
        <v>0</v>
      </c>
      <c r="CE28" s="43">
        <f t="shared" ref="CE28:CE36" si="46">(AP28*BQ28)/Q28</f>
        <v>0</v>
      </c>
      <c r="CF28" s="43" t="str">
        <f t="shared" ref="CF28:CF36" si="47">IF(BP28="NA","NA",BP28*CE28)</f>
        <v>NA</v>
      </c>
      <c r="CG28" s="45">
        <v>0</v>
      </c>
    </row>
    <row r="29" spans="1:90" ht="18" customHeight="1">
      <c r="A29" s="260" t="s">
        <v>248</v>
      </c>
      <c r="B29" s="260" t="s">
        <v>249</v>
      </c>
      <c r="C29" s="260" t="s">
        <v>100</v>
      </c>
      <c r="D29" s="260" t="s">
        <v>101</v>
      </c>
      <c r="E29" s="260" t="s">
        <v>189</v>
      </c>
      <c r="F29" s="260" t="s">
        <v>190</v>
      </c>
      <c r="G29" s="260" t="s">
        <v>191</v>
      </c>
      <c r="H29" s="260" t="s">
        <v>250</v>
      </c>
      <c r="I29" s="260" t="s">
        <v>106</v>
      </c>
      <c r="J29" s="260"/>
      <c r="K29" s="260" t="s">
        <v>251</v>
      </c>
      <c r="L29" s="260" t="s">
        <v>2842</v>
      </c>
      <c r="M29" s="260" t="s">
        <v>2843</v>
      </c>
      <c r="N29" s="260" t="s">
        <v>111</v>
      </c>
      <c r="O29" s="260" t="s">
        <v>112</v>
      </c>
      <c r="P29" s="10">
        <v>2</v>
      </c>
      <c r="Q29" s="11">
        <v>2</v>
      </c>
      <c r="R29" s="9">
        <f t="shared" si="34"/>
        <v>1</v>
      </c>
      <c r="S29" s="11">
        <f>VLOOKUP(K29,'1208 Indeportes'!$K$13:$AK$39,9,0)</f>
        <v>0</v>
      </c>
      <c r="T29" s="11">
        <v>0</v>
      </c>
      <c r="U29" s="11">
        <v>0</v>
      </c>
      <c r="V29" s="11">
        <v>0</v>
      </c>
      <c r="W29" s="11">
        <v>0</v>
      </c>
      <c r="X29" s="11">
        <v>0</v>
      </c>
      <c r="Y29" s="11">
        <v>0</v>
      </c>
      <c r="Z29" s="11">
        <v>0</v>
      </c>
      <c r="AA29" s="11"/>
      <c r="AB29" s="11"/>
      <c r="AC29" s="11"/>
      <c r="AD29" s="9">
        <v>1</v>
      </c>
      <c r="AE29" s="9">
        <v>0</v>
      </c>
      <c r="AF29" s="11">
        <f>VLOOKUP(K29,'1208 Indeportes'!$K$13:$AH$39,22,0)</f>
        <v>1</v>
      </c>
      <c r="AG29" s="11">
        <f>VLOOKUP(K29,'1208 Indeportes'!$K$13:$AH$39,23,0)</f>
        <v>0</v>
      </c>
      <c r="AH29" s="9">
        <f t="shared" si="35"/>
        <v>1</v>
      </c>
      <c r="AI29" s="9">
        <f>VLOOKUP(K29,'1208 Indeportes'!$K$13:$AK$39,25,0)</f>
        <v>0</v>
      </c>
      <c r="AJ29" s="9" t="str">
        <f>VLOOKUP(K29,'1208 Indeportes'!$K$13:$AK$39,26,0)</f>
        <v>Para el año 2021, logramos desarrollar las fases municipales, provinciales y la final departamental en el municipio de Girardot del 5 al 7 de noviembre. El regional nacional se disputó en la ciudad de Ibagué del 22 al 25 de noviembre y la gran final nacional que se disputará en la ciudad de Cartagena fecha por confirmar. Durante el desarrollo del evento, contamos con la participación de 102 municipios del departamento y 4.639 comunales compitiendo en los diferentes deportes individuales como billar, ajedrez, atletismo, tejo, mini tejo, rana, trompo y domino, y deportes de conjunto como baloncesto y futbol de salón.</v>
      </c>
      <c r="AK29" s="9">
        <f>VLOOKUP(K29,'1208 Indeportes'!$K$13:$AK$39,27,0)</f>
        <v>0</v>
      </c>
      <c r="AL29" s="9">
        <v>0</v>
      </c>
      <c r="AM29" s="9">
        <v>0</v>
      </c>
      <c r="AN29" s="9">
        <v>1</v>
      </c>
      <c r="AO29" s="9">
        <v>0</v>
      </c>
      <c r="AP29" s="11">
        <v>0</v>
      </c>
      <c r="AQ29" s="11">
        <v>0</v>
      </c>
      <c r="AR29" s="52"/>
      <c r="AS29" s="54">
        <v>0</v>
      </c>
      <c r="AT29" s="54">
        <f t="shared" si="0"/>
        <v>0</v>
      </c>
      <c r="AU29" s="52"/>
      <c r="AV29" s="89">
        <v>100000000</v>
      </c>
      <c r="AY29" s="89">
        <v>0</v>
      </c>
      <c r="AZ29" s="42">
        <f t="shared" si="36"/>
        <v>0.5</v>
      </c>
      <c r="BA29" s="44">
        <v>0</v>
      </c>
      <c r="BB29" s="44" t="s">
        <v>115</v>
      </c>
      <c r="BC29" s="42">
        <f t="shared" si="37"/>
        <v>0.5</v>
      </c>
      <c r="BD29" s="42" cm="1">
        <f t="array" ref="BD29">_xlfn.IFS(AD29=0,"NA",AD29&gt;0,AH29/AD29)</f>
        <v>1</v>
      </c>
      <c r="BE29" s="42">
        <f t="shared" si="38"/>
        <v>0</v>
      </c>
      <c r="BF29" s="44" t="s">
        <v>115</v>
      </c>
      <c r="BG29" s="42">
        <f t="shared" si="39"/>
        <v>0.5</v>
      </c>
      <c r="BH29" s="44">
        <v>0</v>
      </c>
      <c r="BI29" s="42">
        <f t="shared" si="40"/>
        <v>0</v>
      </c>
      <c r="BJ29" s="44" t="s">
        <v>115</v>
      </c>
      <c r="BK29" s="42">
        <f t="shared" si="1"/>
        <v>0.5</v>
      </c>
      <c r="BL29" s="44" t="s">
        <v>115</v>
      </c>
      <c r="BM29" s="42" cm="1">
        <f t="array" ref="BM29">_xlfn.IFS(BD29="NA","NA",BD29&gt;100%,"100%",BD29&lt;100,BD29)</f>
        <v>1</v>
      </c>
      <c r="BN29" s="42" t="str" cm="1">
        <f t="array" ref="BN29">_xlfn.IFS(BF29="NA","NA",BF29&gt;100%,"100%",BF29&lt;100,BF29)</f>
        <v>NA</v>
      </c>
      <c r="BO29" s="42" cm="1">
        <f t="array" ref="BO29">_xlfn.IFS(BH29="NA","NA",BH29&gt;100%,"100%",BH29&lt;100,BH29)</f>
        <v>0</v>
      </c>
      <c r="BP29" s="42" t="str" cm="1">
        <f t="array" ref="BP29">_xlfn.IFS(BJ29="NA","NA",BJ29&gt;100%,"100%",BJ29&lt;100,BJ29)</f>
        <v>NA</v>
      </c>
      <c r="BQ29" s="45">
        <v>0.22500000000000001</v>
      </c>
      <c r="BR29" s="43">
        <f t="shared" si="2"/>
        <v>0.1125</v>
      </c>
      <c r="BS29" s="45">
        <v>0</v>
      </c>
      <c r="BT29" s="45" t="s">
        <v>115</v>
      </c>
      <c r="BU29" s="45">
        <v>0</v>
      </c>
      <c r="BV29" s="43">
        <f t="shared" si="41"/>
        <v>0.1125</v>
      </c>
      <c r="BW29" s="43">
        <f t="shared" si="3"/>
        <v>0.1125</v>
      </c>
      <c r="BX29" s="43">
        <f t="shared" si="4"/>
        <v>0.1125</v>
      </c>
      <c r="BY29" s="43">
        <f t="shared" si="42"/>
        <v>0</v>
      </c>
      <c r="BZ29" s="43" t="str">
        <f t="shared" si="43"/>
        <v>NA</v>
      </c>
      <c r="CA29" s="43">
        <f t="shared" si="5"/>
        <v>0</v>
      </c>
      <c r="CB29" s="43">
        <f t="shared" si="44"/>
        <v>0.1125</v>
      </c>
      <c r="CC29" s="43">
        <f t="shared" si="45"/>
        <v>0</v>
      </c>
      <c r="CD29" s="45">
        <v>0</v>
      </c>
      <c r="CE29" s="43">
        <f t="shared" si="46"/>
        <v>0</v>
      </c>
      <c r="CF29" s="43" t="str">
        <f t="shared" si="47"/>
        <v>NA</v>
      </c>
      <c r="CG29" s="45">
        <v>0</v>
      </c>
    </row>
    <row r="30" spans="1:90" ht="18" customHeight="1">
      <c r="A30" s="260" t="s">
        <v>248</v>
      </c>
      <c r="B30" s="260" t="s">
        <v>249</v>
      </c>
      <c r="C30" s="260" t="s">
        <v>100</v>
      </c>
      <c r="D30" s="260" t="s">
        <v>101</v>
      </c>
      <c r="E30" s="260" t="s">
        <v>189</v>
      </c>
      <c r="F30" s="260" t="s">
        <v>190</v>
      </c>
      <c r="G30" s="260" t="s">
        <v>191</v>
      </c>
      <c r="H30" s="260" t="s">
        <v>254</v>
      </c>
      <c r="I30" s="260" t="s">
        <v>255</v>
      </c>
      <c r="J30" s="260"/>
      <c r="K30" s="260" t="s">
        <v>256</v>
      </c>
      <c r="L30" s="260" t="s">
        <v>257</v>
      </c>
      <c r="M30" s="260" t="s">
        <v>258</v>
      </c>
      <c r="N30" s="260" t="s">
        <v>111</v>
      </c>
      <c r="O30" s="260" t="s">
        <v>112</v>
      </c>
      <c r="P30" s="10">
        <v>6000</v>
      </c>
      <c r="Q30" s="11">
        <v>8000</v>
      </c>
      <c r="R30" s="9">
        <f t="shared" si="34"/>
        <v>4285</v>
      </c>
      <c r="S30" s="11" t="str">
        <f>VLOOKUP(K30,'1208 Indeportes'!$K$13:$AK$39,9,0)</f>
        <v>Programas de hábitos y estilos de vida saludables en el marco del convenio interadministrativo No. 257 con FONDECUN. Capacitaciones a través de campamentos y actividad física. Se hizo una capacitación denominada "Recreación en tiempos de COVID - 19". Se lograron beneficiar a un total de 450 personas.</v>
      </c>
      <c r="T30" s="11">
        <v>1500</v>
      </c>
      <c r="U30" s="11">
        <v>0</v>
      </c>
      <c r="V30" s="11">
        <v>1500</v>
      </c>
      <c r="W30" s="11">
        <v>0</v>
      </c>
      <c r="X30" s="11">
        <v>1774</v>
      </c>
      <c r="Y30" s="11">
        <v>0</v>
      </c>
      <c r="Z30" s="11">
        <v>1774</v>
      </c>
      <c r="AA30" s="11">
        <v>0</v>
      </c>
      <c r="AB30" s="11" t="s">
        <v>259</v>
      </c>
      <c r="AC30" s="11">
        <v>0</v>
      </c>
      <c r="AD30" s="11">
        <v>2000</v>
      </c>
      <c r="AE30" s="11">
        <v>0</v>
      </c>
      <c r="AF30" s="11">
        <f>VLOOKUP(K30,'1208 Indeportes'!$K$13:$AH$39,22,0)</f>
        <v>2511</v>
      </c>
      <c r="AG30" s="11">
        <f>VLOOKUP(K30,'1208 Indeportes'!$K$13:$AH$39,23,0)</f>
        <v>0</v>
      </c>
      <c r="AH30" s="9">
        <f t="shared" si="35"/>
        <v>2511</v>
      </c>
      <c r="AI30" s="9">
        <f>VLOOKUP(K30,'1208 Indeportes'!$K$13:$AK$39,25,0)</f>
        <v>0</v>
      </c>
      <c r="AJ30" s="9" t="str">
        <f>VLOOKUP(K30,'1208 Indeportes'!$K$13:$AK$39,26,0)</f>
        <v xml:space="preserve">Para el año 2021, teníamos programado capacitar 2.000 voluntarios. Para dar cumplimiento a esta meta de producto, hemos desarrollado las siguientes acciones: en el mes de febrero se realizó la capacitación para 100 personas en “Educar para la Vida” a todo el cuerpo docente del Municipio de  San Juan de Rioseco, formadores e instructores de las EFD, se apoyó con el cuerpo biomédico, estrategias de educación física frente a los retos de la vida, dos fisioterapeutas apoyaron la estrategia de como arrancar actividad física luego de un largo periodo de sedentarismo, planificación de la Educación Física.
En el mes de mayo capacitamos a 946 personas del área de recreación, aprovechamiento del tiempo libre y campamento juvenil, a jóvenes de los grados 9, 10 y 11 de los municipios interesados. Trabajamos en temáticas como recreación, campamentos, liderazgo juvenil y ecología. Se trabajó con los municipios de la provincia del Gualivá, en el Municipio de La Vega, capacitando a 59 líderes. En la provincia de Magdalena centro, los 7 municipios de la provincia se unieron a esta actividad, capacitando a 213 líderes. En el municipio de Soacha, se trabajó con líderes sociales, estudiantes de 10 y 11, formadores recreativos, con presencia de 74 personas. El personal restante, se capacito de manera virtual, para dar contenido y línea temática para el desarrollo de los campamentos infantiles que se celebraron en el mes de junio.
En el mes de junio capacitamos 320 personas. Del 21 al 28 de junio se realizó la capacitación en actividad física, dirigida musicalizada, se realizó de manera mixta, presencial y virtual. En presencialidad las sedes fueron: Zipaquirá, Sibaté y Villeta.
En el mes de julio se capacitaron para vacaciones recreativas un total de 500 formadores para el correcto desarrollo de la actividad de vacaciones recreativas.  Está capacitación fue certificada por INDEPORTES. Para el 3 de julio en el Municipio de Zipaquirá se realizó capacitación en seguimiento de ciclovías, con una asistencia de 40 personas. 
En agosto logramos capacitar a 350 personas.  Se capacitó a los líderes y formadores de recreación en temática dirigida al encuentro de adulto mayor que se desarrolló durante el mes de agosto en las diferentes provincias del departamento. Estas capacitaciones se realizaron de manera virtual y la convocatoria se realizó a través de los provinciales.
A la fecha, en total, hemos capacitado a 2.261 voluntarios en todo el departamento de Cundinamarca.
</v>
      </c>
      <c r="AK30" s="9">
        <f>VLOOKUP(K30,'1208 Indeportes'!$K$13:$AK$39,27,0)</f>
        <v>0</v>
      </c>
      <c r="AL30" s="11">
        <v>2000</v>
      </c>
      <c r="AM30" s="11">
        <v>0</v>
      </c>
      <c r="AN30" s="11">
        <v>2226</v>
      </c>
      <c r="AO30" s="11">
        <v>0</v>
      </c>
      <c r="AP30" s="11">
        <v>0</v>
      </c>
      <c r="AQ30" s="11">
        <v>0</v>
      </c>
      <c r="AR30" s="51">
        <v>120000000</v>
      </c>
      <c r="AS30" s="54">
        <v>0</v>
      </c>
      <c r="AT30" s="54">
        <f t="shared" si="0"/>
        <v>120000000</v>
      </c>
      <c r="AU30" s="51">
        <v>59516618</v>
      </c>
      <c r="AV30" s="89">
        <v>85000000</v>
      </c>
      <c r="AY30" s="89">
        <v>0</v>
      </c>
      <c r="AZ30" s="42">
        <f t="shared" si="36"/>
        <v>0.53562500000000002</v>
      </c>
      <c r="BA30" s="44">
        <v>0.1875</v>
      </c>
      <c r="BB30" s="44">
        <v>1.1827000000000001</v>
      </c>
      <c r="BC30" s="42">
        <f t="shared" si="37"/>
        <v>0.25</v>
      </c>
      <c r="BD30" s="42" cm="1">
        <f t="array" ref="BD30">_xlfn.IFS(AD30=0,"NA",AD30&gt;0,AH30/AD30)</f>
        <v>1.2555000000000001</v>
      </c>
      <c r="BE30" s="42">
        <f t="shared" si="38"/>
        <v>0.25</v>
      </c>
      <c r="BF30" s="44">
        <v>0</v>
      </c>
      <c r="BG30" s="42">
        <f t="shared" si="39"/>
        <v>0.27825</v>
      </c>
      <c r="BH30" s="44">
        <v>0</v>
      </c>
      <c r="BI30" s="42">
        <f t="shared" si="40"/>
        <v>0</v>
      </c>
      <c r="BJ30" s="44" t="s">
        <v>115</v>
      </c>
      <c r="BK30" s="42">
        <f t="shared" si="1"/>
        <v>0.53562500000000002</v>
      </c>
      <c r="BL30" s="44">
        <v>1</v>
      </c>
      <c r="BM30" s="42" t="str" cm="1">
        <f t="array" ref="BM30">_xlfn.IFS(BD30="NA","NA",BD30&gt;100%,"100%",BD30&lt;100,BD30)</f>
        <v>100%</v>
      </c>
      <c r="BN30" s="42" cm="1">
        <f t="array" ref="BN30">_xlfn.IFS(BF30="NA","NA",BF30&gt;100%,"100%",BF30&lt;100,BF30)</f>
        <v>0</v>
      </c>
      <c r="BO30" s="42" cm="1">
        <f t="array" ref="BO30">_xlfn.IFS(BH30="NA","NA",BH30&gt;100%,"100%",BH30&lt;100,BH30)</f>
        <v>0</v>
      </c>
      <c r="BP30" s="42" t="str" cm="1">
        <f t="array" ref="BP30">_xlfn.IFS(BJ30="NA","NA",BJ30&gt;100%,"100%",BJ30&lt;100,BJ30)</f>
        <v>NA</v>
      </c>
      <c r="BQ30" s="45">
        <v>0.22500000000000001</v>
      </c>
      <c r="BR30" s="43">
        <f t="shared" si="2"/>
        <v>0.120515625</v>
      </c>
      <c r="BS30" s="45">
        <v>4.2200000000000001E-2</v>
      </c>
      <c r="BT30" s="45">
        <v>4.2200000000000001E-2</v>
      </c>
      <c r="BU30" s="45">
        <v>4.99E-2</v>
      </c>
      <c r="BV30" s="43">
        <f t="shared" si="41"/>
        <v>5.6250000000000001E-2</v>
      </c>
      <c r="BW30" s="43">
        <f t="shared" si="3"/>
        <v>5.6250000000000001E-2</v>
      </c>
      <c r="BX30" s="43">
        <f t="shared" si="4"/>
        <v>7.0615625000000001E-2</v>
      </c>
      <c r="BY30" s="43">
        <f t="shared" si="42"/>
        <v>5.6250000000000001E-2</v>
      </c>
      <c r="BZ30" s="43">
        <f t="shared" si="43"/>
        <v>0</v>
      </c>
      <c r="CA30" s="43">
        <f t="shared" si="5"/>
        <v>0</v>
      </c>
      <c r="CB30" s="43">
        <f t="shared" si="44"/>
        <v>6.2606250000000002E-2</v>
      </c>
      <c r="CC30" s="43">
        <f t="shared" si="45"/>
        <v>0</v>
      </c>
      <c r="CD30" s="45">
        <v>0</v>
      </c>
      <c r="CE30" s="43">
        <f t="shared" si="46"/>
        <v>0</v>
      </c>
      <c r="CF30" s="43" t="str">
        <f t="shared" si="47"/>
        <v>NA</v>
      </c>
      <c r="CG30" s="45">
        <v>0</v>
      </c>
    </row>
    <row r="31" spans="1:90" ht="18" customHeight="1">
      <c r="A31" s="260" t="s">
        <v>248</v>
      </c>
      <c r="B31" s="260" t="s">
        <v>249</v>
      </c>
      <c r="C31" s="260" t="s">
        <v>100</v>
      </c>
      <c r="D31" s="260" t="s">
        <v>101</v>
      </c>
      <c r="E31" s="260" t="s">
        <v>189</v>
      </c>
      <c r="F31" s="260" t="s">
        <v>190</v>
      </c>
      <c r="G31" s="260" t="s">
        <v>191</v>
      </c>
      <c r="H31" s="260" t="s">
        <v>260</v>
      </c>
      <c r="I31" s="260" t="s">
        <v>106</v>
      </c>
      <c r="J31" s="260"/>
      <c r="K31" s="260" t="s">
        <v>261</v>
      </c>
      <c r="L31" s="260" t="s">
        <v>262</v>
      </c>
      <c r="M31" s="260" t="s">
        <v>263</v>
      </c>
      <c r="N31" s="260" t="s">
        <v>111</v>
      </c>
      <c r="O31" s="260" t="s">
        <v>112</v>
      </c>
      <c r="P31" s="10">
        <v>142000</v>
      </c>
      <c r="Q31" s="11">
        <v>160000</v>
      </c>
      <c r="R31" s="9">
        <f t="shared" si="34"/>
        <v>106147</v>
      </c>
      <c r="S31" s="11" t="str">
        <f>VLOOKUP(K31,'1208 Indeportes'!$K$13:$AK$39,9,0)</f>
        <v>Se han realizado dos concursos: 1). El día del desafío con la participación del 99% de los municipios del departamento y el 2). Evento denominado Cundinamarca Activa y Saludable, a través de las redes sociales de los municipios y de Indeportes. Se han beneficiado con los dos eventos aproximadamente 30.000 personas. Se han realizado actividades dirigidas a la población diversamente hábil y víctimas. Lo anterior en el marco del convenio interadministrativo No. 257 celebrado con FONDECUN.</v>
      </c>
      <c r="T31" s="11">
        <v>30000</v>
      </c>
      <c r="U31" s="11">
        <v>0</v>
      </c>
      <c r="V31" s="11">
        <v>30000</v>
      </c>
      <c r="W31" s="11">
        <v>0</v>
      </c>
      <c r="X31" s="11">
        <v>33000</v>
      </c>
      <c r="Y31" s="11">
        <v>0</v>
      </c>
      <c r="Z31" s="11">
        <v>33000</v>
      </c>
      <c r="AA31" s="11">
        <v>0</v>
      </c>
      <c r="AB31" s="11" t="s">
        <v>264</v>
      </c>
      <c r="AC31" s="11">
        <v>0</v>
      </c>
      <c r="AD31" s="11">
        <v>40000</v>
      </c>
      <c r="AE31" s="11">
        <v>0</v>
      </c>
      <c r="AF31" s="11">
        <f>VLOOKUP(K31,'1208 Indeportes'!$K$13:$AH$39,22,0)</f>
        <v>73147</v>
      </c>
      <c r="AG31" s="11">
        <f>VLOOKUP(K31,'1208 Indeportes'!$K$13:$AH$39,23,0)</f>
        <v>0</v>
      </c>
      <c r="AH31" s="9">
        <f t="shared" si="35"/>
        <v>73147</v>
      </c>
      <c r="AI31" s="9">
        <f>VLOOKUP(K31,'1208 Indeportes'!$K$13:$AK$39,25,0)</f>
        <v>0</v>
      </c>
      <c r="AJ31" s="9" t="str">
        <f>VLOOKUP(K31,'1208 Indeportes'!$K$13:$AK$39,26,0)</f>
        <v xml:space="preserve">Para el año 2021, teníamos programado vincular 40.000 personas en las actividades de recreación y actividad física. Para dar cumplimiento a la meta programada, desde Indeportes realizamos las siguientes actividades: A través del programa denominado Ciclovía por la vida, logramos desarrollar 9 actividades en diferentes municipios del departamento, logrando beneficiar a 11.243 personas. El 06 de abril se desarrolló el día mundial de la actividad física con una participación de 83 municipios y más de 5000 personas beneficiadas de manera virtual y presencial. Entre abril y junio con grupos regulares de actividad física beneficiamos 800 personas y con grupos no regulares de actividad física beneficiamos 160 personas. Entre abril y junio, en eventos masivos, llegamos a 820 personas, en Zipaquirá, Facatativá, Ubaté, Sibaté y Soacha.  Entre abril y junio se realizaron 10 acciones para promover hábitos y estilos de vida saludables, se realizaron actividades en los mismos municipios anteriormente nombrados, con un total de 432 personas beneficiadas. El 26 de mayo se realizó el día del desafío, con una participación de 90 municipios y más de 20.000 personas beneficiadas de manera virtual y presencial
El 3 de junio realizamos la celebración del día mundial de la bicicleta con una participación de 3.455 personas.  
A través del programa de campamentos infantiles y juveniles, hemos podido vincular a mas de 4.500 niños, niñas, jóvenes y adolescentes de nuestro departamento. En total, hasta la fecha, hemos logrado vincular a 73.147 personas.
</v>
      </c>
      <c r="AK31" s="9">
        <f>VLOOKUP(K31,'1208 Indeportes'!$K$13:$AK$39,27,0)</f>
        <v>0</v>
      </c>
      <c r="AL31" s="11">
        <v>40000</v>
      </c>
      <c r="AM31" s="11">
        <v>0</v>
      </c>
      <c r="AN31" s="11">
        <v>47000</v>
      </c>
      <c r="AO31" s="11">
        <v>0</v>
      </c>
      <c r="AP31" s="11">
        <v>0</v>
      </c>
      <c r="AQ31" s="11">
        <v>0</v>
      </c>
      <c r="AR31" s="51">
        <v>445192000</v>
      </c>
      <c r="AS31" s="54">
        <v>0</v>
      </c>
      <c r="AT31" s="54">
        <f t="shared" si="0"/>
        <v>445192000</v>
      </c>
      <c r="AU31" s="51">
        <v>396808035</v>
      </c>
      <c r="AV31" s="89">
        <v>530000000</v>
      </c>
      <c r="AY31" s="89">
        <v>0</v>
      </c>
      <c r="AZ31" s="42">
        <f t="shared" si="36"/>
        <v>0.66341874999999995</v>
      </c>
      <c r="BA31" s="44">
        <v>0.1875</v>
      </c>
      <c r="BB31" s="44">
        <v>1.1000000000000001</v>
      </c>
      <c r="BC31" s="42">
        <f t="shared" si="37"/>
        <v>0.25</v>
      </c>
      <c r="BD31" s="42" cm="1">
        <f t="array" ref="BD31">_xlfn.IFS(AD31=0,"NA",AD31&gt;0,AH31/AD31)</f>
        <v>1.8286750000000001</v>
      </c>
      <c r="BE31" s="42">
        <f t="shared" si="38"/>
        <v>0.25</v>
      </c>
      <c r="BF31" s="44">
        <v>0</v>
      </c>
      <c r="BG31" s="42">
        <f t="shared" si="39"/>
        <v>0.29375000000000001</v>
      </c>
      <c r="BH31" s="44">
        <v>0</v>
      </c>
      <c r="BI31" s="42">
        <f t="shared" si="40"/>
        <v>0</v>
      </c>
      <c r="BJ31" s="44" t="s">
        <v>115</v>
      </c>
      <c r="BK31" s="42">
        <f t="shared" si="1"/>
        <v>0.66341874999999995</v>
      </c>
      <c r="BL31" s="44">
        <v>1</v>
      </c>
      <c r="BM31" s="42" t="str" cm="1">
        <f t="array" ref="BM31">_xlfn.IFS(BD31="NA","NA",BD31&gt;100%,"100%",BD31&lt;100,BD31)</f>
        <v>100%</v>
      </c>
      <c r="BN31" s="42" cm="1">
        <f t="array" ref="BN31">_xlfn.IFS(BF31="NA","NA",BF31&gt;100%,"100%",BF31&lt;100,BF31)</f>
        <v>0</v>
      </c>
      <c r="BO31" s="42" cm="1">
        <f t="array" ref="BO31">_xlfn.IFS(BH31="NA","NA",BH31&gt;100%,"100%",BH31&lt;100,BH31)</f>
        <v>0</v>
      </c>
      <c r="BP31" s="42" t="str" cm="1">
        <f t="array" ref="BP31">_xlfn.IFS(BJ31="NA","NA",BJ31&gt;100%,"100%",BJ31&lt;100,BJ31)</f>
        <v>NA</v>
      </c>
      <c r="BQ31" s="45">
        <v>0.22500000000000001</v>
      </c>
      <c r="BR31" s="43">
        <f t="shared" si="2"/>
        <v>0.14926921874999999</v>
      </c>
      <c r="BS31" s="45">
        <v>4.2200000000000001E-2</v>
      </c>
      <c r="BT31" s="45">
        <v>4.2200000000000001E-2</v>
      </c>
      <c r="BU31" s="45">
        <v>4.6399999999999997E-2</v>
      </c>
      <c r="BV31" s="43">
        <f t="shared" si="41"/>
        <v>5.6250000000000001E-2</v>
      </c>
      <c r="BW31" s="43">
        <f t="shared" si="3"/>
        <v>5.6250000000000001E-2</v>
      </c>
      <c r="BX31" s="43">
        <f t="shared" si="4"/>
        <v>0.10286921874999999</v>
      </c>
      <c r="BY31" s="43">
        <f t="shared" si="42"/>
        <v>5.6250000000000001E-2</v>
      </c>
      <c r="BZ31" s="43">
        <f t="shared" si="43"/>
        <v>0</v>
      </c>
      <c r="CA31" s="43">
        <f t="shared" si="5"/>
        <v>0</v>
      </c>
      <c r="CB31" s="43">
        <f t="shared" si="44"/>
        <v>6.6093750000000007E-2</v>
      </c>
      <c r="CC31" s="43">
        <f t="shared" si="45"/>
        <v>0</v>
      </c>
      <c r="CD31" s="45">
        <v>0</v>
      </c>
      <c r="CE31" s="43">
        <f t="shared" si="46"/>
        <v>0</v>
      </c>
      <c r="CF31" s="43" t="str">
        <f t="shared" si="47"/>
        <v>NA</v>
      </c>
      <c r="CG31" s="45">
        <v>0</v>
      </c>
    </row>
    <row r="32" spans="1:90" ht="18" customHeight="1">
      <c r="A32" s="260" t="s">
        <v>248</v>
      </c>
      <c r="B32" s="260" t="s">
        <v>249</v>
      </c>
      <c r="C32" s="260" t="s">
        <v>100</v>
      </c>
      <c r="D32" s="260" t="s">
        <v>101</v>
      </c>
      <c r="E32" s="260" t="s">
        <v>189</v>
      </c>
      <c r="F32" s="260" t="s">
        <v>190</v>
      </c>
      <c r="G32" s="260" t="s">
        <v>191</v>
      </c>
      <c r="H32" s="260" t="s">
        <v>265</v>
      </c>
      <c r="I32" s="260" t="s">
        <v>106</v>
      </c>
      <c r="J32" s="260"/>
      <c r="K32" s="260" t="s">
        <v>266</v>
      </c>
      <c r="L32" s="260" t="s">
        <v>267</v>
      </c>
      <c r="M32" s="260" t="s">
        <v>268</v>
      </c>
      <c r="N32" s="260" t="s">
        <v>111</v>
      </c>
      <c r="O32" s="260" t="s">
        <v>112</v>
      </c>
      <c r="P32" s="10">
        <v>0</v>
      </c>
      <c r="Q32" s="11">
        <v>3</v>
      </c>
      <c r="R32" s="9">
        <f t="shared" si="34"/>
        <v>0</v>
      </c>
      <c r="S32" s="11">
        <f>VLOOKUP(K32,'1208 Indeportes'!$K$13:$AK$39,9,0)</f>
        <v>0</v>
      </c>
      <c r="T32" s="11">
        <v>0</v>
      </c>
      <c r="U32" s="11">
        <v>0</v>
      </c>
      <c r="V32" s="11">
        <v>0</v>
      </c>
      <c r="W32" s="11">
        <v>0</v>
      </c>
      <c r="X32" s="11">
        <v>0</v>
      </c>
      <c r="Y32" s="11">
        <v>0</v>
      </c>
      <c r="Z32" s="11">
        <v>0</v>
      </c>
      <c r="AA32" s="11"/>
      <c r="AB32" s="11"/>
      <c r="AC32" s="11"/>
      <c r="AD32" s="11">
        <v>1</v>
      </c>
      <c r="AE32" s="11">
        <v>0</v>
      </c>
      <c r="AF32" s="11">
        <f>VLOOKUP(K32,'1208 Indeportes'!$K$13:$AH$39,22,0)</f>
        <v>0</v>
      </c>
      <c r="AG32" s="11">
        <f>VLOOKUP(K32,'1208 Indeportes'!$K$13:$AH$39,23,0)</f>
        <v>0</v>
      </c>
      <c r="AH32" s="9">
        <f t="shared" si="35"/>
        <v>0</v>
      </c>
      <c r="AI32" s="9">
        <f>VLOOKUP(K32,'1208 Indeportes'!$K$13:$AK$39,25,0)</f>
        <v>0</v>
      </c>
      <c r="AJ32" s="9" t="str">
        <f>VLOOKUP(K32,'1208 Indeportes'!$K$13:$AK$39,26,0)</f>
        <v>La Licitación Pública cuyo objeto es PRESTACIÓN DE SERVICIOS DE APOYO LOGÍSTICO PARA EL DESARROLLO DEL PROYECTO "FESTIVAL LA LEYENDA DEL DORADO 2021" PARA EL CUMPLIMIENTO DE LAS METAS DEL PLAN DE DESARROLLO “CUNDINAMARCA REGIÓN QUE PROGRESA”. Se encuentra publicado, por un valor de $365.000.000 y ejecución programada a partir del 14 de diciembre del 2021. Los eventos serán desarrollados durante dos fines de semana en los municipios de La Calera, El Rosal y Villeta.</v>
      </c>
      <c r="AK32" s="9">
        <f>VLOOKUP(K32,'1208 Indeportes'!$K$13:$AK$39,27,0)</f>
        <v>0</v>
      </c>
      <c r="AL32" s="11">
        <v>1</v>
      </c>
      <c r="AM32" s="11">
        <v>0</v>
      </c>
      <c r="AN32" s="11">
        <v>1</v>
      </c>
      <c r="AO32" s="11">
        <v>0</v>
      </c>
      <c r="AP32" s="11">
        <v>0</v>
      </c>
      <c r="AQ32" s="11">
        <v>0</v>
      </c>
      <c r="AR32" s="52"/>
      <c r="AS32" s="54">
        <v>0</v>
      </c>
      <c r="AT32" s="54">
        <f t="shared" si="0"/>
        <v>0</v>
      </c>
      <c r="AU32" s="52"/>
      <c r="AV32" s="89">
        <v>390000000</v>
      </c>
      <c r="AY32" s="89">
        <v>0</v>
      </c>
      <c r="AZ32" s="42">
        <f t="shared" si="36"/>
        <v>0</v>
      </c>
      <c r="BA32" s="44">
        <v>0</v>
      </c>
      <c r="BB32" s="44" t="s">
        <v>115</v>
      </c>
      <c r="BC32" s="42">
        <f t="shared" si="37"/>
        <v>0.33333333333333331</v>
      </c>
      <c r="BD32" s="42" cm="1">
        <f t="array" ref="BD32">_xlfn.IFS(AD32=0,"NA",AD32&gt;0,AH32/AD32)</f>
        <v>0</v>
      </c>
      <c r="BE32" s="42">
        <f t="shared" si="38"/>
        <v>0.33333333333333331</v>
      </c>
      <c r="BF32" s="44">
        <v>0</v>
      </c>
      <c r="BG32" s="42">
        <f t="shared" si="39"/>
        <v>0.33333333333333331</v>
      </c>
      <c r="BH32" s="44">
        <v>0</v>
      </c>
      <c r="BI32" s="42">
        <f t="shared" si="40"/>
        <v>0</v>
      </c>
      <c r="BJ32" s="44" t="s">
        <v>115</v>
      </c>
      <c r="BK32" s="42">
        <f t="shared" si="1"/>
        <v>0</v>
      </c>
      <c r="BL32" s="44" t="s">
        <v>115</v>
      </c>
      <c r="BM32" s="42" cm="1">
        <f t="array" ref="BM32">_xlfn.IFS(BD32="NA","NA",BD32&gt;100%,"100%",BD32&lt;100,BD32)</f>
        <v>0</v>
      </c>
      <c r="BN32" s="42" cm="1">
        <f t="array" ref="BN32">_xlfn.IFS(BF32="NA","NA",BF32&gt;100%,"100%",BF32&lt;100,BF32)</f>
        <v>0</v>
      </c>
      <c r="BO32" s="42" cm="1">
        <f t="array" ref="BO32">_xlfn.IFS(BH32="NA","NA",BH32&gt;100%,"100%",BH32&lt;100,BH32)</f>
        <v>0</v>
      </c>
      <c r="BP32" s="42" t="str" cm="1">
        <f t="array" ref="BP32">_xlfn.IFS(BJ32="NA","NA",BJ32&gt;100%,"100%",BJ32&lt;100,BJ32)</f>
        <v>NA</v>
      </c>
      <c r="BQ32" s="45">
        <v>0.22500000000000001</v>
      </c>
      <c r="BR32" s="43">
        <f t="shared" si="2"/>
        <v>0</v>
      </c>
      <c r="BS32" s="45">
        <v>0</v>
      </c>
      <c r="BT32" s="45" t="s">
        <v>115</v>
      </c>
      <c r="BU32" s="45">
        <v>0</v>
      </c>
      <c r="BV32" s="43">
        <f t="shared" si="41"/>
        <v>7.4999999999999997E-2</v>
      </c>
      <c r="BW32" s="43">
        <f t="shared" si="3"/>
        <v>0</v>
      </c>
      <c r="BX32" s="43">
        <f t="shared" si="4"/>
        <v>0</v>
      </c>
      <c r="BY32" s="43">
        <f t="shared" si="42"/>
        <v>7.4999999999999997E-2</v>
      </c>
      <c r="BZ32" s="43">
        <f t="shared" si="43"/>
        <v>0</v>
      </c>
      <c r="CA32" s="43">
        <f t="shared" si="5"/>
        <v>0</v>
      </c>
      <c r="CB32" s="43">
        <f t="shared" si="44"/>
        <v>7.4999999999999997E-2</v>
      </c>
      <c r="CC32" s="43">
        <f t="shared" si="45"/>
        <v>0</v>
      </c>
      <c r="CD32" s="45">
        <v>0</v>
      </c>
      <c r="CE32" s="43">
        <f t="shared" si="46"/>
        <v>0</v>
      </c>
      <c r="CF32" s="43" t="str">
        <f t="shared" si="47"/>
        <v>NA</v>
      </c>
      <c r="CG32" s="45">
        <v>0</v>
      </c>
    </row>
    <row r="33" spans="1:90" ht="18" customHeight="1">
      <c r="A33" s="260" t="s">
        <v>248</v>
      </c>
      <c r="B33" s="260" t="s">
        <v>249</v>
      </c>
      <c r="C33" s="260" t="s">
        <v>100</v>
      </c>
      <c r="D33" s="260" t="s">
        <v>101</v>
      </c>
      <c r="E33" s="260" t="s">
        <v>189</v>
      </c>
      <c r="F33" s="260" t="s">
        <v>190</v>
      </c>
      <c r="G33" s="260" t="s">
        <v>191</v>
      </c>
      <c r="H33" s="260" t="s">
        <v>269</v>
      </c>
      <c r="I33" s="260" t="s">
        <v>106</v>
      </c>
      <c r="J33" s="260"/>
      <c r="K33" s="260" t="s">
        <v>270</v>
      </c>
      <c r="L33" s="260" t="s">
        <v>271</v>
      </c>
      <c r="M33" s="260" t="s">
        <v>272</v>
      </c>
      <c r="N33" s="260" t="s">
        <v>111</v>
      </c>
      <c r="O33" s="260" t="s">
        <v>112</v>
      </c>
      <c r="P33" s="10">
        <v>0</v>
      </c>
      <c r="Q33" s="11">
        <v>1</v>
      </c>
      <c r="R33" s="9">
        <f t="shared" si="34"/>
        <v>0</v>
      </c>
      <c r="S33" s="11">
        <f>VLOOKUP(K33,'1208 Indeportes'!$K$13:$AK$39,9,0)</f>
        <v>0</v>
      </c>
      <c r="T33" s="11">
        <v>0</v>
      </c>
      <c r="U33" s="11">
        <v>0</v>
      </c>
      <c r="V33" s="11">
        <v>0</v>
      </c>
      <c r="W33" s="11">
        <v>0</v>
      </c>
      <c r="X33" s="11">
        <v>0</v>
      </c>
      <c r="Y33" s="11">
        <v>0</v>
      </c>
      <c r="Z33" s="11">
        <v>0</v>
      </c>
      <c r="AA33" s="11"/>
      <c r="AB33" s="11"/>
      <c r="AC33" s="11"/>
      <c r="AD33" s="11">
        <v>1</v>
      </c>
      <c r="AE33" s="11">
        <v>0</v>
      </c>
      <c r="AF33" s="11">
        <f>VLOOKUP(K33,'1208 Indeportes'!$K$13:$AH$39,22,0)</f>
        <v>0</v>
      </c>
      <c r="AG33" s="11">
        <f>VLOOKUP(K33,'1208 Indeportes'!$K$13:$AH$39,23,0)</f>
        <v>0</v>
      </c>
      <c r="AH33" s="9">
        <f t="shared" si="35"/>
        <v>0</v>
      </c>
      <c r="AI33" s="9">
        <f>VLOOKUP(K33,'1208 Indeportes'!$K$13:$AK$39,25,0)</f>
        <v>0</v>
      </c>
      <c r="AJ33" s="9" t="str">
        <f>VLOOKUP(K33,'1208 Indeportes'!$K$13:$AK$39,26,0)</f>
        <v>Durante el año 2021 vamos a realizar el lanzamiento y firma del pacto por los juegos departamentales. En el año 2022 se realizarán las siguientes fases, programadas a partir del mes de septiembre.</v>
      </c>
      <c r="AK33" s="9">
        <f>VLOOKUP(K33,'1208 Indeportes'!$K$13:$AK$39,27,0)</f>
        <v>0</v>
      </c>
      <c r="AL33" s="11">
        <v>0</v>
      </c>
      <c r="AM33" s="11">
        <v>0</v>
      </c>
      <c r="AN33" s="11">
        <v>0</v>
      </c>
      <c r="AO33" s="11">
        <v>0</v>
      </c>
      <c r="AP33" s="11">
        <v>0</v>
      </c>
      <c r="AQ33" s="11">
        <v>0</v>
      </c>
      <c r="AR33" s="52"/>
      <c r="AS33" s="54">
        <v>0</v>
      </c>
      <c r="AT33" s="54">
        <f t="shared" si="0"/>
        <v>0</v>
      </c>
      <c r="AU33" s="52"/>
      <c r="AV33" s="89">
        <v>300000000</v>
      </c>
      <c r="AY33" s="89">
        <v>0</v>
      </c>
      <c r="AZ33" s="42">
        <f t="shared" si="36"/>
        <v>0</v>
      </c>
      <c r="BA33" s="44">
        <v>0</v>
      </c>
      <c r="BB33" s="44" t="s">
        <v>115</v>
      </c>
      <c r="BC33" s="42">
        <f t="shared" si="37"/>
        <v>1</v>
      </c>
      <c r="BD33" s="42" cm="1">
        <f t="array" ref="BD33">_xlfn.IFS(AD33=0,"NA",AD33&gt;0,AH33/AD33)</f>
        <v>0</v>
      </c>
      <c r="BE33" s="42">
        <f t="shared" si="38"/>
        <v>0</v>
      </c>
      <c r="BF33" s="44" t="s">
        <v>115</v>
      </c>
      <c r="BG33" s="42">
        <f t="shared" si="39"/>
        <v>0</v>
      </c>
      <c r="BH33" s="44" t="s">
        <v>115</v>
      </c>
      <c r="BI33" s="42">
        <f t="shared" si="40"/>
        <v>0</v>
      </c>
      <c r="BJ33" s="44" t="s">
        <v>115</v>
      </c>
      <c r="BK33" s="42">
        <f t="shared" si="1"/>
        <v>0</v>
      </c>
      <c r="BL33" s="44" t="s">
        <v>115</v>
      </c>
      <c r="BM33" s="42" cm="1">
        <f t="array" ref="BM33">_xlfn.IFS(BD33="NA","NA",BD33&gt;100%,"100%",BD33&lt;100,BD33)</f>
        <v>0</v>
      </c>
      <c r="BN33" s="42" t="str" cm="1">
        <f t="array" ref="BN33">_xlfn.IFS(BF33="NA","NA",BF33&gt;100%,"100%",BF33&lt;100,BF33)</f>
        <v>NA</v>
      </c>
      <c r="BO33" s="42" t="str" cm="1">
        <f t="array" ref="BO33">_xlfn.IFS(BH33="NA","NA",BH33&gt;100%,"100%",BH33&lt;100,BH33)</f>
        <v>NA</v>
      </c>
      <c r="BP33" s="42" t="str" cm="1">
        <f t="array" ref="BP33">_xlfn.IFS(BJ33="NA","NA",BJ33&gt;100%,"100%",BJ33&lt;100,BJ33)</f>
        <v>NA</v>
      </c>
      <c r="BQ33" s="45">
        <v>0.22500000000000001</v>
      </c>
      <c r="BR33" s="43">
        <f t="shared" si="2"/>
        <v>0</v>
      </c>
      <c r="BS33" s="45">
        <v>0</v>
      </c>
      <c r="BT33" s="45" t="s">
        <v>115</v>
      </c>
      <c r="BU33" s="45">
        <v>0</v>
      </c>
      <c r="BV33" s="43">
        <f t="shared" si="41"/>
        <v>0.22500000000000001</v>
      </c>
      <c r="BW33" s="43">
        <f t="shared" si="3"/>
        <v>0</v>
      </c>
      <c r="BX33" s="43">
        <f t="shared" si="4"/>
        <v>0</v>
      </c>
      <c r="BY33" s="43">
        <f t="shared" si="42"/>
        <v>0</v>
      </c>
      <c r="BZ33" s="43" t="str">
        <f t="shared" si="43"/>
        <v>NA</v>
      </c>
      <c r="CA33" s="43">
        <f t="shared" si="5"/>
        <v>0</v>
      </c>
      <c r="CB33" s="43">
        <f t="shared" si="44"/>
        <v>0</v>
      </c>
      <c r="CC33" s="43" t="str">
        <f t="shared" si="45"/>
        <v>NA</v>
      </c>
      <c r="CD33" s="45">
        <v>0</v>
      </c>
      <c r="CE33" s="43">
        <f t="shared" si="46"/>
        <v>0</v>
      </c>
      <c r="CF33" s="43" t="str">
        <f t="shared" si="47"/>
        <v>NA</v>
      </c>
      <c r="CG33" s="45">
        <v>0</v>
      </c>
    </row>
    <row r="34" spans="1:90" ht="18" customHeight="1">
      <c r="A34" s="260" t="s">
        <v>248</v>
      </c>
      <c r="B34" s="260" t="s">
        <v>249</v>
      </c>
      <c r="C34" s="260" t="s">
        <v>100</v>
      </c>
      <c r="D34" s="260" t="s">
        <v>101</v>
      </c>
      <c r="E34" s="260" t="s">
        <v>189</v>
      </c>
      <c r="F34" s="260" t="s">
        <v>190</v>
      </c>
      <c r="G34" s="260" t="s">
        <v>191</v>
      </c>
      <c r="H34" s="260" t="s">
        <v>273</v>
      </c>
      <c r="I34" s="260" t="s">
        <v>106</v>
      </c>
      <c r="J34" s="260"/>
      <c r="K34" s="260" t="s">
        <v>274</v>
      </c>
      <c r="L34" s="260" t="s">
        <v>275</v>
      </c>
      <c r="M34" s="260" t="s">
        <v>276</v>
      </c>
      <c r="N34" s="260" t="s">
        <v>111</v>
      </c>
      <c r="O34" s="260" t="s">
        <v>112</v>
      </c>
      <c r="P34" s="10">
        <v>41</v>
      </c>
      <c r="Q34" s="11">
        <v>60</v>
      </c>
      <c r="R34" s="9">
        <f t="shared" si="34"/>
        <v>25</v>
      </c>
      <c r="S34" s="11" t="str">
        <f>VLOOKUP(K34,'1208 Indeportes'!$K$13:$AK$39,9,0)</f>
        <v>1. En mayo se realizaron dos eventos, uno para celebrar el día de la afrocolombianidad en el Municipio de Soacha, y el otro con agremiaciones campesinas en el Municipio de San Juan de Rioseco.
2. En junio se realizó evento con Juntas de acción comunal en el Municipio de Ubaque y conmemoración del día del orgullo Gay en el Municipio de Madrid
3. En julio se realizó evento en el Municipio de Guachetá con agremiación de mineros
4. En Agosto se realizó evento en Puerto Bogotá con agremiación de pescadores y en Girardot con la comunidad LGBTIQ+
11 de septiembre Gachetá con JAC, 12 de septiembre Cáqueza con JAC, 9 de octubre comunidades indígenas en Chía, 10 de octubre Fusagasugá conmemoración día de la raza</v>
      </c>
      <c r="T34" s="11">
        <v>10</v>
      </c>
      <c r="U34" s="11">
        <v>0</v>
      </c>
      <c r="V34" s="11">
        <v>10</v>
      </c>
      <c r="W34" s="11">
        <v>0</v>
      </c>
      <c r="X34" s="11">
        <v>12</v>
      </c>
      <c r="Y34" s="11">
        <v>0</v>
      </c>
      <c r="Z34" s="11">
        <v>12</v>
      </c>
      <c r="AA34" s="11">
        <v>0</v>
      </c>
      <c r="AB34" s="11" t="s">
        <v>277</v>
      </c>
      <c r="AC34" s="11">
        <v>0</v>
      </c>
      <c r="AD34" s="11">
        <v>15</v>
      </c>
      <c r="AE34" s="11">
        <v>0</v>
      </c>
      <c r="AF34" s="11">
        <f>VLOOKUP(K34,'1208 Indeportes'!$K$13:$AH$39,22,0)</f>
        <v>13</v>
      </c>
      <c r="AG34" s="11" t="str">
        <f>VLOOKUP(K34,'1208 Indeportes'!$K$13:$AH$39,23,0)</f>
        <v>1. En mayo se realizaron dos eventos, uno para celebrar el día de la afrocolombianidad en el Municipio de Soacha, y el otro con agremiaciones campesinas en el Municipio de San Juan de Rioseco.
2. En junio se realizó evento con Juntas de acción comunal en el Municipio de Ubaque y conmemoración del día del orgullo Gay en el Municipio de Madrid
3. En julio se realizó evento en el Municipio de Guachetá con agremiación de mineros
4. En Agosto se realizó evento en Puerto Bogotá con agremiación de pescadores y en Girardot con la comunidad LGBTIQ+
11 de septiembre Gachetá con JAC, 12 de septiembre Cáqueza con JAC, 9 de octubre comunidades indígenas en Chía, 10 de octubre Fusagasugá conmemoración día de la raza</v>
      </c>
      <c r="AH34" s="9">
        <f t="shared" si="35"/>
        <v>13</v>
      </c>
      <c r="AI34" s="9">
        <f>VLOOKUP(K34,'1208 Indeportes'!$K$13:$AK$39,25,0)</f>
        <v>0</v>
      </c>
      <c r="AJ34" s="9" t="str">
        <f>VLOOKUP(K34,'1208 Indeportes'!$K$13:$AK$39,26,0)</f>
        <v>En mayo se realizaron dos eventos, uno para celebrar el día de la afrocolombianidad en el Municipio de Soacha, y el otro con agremiaciones campesinas en el Municipio de San Juan de Rioseco. En junio se realizó evento con Juntas de acción comunal en el Municipio de Ubaque y conmemoración del día del orgullo Gay en el Municipio de Madrid. En julio se realizó evento en el Municipio de Guachetá con agremiación de mineros. En agosto se realizó evento en Puerto Bogotá con agremiación de pescadores y en Girardot con la comunidad LGBTIQ+. El 19 de septiembre se realizó un evento dirigido a la comunidad indígena JE ERURIWA del municipio de Medina, donde se beneficiaron 100 personas. El 4 de octubre realizamos un evento dirigido a las comunidades indígenas Muiscas de los Municipios de Chía, Cota y Sesquilé, donde se beneficiaron 200 personas. Durante el mes de noviembre realizamos un evento en el Municipio de Guaduas dirigido a la agremiación de mujeres y un segundo evento en el municipio de Jerusalén beneficiando a las Juntas de Acción Comunal. En estos dos eventos logramos beneficiar a 310 personas.</v>
      </c>
      <c r="AK34" s="9">
        <f>VLOOKUP(K34,'1208 Indeportes'!$K$13:$AK$39,27,0)</f>
        <v>0</v>
      </c>
      <c r="AL34" s="11">
        <v>15</v>
      </c>
      <c r="AM34" s="11">
        <v>0</v>
      </c>
      <c r="AN34" s="11">
        <v>18</v>
      </c>
      <c r="AO34" s="11">
        <v>0</v>
      </c>
      <c r="AP34" s="11">
        <v>0</v>
      </c>
      <c r="AQ34" s="11">
        <v>0</v>
      </c>
      <c r="AR34" s="51">
        <v>179280000</v>
      </c>
      <c r="AS34" s="54">
        <v>0</v>
      </c>
      <c r="AT34" s="54">
        <f t="shared" si="0"/>
        <v>179280000</v>
      </c>
      <c r="AU34" s="51">
        <v>158540569</v>
      </c>
      <c r="AV34" s="89">
        <v>100000000</v>
      </c>
      <c r="AY34" s="89">
        <v>0</v>
      </c>
      <c r="AZ34" s="42">
        <f t="shared" si="36"/>
        <v>0.41666666666666669</v>
      </c>
      <c r="BA34" s="44">
        <v>0.16669999999999999</v>
      </c>
      <c r="BB34" s="44">
        <v>1.2</v>
      </c>
      <c r="BC34" s="42">
        <f t="shared" si="37"/>
        <v>0.25</v>
      </c>
      <c r="BD34" s="42" cm="1">
        <f t="array" ref="BD34">_xlfn.IFS(AD34=0,"NA",AD34&gt;0,AH34/AD34)</f>
        <v>0.8666666666666667</v>
      </c>
      <c r="BE34" s="42">
        <f t="shared" si="38"/>
        <v>0.25</v>
      </c>
      <c r="BF34" s="44">
        <v>0</v>
      </c>
      <c r="BG34" s="42">
        <f t="shared" si="39"/>
        <v>0.3</v>
      </c>
      <c r="BH34" s="44">
        <v>0</v>
      </c>
      <c r="BI34" s="42">
        <f t="shared" si="40"/>
        <v>0</v>
      </c>
      <c r="BJ34" s="44" t="s">
        <v>115</v>
      </c>
      <c r="BK34" s="42">
        <f t="shared" si="1"/>
        <v>0.41666666666666669</v>
      </c>
      <c r="BL34" s="44">
        <v>1</v>
      </c>
      <c r="BM34" s="42" cm="1">
        <f t="array" ref="BM34">_xlfn.IFS(BD34="NA","NA",BD34&gt;100%,"100%",BD34&lt;100,BD34)</f>
        <v>0.8666666666666667</v>
      </c>
      <c r="BN34" s="42" cm="1">
        <f t="array" ref="BN34">_xlfn.IFS(BF34="NA","NA",BF34&gt;100%,"100%",BF34&lt;100,BF34)</f>
        <v>0</v>
      </c>
      <c r="BO34" s="42" cm="1">
        <f t="array" ref="BO34">_xlfn.IFS(BH34="NA","NA",BH34&gt;100%,"100%",BH34&lt;100,BH34)</f>
        <v>0</v>
      </c>
      <c r="BP34" s="42" t="str" cm="1">
        <f t="array" ref="BP34">_xlfn.IFS(BJ34="NA","NA",BJ34&gt;100%,"100%",BJ34&lt;100,BJ34)</f>
        <v>NA</v>
      </c>
      <c r="BQ34" s="45">
        <v>0.22500000000000001</v>
      </c>
      <c r="BR34" s="43">
        <f t="shared" si="2"/>
        <v>9.375E-2</v>
      </c>
      <c r="BS34" s="45">
        <v>3.7499999999999999E-2</v>
      </c>
      <c r="BT34" s="45">
        <v>3.7499999999999999E-2</v>
      </c>
      <c r="BU34" s="45">
        <v>4.4999999999999998E-2</v>
      </c>
      <c r="BV34" s="43">
        <f t="shared" si="41"/>
        <v>5.6250000000000001E-2</v>
      </c>
      <c r="BW34" s="43">
        <f t="shared" si="3"/>
        <v>4.8750000000000002E-2</v>
      </c>
      <c r="BX34" s="43">
        <f t="shared" si="4"/>
        <v>4.8750000000000002E-2</v>
      </c>
      <c r="BY34" s="43">
        <f t="shared" si="42"/>
        <v>5.6250000000000001E-2</v>
      </c>
      <c r="BZ34" s="43">
        <f t="shared" si="43"/>
        <v>0</v>
      </c>
      <c r="CA34" s="43">
        <f t="shared" si="5"/>
        <v>0</v>
      </c>
      <c r="CB34" s="43">
        <f t="shared" si="44"/>
        <v>6.7499999999999991E-2</v>
      </c>
      <c r="CC34" s="43">
        <f t="shared" si="45"/>
        <v>0</v>
      </c>
      <c r="CD34" s="45">
        <v>0</v>
      </c>
      <c r="CE34" s="43">
        <f t="shared" si="46"/>
        <v>0</v>
      </c>
      <c r="CF34" s="43" t="str">
        <f t="shared" si="47"/>
        <v>NA</v>
      </c>
      <c r="CG34" s="45">
        <v>0</v>
      </c>
    </row>
    <row r="35" spans="1:90" ht="18" customHeight="1">
      <c r="A35" s="260" t="s">
        <v>248</v>
      </c>
      <c r="B35" s="260" t="s">
        <v>249</v>
      </c>
      <c r="C35" s="260" t="s">
        <v>100</v>
      </c>
      <c r="D35" s="260" t="s">
        <v>101</v>
      </c>
      <c r="E35" s="260" t="s">
        <v>189</v>
      </c>
      <c r="F35" s="260" t="s">
        <v>190</v>
      </c>
      <c r="G35" s="260" t="s">
        <v>191</v>
      </c>
      <c r="H35" s="260" t="s">
        <v>278</v>
      </c>
      <c r="I35" s="260" t="s">
        <v>106</v>
      </c>
      <c r="J35" s="260"/>
      <c r="K35" s="260" t="s">
        <v>279</v>
      </c>
      <c r="L35" s="260" t="s">
        <v>280</v>
      </c>
      <c r="M35" s="260" t="s">
        <v>281</v>
      </c>
      <c r="N35" s="260" t="s">
        <v>111</v>
      </c>
      <c r="O35" s="260" t="s">
        <v>112</v>
      </c>
      <c r="P35" s="10">
        <v>56</v>
      </c>
      <c r="Q35" s="11">
        <v>150</v>
      </c>
      <c r="R35" s="9">
        <f t="shared" si="34"/>
        <v>103</v>
      </c>
      <c r="S35" s="11" t="str">
        <f>VLOOKUP(K35,'1208 Indeportes'!$K$13:$AK$39,9,0)</f>
        <v>Se desarrollaron 6 campamentos municipales virtuales en ocasión a la emergencia sanitaria por el COVID - 19. Se han realizado en los municipios de Vergara, Cajicá, La Vega, Tenjo, Facatativá y Tabio. Se beneficiaron 730 personas adolescentes.</v>
      </c>
      <c r="T35" s="11">
        <v>15</v>
      </c>
      <c r="U35" s="11">
        <v>0</v>
      </c>
      <c r="V35" s="11">
        <v>15</v>
      </c>
      <c r="W35" s="11">
        <v>0</v>
      </c>
      <c r="X35" s="11">
        <v>14</v>
      </c>
      <c r="Y35" s="11">
        <v>0</v>
      </c>
      <c r="Z35" s="11">
        <v>14</v>
      </c>
      <c r="AA35" s="11">
        <v>0</v>
      </c>
      <c r="AB35" s="11" t="s">
        <v>282</v>
      </c>
      <c r="AC35" s="11">
        <v>0</v>
      </c>
      <c r="AD35" s="11">
        <v>40</v>
      </c>
      <c r="AE35" s="11">
        <v>0</v>
      </c>
      <c r="AF35" s="11">
        <f>VLOOKUP(K35,'1208 Indeportes'!$K$13:$AH$39,22,0)</f>
        <v>89</v>
      </c>
      <c r="AG35" s="11">
        <f>VLOOKUP(K35,'1208 Indeportes'!$K$13:$AH$39,23,0)</f>
        <v>0</v>
      </c>
      <c r="AH35" s="9">
        <f t="shared" si="35"/>
        <v>89</v>
      </c>
      <c r="AI35" s="9">
        <f>VLOOKUP(K35,'1208 Indeportes'!$K$13:$AK$39,25,0)</f>
        <v>0</v>
      </c>
      <c r="AJ35" s="9" t="str">
        <f>VLOOKUP(K35,'1208 Indeportes'!$K$13:$AK$39,26,0)</f>
        <v xml:space="preserve">En el mes de abril se realizaron los campamentos infantiles en las provincias de Ubaté, Oriente, Almeidas, Guavio, Rionegro y Sabana Centro.
En el mes de junio se realizaron los campamentos infantiles en las provincias de Sabana Occidente, Sumapaz, Tequendama, Alto Magdalena, Gualivá, Magdalena Centro. Se llevo a cabo durante los días 13 y 14 el campamento regional juvenil dirigido a las provincias de Ubaté, Rionegro, Gualivá y Magdalena Centro.
</v>
      </c>
      <c r="AK35" s="9">
        <f>VLOOKUP(K35,'1208 Indeportes'!$K$13:$AK$39,27,0)</f>
        <v>0</v>
      </c>
      <c r="AL35" s="11">
        <v>41</v>
      </c>
      <c r="AM35" s="11">
        <v>0</v>
      </c>
      <c r="AN35" s="11">
        <v>55</v>
      </c>
      <c r="AO35" s="11">
        <v>0</v>
      </c>
      <c r="AP35" s="11">
        <v>0</v>
      </c>
      <c r="AQ35" s="11">
        <v>0</v>
      </c>
      <c r="AR35" s="51">
        <v>662085083</v>
      </c>
      <c r="AS35" s="54">
        <v>0</v>
      </c>
      <c r="AT35" s="54">
        <f t="shared" si="0"/>
        <v>662085083</v>
      </c>
      <c r="AU35" s="51">
        <v>653640432</v>
      </c>
      <c r="AV35" s="89">
        <v>610000000</v>
      </c>
      <c r="AY35" s="89">
        <v>0</v>
      </c>
      <c r="AZ35" s="42">
        <f t="shared" si="36"/>
        <v>0.68666666666666665</v>
      </c>
      <c r="BA35" s="44">
        <v>0.1</v>
      </c>
      <c r="BB35" s="44">
        <v>0.93330000000000002</v>
      </c>
      <c r="BC35" s="42">
        <f t="shared" si="37"/>
        <v>0.26666666666666666</v>
      </c>
      <c r="BD35" s="42" cm="1">
        <f t="array" ref="BD35">_xlfn.IFS(AD35=0,"NA",AD35&gt;0,AH35/AD35)</f>
        <v>2.2250000000000001</v>
      </c>
      <c r="BE35" s="42">
        <f t="shared" si="38"/>
        <v>0.27333333333333332</v>
      </c>
      <c r="BF35" s="44">
        <v>0</v>
      </c>
      <c r="BG35" s="42">
        <f t="shared" si="39"/>
        <v>0.36666666666666664</v>
      </c>
      <c r="BH35" s="44">
        <v>0</v>
      </c>
      <c r="BI35" s="42">
        <f t="shared" si="40"/>
        <v>0</v>
      </c>
      <c r="BJ35" s="44" t="s">
        <v>115</v>
      </c>
      <c r="BK35" s="42">
        <f t="shared" si="1"/>
        <v>0.68666666666666665</v>
      </c>
      <c r="BL35" s="44">
        <v>0.93330000000000002</v>
      </c>
      <c r="BM35" s="42" t="str" cm="1">
        <f t="array" ref="BM35">_xlfn.IFS(BD35="NA","NA",BD35&gt;100%,"100%",BD35&lt;100,BD35)</f>
        <v>100%</v>
      </c>
      <c r="BN35" s="42" cm="1">
        <f t="array" ref="BN35">_xlfn.IFS(BF35="NA","NA",BF35&gt;100%,"100%",BF35&lt;100,BF35)</f>
        <v>0</v>
      </c>
      <c r="BO35" s="42" cm="1">
        <f t="array" ref="BO35">_xlfn.IFS(BH35="NA","NA",BH35&gt;100%,"100%",BH35&lt;100,BH35)</f>
        <v>0</v>
      </c>
      <c r="BP35" s="42" t="str" cm="1">
        <f t="array" ref="BP35">_xlfn.IFS(BJ35="NA","NA",BJ35&gt;100%,"100%",BJ35&lt;100,BJ35)</f>
        <v>NA</v>
      </c>
      <c r="BQ35" s="45">
        <v>0.22500000000000001</v>
      </c>
      <c r="BR35" s="43">
        <f t="shared" si="2"/>
        <v>0.1545</v>
      </c>
      <c r="BS35" s="45">
        <v>2.2499999999999999E-2</v>
      </c>
      <c r="BT35" s="45">
        <v>2.1000000000000001E-2</v>
      </c>
      <c r="BU35" s="45">
        <v>2.1000000000000001E-2</v>
      </c>
      <c r="BV35" s="43">
        <f t="shared" si="41"/>
        <v>0.06</v>
      </c>
      <c r="BW35" s="43">
        <f t="shared" si="3"/>
        <v>0.06</v>
      </c>
      <c r="BX35" s="43">
        <f t="shared" si="4"/>
        <v>0.13350000000000001</v>
      </c>
      <c r="BY35" s="43">
        <f t="shared" si="42"/>
        <v>6.1499999999999999E-2</v>
      </c>
      <c r="BZ35" s="43">
        <f t="shared" si="43"/>
        <v>0</v>
      </c>
      <c r="CA35" s="43">
        <f t="shared" si="5"/>
        <v>0</v>
      </c>
      <c r="CB35" s="43">
        <f t="shared" si="44"/>
        <v>8.2500000000000004E-2</v>
      </c>
      <c r="CC35" s="43">
        <f t="shared" si="45"/>
        <v>0</v>
      </c>
      <c r="CD35" s="45">
        <v>0</v>
      </c>
      <c r="CE35" s="43">
        <f t="shared" si="46"/>
        <v>0</v>
      </c>
      <c r="CF35" s="43" t="str">
        <f t="shared" si="47"/>
        <v>NA</v>
      </c>
      <c r="CG35" s="45">
        <v>0</v>
      </c>
    </row>
    <row r="36" spans="1:90" ht="18" customHeight="1">
      <c r="A36" s="260" t="s">
        <v>98</v>
      </c>
      <c r="B36" s="260" t="s">
        <v>99</v>
      </c>
      <c r="C36" s="260" t="s">
        <v>100</v>
      </c>
      <c r="D36" s="260" t="s">
        <v>101</v>
      </c>
      <c r="E36" s="260" t="s">
        <v>189</v>
      </c>
      <c r="F36" s="260" t="s">
        <v>283</v>
      </c>
      <c r="G36" s="260" t="s">
        <v>284</v>
      </c>
      <c r="H36" s="260" t="s">
        <v>285</v>
      </c>
      <c r="I36" s="260" t="s">
        <v>106</v>
      </c>
      <c r="J36" s="12" t="s">
        <v>286</v>
      </c>
      <c r="K36" s="260" t="s">
        <v>287</v>
      </c>
      <c r="L36" s="260" t="s">
        <v>288</v>
      </c>
      <c r="M36" s="260" t="s">
        <v>140</v>
      </c>
      <c r="N36" s="260" t="s">
        <v>111</v>
      </c>
      <c r="O36" s="260" t="s">
        <v>112</v>
      </c>
      <c r="P36" s="10">
        <v>0</v>
      </c>
      <c r="Q36" s="11">
        <v>60</v>
      </c>
      <c r="R36" s="9">
        <f t="shared" si="34"/>
        <v>49</v>
      </c>
      <c r="S36" s="9" t="str">
        <f>VLOOKUP(K36,'1197 Salud'!$K$13:$AK$54,9,0)</f>
        <v>Se ha logrado la implementacón de estrategias de prevención  de conducta suicida y violencias  en 49 municipios así: estrategia  "Desarrollo de habilidades de afrontamiento" , se ha realizado en 29 municipios: Agua de Dios, Anolaima, Anapoima, Arbelaez,  Apulo,  Bituima,  Cáqueza ,  Cajica,  Chia, Chipaque, Choachi, Choconta, Cogua, Cota, El Colegio, El Peñon, Facatativa, Funza, Fuquene, Fusagasuga, Gachala, Gachancipa, Girardot, Guacheta, Guaduas, Guataqui, La Calera, La Mesa, La Peña 
Con recuros Nacionales aducuionalemtne se implemento la estrategia: Cundinamarca región que progresa promoviendo la convivencia, transformando imaginarios estereotipos y representaciones sociales en las familias y las comunidades" en  20 municipios : Cota, El Rosal, Cajicá, El Peñón, Pacho, La Calera, La Vega, Choachí, Tena, Fusagasugá, Apulo, Lenguazaque, Bituima, Sutatausa, Ubaté, Tabio, Nariño, Paratebueno, Tibirita y Soacha.
Otro logro ha sido el Desarrollo  de Capacidades a los equipos psicosociales   al 100% del departamento,  brindando  herramientas para el abordaje de los eventos de la dimensión  (conducta suicida, violencia, consumo de SPA  y trastonos mentales ,  procurando una  atención integran en salud mental para los  usuarios y la  comunidad Cundinamarquesa ; Dentro de la principales tematicas  se desarrolladas  están:  *Tele orientación, Proceso de formación virtual para el personal de líneas amigas ; * Triage en salud Mental; *Primeros Auxilios Psicológicos en atención telefónica y autocuidado;*Depresión duelo y ansiedad; *Inteligencia emocional en tiempos de cuarentena y post cuarentena; *Alcohol en el entorno familiar; *Autocuidado en casa; *Salud mental de los trabajadores de la salud; *Orientación Familiar en violencia de genero e intrafamiliar *Curso delegados ESE , IPS, EAPB, secretarias de salud  para brindar apoyo emocional al personal de la salud de la primera línea atención COVID-19;* Resoluci´pn de conflictos; *Resiliencia, con aceptación y compromiso  más acción * Resiliencia y afrontamiento en la empresa * Logoterapia y Resiliencia, El sentido de la vida</v>
      </c>
      <c r="T36" s="11">
        <v>2</v>
      </c>
      <c r="U36" s="11">
        <v>0</v>
      </c>
      <c r="V36" s="11">
        <v>2</v>
      </c>
      <c r="W36" s="11">
        <v>0</v>
      </c>
      <c r="X36" s="11">
        <v>7</v>
      </c>
      <c r="Y36" s="11">
        <v>0</v>
      </c>
      <c r="Z36" s="11">
        <v>7</v>
      </c>
      <c r="AA36" s="11" t="s">
        <v>289</v>
      </c>
      <c r="AB36" s="11" t="s">
        <v>290</v>
      </c>
      <c r="AC36" s="11" t="s">
        <v>291</v>
      </c>
      <c r="AD36" s="11">
        <v>20</v>
      </c>
      <c r="AE36" s="11">
        <v>0</v>
      </c>
      <c r="AF36" s="9">
        <f>VLOOKUP(K36,'1197 Salud'!$K$13:$AK$54,22,0)</f>
        <v>42</v>
      </c>
      <c r="AG36" s="9">
        <f>VLOOKUP(K36,'1197 Salud'!$K$13:$AK$54,23,0)</f>
        <v>0</v>
      </c>
      <c r="AH36" s="9">
        <f t="shared" si="35"/>
        <v>42</v>
      </c>
      <c r="AI36" s="9" t="str">
        <f>VLOOKUP(K36,'1197 Salud'!$K$13:$AK$54,25,0)</f>
        <v>Municipios con Estrategias de prevención de conducta suicida  y / o violencia intrafamiliar en el marco de la Política Departamental de Salud Mental</v>
      </c>
      <c r="AJ36" s="9" t="str">
        <f>VLOOKUP(K36,'1197 Salud'!$K$13:$AK$54,26,0)</f>
        <v>Se logra la implementación de estrategias de prevención  de conducta suicida y violencias en 42 municipios así:  "Desarrollo de habilidades de afrontamiento"  en  22 los siguientes 22:  Apulo,  Bituima,  Chia, Chipaque, Choachi, Choconta, Cogua, Cota, El Colegio, El Peñon, Facatativa, Funza, Fuquene, Fusagasuga, Gachala, Gachancipa, Girardot, Guacheta, Guaduas,La Calera, La Mesa, La Peña ;  y con recursos Nacionales estrategia "Cundinamarca región que progresa promoviendo la convivencia, transformando imaginarios estereotipos y representaciones sociales en las familias y las comunidades", en 20  : Cota, El Rosal, Cajicá, El Peñón, Pacho, La Calera, La Vega, Choachí, Tena, Fusagasugá, Apulo, Lenguazaque, Bituima, Sutatausa, Ubaté, Tabio, Nariño, Paratebueno, Tibirita y Soacha.</v>
      </c>
      <c r="AK36" s="9" t="str">
        <f>VLOOKUP(K36,'1197 Salud'!$K$13:$AK$54,27,0)</f>
        <v>Dificultad para realizar actividades  presenciales masivas y en algunos casos se observa falta de compromiso por parte de sectores diferentes al sector salud para el desarrollo de las estrategias</v>
      </c>
      <c r="AL36" s="11">
        <v>20</v>
      </c>
      <c r="AM36" s="11">
        <v>0</v>
      </c>
      <c r="AN36" s="11">
        <v>18</v>
      </c>
      <c r="AO36" s="11">
        <v>0</v>
      </c>
      <c r="AP36" s="11">
        <v>0</v>
      </c>
      <c r="AQ36" s="11">
        <v>0</v>
      </c>
      <c r="AR36" s="51">
        <v>92170650</v>
      </c>
      <c r="AS36" s="54">
        <v>0</v>
      </c>
      <c r="AT36" s="54">
        <f t="shared" si="0"/>
        <v>92170650</v>
      </c>
      <c r="AU36" s="51">
        <v>23224212</v>
      </c>
      <c r="AV36" s="89">
        <v>660970497</v>
      </c>
      <c r="AY36" s="89">
        <v>206864388</v>
      </c>
      <c r="AZ36" s="42">
        <f t="shared" si="36"/>
        <v>0.81666666666666665</v>
      </c>
      <c r="BA36" s="44">
        <v>3.3300000000000003E-2</v>
      </c>
      <c r="BB36" s="44">
        <v>3.5</v>
      </c>
      <c r="BC36" s="42">
        <f t="shared" si="37"/>
        <v>0.33333333333333331</v>
      </c>
      <c r="BD36" s="42" cm="1">
        <f t="array" ref="BD36">_xlfn.IFS(AD36=0,"NA",AD36&gt;0,AH36/AD36)</f>
        <v>2.1</v>
      </c>
      <c r="BE36" s="42">
        <f t="shared" si="38"/>
        <v>0.33333333333333331</v>
      </c>
      <c r="BF36" s="44">
        <v>0</v>
      </c>
      <c r="BG36" s="42">
        <f t="shared" si="39"/>
        <v>0.3</v>
      </c>
      <c r="BH36" s="44">
        <v>0</v>
      </c>
      <c r="BI36" s="42">
        <f t="shared" si="40"/>
        <v>0</v>
      </c>
      <c r="BJ36" s="44" t="s">
        <v>115</v>
      </c>
      <c r="BK36" s="42">
        <f t="shared" si="1"/>
        <v>0.81666666666666665</v>
      </c>
      <c r="BL36" s="44">
        <v>1</v>
      </c>
      <c r="BM36" s="42" t="str" cm="1">
        <f t="array" ref="BM36">_xlfn.IFS(BD36="NA","NA",BD36&gt;100%,"100%",BD36&lt;100,BD36)</f>
        <v>100%</v>
      </c>
      <c r="BN36" s="42" cm="1">
        <f t="array" ref="BN36">_xlfn.IFS(BF36="NA","NA",BF36&gt;100%,"100%",BF36&lt;100,BF36)</f>
        <v>0</v>
      </c>
      <c r="BO36" s="42" cm="1">
        <f t="array" ref="BO36">_xlfn.IFS(BH36="NA","NA",BH36&gt;100%,"100%",BH36&lt;100,BH36)</f>
        <v>0</v>
      </c>
      <c r="BP36" s="42" t="str" cm="1">
        <f t="array" ref="BP36">_xlfn.IFS(BJ36="NA","NA",BJ36&gt;100%,"100%",BJ36&lt;100,BJ36)</f>
        <v>NA</v>
      </c>
      <c r="BQ36" s="45">
        <v>0.22500000000000001</v>
      </c>
      <c r="BR36" s="43">
        <f t="shared" si="2"/>
        <v>0.18375</v>
      </c>
      <c r="BS36" s="45">
        <v>7.4999999999999997E-3</v>
      </c>
      <c r="BT36" s="45">
        <v>7.4999999999999997E-3</v>
      </c>
      <c r="BU36" s="45">
        <v>2.63E-2</v>
      </c>
      <c r="BV36" s="43">
        <f t="shared" si="41"/>
        <v>7.4999999999999997E-2</v>
      </c>
      <c r="BW36" s="43">
        <f t="shared" si="3"/>
        <v>7.4999999999999997E-2</v>
      </c>
      <c r="BX36" s="43">
        <f t="shared" si="4"/>
        <v>0.15745000000000001</v>
      </c>
      <c r="BY36" s="43">
        <f t="shared" si="42"/>
        <v>7.4999999999999997E-2</v>
      </c>
      <c r="BZ36" s="43">
        <f t="shared" si="43"/>
        <v>0</v>
      </c>
      <c r="CA36" s="43">
        <f t="shared" si="5"/>
        <v>0</v>
      </c>
      <c r="CB36" s="43">
        <f t="shared" si="44"/>
        <v>6.7499999999999991E-2</v>
      </c>
      <c r="CC36" s="43">
        <f t="shared" si="45"/>
        <v>0</v>
      </c>
      <c r="CD36" s="45">
        <v>0</v>
      </c>
      <c r="CE36" s="43">
        <f t="shared" si="46"/>
        <v>0</v>
      </c>
      <c r="CF36" s="43" t="str">
        <f t="shared" si="47"/>
        <v>NA</v>
      </c>
      <c r="CG36" s="45">
        <v>0</v>
      </c>
    </row>
    <row r="37" spans="1:90" ht="18" customHeight="1">
      <c r="A37" s="260" t="s">
        <v>292</v>
      </c>
      <c r="B37" s="260" t="s">
        <v>293</v>
      </c>
      <c r="C37" s="260" t="s">
        <v>100</v>
      </c>
      <c r="D37" s="260" t="s">
        <v>101</v>
      </c>
      <c r="E37" s="260" t="s">
        <v>294</v>
      </c>
      <c r="F37" s="260" t="s">
        <v>305</v>
      </c>
      <c r="G37" s="260" t="s">
        <v>306</v>
      </c>
      <c r="H37" s="260" t="s">
        <v>297</v>
      </c>
      <c r="I37" s="260"/>
      <c r="J37" s="260" t="s">
        <v>298</v>
      </c>
      <c r="K37" s="260" t="s">
        <v>299</v>
      </c>
      <c r="L37" s="260" t="s">
        <v>300</v>
      </c>
      <c r="M37" s="260" t="s">
        <v>301</v>
      </c>
      <c r="N37" s="260" t="s">
        <v>123</v>
      </c>
      <c r="O37" s="260" t="s">
        <v>302</v>
      </c>
      <c r="P37" s="10">
        <v>94.5</v>
      </c>
      <c r="Q37" s="11">
        <v>100</v>
      </c>
      <c r="R37" s="11">
        <f>AVERAGE(Z37,AH37)</f>
        <v>100</v>
      </c>
      <c r="S37" s="11" t="str">
        <f>VLOOKUP(K37,'1108 Educación'!$K$13:$AK$40,9,0)</f>
        <v>Se ha logrado beneficiar a las 275 IED con las  prestación del servicio de aseo, Vigilancia y servicios públicos,  manteniendo  los espacios de su infraestructura con los protocolos de bioseguridad, instalaciones limpias, igualmente se ha  salvaguardando los bienes muebles de cada IED con la  prestación de servicio de vigilancia y  se benefician el 100% de las IED que han requerido el pago de servicios públicos domiciliarios, a través de la transferencia de recursos por parte de la Secretaría de Educación para este fin.</v>
      </c>
      <c r="T37" s="11">
        <v>0</v>
      </c>
      <c r="U37" s="11">
        <v>100</v>
      </c>
      <c r="V37" s="11">
        <v>0</v>
      </c>
      <c r="W37" s="11">
        <v>100</v>
      </c>
      <c r="X37" s="11" t="s">
        <v>115</v>
      </c>
      <c r="Y37" s="11">
        <v>100</v>
      </c>
      <c r="Z37" s="11">
        <v>100</v>
      </c>
      <c r="AA37" s="11" t="s">
        <v>303</v>
      </c>
      <c r="AB37" s="11" t="s">
        <v>304</v>
      </c>
      <c r="AC37" s="11">
        <v>0</v>
      </c>
      <c r="AD37" s="11">
        <v>0</v>
      </c>
      <c r="AE37" s="11">
        <v>100</v>
      </c>
      <c r="AF37" s="11">
        <f>VLOOKUP(K37,'1108 Educación'!$K$13:$AK$40,22,0)</f>
        <v>0</v>
      </c>
      <c r="AG37" s="11">
        <f>VLOOKUP(K37,'1108 Educación'!$K$13:$AK$40,23,0)</f>
        <v>100</v>
      </c>
      <c r="AH37" s="11">
        <f>AG37</f>
        <v>100</v>
      </c>
      <c r="AI37" s="9" t="str">
        <f>VLOOKUP(K37,'1108 Educación'!$K$13:$AK$40,25,0)</f>
        <v xml:space="preserve">Servicio de Aseo, Vigilancia y Servicios Publicos </v>
      </c>
      <c r="AJ37" s="9" t="str">
        <f>VLOOKUP(K37,'1108 Educación'!$K$13:$AK$40,26,0)</f>
        <v xml:space="preserve">Se ha logrado el 100% de  la prestacion del servicio de vigilancia  en las IED velando por la seguridad de las sedes con el fin de salvaguardar los bienes muebles, igualmente con la prestación del servicio de aseo se ha garantizado la  salubridad con las medidas de bioseguridad  en el marco de la pandemia. Se ha logrado la cobertura con servicios públicos a traves de transferencia a las IED  igualmente. Se ha adelantado la entrega de elementos de bioseguridad  como  lo son  lavamanos, dispensadores de gel y tapetes que permitan equipar a cada una de las IED  con elementos de bioseguridad para estudiantes,  personal administrativo y docentes   como parte de la proteción del virus COVID-19 garantizando asi el retorno  seguro a al presencialidad. </v>
      </c>
      <c r="AK37" s="9">
        <f>VLOOKUP(K37,'1108 Educación'!$K$13:$AK$40,27,0)</f>
        <v>0</v>
      </c>
      <c r="AL37" s="11">
        <v>0</v>
      </c>
      <c r="AM37" s="11">
        <v>100</v>
      </c>
      <c r="AN37" s="11">
        <v>0</v>
      </c>
      <c r="AO37" s="11">
        <v>100</v>
      </c>
      <c r="AP37" s="11">
        <v>0</v>
      </c>
      <c r="AQ37" s="11">
        <v>0</v>
      </c>
      <c r="AR37" s="51">
        <v>14157779366</v>
      </c>
      <c r="AS37" s="54">
        <v>0</v>
      </c>
      <c r="AT37" s="54">
        <f t="shared" si="0"/>
        <v>14157779366</v>
      </c>
      <c r="AU37" s="51">
        <v>11734163034</v>
      </c>
      <c r="AV37" s="89">
        <v>32456232051</v>
      </c>
      <c r="AY37" s="89">
        <v>21131981367</v>
      </c>
      <c r="AZ37" s="44" cm="1">
        <f t="array" ref="AZ37">_xlfn.IFS((BA37=0),(BD37/CL37),(BA37&gt;0),((BB37+BD37)/CL37),(BE37&gt;0),((BB37+BD37+BE37)/CL37),(BG37&gt;0),((BB37+BD37+BE37+G37)/CL37))</f>
        <v>0.3125</v>
      </c>
      <c r="BA37" s="44">
        <v>0.25</v>
      </c>
      <c r="BB37" s="44">
        <v>1</v>
      </c>
      <c r="BC37" s="44">
        <v>0.25</v>
      </c>
      <c r="BD37" s="44" cm="1">
        <f t="array" ref="BD37">_xlfn.IFS(AE37=0,"NA",AE37&gt;0,((AH37/AE37)/4))</f>
        <v>0.25</v>
      </c>
      <c r="BE37" s="44">
        <v>0.25</v>
      </c>
      <c r="BF37" s="44">
        <v>0</v>
      </c>
      <c r="BG37" s="44">
        <v>0.25</v>
      </c>
      <c r="BH37" s="44">
        <v>0</v>
      </c>
      <c r="BI37" s="44">
        <v>0</v>
      </c>
      <c r="BJ37" s="44" t="s">
        <v>115</v>
      </c>
      <c r="BK37" s="44">
        <f t="shared" si="1"/>
        <v>0.3125</v>
      </c>
      <c r="BL37" s="44">
        <v>1</v>
      </c>
      <c r="BM37" s="42" cm="1">
        <f t="array" ref="BM37">_xlfn.IFS(BD37="NA","NA",BD37&gt;100%,"100%",BD37&lt;100,BD37)</f>
        <v>0.25</v>
      </c>
      <c r="BN37" s="44">
        <v>0</v>
      </c>
      <c r="BO37" s="44">
        <v>0</v>
      </c>
      <c r="BP37" s="44" t="s">
        <v>115</v>
      </c>
      <c r="BQ37" s="45">
        <v>0.22500000000000001</v>
      </c>
      <c r="BR37" s="43">
        <f t="shared" si="2"/>
        <v>7.03125E-2</v>
      </c>
      <c r="BS37" s="45">
        <v>5.6300000000000003E-2</v>
      </c>
      <c r="BT37" s="45">
        <v>5.6300000000000003E-2</v>
      </c>
      <c r="BU37" s="45">
        <v>5.6300000000000003E-2</v>
      </c>
      <c r="BV37" s="45">
        <v>5.6300000000000003E-2</v>
      </c>
      <c r="BW37" s="43">
        <f t="shared" si="3"/>
        <v>1.4075000000000001E-2</v>
      </c>
      <c r="BX37" s="43">
        <f t="shared" si="4"/>
        <v>1.4012499999999997E-2</v>
      </c>
      <c r="BY37" s="45">
        <v>5.6300000000000003E-2</v>
      </c>
      <c r="BZ37" s="45">
        <v>0</v>
      </c>
      <c r="CA37" s="43">
        <f t="shared" si="5"/>
        <v>0</v>
      </c>
      <c r="CB37" s="45">
        <v>5.6300000000000003E-2</v>
      </c>
      <c r="CC37" s="45">
        <v>0</v>
      </c>
      <c r="CD37" s="45">
        <v>0</v>
      </c>
      <c r="CE37" s="45">
        <v>0</v>
      </c>
      <c r="CF37" s="45" t="s">
        <v>115</v>
      </c>
      <c r="CG37" s="45">
        <v>0</v>
      </c>
      <c r="CH37">
        <f>IF(W37&gt;0,1,0)</f>
        <v>1</v>
      </c>
      <c r="CI37">
        <f>IF(AE37&gt;0,1,0)</f>
        <v>1</v>
      </c>
      <c r="CJ37">
        <f>IF(AM37&gt;0,1,0)</f>
        <v>1</v>
      </c>
      <c r="CK37">
        <f>IF(AO37&gt;0,1,0)</f>
        <v>1</v>
      </c>
      <c r="CL37">
        <f>CH37+CI37+CJ37+CK37</f>
        <v>4</v>
      </c>
    </row>
    <row r="38" spans="1:90" ht="18" customHeight="1">
      <c r="A38" s="260" t="s">
        <v>98</v>
      </c>
      <c r="B38" s="260" t="s">
        <v>99</v>
      </c>
      <c r="C38" s="260" t="s">
        <v>100</v>
      </c>
      <c r="D38" s="260" t="s">
        <v>101</v>
      </c>
      <c r="E38" s="260" t="s">
        <v>294</v>
      </c>
      <c r="F38" s="260" t="s">
        <v>305</v>
      </c>
      <c r="G38" s="260" t="s">
        <v>306</v>
      </c>
      <c r="H38" s="260" t="s">
        <v>307</v>
      </c>
      <c r="I38" s="260"/>
      <c r="J38" s="260" t="s">
        <v>308</v>
      </c>
      <c r="K38" s="260" t="s">
        <v>309</v>
      </c>
      <c r="L38" s="260" t="s">
        <v>310</v>
      </c>
      <c r="M38" s="260" t="s">
        <v>311</v>
      </c>
      <c r="N38" s="260" t="s">
        <v>123</v>
      </c>
      <c r="O38" s="260" t="s">
        <v>112</v>
      </c>
      <c r="P38" s="10">
        <v>0</v>
      </c>
      <c r="Q38" s="11">
        <v>100</v>
      </c>
      <c r="R38" s="9">
        <f t="shared" ref="R38:R46" si="48">Z38+AH38</f>
        <v>22</v>
      </c>
      <c r="S38" s="9" t="str">
        <f>VLOOKUP(K38,'1197 Salud'!$K$13:$AK$54,9,0)</f>
        <v>Se formuló el proyecto "Fortalecimiento , reorganización y establecimiento del Sistema de Atención de Urgencias en Emergencias y Desastres del departamento de Cundinamarca".
Se realizó la contratación de recurso humano (médicos) para la regulación de urgencias y emergencias en el Departamento y de profesionales de apoyo en los procesos administrativos del CRUE. 
Se coordinó la atención de 680 emergencias con afectaciones en salud de las cuales el 89,7% corresponden a accidentes de tránsito. La cobertura de la atención en urgencias de ascenció a 43,317 pacientes, de los cuales 37,771 (87,20%) corresponde a población venezolana. Durante el periodo, se realizó el comité de referencia y contrarreferencia según cronograma para con los hospitales de segundo y tercer nivel de atención, suspendido por la Pandemia de marzo a julio de 2020;  desde el mes de agosto 2020 se retomó esta actividad, en mayo de 2021 no se realizó el comite en razón a contingencias externas de los integrantes de los mismos. Se realizó visita de seguimiento al proceso de referencia y contrreferencia en 2020 a los municipios de Choconta, Sopo y Girardot de conformidad a lo planeado. 
Se realizó el comité virtual mensual del convenio del Sistema de Emergencias Medicas entre el Dpto de Cundinamarca y los Municipios primera categoría una vez declarada la cuarentena y alerta del COVID 19. en mayo de 2021 no se realizó comite en razón a contingencias externas de los participantes. Se apoyó a la Secretaria en el diseño de estudios previos en la  contratación del servicio de transporte helicoportado para transporte de vacunas COVID 19, según Plan Nacional de Vacunación.</v>
      </c>
      <c r="T38" s="11">
        <v>5</v>
      </c>
      <c r="U38" s="11">
        <v>0</v>
      </c>
      <c r="V38" s="11">
        <v>5</v>
      </c>
      <c r="W38" s="11">
        <v>0</v>
      </c>
      <c r="X38" s="11">
        <v>5</v>
      </c>
      <c r="Y38" s="11">
        <v>0</v>
      </c>
      <c r="Z38" s="11">
        <v>5</v>
      </c>
      <c r="AA38" s="11" t="s">
        <v>312</v>
      </c>
      <c r="AB38" s="11" t="s">
        <v>313</v>
      </c>
      <c r="AC38" s="11" t="s">
        <v>314</v>
      </c>
      <c r="AD38" s="11">
        <v>20</v>
      </c>
      <c r="AE38" s="11">
        <v>0</v>
      </c>
      <c r="AF38" s="9">
        <f>VLOOKUP(K38,'1197 Salud'!$K$13:$AK$54,22,0)</f>
        <v>17</v>
      </c>
      <c r="AG38" s="9">
        <f>VLOOKUP(K38,'1197 Salud'!$K$13:$AK$54,23,0)</f>
        <v>0</v>
      </c>
      <c r="AH38" s="9">
        <f t="shared" ref="AH38:AH46" si="49">AF38</f>
        <v>17</v>
      </c>
      <c r="AI38" s="9" t="str">
        <f>VLOOKUP(K38,'1197 Salud'!$K$13:$AK$54,25,0)</f>
        <v>Implementación de la red departamental</v>
      </c>
      <c r="AJ38" s="9" t="str">
        <f>VLOOKUP(K38,'1197 Salud'!$K$13:$AK$54,26,0)</f>
        <v>Se realizó la contratación de recurso humano (médicos) para la regulación de urgencias y emergencias en el Departamento y de profesionales de apoyo en los procesos administrativos del CRUE. Se Coordinó la atención de 604 emergencias con afectaciones en salud de las cuales el 90,6% corresponden a accidentes de tránsito. Se gestionó la atención en urgencias de 19,166 pacientes, de los cuales 18,414 (96,08%) corresponde a población venezolana.
También es preciso mencionar que se presentaron 789 incidentes medicos durante lo corrido del año.
Mensualmente se realizó el comite de referencia y contrarreferencia segun cronograma para con los hospitales de segundo y tercer nivel de atención, (excepto mayo en razón a contigencias externas de los integrantes del Comité).
Se realizó el comité virtual mensual del convenio del Sistema de Emergencias Medicas entre el Dpto de Cundinamarca y los Municipios de primera categoria. (excepto mayo en razón a contigencias externas de los integrantes del Comité) .
Se apoyó la Dirección en el diseño de estudios previos en la  contratación del servicio de transporte helicoportado para transporte de vacunas COVID 19, según Plan Nacional de Vacunación.</v>
      </c>
      <c r="AK38" s="9" t="str">
        <f>VLOOKUP(K38,'1197 Salud'!$K$13:$AK$54,27,0)</f>
        <v>Se presentó dificultad en la atención de urgencias de la población extranjera principalmente venezolana quienes marcan el mayor porcentaje en la prestación.  Hubó dificultad en la  remisión y traslado de pacientes por limitación de la oferta de servicios de salud. Otra dificultad fué la Declaratoria de cuarentena en el País y alerta por el  COVID-19.</v>
      </c>
      <c r="AL38" s="11">
        <v>40</v>
      </c>
      <c r="AM38" s="11">
        <v>0</v>
      </c>
      <c r="AN38" s="11">
        <v>35</v>
      </c>
      <c r="AO38" s="11">
        <v>0</v>
      </c>
      <c r="AP38" s="11">
        <v>0</v>
      </c>
      <c r="AQ38" s="11">
        <v>0</v>
      </c>
      <c r="AR38" s="51">
        <v>384541183</v>
      </c>
      <c r="AS38" s="54">
        <v>0</v>
      </c>
      <c r="AT38" s="54">
        <f t="shared" si="0"/>
        <v>384541183</v>
      </c>
      <c r="AU38" s="51">
        <v>292394852</v>
      </c>
      <c r="AV38" s="89">
        <v>1481446835</v>
      </c>
      <c r="AY38" s="89">
        <v>163323973</v>
      </c>
      <c r="AZ38" s="42">
        <f t="shared" ref="AZ38:AZ46" si="50">R38/Q38</f>
        <v>0.22</v>
      </c>
      <c r="BA38" s="44">
        <v>0.05</v>
      </c>
      <c r="BB38" s="44">
        <v>1</v>
      </c>
      <c r="BC38" s="42">
        <f t="shared" ref="BC38:BC46" si="51">AD38/Q38</f>
        <v>0.2</v>
      </c>
      <c r="BD38" s="42" cm="1">
        <f t="array" ref="BD38">_xlfn.IFS(AD38=0,"NA",AD38&gt;0,AH38/AD38)</f>
        <v>0.85</v>
      </c>
      <c r="BE38" s="42">
        <f t="shared" ref="BE38:BE46" si="52">AL38/Q38</f>
        <v>0.4</v>
      </c>
      <c r="BF38" s="44">
        <v>0</v>
      </c>
      <c r="BG38" s="42">
        <f t="shared" ref="BG38:BG46" si="53">AN38/Q38</f>
        <v>0.35</v>
      </c>
      <c r="BH38" s="44">
        <v>0</v>
      </c>
      <c r="BI38" s="42">
        <f t="shared" ref="BI38:BI46" si="54">AP38/Q38</f>
        <v>0</v>
      </c>
      <c r="BJ38" s="44" t="s">
        <v>115</v>
      </c>
      <c r="BK38" s="42">
        <f t="shared" si="1"/>
        <v>0.22</v>
      </c>
      <c r="BL38" s="44">
        <v>1</v>
      </c>
      <c r="BM38" s="42" cm="1">
        <f t="array" ref="BM38">_xlfn.IFS(BD38="NA","NA",BD38&gt;100%,"100%",BD38&lt;100,BD38)</f>
        <v>0.85</v>
      </c>
      <c r="BN38" s="42" cm="1">
        <f t="array" ref="BN38">_xlfn.IFS(BF38="NA","NA",BF38&gt;100%,"100%",BF38&lt;100,BF38)</f>
        <v>0</v>
      </c>
      <c r="BO38" s="42" cm="1">
        <f t="array" ref="BO38">_xlfn.IFS(BH38="NA","NA",BH38&gt;100%,"100%",BH38&lt;100,BH38)</f>
        <v>0</v>
      </c>
      <c r="BP38" s="42" t="str" cm="1">
        <f t="array" ref="BP38">_xlfn.IFS(BJ38="NA","NA",BJ38&gt;100%,"100%",BJ38&lt;100,BJ38)</f>
        <v>NA</v>
      </c>
      <c r="BQ38" s="45">
        <v>0.22500000000000001</v>
      </c>
      <c r="BR38" s="43">
        <f t="shared" si="2"/>
        <v>4.9500000000000002E-2</v>
      </c>
      <c r="BS38" s="45">
        <v>1.1299999999999999E-2</v>
      </c>
      <c r="BT38" s="45">
        <v>1.1299999999999999E-2</v>
      </c>
      <c r="BU38" s="45">
        <v>1.1299999999999999E-2</v>
      </c>
      <c r="BV38" s="43">
        <f t="shared" ref="BV38:BV46" si="55">(AD38*BQ38)/Q38</f>
        <v>4.4999999999999998E-2</v>
      </c>
      <c r="BW38" s="43">
        <f t="shared" si="3"/>
        <v>3.8249999999999999E-2</v>
      </c>
      <c r="BX38" s="43">
        <f t="shared" si="4"/>
        <v>3.8200000000000005E-2</v>
      </c>
      <c r="BY38" s="43">
        <f t="shared" ref="BY38:BY46" si="56">(AL38*BQ38)/Q38</f>
        <v>0.09</v>
      </c>
      <c r="BZ38" s="43">
        <f t="shared" ref="BZ38:BZ46" si="57">IF(BN38="NA","NA",BN38*BY38)</f>
        <v>0</v>
      </c>
      <c r="CA38" s="43">
        <f t="shared" si="5"/>
        <v>0</v>
      </c>
      <c r="CB38" s="43">
        <f t="shared" ref="CB38:CB46" si="58">(AN38*BQ38)/Q38</f>
        <v>7.8750000000000001E-2</v>
      </c>
      <c r="CC38" s="43">
        <f t="shared" ref="CC38:CC46" si="59">IF(BO38="NA","NA",BO38*CB38)</f>
        <v>0</v>
      </c>
      <c r="CD38" s="45">
        <v>0</v>
      </c>
      <c r="CE38" s="43">
        <f t="shared" ref="CE38:CE46" si="60">(AP38*BQ38)/Q38</f>
        <v>0</v>
      </c>
      <c r="CF38" s="43" t="str">
        <f t="shared" ref="CF38:CF46" si="61">IF(BP38="NA","NA",BP38*CE38)</f>
        <v>NA</v>
      </c>
      <c r="CG38" s="45">
        <v>0</v>
      </c>
    </row>
    <row r="39" spans="1:90" ht="18" customHeight="1">
      <c r="A39" s="260" t="s">
        <v>98</v>
      </c>
      <c r="B39" s="260" t="s">
        <v>99</v>
      </c>
      <c r="C39" s="260" t="s">
        <v>100</v>
      </c>
      <c r="D39" s="260" t="s">
        <v>101</v>
      </c>
      <c r="E39" s="260" t="s">
        <v>294</v>
      </c>
      <c r="F39" s="260" t="s">
        <v>305</v>
      </c>
      <c r="G39" s="260" t="s">
        <v>306</v>
      </c>
      <c r="H39" s="260" t="s">
        <v>315</v>
      </c>
      <c r="I39" s="260"/>
      <c r="J39" s="260" t="s">
        <v>316</v>
      </c>
      <c r="K39" s="260" t="s">
        <v>317</v>
      </c>
      <c r="L39" s="260" t="s">
        <v>318</v>
      </c>
      <c r="M39" s="260" t="s">
        <v>319</v>
      </c>
      <c r="N39" s="260" t="s">
        <v>111</v>
      </c>
      <c r="O39" s="260" t="s">
        <v>112</v>
      </c>
      <c r="P39" s="10">
        <v>0</v>
      </c>
      <c r="Q39" s="11">
        <v>14</v>
      </c>
      <c r="R39" s="9">
        <f t="shared" si="48"/>
        <v>2.4500000000000002</v>
      </c>
      <c r="S39" s="9" t="str">
        <f>VLOOKUP(K39,'1197 Salud'!$K$13:$AK$54,9,0)</f>
        <v xml:space="preserve">A partir del año 2020 el Ministerio de salud y Protección Social viabilizó el documento técnico de Reorganización, modernización y Rediseño de la Red pública Departamental en las 14 Regiones de Salud con el soporte jurídico Departamental de la ordenanza 007 del 2020 , mediante el decreto 221 del 9 de junio del 2021 se fusionan unas Empresas Sociales del Estado de nivel Departamental y se establece la reorganización y modernización de la red pública de prestadores de servicios de salud del Departamento De Cundinamarca en el marco de lo dispuesto por la ordenanza 07 de 2020. Se elaboró la hoja de ruta  de acuerdo con los lineamientos establecidos en la circular número 100 de 2021 de Secretaria de Salud de Cundinamarca  para la implementación de las 14 regiones de salud con sus 7 componentes: administrativo - inventarios, financiero, participación social, jurídico, redes calidad y sistemas de información con un avance en el cumplimiento de lo programado de un 31.64% (corte:noviembre 2021). En el año 2021 mediante ordenanza Departamental 048 se prorroga la implementación de las Regiones de Salud hasta el 1 de abril de 2022. </v>
      </c>
      <c r="T39" s="11">
        <v>1</v>
      </c>
      <c r="U39" s="11">
        <v>0</v>
      </c>
      <c r="V39" s="11">
        <v>1</v>
      </c>
      <c r="W39" s="11">
        <v>0</v>
      </c>
      <c r="X39" s="11">
        <v>0.75</v>
      </c>
      <c r="Y39" s="11">
        <v>0</v>
      </c>
      <c r="Z39" s="11">
        <v>0.75</v>
      </c>
      <c r="AA39" s="11" t="s">
        <v>319</v>
      </c>
      <c r="AB39" s="11" t="s">
        <v>320</v>
      </c>
      <c r="AC39" s="11" t="s">
        <v>321</v>
      </c>
      <c r="AD39" s="11">
        <v>3.25</v>
      </c>
      <c r="AE39" s="11">
        <v>0</v>
      </c>
      <c r="AF39" s="9">
        <f>VLOOKUP(K39,'1197 Salud'!$K$13:$AK$54,22,0)</f>
        <v>1.7</v>
      </c>
      <c r="AG39" s="9">
        <f>VLOOKUP(K39,'1197 Salud'!$K$13:$AK$54,23,0)</f>
        <v>0</v>
      </c>
      <c r="AH39" s="9">
        <f t="shared" si="49"/>
        <v>1.7</v>
      </c>
      <c r="AI39" s="9" t="str">
        <f>VLOOKUP(K39,'1197 Salud'!$K$13:$AK$54,25,0)</f>
        <v>Servicios de salud en las 14 Regiones de Salud. Regiones de salud implementadas</v>
      </c>
      <c r="AJ39" s="9" t="str">
        <f>VLOOKUP(K39,'1197 Salud'!$K$13:$AK$54,26,0)</f>
        <v>Durante la vigencia 2021 se logró asistir técnicamente a las 14 Regiones de Salud en la hoja de ruta en todos sus componentes para la implementación de las 14 Regiones de Salud en el año 2022.
Se cuenta con el decreto 221 del 2021 POR EL CUAL SE FUSIONAN UNAS EMPRESAS SOCIALES DEL ESTADO DE NIVEL DEPARTAMENTAL Y SE ESTABLECE LA REORGANIZACIÓN Y 
MODERNIZACIÓN DE LA RED PÚBLICA DE PRESTADORES DE SERVICIOS DE SALUD DEL DEPARTAMENTO DE CUNDINAMARCA, EN EL MARCO DE LO DISPUESTO POR LA ORDENANZA 07 DE 2020
Al mes de noviembre se lleva un avance total en los entregables de la hoja de ruta del 31.64%</v>
      </c>
      <c r="AK39" s="9" t="str">
        <f>VLOOKUP(K39,'1197 Salud'!$K$13:$AK$54,27,0)</f>
        <v>Falta de continuidad en el personal que brinda asistencia técnica tanto en el tema de infraestrucura, dotación y redes
Ordenanza 048 del 2021: prorrogación de la implementación de las 14 regiones del salud hasta el 1 de abril 2022</v>
      </c>
      <c r="AL39" s="11">
        <v>5</v>
      </c>
      <c r="AM39" s="11">
        <v>0</v>
      </c>
      <c r="AN39" s="11">
        <v>5</v>
      </c>
      <c r="AO39" s="11">
        <v>0</v>
      </c>
      <c r="AP39" s="11">
        <v>0</v>
      </c>
      <c r="AQ39" s="11">
        <v>0</v>
      </c>
      <c r="AR39" s="51">
        <v>7520934419</v>
      </c>
      <c r="AS39" s="54">
        <v>0</v>
      </c>
      <c r="AT39" s="54">
        <f t="shared" si="0"/>
        <v>7520934419</v>
      </c>
      <c r="AU39" s="51">
        <v>6733879814</v>
      </c>
      <c r="AV39" s="89">
        <f>23755193514+144500000</f>
        <v>23899693514</v>
      </c>
      <c r="AY39" s="89">
        <f>374908409+144500000</f>
        <v>519408409</v>
      </c>
      <c r="AZ39" s="42">
        <f t="shared" si="50"/>
        <v>0.17500000000000002</v>
      </c>
      <c r="BA39" s="44">
        <v>7.1400000000000005E-2</v>
      </c>
      <c r="BB39" s="44">
        <v>0.75</v>
      </c>
      <c r="BC39" s="42">
        <f t="shared" si="51"/>
        <v>0.23214285714285715</v>
      </c>
      <c r="BD39" s="42" cm="1">
        <f t="array" ref="BD39">_xlfn.IFS(AD39=0,"NA",AD39&gt;0,AH39/AD39)</f>
        <v>0.52307692307692311</v>
      </c>
      <c r="BE39" s="42">
        <f t="shared" si="52"/>
        <v>0.35714285714285715</v>
      </c>
      <c r="BF39" s="44">
        <v>0</v>
      </c>
      <c r="BG39" s="42">
        <f t="shared" si="53"/>
        <v>0.35714285714285715</v>
      </c>
      <c r="BH39" s="44">
        <v>0</v>
      </c>
      <c r="BI39" s="42">
        <f t="shared" si="54"/>
        <v>0</v>
      </c>
      <c r="BJ39" s="44" t="s">
        <v>115</v>
      </c>
      <c r="BK39" s="42">
        <f t="shared" si="1"/>
        <v>0.17500000000000002</v>
      </c>
      <c r="BL39" s="44">
        <v>0.75</v>
      </c>
      <c r="BM39" s="42" cm="1">
        <f t="array" ref="BM39">_xlfn.IFS(BD39="NA","NA",BD39&gt;100%,"100%",BD39&lt;100,BD39)</f>
        <v>0.52307692307692311</v>
      </c>
      <c r="BN39" s="42" cm="1">
        <f t="array" ref="BN39">_xlfn.IFS(BF39="NA","NA",BF39&gt;100%,"100%",BF39&lt;100,BF39)</f>
        <v>0</v>
      </c>
      <c r="BO39" s="42" cm="1">
        <f t="array" ref="BO39">_xlfn.IFS(BH39="NA","NA",BH39&gt;100%,"100%",BH39&lt;100,BH39)</f>
        <v>0</v>
      </c>
      <c r="BP39" s="42" t="str" cm="1">
        <f t="array" ref="BP39">_xlfn.IFS(BJ39="NA","NA",BJ39&gt;100%,"100%",BJ39&lt;100,BJ39)</f>
        <v>NA</v>
      </c>
      <c r="BQ39" s="45">
        <v>0.22500000000000001</v>
      </c>
      <c r="BR39" s="43">
        <f t="shared" si="2"/>
        <v>3.9375000000000007E-2</v>
      </c>
      <c r="BS39" s="45">
        <v>1.61E-2</v>
      </c>
      <c r="BT39" s="45">
        <v>1.21E-2</v>
      </c>
      <c r="BU39" s="45">
        <v>1.21E-2</v>
      </c>
      <c r="BV39" s="43">
        <f t="shared" si="55"/>
        <v>5.2232142857142859E-2</v>
      </c>
      <c r="BW39" s="43">
        <f t="shared" si="3"/>
        <v>2.7321428571428573E-2</v>
      </c>
      <c r="BX39" s="43">
        <f t="shared" si="4"/>
        <v>2.7275000000000008E-2</v>
      </c>
      <c r="BY39" s="43">
        <f t="shared" si="56"/>
        <v>8.0357142857142863E-2</v>
      </c>
      <c r="BZ39" s="43">
        <f t="shared" si="57"/>
        <v>0</v>
      </c>
      <c r="CA39" s="43">
        <f t="shared" si="5"/>
        <v>0</v>
      </c>
      <c r="CB39" s="43">
        <f t="shared" si="58"/>
        <v>8.0357142857142863E-2</v>
      </c>
      <c r="CC39" s="43">
        <f t="shared" si="59"/>
        <v>0</v>
      </c>
      <c r="CD39" s="45">
        <v>0</v>
      </c>
      <c r="CE39" s="43">
        <f t="shared" si="60"/>
        <v>0</v>
      </c>
      <c r="CF39" s="43" t="str">
        <f t="shared" si="61"/>
        <v>NA</v>
      </c>
      <c r="CG39" s="45">
        <v>0</v>
      </c>
    </row>
    <row r="40" spans="1:90" ht="18" customHeight="1">
      <c r="A40" s="260" t="s">
        <v>98</v>
      </c>
      <c r="B40" s="260" t="s">
        <v>99</v>
      </c>
      <c r="C40" s="260" t="s">
        <v>100</v>
      </c>
      <c r="D40" s="260" t="s">
        <v>101</v>
      </c>
      <c r="E40" s="260" t="s">
        <v>294</v>
      </c>
      <c r="F40" s="260" t="s">
        <v>305</v>
      </c>
      <c r="G40" s="260" t="s">
        <v>306</v>
      </c>
      <c r="H40" s="260" t="s">
        <v>322</v>
      </c>
      <c r="I40" s="260" t="s">
        <v>106</v>
      </c>
      <c r="J40" s="12" t="s">
        <v>323</v>
      </c>
      <c r="K40" s="260" t="s">
        <v>324</v>
      </c>
      <c r="L40" s="260" t="s">
        <v>325</v>
      </c>
      <c r="M40" s="260" t="s">
        <v>326</v>
      </c>
      <c r="N40" s="260" t="s">
        <v>111</v>
      </c>
      <c r="O40" s="260" t="s">
        <v>112</v>
      </c>
      <c r="P40" s="10">
        <v>0</v>
      </c>
      <c r="Q40" s="11">
        <v>5078</v>
      </c>
      <c r="R40" s="9">
        <f t="shared" si="48"/>
        <v>2155</v>
      </c>
      <c r="S40" s="9" t="str">
        <f>VLOOKUP(K40,'1197 Salud'!$K$13:$AK$54,9,0)</f>
        <v xml:space="preserve">1. Se realizaron 2325 visitas desde los subprocesos de establecimientos farmacéuticos y tiendas naturistas, verificación de condiciones de habilitación, flujo de recursos.
2. Por medio de las visitas se logra minimizar el riesgo en la prestación del servicio en los 116 municipios del departamento de Cundinamarca, bajo la identificación de servicios prestados no acorde a la normativa generando imposiciones de medida de medida y remisión a procesos sancionatorios, se inician procesos de verificación virtual para dar continuidad en las acciones de Inspección vigilancia y Control. 
3. Se fortalece la articulación con los entes externos e internos para fortalecer las acciones de seguimiento a los actores vigilados en el departamento por medio de unificación de conceptos normativos,  la socialización en los lineamientos Nacionales y Departamentales y la ejecución de   encuentros de Tecnovigilancia y simposios de Farmacovigilancia que brinda herramienta en tiempos de pandemia llegando a una  participación de 2060 asistentes. Se priorizan prestadores de servicio de salud bajo riesgo alto teniendo en cuenta los servicios inscritos de forma transitoria en COVID-19 </v>
      </c>
      <c r="T40" s="11">
        <v>350</v>
      </c>
      <c r="U40" s="11">
        <v>0</v>
      </c>
      <c r="V40" s="11">
        <v>350</v>
      </c>
      <c r="W40" s="11">
        <v>0</v>
      </c>
      <c r="X40" s="11">
        <v>754</v>
      </c>
      <c r="Y40" s="11">
        <v>0</v>
      </c>
      <c r="Z40" s="11">
        <v>754</v>
      </c>
      <c r="AA40" s="11" t="s">
        <v>327</v>
      </c>
      <c r="AB40" s="11" t="s">
        <v>328</v>
      </c>
      <c r="AC40" s="11" t="s">
        <v>329</v>
      </c>
      <c r="AD40" s="11">
        <v>1400</v>
      </c>
      <c r="AE40" s="11">
        <v>0</v>
      </c>
      <c r="AF40" s="9">
        <f>VLOOKUP(K40,'1197 Salud'!$K$13:$AK$54,22,0)</f>
        <v>1401</v>
      </c>
      <c r="AG40" s="9">
        <f>VLOOKUP(K40,'1197 Salud'!$K$13:$AK$54,23,0)</f>
        <v>0</v>
      </c>
      <c r="AH40" s="9">
        <f t="shared" si="49"/>
        <v>1401</v>
      </c>
      <c r="AI40" s="9" t="str">
        <f>VLOOKUP(K40,'1197 Salud'!$K$13:$AK$54,25,0)</f>
        <v>Vistas de IVC realizadas</v>
      </c>
      <c r="AJ40" s="9" t="str">
        <f>VLOOKUP(K40,'1197 Salud'!$K$13:$AK$54,26,0)</f>
        <v>1, Se logra realizar 1401 visitas desde los subprocesos de establecimientos farmacéuticos y tiendas naturistas, verificación de condiciones de habilitación, flujo de recursos, y los programas de gestión de riesgo como (Faramacivigilancia, Tecnovigilancia, Reactivovigilancia y Mantenimiento Hospitalario) 
2, Por medio de las visitas se logra minimizar el riesgo en la prestación del servicio en los 116 municipios del departamento de Cundinamarca, bajo la identificación de servicios prestados no acorde a la normativa generando imposiciones de medida de medida. 
3, Así mismo se logra articulación con los entes externos e internos para fortalecer las acciones de seguimiento a los actores vigilados en el departamento por medio de unificación de conceptos normativos,  la socialización en los lineamientos Nacionales y Departamentales y la ejecución del  VI encuentro de Tecnovigilancia, y el VIII Simposio de Farmacovigilancia  con una participación de 941 asistentes</v>
      </c>
      <c r="AK40" s="9" t="str">
        <f>VLOOKUP(K40,'1197 Salud'!$K$13:$AK$54,27,0)</f>
        <v xml:space="preserve">Con ocasión de la emergencia sanitaria declarada por el Gobierno Nacional por la pandemia COVID-19 se ha requerido ajustar la planeación de cada actividad lo que genera    e diseño e implementación de procedimientos virtuales  sin embargo la verificación virtual no permite la verificación de estructuras o equipos de forma específica por lo tanto se debe reprogramar para complementar la verificación. Así mismo se recibió orden del Ministerio de Salud y Protección Social donde se suspenden la realización de  visitas de verificación de condiciones de habilitación relacionada con Resolución 856 del 2020.
</v>
      </c>
      <c r="AL40" s="11">
        <v>1400</v>
      </c>
      <c r="AM40" s="11">
        <v>0</v>
      </c>
      <c r="AN40" s="11">
        <v>1928</v>
      </c>
      <c r="AO40" s="11">
        <v>0</v>
      </c>
      <c r="AP40" s="11">
        <v>0</v>
      </c>
      <c r="AQ40" s="11">
        <v>0</v>
      </c>
      <c r="AR40" s="51">
        <v>217507729</v>
      </c>
      <c r="AS40" s="54">
        <v>0</v>
      </c>
      <c r="AT40" s="54">
        <f t="shared" si="0"/>
        <v>217507729</v>
      </c>
      <c r="AU40" s="51">
        <v>217356879</v>
      </c>
      <c r="AV40" s="89">
        <v>1315774539</v>
      </c>
      <c r="AY40" s="89">
        <v>641066408</v>
      </c>
      <c r="AZ40" s="42">
        <f t="shared" si="50"/>
        <v>0.42437967703820401</v>
      </c>
      <c r="BA40" s="44">
        <v>6.8900000000000003E-2</v>
      </c>
      <c r="BB40" s="44">
        <v>2.1543000000000001</v>
      </c>
      <c r="BC40" s="42">
        <f t="shared" si="51"/>
        <v>0.27569909413154786</v>
      </c>
      <c r="BD40" s="42" cm="1">
        <f t="array" ref="BD40">_xlfn.IFS(AD40=0,"NA",AD40&gt;0,AH40/AD40)</f>
        <v>1.0007142857142857</v>
      </c>
      <c r="BE40" s="42">
        <f t="shared" si="52"/>
        <v>0.27569909413154786</v>
      </c>
      <c r="BF40" s="44">
        <v>0</v>
      </c>
      <c r="BG40" s="42">
        <f t="shared" si="53"/>
        <v>0.37967703820401733</v>
      </c>
      <c r="BH40" s="44">
        <v>0</v>
      </c>
      <c r="BI40" s="42">
        <f t="shared" si="54"/>
        <v>0</v>
      </c>
      <c r="BJ40" s="44" t="s">
        <v>115</v>
      </c>
      <c r="BK40" s="42">
        <f t="shared" si="1"/>
        <v>0.42437967703820401</v>
      </c>
      <c r="BL40" s="44">
        <v>1</v>
      </c>
      <c r="BM40" s="42" t="str" cm="1">
        <f t="array" ref="BM40">_xlfn.IFS(BD40="NA","NA",BD40&gt;100%,"100%",BD40&lt;100,BD40)</f>
        <v>100%</v>
      </c>
      <c r="BN40" s="42" cm="1">
        <f t="array" ref="BN40">_xlfn.IFS(BF40="NA","NA",BF40&gt;100%,"100%",BF40&lt;100,BF40)</f>
        <v>0</v>
      </c>
      <c r="BO40" s="42" cm="1">
        <f t="array" ref="BO40">_xlfn.IFS(BH40="NA","NA",BH40&gt;100%,"100%",BH40&lt;100,BH40)</f>
        <v>0</v>
      </c>
      <c r="BP40" s="42" t="str" cm="1">
        <f t="array" ref="BP40">_xlfn.IFS(BJ40="NA","NA",BJ40&gt;100%,"100%",BJ40&lt;100,BJ40)</f>
        <v>NA</v>
      </c>
      <c r="BQ40" s="45">
        <v>0.22500000000000001</v>
      </c>
      <c r="BR40" s="43">
        <f t="shared" si="2"/>
        <v>9.5485427333595899E-2</v>
      </c>
      <c r="BS40" s="45">
        <v>1.55E-2</v>
      </c>
      <c r="BT40" s="45">
        <v>1.55E-2</v>
      </c>
      <c r="BU40" s="45">
        <v>3.3399999999999999E-2</v>
      </c>
      <c r="BV40" s="43">
        <f t="shared" si="55"/>
        <v>6.2032296179598267E-2</v>
      </c>
      <c r="BW40" s="43">
        <f t="shared" si="3"/>
        <v>6.2032296179598267E-2</v>
      </c>
      <c r="BX40" s="43">
        <f t="shared" si="4"/>
        <v>6.2085427333595899E-2</v>
      </c>
      <c r="BY40" s="43">
        <f t="shared" si="56"/>
        <v>6.2032296179598267E-2</v>
      </c>
      <c r="BZ40" s="43">
        <f t="shared" si="57"/>
        <v>0</v>
      </c>
      <c r="CA40" s="43">
        <f t="shared" si="5"/>
        <v>0</v>
      </c>
      <c r="CB40" s="43">
        <f t="shared" si="58"/>
        <v>8.5427333595903904E-2</v>
      </c>
      <c r="CC40" s="43">
        <f t="shared" si="59"/>
        <v>0</v>
      </c>
      <c r="CD40" s="45">
        <v>0</v>
      </c>
      <c r="CE40" s="43">
        <f t="shared" si="60"/>
        <v>0</v>
      </c>
      <c r="CF40" s="43" t="str">
        <f t="shared" si="61"/>
        <v>NA</v>
      </c>
      <c r="CG40" s="45">
        <v>0</v>
      </c>
    </row>
    <row r="41" spans="1:90" ht="18" customHeight="1">
      <c r="A41" s="260" t="s">
        <v>98</v>
      </c>
      <c r="B41" s="260" t="s">
        <v>99</v>
      </c>
      <c r="C41" s="260" t="s">
        <v>100</v>
      </c>
      <c r="D41" s="260" t="s">
        <v>101</v>
      </c>
      <c r="E41" s="260" t="s">
        <v>294</v>
      </c>
      <c r="F41" s="260" t="s">
        <v>305</v>
      </c>
      <c r="G41" s="260" t="s">
        <v>306</v>
      </c>
      <c r="H41" s="260" t="s">
        <v>330</v>
      </c>
      <c r="I41" s="260" t="s">
        <v>106</v>
      </c>
      <c r="J41" s="260" t="s">
        <v>119</v>
      </c>
      <c r="K41" s="260" t="s">
        <v>331</v>
      </c>
      <c r="L41" s="260" t="s">
        <v>332</v>
      </c>
      <c r="M41" s="260" t="s">
        <v>333</v>
      </c>
      <c r="N41" s="260" t="s">
        <v>111</v>
      </c>
      <c r="O41" s="260" t="s">
        <v>112</v>
      </c>
      <c r="P41" s="10">
        <v>0</v>
      </c>
      <c r="Q41" s="11">
        <v>1</v>
      </c>
      <c r="R41" s="9">
        <f t="shared" si="48"/>
        <v>0.45</v>
      </c>
      <c r="S41" s="9" t="str">
        <f>VLOOKUP(K41,'1197 Salud'!$K$13:$AK$54,9,0)</f>
        <v>Se realizó la implementación de los procedimientos virtuales con ocasión de la pandemia COVID-19  lo que permitió la realización de vistas virtuales de los diferentes programas, tales como  farmacovigilancia, (2020: 32 - 2021: 44) visitas a IPS, Articulación Externa Por Medio De Mesas De Trabajo Con Las Diferentes Direcciones Y Entes De Control Para Priorizar Estrategias De Intervención Como Nodo Territorial por medio de  video conferencia con UPPSALA MONITORING CENTRE – INVIMA. Para el Fondo rotatorio de estupefacientes Se adelantaron reuniones de forma articulada con salud pública para la divulgación de políticas públicas y homologación de requisitos normativos y Se realizaron visitas de inspección vigilancia y control para el manejo de MCE a los prestadores de servicios de Salud en el Departamento. Se da continuidad a la verificación virtual de los programas de Reactivovigilancia y Tecnovigilancia. En cuanto al programa de Tecnovigilancia han ingresado a la plataforma (2020: 393- 2021:138) verificaciones de eventos adversos asociados a dispositivos médicos, de igual forma se realizó el encuentro de Tecnovigilancia, simposio de Farmacovigilancia y apoyo del programa de Reactivovigilancia de forma virtual, con una participación de (1119) asistentes, En cuanto a Reactivovigilancia se han realizado (2021: 43) visitas presenciales y virtuales, para el programa de Mantenimiento hospitalario se han realizado en la vigencia 2021:(117 visitas) Así mismo para el fondo local de salud Se realizaron visitas a secretarias de salud municipal con el fin de realizar seguimiento a la ejecución de los recursos asignados terminando el proceso de verificación para certificación vigencia 2020  logrado certificar 116 secretarias municipales e iniciando la verificación para la vigencia 2021. Para establecimientos farmacéuticos Se realizaron (2020: 350 – 2021:416) visitas, se realizó apoyo en implementación normativa a establecimientos farmacéuticos. En cuanto a habilitación Se realizaron lo que corresponde al 2020 (615visitas) y 2021 (615 visitas),  a prestadores de servicios de salud, Se logra certificar a (6) prestadores de servicio de salud Privados (7) Públicos (3) Unificación de conceptos e implementación de lineamientos normativos por parte de los entes Nacionales para ejercer acciones de IVC frente a prestadores de servicios de salud en Pandemia COVID-19, inclusión de personal de salud para el seguimiento de casos COVID- 19 priorización para servicios de vacunación en COVID-19, Unidades de Cuidado Intensivo, servicios de Expansión en el Marco de la Pandemia.</v>
      </c>
      <c r="T41" s="11">
        <v>0.25</v>
      </c>
      <c r="U41" s="11">
        <v>0</v>
      </c>
      <c r="V41" s="11">
        <v>0.25</v>
      </c>
      <c r="W41" s="11">
        <v>0</v>
      </c>
      <c r="X41" s="11">
        <v>0.25</v>
      </c>
      <c r="Y41" s="11">
        <v>0</v>
      </c>
      <c r="Z41" s="11">
        <v>0.25</v>
      </c>
      <c r="AA41" s="11" t="s">
        <v>334</v>
      </c>
      <c r="AB41" s="11" t="s">
        <v>335</v>
      </c>
      <c r="AC41" s="11" t="s">
        <v>336</v>
      </c>
      <c r="AD41" s="11">
        <v>0.25</v>
      </c>
      <c r="AE41" s="11">
        <v>0</v>
      </c>
      <c r="AF41" s="9">
        <f>VLOOKUP(K41,'1197 Salud'!$K$13:$AK$54,22,0)</f>
        <v>0.2</v>
      </c>
      <c r="AG41" s="9">
        <f>VLOOKUP(K41,'1197 Salud'!$K$13:$AK$54,23,0)</f>
        <v>0</v>
      </c>
      <c r="AH41" s="9">
        <f t="shared" si="49"/>
        <v>0.2</v>
      </c>
      <c r="AI41" s="9" t="str">
        <f>VLOOKUP(K41,'1197 Salud'!$K$13:$AK$54,25,0)</f>
        <v>FRECUN implementado</v>
      </c>
      <c r="AJ41" s="9" t="str">
        <f>VLOOKUP(K41,'1197 Salud'!$K$13:$AK$54,26,0)</f>
        <v>Se realizan (10) mesas de trabajo con el fin de homologar conceptos frente a los avances frente al fondo rotatorio de estupefacientes de Cundinamarca con DAF (Departamento administrativo financiera, (FNE) Fondo Nacional de Estupefacientes y con el grupo de auditores del subproceso de establecimientos farmacéuticos y tiendas naturistas. Se realiza (67) Visitas de Inspección, Vigilancia y Control para el manejo de Los Medicamentos de Control Especial a los prestadores de Servicios de salud y establecimientos farmacéuticos en el Departamento</v>
      </c>
      <c r="AK41" s="9" t="str">
        <f>VLOOKUP(K41,'1197 Salud'!$K$13:$AK$54,27,0)</f>
        <v>1.Declaración de la Pandemia por COVID 19
2.La realización de visitas virtuales no permiten evidenciar la gestión general de la Gestión de los Servcios Farmaceuticos</v>
      </c>
      <c r="AL41" s="11">
        <v>0.25</v>
      </c>
      <c r="AM41" s="11">
        <v>0</v>
      </c>
      <c r="AN41" s="11">
        <v>0.25</v>
      </c>
      <c r="AO41" s="11">
        <v>0</v>
      </c>
      <c r="AP41" s="11">
        <v>0</v>
      </c>
      <c r="AQ41" s="11">
        <v>0</v>
      </c>
      <c r="AR41" s="51">
        <v>21108249</v>
      </c>
      <c r="AS41" s="54">
        <v>0</v>
      </c>
      <c r="AT41" s="54">
        <f t="shared" si="0"/>
        <v>21108249</v>
      </c>
      <c r="AU41" s="51">
        <v>17199314</v>
      </c>
      <c r="AV41" s="89">
        <v>200206091</v>
      </c>
      <c r="AY41" s="89">
        <v>29129382</v>
      </c>
      <c r="AZ41" s="42">
        <f t="shared" si="50"/>
        <v>0.45</v>
      </c>
      <c r="BA41" s="44">
        <v>0.25</v>
      </c>
      <c r="BB41" s="44">
        <v>1</v>
      </c>
      <c r="BC41" s="42">
        <f t="shared" si="51"/>
        <v>0.25</v>
      </c>
      <c r="BD41" s="42" cm="1">
        <f t="array" ref="BD41">_xlfn.IFS(AD41=0,"NA",AD41&gt;0,AH41/AD41)</f>
        <v>0.8</v>
      </c>
      <c r="BE41" s="42">
        <f t="shared" si="52"/>
        <v>0.25</v>
      </c>
      <c r="BF41" s="44">
        <v>0</v>
      </c>
      <c r="BG41" s="42">
        <f t="shared" si="53"/>
        <v>0.25</v>
      </c>
      <c r="BH41" s="44">
        <v>0</v>
      </c>
      <c r="BI41" s="42">
        <f t="shared" si="54"/>
        <v>0</v>
      </c>
      <c r="BJ41" s="44" t="s">
        <v>115</v>
      </c>
      <c r="BK41" s="42">
        <f t="shared" si="1"/>
        <v>0.45</v>
      </c>
      <c r="BL41" s="44">
        <v>1</v>
      </c>
      <c r="BM41" s="42" cm="1">
        <f t="array" ref="BM41">_xlfn.IFS(BD41="NA","NA",BD41&gt;100%,"100%",BD41&lt;100,BD41)</f>
        <v>0.8</v>
      </c>
      <c r="BN41" s="42" cm="1">
        <f t="array" ref="BN41">_xlfn.IFS(BF41="NA","NA",BF41&gt;100%,"100%",BF41&lt;100,BF41)</f>
        <v>0</v>
      </c>
      <c r="BO41" s="42" cm="1">
        <f t="array" ref="BO41">_xlfn.IFS(BH41="NA","NA",BH41&gt;100%,"100%",BH41&lt;100,BH41)</f>
        <v>0</v>
      </c>
      <c r="BP41" s="42" t="str" cm="1">
        <f t="array" ref="BP41">_xlfn.IFS(BJ41="NA","NA",BJ41&gt;100%,"100%",BJ41&lt;100,BJ41)</f>
        <v>NA</v>
      </c>
      <c r="BQ41" s="45">
        <v>0.22500000000000001</v>
      </c>
      <c r="BR41" s="43">
        <f t="shared" si="2"/>
        <v>0.10125000000000001</v>
      </c>
      <c r="BS41" s="45">
        <v>5.6300000000000003E-2</v>
      </c>
      <c r="BT41" s="45">
        <v>5.6300000000000003E-2</v>
      </c>
      <c r="BU41" s="45">
        <v>5.6300000000000003E-2</v>
      </c>
      <c r="BV41" s="43">
        <f t="shared" si="55"/>
        <v>5.6250000000000001E-2</v>
      </c>
      <c r="BW41" s="43">
        <f t="shared" si="3"/>
        <v>4.5000000000000005E-2</v>
      </c>
      <c r="BX41" s="43">
        <f t="shared" si="4"/>
        <v>4.4950000000000004E-2</v>
      </c>
      <c r="BY41" s="43">
        <f t="shared" si="56"/>
        <v>5.6250000000000001E-2</v>
      </c>
      <c r="BZ41" s="43">
        <f t="shared" si="57"/>
        <v>0</v>
      </c>
      <c r="CA41" s="43">
        <f t="shared" si="5"/>
        <v>0</v>
      </c>
      <c r="CB41" s="43">
        <f t="shared" si="58"/>
        <v>5.6250000000000001E-2</v>
      </c>
      <c r="CC41" s="43">
        <f t="shared" si="59"/>
        <v>0</v>
      </c>
      <c r="CD41" s="45">
        <v>0</v>
      </c>
      <c r="CE41" s="43">
        <f t="shared" si="60"/>
        <v>0</v>
      </c>
      <c r="CF41" s="43" t="str">
        <f t="shared" si="61"/>
        <v>NA</v>
      </c>
      <c r="CG41" s="45">
        <v>0</v>
      </c>
    </row>
    <row r="42" spans="1:90" ht="18" customHeight="1">
      <c r="A42" s="260" t="s">
        <v>98</v>
      </c>
      <c r="B42" s="260" t="s">
        <v>99</v>
      </c>
      <c r="C42" s="260" t="s">
        <v>100</v>
      </c>
      <c r="D42" s="260" t="s">
        <v>101</v>
      </c>
      <c r="E42" s="260" t="s">
        <v>294</v>
      </c>
      <c r="F42" s="260" t="s">
        <v>305</v>
      </c>
      <c r="G42" s="260" t="s">
        <v>306</v>
      </c>
      <c r="H42" s="260" t="s">
        <v>337</v>
      </c>
      <c r="I42" s="260" t="s">
        <v>106</v>
      </c>
      <c r="J42" s="260" t="s">
        <v>338</v>
      </c>
      <c r="K42" s="260" t="s">
        <v>339</v>
      </c>
      <c r="L42" s="260" t="s">
        <v>340</v>
      </c>
      <c r="M42" s="260" t="s">
        <v>341</v>
      </c>
      <c r="N42" s="260" t="s">
        <v>123</v>
      </c>
      <c r="O42" s="260" t="s">
        <v>112</v>
      </c>
      <c r="P42" s="10">
        <v>85</v>
      </c>
      <c r="Q42" s="11">
        <v>10</v>
      </c>
      <c r="R42" s="9">
        <f t="shared" si="48"/>
        <v>3.83</v>
      </c>
      <c r="S42" s="9" t="str">
        <f>VLOOKUP(K42,'1197 Salud'!$K$13:$AK$54,9,0)</f>
        <v xml:space="preserve">Se a logrado el fortalecimiento de los lineamientos de los  eventos de interes en salud publica en  los 116 municipios del departamento, mendiante el seguimiento en promedio mensual de 30 a  35 eventos de los cuales se resalta los eventos de maternidad, nutricion, Infecciones respiratorias, zonoticos, enfermedad transmitidas por vectores  y COVID 19 entre otros logrando a  semana epidemiologica 46  un 100% en la notificacion de evento de interes en salud publica por las unidades notificadoras municpales, de igual manera se dio respuesta y acompañamiento a brote en los municipio de  Zipaquira, Fomeque y Subachoque </v>
      </c>
      <c r="T42" s="11">
        <v>2</v>
      </c>
      <c r="U42" s="11">
        <v>0</v>
      </c>
      <c r="V42" s="11">
        <v>2</v>
      </c>
      <c r="W42" s="11">
        <v>0</v>
      </c>
      <c r="X42" s="11">
        <v>2</v>
      </c>
      <c r="Y42" s="11">
        <v>0</v>
      </c>
      <c r="Z42" s="11">
        <v>2</v>
      </c>
      <c r="AA42" s="11" t="s">
        <v>342</v>
      </c>
      <c r="AB42" s="11" t="s">
        <v>343</v>
      </c>
      <c r="AC42" s="11">
        <v>0</v>
      </c>
      <c r="AD42" s="11">
        <v>2</v>
      </c>
      <c r="AE42" s="11">
        <v>0</v>
      </c>
      <c r="AF42" s="9">
        <f>VLOOKUP(K42,'1197 Salud'!$K$13:$AK$54,22,0)</f>
        <v>1.83</v>
      </c>
      <c r="AG42" s="9">
        <f>VLOOKUP(K42,'1197 Salud'!$K$13:$AK$54,23,0)</f>
        <v>0</v>
      </c>
      <c r="AH42" s="9">
        <f t="shared" si="49"/>
        <v>1.83</v>
      </c>
      <c r="AI42" s="9" t="str">
        <f>VLOOKUP(K42,'1197 Salud'!$K$13:$AK$54,25,0)</f>
        <v>linemaientos de vigilancia en salud publica</v>
      </c>
      <c r="AJ42" s="9" t="str">
        <f>VLOOKUP(K42,'1197 Salud'!$K$13:$AK$54,26,0)</f>
        <v xml:space="preserve">Se a logrado el fortalecimiento de los lineamientos de los  eventos de interes en salud publica en  los 116 municipios del departamento, mendiante el seguimiento en promedio mensual de 30 a  35 eventos de los cuales se resalta los eventos de maternidad, nutricion, Infecciones respiratorias, zonoticos, enfermedad transmitidas por vectores  y COVID 19 entre otros logrando a  semana epidemiologica 46  un 100% en la notificacion de evento de interes en salud publica por las unidades notificadoras municpales, de igual manera se dio respuesta y acompañamiento a brote en los municipio de  Zipaquira, Fomeque y Subachoque </v>
      </c>
      <c r="AK42" s="9" t="str">
        <f>VLOOKUP(K42,'1197 Salud'!$K$13:$AK$54,27,0)</f>
        <v xml:space="preserve">Demoras en la adquisicion del talento humano a nivel departarmental y municipal </v>
      </c>
      <c r="AL42" s="11">
        <v>2</v>
      </c>
      <c r="AM42" s="11">
        <v>0</v>
      </c>
      <c r="AN42" s="11">
        <v>4</v>
      </c>
      <c r="AO42" s="11">
        <v>0</v>
      </c>
      <c r="AP42" s="11">
        <v>0</v>
      </c>
      <c r="AQ42" s="11">
        <v>0</v>
      </c>
      <c r="AR42" s="51">
        <v>3681781313</v>
      </c>
      <c r="AS42" s="54">
        <v>0</v>
      </c>
      <c r="AT42" s="54">
        <f t="shared" si="0"/>
        <v>3681781313</v>
      </c>
      <c r="AU42" s="51">
        <v>2854479926</v>
      </c>
      <c r="AV42" s="89">
        <v>6136539405</v>
      </c>
      <c r="AY42" s="89">
        <v>1582090576</v>
      </c>
      <c r="AZ42" s="42">
        <f t="shared" si="50"/>
        <v>0.38300000000000001</v>
      </c>
      <c r="BA42" s="44">
        <v>0.2</v>
      </c>
      <c r="BB42" s="44">
        <v>1</v>
      </c>
      <c r="BC42" s="42">
        <f t="shared" si="51"/>
        <v>0.2</v>
      </c>
      <c r="BD42" s="42" cm="1">
        <f t="array" ref="BD42">_xlfn.IFS(AD42=0,"NA",AD42&gt;0,AH42/AD42)</f>
        <v>0.91500000000000004</v>
      </c>
      <c r="BE42" s="42">
        <f t="shared" si="52"/>
        <v>0.2</v>
      </c>
      <c r="BF42" s="44">
        <v>0</v>
      </c>
      <c r="BG42" s="42">
        <f t="shared" si="53"/>
        <v>0.4</v>
      </c>
      <c r="BH42" s="44">
        <v>0</v>
      </c>
      <c r="BI42" s="42">
        <f t="shared" si="54"/>
        <v>0</v>
      </c>
      <c r="BJ42" s="44" t="s">
        <v>115</v>
      </c>
      <c r="BK42" s="42">
        <f t="shared" si="1"/>
        <v>0.38300000000000001</v>
      </c>
      <c r="BL42" s="44">
        <v>1</v>
      </c>
      <c r="BM42" s="42" cm="1">
        <f t="array" ref="BM42">_xlfn.IFS(BD42="NA","NA",BD42&gt;100%,"100%",BD42&lt;100,BD42)</f>
        <v>0.91500000000000004</v>
      </c>
      <c r="BN42" s="42" cm="1">
        <f t="array" ref="BN42">_xlfn.IFS(BF42="NA","NA",BF42&gt;100%,"100%",BF42&lt;100,BF42)</f>
        <v>0</v>
      </c>
      <c r="BO42" s="42" cm="1">
        <f t="array" ref="BO42">_xlfn.IFS(BH42="NA","NA",BH42&gt;100%,"100%",BH42&lt;100,BH42)</f>
        <v>0</v>
      </c>
      <c r="BP42" s="42" t="str" cm="1">
        <f t="array" ref="BP42">_xlfn.IFS(BJ42="NA","NA",BJ42&gt;100%,"100%",BJ42&lt;100,BJ42)</f>
        <v>NA</v>
      </c>
      <c r="BQ42" s="45">
        <v>0.22500000000000001</v>
      </c>
      <c r="BR42" s="43">
        <f t="shared" si="2"/>
        <v>8.6175000000000002E-2</v>
      </c>
      <c r="BS42" s="45">
        <v>4.4999999999999998E-2</v>
      </c>
      <c r="BT42" s="45">
        <v>4.4999999999999998E-2</v>
      </c>
      <c r="BU42" s="45">
        <v>4.4999999999999998E-2</v>
      </c>
      <c r="BV42" s="43">
        <f t="shared" si="55"/>
        <v>4.4999999999999998E-2</v>
      </c>
      <c r="BW42" s="43">
        <f t="shared" si="3"/>
        <v>4.1175000000000003E-2</v>
      </c>
      <c r="BX42" s="43">
        <f t="shared" si="4"/>
        <v>4.1175000000000003E-2</v>
      </c>
      <c r="BY42" s="43">
        <f t="shared" si="56"/>
        <v>4.4999999999999998E-2</v>
      </c>
      <c r="BZ42" s="43">
        <f t="shared" si="57"/>
        <v>0</v>
      </c>
      <c r="CA42" s="43">
        <f t="shared" si="5"/>
        <v>0</v>
      </c>
      <c r="CB42" s="43">
        <f t="shared" si="58"/>
        <v>0.09</v>
      </c>
      <c r="CC42" s="43">
        <f t="shared" si="59"/>
        <v>0</v>
      </c>
      <c r="CD42" s="45">
        <v>0</v>
      </c>
      <c r="CE42" s="43">
        <f t="shared" si="60"/>
        <v>0</v>
      </c>
      <c r="CF42" s="43" t="str">
        <f t="shared" si="61"/>
        <v>NA</v>
      </c>
      <c r="CG42" s="45">
        <v>0</v>
      </c>
    </row>
    <row r="43" spans="1:90" ht="18" customHeight="1">
      <c r="A43" s="260" t="s">
        <v>248</v>
      </c>
      <c r="B43" s="260" t="s">
        <v>249</v>
      </c>
      <c r="C43" s="260" t="s">
        <v>100</v>
      </c>
      <c r="D43" s="260" t="s">
        <v>101</v>
      </c>
      <c r="E43" s="260" t="s">
        <v>294</v>
      </c>
      <c r="F43" s="260" t="s">
        <v>2844</v>
      </c>
      <c r="G43" s="260" t="s">
        <v>2845</v>
      </c>
      <c r="H43" s="260" t="s">
        <v>344</v>
      </c>
      <c r="I43" s="260" t="s">
        <v>106</v>
      </c>
      <c r="J43" s="260"/>
      <c r="K43" s="260" t="s">
        <v>345</v>
      </c>
      <c r="L43" s="260" t="s">
        <v>2846</v>
      </c>
      <c r="M43" s="260" t="s">
        <v>347</v>
      </c>
      <c r="N43" s="260" t="s">
        <v>111</v>
      </c>
      <c r="O43" s="260" t="s">
        <v>112</v>
      </c>
      <c r="P43" s="10">
        <v>0</v>
      </c>
      <c r="Q43" s="11">
        <v>1200</v>
      </c>
      <c r="R43" s="9">
        <f t="shared" si="48"/>
        <v>600</v>
      </c>
      <c r="S43" s="11" t="str">
        <f>VLOOKUP(K43,'1208 Indeportes'!$K$13:$AK$39,9,0)</f>
        <v>Esta meta se encuentra en ejecución y se han realizado las siguientes actividades: COFINANCIACIÓN CONVENIO PARA EL DESARROLLO DEL PROYECTO DE DEPORTE ESCOLAR -ESCUELAS DEPORTIVAS- , CON EL MINISTERIO DEL DEPORTE.GERENCIA INTEGRAL DE PROYECTOS PARA LA PLANEACIÓN, ADMINISTRACIÓN Y EJECUCIÓN DE ACCIONES TENDIENTES A MEJORAR LA CALIDAD, LA COMPETITIVIDAD Y LA PROMOCIÓN DEL DEPORTE EN CUNDINAMARCA, DE ACUERDO CON LOS LINEAMIENTOS DEL PLAN DE DESARROLLO “CUNDINAMARCA REGIÓN QUE PROGRESA.En el marco del convenio No. 257 de 2020 se adelanta la entrega de kits deportivos para 4 escuelas de cada uno de los 116 municipios que contiene, entre otras cosas, colchonetas, balones, bandas elásticas, balones medicinales, conos reflectivos, aros, lazos, etc.</v>
      </c>
      <c r="T43" s="11">
        <v>300</v>
      </c>
      <c r="U43" s="11">
        <v>0</v>
      </c>
      <c r="V43" s="11">
        <v>300</v>
      </c>
      <c r="W43" s="11">
        <v>0</v>
      </c>
      <c r="X43" s="11">
        <v>0</v>
      </c>
      <c r="Y43" s="11">
        <v>0</v>
      </c>
      <c r="Z43" s="11">
        <v>0</v>
      </c>
      <c r="AA43" s="11">
        <v>0</v>
      </c>
      <c r="AB43" s="11" t="s">
        <v>348</v>
      </c>
      <c r="AC43" s="11">
        <v>0</v>
      </c>
      <c r="AD43" s="11">
        <v>600</v>
      </c>
      <c r="AE43" s="11">
        <v>0</v>
      </c>
      <c r="AF43" s="11">
        <f>VLOOKUP(K43,'1208 Indeportes'!$K$13:$AH$39,22,0)</f>
        <v>600</v>
      </c>
      <c r="AG43" s="11">
        <f>VLOOKUP(K43,'1208 Indeportes'!$K$13:$AH$39,23,0)</f>
        <v>0</v>
      </c>
      <c r="AH43" s="9">
        <f t="shared" si="49"/>
        <v>600</v>
      </c>
      <c r="AI43" s="9">
        <f>VLOOKUP(K43,'1208 Indeportes'!$K$13:$AK$39,25,0)</f>
        <v>0</v>
      </c>
      <c r="AJ43" s="9" t="str">
        <f>VLOOKUP(K43,'1208 Indeportes'!$K$13:$AK$39,26,0)</f>
        <v>Cumplimos con la entrega de tulas deportivas y uniformes compuestos por camiseta y pantaloneta a más de 15.000 niños, niñas, jóvenes y adolescentes del departamento que se encuentran vinculados a las Escuelas de Formación deportiva, de igual forma, dotamos a los 116 Municipios del Departamento con Kits de elementos deportivos para las modalidades de futbol, futbol de salón, voleibol, baloncesto, natación, entre otros. La inversión realizada supero los tres mil quinientos millones de pesos ($3.500.000.000).</v>
      </c>
      <c r="AK43" s="9">
        <f>VLOOKUP(K43,'1208 Indeportes'!$K$13:$AK$39,27,0)</f>
        <v>0</v>
      </c>
      <c r="AL43" s="11">
        <v>300</v>
      </c>
      <c r="AM43" s="11">
        <v>0</v>
      </c>
      <c r="AN43" s="11">
        <v>300</v>
      </c>
      <c r="AO43" s="11">
        <v>0</v>
      </c>
      <c r="AP43" s="11">
        <v>0</v>
      </c>
      <c r="AQ43" s="11">
        <v>0</v>
      </c>
      <c r="AR43" s="51">
        <v>2698834333</v>
      </c>
      <c r="AS43" s="54">
        <v>0</v>
      </c>
      <c r="AT43" s="54">
        <f t="shared" si="0"/>
        <v>2698834333</v>
      </c>
      <c r="AU43" s="51">
        <v>2673152176</v>
      </c>
      <c r="AV43" s="89">
        <v>9392228593</v>
      </c>
      <c r="AY43" s="89">
        <v>0</v>
      </c>
      <c r="AZ43" s="42">
        <f t="shared" si="50"/>
        <v>0.5</v>
      </c>
      <c r="BA43" s="44">
        <v>0.25</v>
      </c>
      <c r="BB43" s="44">
        <v>0</v>
      </c>
      <c r="BC43" s="42">
        <f t="shared" si="51"/>
        <v>0.5</v>
      </c>
      <c r="BD43" s="42" cm="1">
        <f t="array" ref="BD43">_xlfn.IFS(AD43=0,"NA",AD43&gt;0,AH43/AD43)</f>
        <v>1</v>
      </c>
      <c r="BE43" s="42">
        <f t="shared" si="52"/>
        <v>0.25</v>
      </c>
      <c r="BF43" s="44">
        <v>0</v>
      </c>
      <c r="BG43" s="42">
        <f t="shared" si="53"/>
        <v>0.25</v>
      </c>
      <c r="BH43" s="44">
        <v>0</v>
      </c>
      <c r="BI43" s="42">
        <f t="shared" si="54"/>
        <v>0</v>
      </c>
      <c r="BJ43" s="44" t="s">
        <v>115</v>
      </c>
      <c r="BK43" s="42">
        <f t="shared" si="1"/>
        <v>0.5</v>
      </c>
      <c r="BL43" s="44">
        <v>0</v>
      </c>
      <c r="BM43" s="42" cm="1">
        <f t="array" ref="BM43">_xlfn.IFS(BD43="NA","NA",BD43&gt;100%,"100%",BD43&lt;100,BD43)</f>
        <v>1</v>
      </c>
      <c r="BN43" s="42" cm="1">
        <f t="array" ref="BN43">_xlfn.IFS(BF43="NA","NA",BF43&gt;100%,"100%",BF43&lt;100,BF43)</f>
        <v>0</v>
      </c>
      <c r="BO43" s="42" cm="1">
        <f t="array" ref="BO43">_xlfn.IFS(BH43="NA","NA",BH43&gt;100%,"100%",BH43&lt;100,BH43)</f>
        <v>0</v>
      </c>
      <c r="BP43" s="42" t="str" cm="1">
        <f t="array" ref="BP43">_xlfn.IFS(BJ43="NA","NA",BJ43&gt;100%,"100%",BJ43&lt;100,BJ43)</f>
        <v>NA</v>
      </c>
      <c r="BQ43" s="45">
        <v>0.22500000000000001</v>
      </c>
      <c r="BR43" s="43">
        <f t="shared" si="2"/>
        <v>0.1125</v>
      </c>
      <c r="BS43" s="45">
        <v>5.6300000000000003E-2</v>
      </c>
      <c r="BT43" s="45">
        <v>0</v>
      </c>
      <c r="BU43" s="45">
        <v>0</v>
      </c>
      <c r="BV43" s="43">
        <f t="shared" si="55"/>
        <v>0.1125</v>
      </c>
      <c r="BW43" s="43">
        <f t="shared" si="3"/>
        <v>0.1125</v>
      </c>
      <c r="BX43" s="43">
        <f t="shared" si="4"/>
        <v>0.1125</v>
      </c>
      <c r="BY43" s="43">
        <f t="shared" si="56"/>
        <v>5.6250000000000001E-2</v>
      </c>
      <c r="BZ43" s="43">
        <f t="shared" si="57"/>
        <v>0</v>
      </c>
      <c r="CA43" s="43">
        <f t="shared" si="5"/>
        <v>0</v>
      </c>
      <c r="CB43" s="43">
        <f t="shared" si="58"/>
        <v>5.6250000000000001E-2</v>
      </c>
      <c r="CC43" s="43">
        <f t="shared" si="59"/>
        <v>0</v>
      </c>
      <c r="CD43" s="45">
        <v>0</v>
      </c>
      <c r="CE43" s="43">
        <f t="shared" si="60"/>
        <v>0</v>
      </c>
      <c r="CF43" s="43" t="str">
        <f t="shared" si="61"/>
        <v>NA</v>
      </c>
      <c r="CG43" s="45">
        <v>0</v>
      </c>
    </row>
    <row r="44" spans="1:90" ht="18" customHeight="1">
      <c r="A44" s="260" t="s">
        <v>248</v>
      </c>
      <c r="B44" s="260" t="s">
        <v>249</v>
      </c>
      <c r="C44" s="260" t="s">
        <v>100</v>
      </c>
      <c r="D44" s="260" t="s">
        <v>101</v>
      </c>
      <c r="E44" s="260" t="s">
        <v>294</v>
      </c>
      <c r="F44" s="260" t="s">
        <v>2844</v>
      </c>
      <c r="G44" s="260" t="s">
        <v>2845</v>
      </c>
      <c r="H44" s="260" t="s">
        <v>349</v>
      </c>
      <c r="I44" s="260" t="s">
        <v>106</v>
      </c>
      <c r="J44" s="260"/>
      <c r="K44" s="260" t="s">
        <v>350</v>
      </c>
      <c r="L44" s="260" t="s">
        <v>351</v>
      </c>
      <c r="M44" s="260" t="s">
        <v>352</v>
      </c>
      <c r="N44" s="260" t="s">
        <v>111</v>
      </c>
      <c r="O44" s="260" t="s">
        <v>112</v>
      </c>
      <c r="P44" s="10">
        <v>200</v>
      </c>
      <c r="Q44" s="11">
        <v>300</v>
      </c>
      <c r="R44" s="9">
        <f t="shared" si="48"/>
        <v>112</v>
      </c>
      <c r="S44" s="11" t="str">
        <f>VLOOKUP(K44,'1208 Indeportes'!$K$13:$AK$39,9,0)</f>
        <v>La meta se encuentra en ejecución: Se han recibido solicitudes de 18 municipios, que contemplan un total de 38 parques saludables, de las cuales 7 adjuntan documentos completos para el proceso. Se realizó el estudio del sector y del mercado para llevar a cabo la etapa pre contractual de la adquisición de parques saludables. Se inicia el proceso de contratación para la dotación de 15 parques saludables para los municipios del departamento.</v>
      </c>
      <c r="T44" s="11">
        <v>15</v>
      </c>
      <c r="U44" s="11">
        <v>0</v>
      </c>
      <c r="V44" s="11">
        <v>15</v>
      </c>
      <c r="W44" s="11">
        <v>0</v>
      </c>
      <c r="X44" s="11">
        <v>0</v>
      </c>
      <c r="Y44" s="11">
        <v>0</v>
      </c>
      <c r="Z44" s="11">
        <v>0</v>
      </c>
      <c r="AA44" s="11">
        <v>0</v>
      </c>
      <c r="AB44" s="11" t="s">
        <v>353</v>
      </c>
      <c r="AC44" s="11">
        <v>0</v>
      </c>
      <c r="AD44" s="11">
        <v>115</v>
      </c>
      <c r="AE44" s="11">
        <v>0</v>
      </c>
      <c r="AF44" s="11">
        <f>VLOOKUP(K44,'1208 Indeportes'!$K$13:$AH$39,22,0)</f>
        <v>112</v>
      </c>
      <c r="AG44" s="11">
        <f>VLOOKUP(K44,'1208 Indeportes'!$K$13:$AH$39,23,0)</f>
        <v>0</v>
      </c>
      <c r="AH44" s="9">
        <f t="shared" si="49"/>
        <v>112</v>
      </c>
      <c r="AI44" s="9">
        <f>VLOOKUP(K44,'1208 Indeportes'!$K$13:$AK$39,25,0)</f>
        <v>0</v>
      </c>
      <c r="AJ44" s="9" t="str">
        <f>VLOOKUP(K44,'1208 Indeportes'!$K$13:$AK$39,26,0)</f>
        <v>Se encuentran ejecución 14 convenios firmados en diciembre de 2020, en los cuales se estableció la dotación de módulos saludables (8 módulos por cada convenio), se tendría en total 112 módulos saludables (Gutiérrez, La Vega, Carmen de Carupa, Chía, Tocancipa, Nocaima, Ubalá,, Nilo, La mesa, Gachalá, Viotá, Ubaté, La Palma, Funza)</v>
      </c>
      <c r="AK44" s="9">
        <f>VLOOKUP(K44,'1208 Indeportes'!$K$13:$AK$39,27,0)</f>
        <v>0</v>
      </c>
      <c r="AL44" s="11">
        <v>100</v>
      </c>
      <c r="AM44" s="11">
        <v>0</v>
      </c>
      <c r="AN44" s="11">
        <v>85</v>
      </c>
      <c r="AO44" s="11">
        <v>0</v>
      </c>
      <c r="AP44" s="11">
        <v>0</v>
      </c>
      <c r="AQ44" s="11">
        <v>0</v>
      </c>
      <c r="AR44" s="51">
        <v>615333333</v>
      </c>
      <c r="AS44" s="54">
        <v>0</v>
      </c>
      <c r="AT44" s="54">
        <f t="shared" si="0"/>
        <v>615333333</v>
      </c>
      <c r="AU44" s="51">
        <v>450792000</v>
      </c>
      <c r="AV44" s="89">
        <v>300000000</v>
      </c>
      <c r="AY44" s="89">
        <v>0</v>
      </c>
      <c r="AZ44" s="42">
        <f t="shared" si="50"/>
        <v>0.37333333333333335</v>
      </c>
      <c r="BA44" s="44">
        <v>0.05</v>
      </c>
      <c r="BB44" s="44">
        <v>0</v>
      </c>
      <c r="BC44" s="42">
        <f t="shared" si="51"/>
        <v>0.38333333333333336</v>
      </c>
      <c r="BD44" s="42" cm="1">
        <f t="array" ref="BD44">_xlfn.IFS(AD44=0,"NA",AD44&gt;0,AH44/AD44)</f>
        <v>0.97391304347826091</v>
      </c>
      <c r="BE44" s="42">
        <f t="shared" si="52"/>
        <v>0.33333333333333331</v>
      </c>
      <c r="BF44" s="44">
        <v>0</v>
      </c>
      <c r="BG44" s="42">
        <f t="shared" si="53"/>
        <v>0.28333333333333333</v>
      </c>
      <c r="BH44" s="44">
        <v>0</v>
      </c>
      <c r="BI44" s="42">
        <f t="shared" si="54"/>
        <v>0</v>
      </c>
      <c r="BJ44" s="44" t="s">
        <v>115</v>
      </c>
      <c r="BK44" s="42">
        <f t="shared" si="1"/>
        <v>0.37333333333333335</v>
      </c>
      <c r="BL44" s="44">
        <v>0</v>
      </c>
      <c r="BM44" s="42" cm="1">
        <f t="array" ref="BM44">_xlfn.IFS(BD44="NA","NA",BD44&gt;100%,"100%",BD44&lt;100,BD44)</f>
        <v>0.97391304347826091</v>
      </c>
      <c r="BN44" s="42" cm="1">
        <f t="array" ref="BN44">_xlfn.IFS(BF44="NA","NA",BF44&gt;100%,"100%",BF44&lt;100,BF44)</f>
        <v>0</v>
      </c>
      <c r="BO44" s="42" cm="1">
        <f t="array" ref="BO44">_xlfn.IFS(BH44="NA","NA",BH44&gt;100%,"100%",BH44&lt;100,BH44)</f>
        <v>0</v>
      </c>
      <c r="BP44" s="42" t="str" cm="1">
        <f t="array" ref="BP44">_xlfn.IFS(BJ44="NA","NA",BJ44&gt;100%,"100%",BJ44&lt;100,BJ44)</f>
        <v>NA</v>
      </c>
      <c r="BQ44" s="45">
        <v>0.22500000000000001</v>
      </c>
      <c r="BR44" s="43">
        <f t="shared" si="2"/>
        <v>8.4000000000000005E-2</v>
      </c>
      <c r="BS44" s="45">
        <v>1.1299999999999999E-2</v>
      </c>
      <c r="BT44" s="45">
        <v>0</v>
      </c>
      <c r="BU44" s="45">
        <v>0</v>
      </c>
      <c r="BV44" s="43">
        <f t="shared" si="55"/>
        <v>8.6249999999999993E-2</v>
      </c>
      <c r="BW44" s="43">
        <f t="shared" si="3"/>
        <v>8.3999999999999991E-2</v>
      </c>
      <c r="BX44" s="43">
        <f t="shared" si="4"/>
        <v>8.4000000000000005E-2</v>
      </c>
      <c r="BY44" s="43">
        <f t="shared" si="56"/>
        <v>7.4999999999999997E-2</v>
      </c>
      <c r="BZ44" s="43">
        <f t="shared" si="57"/>
        <v>0</v>
      </c>
      <c r="CA44" s="43">
        <f t="shared" si="5"/>
        <v>0</v>
      </c>
      <c r="CB44" s="43">
        <f t="shared" si="58"/>
        <v>6.3750000000000001E-2</v>
      </c>
      <c r="CC44" s="43">
        <f t="shared" si="59"/>
        <v>0</v>
      </c>
      <c r="CD44" s="45">
        <v>0</v>
      </c>
      <c r="CE44" s="43">
        <f t="shared" si="60"/>
        <v>0</v>
      </c>
      <c r="CF44" s="43" t="str">
        <f t="shared" si="61"/>
        <v>NA</v>
      </c>
      <c r="CG44" s="45">
        <v>0</v>
      </c>
    </row>
    <row r="45" spans="1:90" ht="18" customHeight="1">
      <c r="A45" s="260" t="s">
        <v>248</v>
      </c>
      <c r="B45" s="260" t="s">
        <v>249</v>
      </c>
      <c r="C45" s="260" t="s">
        <v>100</v>
      </c>
      <c r="D45" s="260" t="s">
        <v>101</v>
      </c>
      <c r="E45" s="260" t="s">
        <v>294</v>
      </c>
      <c r="F45" s="260" t="s">
        <v>2844</v>
      </c>
      <c r="G45" s="260" t="s">
        <v>2845</v>
      </c>
      <c r="H45" s="260" t="s">
        <v>354</v>
      </c>
      <c r="I45" s="260" t="s">
        <v>106</v>
      </c>
      <c r="J45" s="260"/>
      <c r="K45" s="260" t="s">
        <v>355</v>
      </c>
      <c r="L45" s="260" t="s">
        <v>2847</v>
      </c>
      <c r="M45" s="260" t="s">
        <v>357</v>
      </c>
      <c r="N45" s="260" t="s">
        <v>111</v>
      </c>
      <c r="O45" s="260" t="s">
        <v>112</v>
      </c>
      <c r="P45" s="10">
        <v>58</v>
      </c>
      <c r="Q45" s="11">
        <v>65</v>
      </c>
      <c r="R45" s="9">
        <f t="shared" si="48"/>
        <v>0</v>
      </c>
      <c r="S45" s="11" t="str">
        <f>VLOOKUP(K45,'1208 Indeportes'!$K$13:$AK$39,9,0)</f>
        <v>Se realizaron capacitaciones sobre la formulación y estructuración de proyectos de inversión pública a todas las provincias y municipios del departamento, con el fin de acompañar el proceso de presentación de proyectos al instituto. Se está adelantando la revisión de los proyectos radicado en la plataforma BIZAGI. A la fecha tenemos radicados 103 proyectos, de los cuales se han devuelto 18 porque corresponden a escenarios dentro de las instituciones educativas (Secretaría de Educación), revisado 51 y 2 de ellos ya están viabilizados.</v>
      </c>
      <c r="T45" s="11">
        <v>10</v>
      </c>
      <c r="U45" s="11">
        <v>0</v>
      </c>
      <c r="V45" s="11">
        <v>10</v>
      </c>
      <c r="W45" s="11">
        <v>0</v>
      </c>
      <c r="X45" s="11">
        <v>0</v>
      </c>
      <c r="Y45" s="11">
        <v>0</v>
      </c>
      <c r="Z45" s="11">
        <v>0</v>
      </c>
      <c r="AA45" s="11">
        <v>0</v>
      </c>
      <c r="AB45" s="11" t="s">
        <v>358</v>
      </c>
      <c r="AC45" s="11">
        <v>0</v>
      </c>
      <c r="AD45" s="11">
        <v>65</v>
      </c>
      <c r="AE45" s="11">
        <v>0</v>
      </c>
      <c r="AF45" s="11">
        <f>VLOOKUP(K45,'1208 Indeportes'!$K$13:$AH$39,22,0)</f>
        <v>0</v>
      </c>
      <c r="AG45" s="11">
        <f>VLOOKUP(K45,'1208 Indeportes'!$K$13:$AH$39,23,0)</f>
        <v>0</v>
      </c>
      <c r="AH45" s="9">
        <f t="shared" si="49"/>
        <v>0</v>
      </c>
      <c r="AI45" s="9">
        <f>VLOOKUP(K45,'1208 Indeportes'!$K$13:$AK$39,25,0)</f>
        <v>0</v>
      </c>
      <c r="AJ45" s="9" t="str">
        <f>VLOOKUP(K45,'1208 Indeportes'!$K$13:$AK$39,26,0)</f>
        <v>Durante el último bimestre del año 2020 se suscribieron 68 convenios interadministrativos con los Municipios del Departamento relacionados con construcción y/o adecuación de la infraestructura deportiva, durante el primer trimestre del año los Municipios han venido adelantando los procesos contractuales y se espera que con corte al segundo semestre del año 2021 se tenga un avance superioor al 60% en la ejecución de los Convenios Interadministrativos.</v>
      </c>
      <c r="AK45" s="9">
        <f>VLOOKUP(K45,'1208 Indeportes'!$K$13:$AK$39,27,0)</f>
        <v>0</v>
      </c>
      <c r="AL45" s="11">
        <v>0</v>
      </c>
      <c r="AM45" s="11">
        <v>0</v>
      </c>
      <c r="AN45" s="11">
        <v>0</v>
      </c>
      <c r="AO45" s="11">
        <v>0</v>
      </c>
      <c r="AP45" s="11">
        <v>0</v>
      </c>
      <c r="AQ45" s="11">
        <v>0</v>
      </c>
      <c r="AR45" s="51">
        <v>51553968983</v>
      </c>
      <c r="AS45" s="54">
        <v>-26740438709</v>
      </c>
      <c r="AT45" s="54">
        <f t="shared" si="0"/>
        <v>24813530274</v>
      </c>
      <c r="AU45" s="51">
        <v>51553968983</v>
      </c>
      <c r="AV45" s="89">
        <f>3461347800+5019814340</f>
        <v>8481162140</v>
      </c>
      <c r="AY45" s="89">
        <v>304989750</v>
      </c>
      <c r="AZ45" s="42">
        <f t="shared" si="50"/>
        <v>0</v>
      </c>
      <c r="BA45" s="44">
        <v>0.15379999999999999</v>
      </c>
      <c r="BB45" s="44">
        <v>0</v>
      </c>
      <c r="BC45" s="42">
        <f t="shared" si="51"/>
        <v>1</v>
      </c>
      <c r="BD45" s="42" cm="1">
        <f t="array" ref="BD45">_xlfn.IFS(AD45=0,"NA",AD45&gt;0,AH45/AD45)</f>
        <v>0</v>
      </c>
      <c r="BE45" s="42">
        <f t="shared" si="52"/>
        <v>0</v>
      </c>
      <c r="BF45" s="44">
        <v>0</v>
      </c>
      <c r="BG45" s="42">
        <f t="shared" si="53"/>
        <v>0</v>
      </c>
      <c r="BH45" s="44">
        <v>0</v>
      </c>
      <c r="BI45" s="42">
        <f t="shared" si="54"/>
        <v>0</v>
      </c>
      <c r="BJ45" s="44" t="s">
        <v>115</v>
      </c>
      <c r="BK45" s="42">
        <f t="shared" si="1"/>
        <v>0</v>
      </c>
      <c r="BL45" s="44">
        <v>0</v>
      </c>
      <c r="BM45" s="42" cm="1">
        <f t="array" ref="BM45">_xlfn.IFS(BD45="NA","NA",BD45&gt;100%,"100%",BD45&lt;100,BD45)</f>
        <v>0</v>
      </c>
      <c r="BN45" s="42" cm="1">
        <f t="array" ref="BN45">_xlfn.IFS(BF45="NA","NA",BF45&gt;100%,"100%",BF45&lt;100,BF45)</f>
        <v>0</v>
      </c>
      <c r="BO45" s="42" cm="1">
        <f t="array" ref="BO45">_xlfn.IFS(BH45="NA","NA",BH45&gt;100%,"100%",BH45&lt;100,BH45)</f>
        <v>0</v>
      </c>
      <c r="BP45" s="42" t="str" cm="1">
        <f t="array" ref="BP45">_xlfn.IFS(BJ45="NA","NA",BJ45&gt;100%,"100%",BJ45&lt;100,BJ45)</f>
        <v>NA</v>
      </c>
      <c r="BQ45" s="45">
        <v>0.22500000000000001</v>
      </c>
      <c r="BR45" s="43">
        <f t="shared" si="2"/>
        <v>0</v>
      </c>
      <c r="BS45" s="45">
        <v>3.4599999999999999E-2</v>
      </c>
      <c r="BT45" s="45">
        <v>0</v>
      </c>
      <c r="BU45" s="45">
        <v>0</v>
      </c>
      <c r="BV45" s="43">
        <f t="shared" si="55"/>
        <v>0.22500000000000001</v>
      </c>
      <c r="BW45" s="43">
        <f t="shared" si="3"/>
        <v>0</v>
      </c>
      <c r="BX45" s="43">
        <f t="shared" si="4"/>
        <v>0</v>
      </c>
      <c r="BY45" s="43">
        <f t="shared" si="56"/>
        <v>0</v>
      </c>
      <c r="BZ45" s="43">
        <f t="shared" si="57"/>
        <v>0</v>
      </c>
      <c r="CA45" s="43">
        <f t="shared" si="5"/>
        <v>0</v>
      </c>
      <c r="CB45" s="43">
        <f t="shared" si="58"/>
        <v>0</v>
      </c>
      <c r="CC45" s="43">
        <f t="shared" si="59"/>
        <v>0</v>
      </c>
      <c r="CD45" s="45">
        <v>0</v>
      </c>
      <c r="CE45" s="43">
        <f t="shared" si="60"/>
        <v>0</v>
      </c>
      <c r="CF45" s="43" t="str">
        <f t="shared" si="61"/>
        <v>NA</v>
      </c>
      <c r="CG45" s="45">
        <v>0</v>
      </c>
    </row>
    <row r="46" spans="1:90" ht="18" customHeight="1">
      <c r="A46" s="260" t="s">
        <v>248</v>
      </c>
      <c r="B46" s="260" t="s">
        <v>249</v>
      </c>
      <c r="C46" s="260" t="s">
        <v>100</v>
      </c>
      <c r="D46" s="260" t="s">
        <v>101</v>
      </c>
      <c r="E46" s="260" t="s">
        <v>294</v>
      </c>
      <c r="F46" s="260" t="s">
        <v>2844</v>
      </c>
      <c r="G46" s="260" t="s">
        <v>2845</v>
      </c>
      <c r="H46" s="260" t="s">
        <v>359</v>
      </c>
      <c r="I46" s="260" t="s">
        <v>106</v>
      </c>
      <c r="J46" s="260"/>
      <c r="K46" s="260" t="s">
        <v>360</v>
      </c>
      <c r="L46" s="260" t="s">
        <v>361</v>
      </c>
      <c r="M46" s="260" t="s">
        <v>362</v>
      </c>
      <c r="N46" s="260" t="s">
        <v>111</v>
      </c>
      <c r="O46" s="260" t="s">
        <v>112</v>
      </c>
      <c r="P46" s="10">
        <v>0</v>
      </c>
      <c r="Q46" s="11">
        <v>1</v>
      </c>
      <c r="R46" s="9">
        <f t="shared" si="48"/>
        <v>0</v>
      </c>
      <c r="S46" s="11">
        <f>VLOOKUP(K46,'1208 Indeportes'!$K$13:$AK$39,9,0)</f>
        <v>0</v>
      </c>
      <c r="T46" s="11">
        <v>0.25</v>
      </c>
      <c r="U46" s="11">
        <v>0</v>
      </c>
      <c r="V46" s="11">
        <v>0.25</v>
      </c>
      <c r="W46" s="11">
        <v>0</v>
      </c>
      <c r="X46" s="11">
        <v>0</v>
      </c>
      <c r="Y46" s="11">
        <v>0</v>
      </c>
      <c r="Z46" s="11">
        <v>0</v>
      </c>
      <c r="AA46" s="11"/>
      <c r="AB46" s="11"/>
      <c r="AC46" s="11"/>
      <c r="AD46" s="11">
        <v>0.25</v>
      </c>
      <c r="AE46" s="11">
        <v>0</v>
      </c>
      <c r="AF46" s="11">
        <f>VLOOKUP(K46,'1208 Indeportes'!$K$13:$AH$39,22,0)</f>
        <v>0</v>
      </c>
      <c r="AG46" s="11">
        <f>VLOOKUP(K46,'1208 Indeportes'!$K$13:$AH$39,23,0)</f>
        <v>0</v>
      </c>
      <c r="AH46" s="9">
        <f t="shared" si="49"/>
        <v>0</v>
      </c>
      <c r="AI46" s="9">
        <f>VLOOKUP(K46,'1208 Indeportes'!$K$13:$AK$39,25,0)</f>
        <v>0</v>
      </c>
      <c r="AJ46" s="9" t="str">
        <f>VLOOKUP(K46,'1208 Indeportes'!$K$13:$AK$39,26,0)</f>
        <v>Se han adelantado diferentes reuniones con el Municipio de Soacha y el Municipio de Chía quienes han manifestado su interes para la construcción del Cnetro de Alto Rendimiento en sus Municipios, sin embargo, la Alcaldía de Soacha se comprometio a destinar los recursos necesarios para la fase de estudios y diseños.</v>
      </c>
      <c r="AK46" s="9">
        <f>VLOOKUP(K46,'1208 Indeportes'!$K$13:$AK$39,27,0)</f>
        <v>0</v>
      </c>
      <c r="AL46" s="11">
        <v>0.25</v>
      </c>
      <c r="AM46" s="11">
        <v>0</v>
      </c>
      <c r="AN46" s="11">
        <v>0.5</v>
      </c>
      <c r="AO46" s="11">
        <v>0</v>
      </c>
      <c r="AP46" s="11">
        <v>0</v>
      </c>
      <c r="AQ46" s="11">
        <v>0</v>
      </c>
      <c r="AR46" s="51">
        <v>500000000</v>
      </c>
      <c r="AS46" s="54">
        <v>0</v>
      </c>
      <c r="AT46" s="54">
        <f t="shared" si="0"/>
        <v>500000000</v>
      </c>
      <c r="AU46" s="52"/>
      <c r="AV46" s="89">
        <v>5019814340</v>
      </c>
      <c r="AY46" s="89">
        <v>0</v>
      </c>
      <c r="AZ46" s="42">
        <f t="shared" si="50"/>
        <v>0</v>
      </c>
      <c r="BA46" s="44">
        <v>0.25</v>
      </c>
      <c r="BB46" s="44">
        <v>0</v>
      </c>
      <c r="BC46" s="42">
        <f t="shared" si="51"/>
        <v>0.25</v>
      </c>
      <c r="BD46" s="42" cm="1">
        <f t="array" ref="BD46">_xlfn.IFS(AD46=0,"NA",AD46&gt;0,AH46/AD46)</f>
        <v>0</v>
      </c>
      <c r="BE46" s="42">
        <f t="shared" si="52"/>
        <v>0.25</v>
      </c>
      <c r="BF46" s="44">
        <v>0</v>
      </c>
      <c r="BG46" s="42">
        <f t="shared" si="53"/>
        <v>0.5</v>
      </c>
      <c r="BH46" s="44">
        <v>0</v>
      </c>
      <c r="BI46" s="42">
        <f t="shared" si="54"/>
        <v>0</v>
      </c>
      <c r="BJ46" s="44" t="s">
        <v>115</v>
      </c>
      <c r="BK46" s="42">
        <f t="shared" si="1"/>
        <v>0</v>
      </c>
      <c r="BL46" s="44">
        <v>0</v>
      </c>
      <c r="BM46" s="42" cm="1">
        <f t="array" ref="BM46">_xlfn.IFS(BD46="NA","NA",BD46&gt;100%,"100%",BD46&lt;100,BD46)</f>
        <v>0</v>
      </c>
      <c r="BN46" s="42" cm="1">
        <f t="array" ref="BN46">_xlfn.IFS(BF46="NA","NA",BF46&gt;100%,"100%",BF46&lt;100,BF46)</f>
        <v>0</v>
      </c>
      <c r="BO46" s="42" cm="1">
        <f t="array" ref="BO46">_xlfn.IFS(BH46="NA","NA",BH46&gt;100%,"100%",BH46&lt;100,BH46)</f>
        <v>0</v>
      </c>
      <c r="BP46" s="42" t="str" cm="1">
        <f t="array" ref="BP46">_xlfn.IFS(BJ46="NA","NA",BJ46&gt;100%,"100%",BJ46&lt;100,BJ46)</f>
        <v>NA</v>
      </c>
      <c r="BQ46" s="45">
        <v>0.22500000000000001</v>
      </c>
      <c r="BR46" s="43">
        <f t="shared" si="2"/>
        <v>0</v>
      </c>
      <c r="BS46" s="45">
        <v>5.6300000000000003E-2</v>
      </c>
      <c r="BT46" s="45">
        <v>0</v>
      </c>
      <c r="BU46" s="45">
        <v>0</v>
      </c>
      <c r="BV46" s="43">
        <f t="shared" si="55"/>
        <v>5.6250000000000001E-2</v>
      </c>
      <c r="BW46" s="43">
        <f t="shared" si="3"/>
        <v>0</v>
      </c>
      <c r="BX46" s="43">
        <f t="shared" si="4"/>
        <v>0</v>
      </c>
      <c r="BY46" s="43">
        <f t="shared" si="56"/>
        <v>5.6250000000000001E-2</v>
      </c>
      <c r="BZ46" s="43">
        <f t="shared" si="57"/>
        <v>0</v>
      </c>
      <c r="CA46" s="43">
        <f t="shared" si="5"/>
        <v>0</v>
      </c>
      <c r="CB46" s="43">
        <f t="shared" si="58"/>
        <v>0.1125</v>
      </c>
      <c r="CC46" s="43">
        <f t="shared" si="59"/>
        <v>0</v>
      </c>
      <c r="CD46" s="45">
        <v>0</v>
      </c>
      <c r="CE46" s="43">
        <f t="shared" si="60"/>
        <v>0</v>
      </c>
      <c r="CF46" s="43" t="str">
        <f t="shared" si="61"/>
        <v>NA</v>
      </c>
      <c r="CG46" s="45">
        <v>0</v>
      </c>
    </row>
    <row r="47" spans="1:90" ht="18" customHeight="1">
      <c r="A47" s="260" t="s">
        <v>292</v>
      </c>
      <c r="B47" s="260" t="s">
        <v>293</v>
      </c>
      <c r="C47" s="260" t="s">
        <v>100</v>
      </c>
      <c r="D47" s="260" t="s">
        <v>101</v>
      </c>
      <c r="E47" s="260" t="s">
        <v>294</v>
      </c>
      <c r="F47" s="260" t="s">
        <v>363</v>
      </c>
      <c r="G47" s="260" t="s">
        <v>364</v>
      </c>
      <c r="H47" s="260" t="s">
        <v>365</v>
      </c>
      <c r="I47" s="260" t="s">
        <v>255</v>
      </c>
      <c r="J47" s="260" t="s">
        <v>366</v>
      </c>
      <c r="K47" s="260" t="s">
        <v>367</v>
      </c>
      <c r="L47" s="260" t="s">
        <v>368</v>
      </c>
      <c r="M47" s="260" t="s">
        <v>369</v>
      </c>
      <c r="N47" s="260" t="s">
        <v>111</v>
      </c>
      <c r="O47" s="260" t="s">
        <v>124</v>
      </c>
      <c r="P47" s="10">
        <v>1</v>
      </c>
      <c r="Q47" s="11">
        <v>1</v>
      </c>
      <c r="R47" s="11">
        <f>(Z47+AH47)/CL47</f>
        <v>0.5</v>
      </c>
      <c r="S47" s="11" t="str">
        <f>VLOOKUP(K47,'1108 Educación'!$K$13:$AK$40,9,0)</f>
        <v xml:space="preserve">Durante la vigencia 2020 y 2021 se han realizado los giros de los recursos de apoyo financiero a la Universidad de Cundinamarca, dineros destinados al mejoramiento de la calidad del servicio educativo que presta la Institución, ubicada en 9 puntos estratégicos del Departamento que le permite impactar alrededor de 6 provincias.  </v>
      </c>
      <c r="T47" s="11">
        <v>0</v>
      </c>
      <c r="U47" s="11">
        <v>1</v>
      </c>
      <c r="V47" s="11">
        <v>0</v>
      </c>
      <c r="W47" s="11">
        <v>1</v>
      </c>
      <c r="X47" s="11" t="s">
        <v>115</v>
      </c>
      <c r="Y47" s="11">
        <v>1</v>
      </c>
      <c r="Z47" s="11">
        <v>1</v>
      </c>
      <c r="AA47" s="11">
        <v>0</v>
      </c>
      <c r="AB47" s="11" t="s">
        <v>370</v>
      </c>
      <c r="AC47" s="11" t="s">
        <v>371</v>
      </c>
      <c r="AD47" s="11">
        <v>0</v>
      </c>
      <c r="AE47" s="11">
        <v>1</v>
      </c>
      <c r="AF47" s="11">
        <f>VLOOKUP(K47,'1108 Educación'!$K$13:$AK$40,22,0)</f>
        <v>0</v>
      </c>
      <c r="AG47" s="11">
        <f>VLOOKUP(K47,'1108 Educación'!$K$13:$AK$40,23,0)</f>
        <v>1</v>
      </c>
      <c r="AH47" s="11">
        <f>AG47</f>
        <v>1</v>
      </c>
      <c r="AI47" s="9" t="str">
        <f>VLOOKUP(K47,'1108 Educación'!$K$13:$AK$40,25,0)</f>
        <v>Transferencia de Recursos a la Universidad de CUndinamarca.</v>
      </c>
      <c r="AJ47" s="9" t="str">
        <f>VLOOKUP(K47,'1108 Educación'!$K$13:$AK$40,26,0)</f>
        <v>A través de la Resolución No 001149 de fecha 25 de marzo de 2021, y  la resolucion 002036 se ordeno el giro No. 1 y No. 2  de los recursos de apoyo financiero a la Universidad de Cundinamarca, dineros destinados al mejoramiento de la calidad del servicio educativo que presta la Institución, ubicada en 9 puntos estratégicos del Departamento que le permite impactar alrededor de 6 provincias, Se esta avanzando en el proceso para la realización del segundo giro de la vigencia 2021.  Mediante Resolución No 03585 del 21 de Septiembre se realizó el tercer giro de recursos por valor de 43.852.405.465 a la Universidad de Cundinamarca con lo cual el Departamento de Cundinamarca continua con el apoyo para mejorar la  calidad educativa de los estudiantes de esta IE saliada. Durante el mes de Octubre se expide la Resolución No 003833 del 13 de octubre de 2021 con la cual se ordena el giro de recursos a la Universidad de Cundinamarca por valor de $18.512.990.039, resolución a la cual se le debió realizar una modificación por no contar presupuestalmente con el 100% de los valores de estampilla Pro-UDEC cobrados por la Universidad de Cundinamarca de acuerdo a lo certificado por Hacienda Departamental. El ajuste se realiza mediante resolución No 004000 del 28 de octubre de 2021 por valor de $18.349.934.140.</v>
      </c>
      <c r="AK47" s="9" t="str">
        <f>VLOOKUP(K47,'1108 Educación'!$K$13:$AK$40,27,0)</f>
        <v>Los valores apropiados en la meta 36 para la vigencia 2021 por el Fondo 3-0220 fueron superados por lo recaudado por Hacienda Departamental por concepto de Estampilla Pro-Universidad de Cundinamarca, sin embargo, la Universidad sigue realizando el cobro de los recursos y desde la Dirección de Educacion Superior no se va a poder realizar mas giros por no contar con recursos en el presupuesto.</v>
      </c>
      <c r="AL47" s="11">
        <v>0</v>
      </c>
      <c r="AM47" s="11">
        <v>1</v>
      </c>
      <c r="AN47" s="11">
        <v>0</v>
      </c>
      <c r="AO47" s="11">
        <v>1</v>
      </c>
      <c r="AP47" s="11">
        <v>0</v>
      </c>
      <c r="AQ47" s="11">
        <v>0</v>
      </c>
      <c r="AR47" s="51">
        <v>15701161061</v>
      </c>
      <c r="AS47" s="54">
        <v>0</v>
      </c>
      <c r="AT47" s="54">
        <f t="shared" si="0"/>
        <v>15701161061</v>
      </c>
      <c r="AU47" s="51">
        <v>15701161061</v>
      </c>
      <c r="AV47" s="89">
        <v>39906659334</v>
      </c>
      <c r="AY47" s="89">
        <v>0</v>
      </c>
      <c r="AZ47" s="44" cm="1">
        <f t="array" ref="AZ47">_xlfn.IFS((BA47=0),(BD47/CL47),(BA47&gt;0),((BB47+BD47)/CL47),(BE47&gt;0),((BB47+BD47+BE47)/CL47),(BG47&gt;0),((BB47+BD47+BE47+G47)/CL47))</f>
        <v>0.5</v>
      </c>
      <c r="BA47" s="44">
        <v>0.25</v>
      </c>
      <c r="BB47" s="44">
        <v>1</v>
      </c>
      <c r="BC47" s="44">
        <f>IF(AE47&gt;0,(1/CL47),0)</f>
        <v>0.25</v>
      </c>
      <c r="BD47" s="44" cm="1">
        <f t="array" ref="BD47">_xlfn.IFS(AE47=0,"NA",AE47&gt;0,AH47/AE47)</f>
        <v>1</v>
      </c>
      <c r="BE47" s="44">
        <f>IF(AM47&gt;0,(1/CL47),0)</f>
        <v>0.25</v>
      </c>
      <c r="BF47" s="44">
        <v>0</v>
      </c>
      <c r="BG47" s="44">
        <f>IF(AO47&gt;0,(1/CL47),0)</f>
        <v>0.25</v>
      </c>
      <c r="BH47" s="44">
        <v>0</v>
      </c>
      <c r="BI47" s="44">
        <v>0</v>
      </c>
      <c r="BJ47" s="44" t="s">
        <v>115</v>
      </c>
      <c r="BK47" s="44">
        <f t="shared" si="1"/>
        <v>0.5</v>
      </c>
      <c r="BL47" s="44">
        <v>1</v>
      </c>
      <c r="BM47" s="42" cm="1">
        <f t="array" ref="BM47">_xlfn.IFS(BD47="NA","NA",BD47&gt;100%,"100%",BD47&lt;100,BD47)</f>
        <v>1</v>
      </c>
      <c r="BN47" s="44">
        <v>0</v>
      </c>
      <c r="BO47" s="44">
        <v>0</v>
      </c>
      <c r="BP47" s="44" t="s">
        <v>115</v>
      </c>
      <c r="BQ47" s="45">
        <v>0.22500000000000001</v>
      </c>
      <c r="BR47" s="43">
        <f t="shared" si="2"/>
        <v>0.1125</v>
      </c>
      <c r="BS47" s="45">
        <v>5.6300000000000003E-2</v>
      </c>
      <c r="BT47" s="45">
        <v>5.6300000000000003E-2</v>
      </c>
      <c r="BU47" s="45">
        <v>5.6300000000000003E-2</v>
      </c>
      <c r="BV47" s="45">
        <v>5.6300000000000003E-2</v>
      </c>
      <c r="BW47" s="43">
        <f t="shared" si="3"/>
        <v>5.6300000000000003E-2</v>
      </c>
      <c r="BX47" s="43">
        <f t="shared" si="4"/>
        <v>5.62E-2</v>
      </c>
      <c r="BY47" s="45">
        <v>5.6300000000000003E-2</v>
      </c>
      <c r="BZ47" s="45">
        <v>0</v>
      </c>
      <c r="CA47" s="43">
        <f t="shared" si="5"/>
        <v>0</v>
      </c>
      <c r="CB47" s="45">
        <v>5.6300000000000003E-2</v>
      </c>
      <c r="CC47" s="45">
        <v>0</v>
      </c>
      <c r="CD47" s="45">
        <v>0</v>
      </c>
      <c r="CE47" s="45">
        <v>0</v>
      </c>
      <c r="CF47" s="45" t="s">
        <v>115</v>
      </c>
      <c r="CG47" s="45">
        <v>0</v>
      </c>
      <c r="CH47">
        <f>IF(W47&gt;0,1,0)</f>
        <v>1</v>
      </c>
      <c r="CI47">
        <f>IF(AE47&gt;0,1,0)</f>
        <v>1</v>
      </c>
      <c r="CJ47">
        <f>IF(AM47&gt;0,1,0)</f>
        <v>1</v>
      </c>
      <c r="CK47">
        <f>IF(AO47&gt;0,1,0)</f>
        <v>1</v>
      </c>
      <c r="CL47">
        <f>CH47+CI47+CJ47+CK47</f>
        <v>4</v>
      </c>
    </row>
    <row r="48" spans="1:90" ht="18" customHeight="1">
      <c r="A48" s="260" t="s">
        <v>292</v>
      </c>
      <c r="B48" s="260" t="s">
        <v>293</v>
      </c>
      <c r="C48" s="260" t="s">
        <v>100</v>
      </c>
      <c r="D48" s="260" t="s">
        <v>101</v>
      </c>
      <c r="E48" s="260" t="s">
        <v>294</v>
      </c>
      <c r="F48" s="260" t="s">
        <v>372</v>
      </c>
      <c r="G48" s="260" t="s">
        <v>373</v>
      </c>
      <c r="H48" s="260" t="s">
        <v>374</v>
      </c>
      <c r="I48" s="260" t="s">
        <v>255</v>
      </c>
      <c r="J48" s="260"/>
      <c r="K48" s="260" t="s">
        <v>375</v>
      </c>
      <c r="L48" s="260" t="s">
        <v>2848</v>
      </c>
      <c r="M48" s="260" t="s">
        <v>377</v>
      </c>
      <c r="N48" s="260" t="s">
        <v>111</v>
      </c>
      <c r="O48" s="260" t="s">
        <v>112</v>
      </c>
      <c r="P48" s="10">
        <v>3000</v>
      </c>
      <c r="Q48" s="11">
        <v>6000</v>
      </c>
      <c r="R48" s="9">
        <f>Z48+AH48</f>
        <v>4221</v>
      </c>
      <c r="S48" s="11" t="str">
        <f>VLOOKUP(K48,'1108 Educación'!$K$13:$AK$40,9,0)</f>
        <v xml:space="preserve">A través de procesos  se formación de docentes y directivos docentes  con entidades como la universidad de la Salle, universidad pedagógica tecnológica de Colombia  la universidad Antonio Nariño y la DIAN se han actualizado  3.994 docentes  y directivos docentes del Departamento en temas de fortalecimiento de las competencias básicas y socioemocionales “desarrollo de habilidades, principios y valores para la vida y el trabajo”  cultura de la contribución en la escuela". y formación en liderazgo. </v>
      </c>
      <c r="T48" s="11">
        <v>3000</v>
      </c>
      <c r="U48" s="11">
        <v>0</v>
      </c>
      <c r="V48" s="11">
        <v>443</v>
      </c>
      <c r="W48" s="11">
        <v>0</v>
      </c>
      <c r="X48" s="11">
        <v>443</v>
      </c>
      <c r="Y48" s="11">
        <v>0</v>
      </c>
      <c r="Z48" s="11">
        <v>443</v>
      </c>
      <c r="AA48" s="11" t="s">
        <v>378</v>
      </c>
      <c r="AB48" s="11" t="s">
        <v>379</v>
      </c>
      <c r="AC48" s="11" t="s">
        <v>380</v>
      </c>
      <c r="AD48" s="11">
        <v>3574</v>
      </c>
      <c r="AE48" s="11">
        <v>0</v>
      </c>
      <c r="AF48" s="11">
        <f>VLOOKUP(K48,'1108 Educación'!$K$13:$AK$40,22,0)</f>
        <v>3778</v>
      </c>
      <c r="AG48" s="11">
        <f>VLOOKUP(K48,'1108 Educación'!$K$13:$AK$40,23,0)</f>
        <v>0</v>
      </c>
      <c r="AH48" s="9">
        <f>AF48</f>
        <v>3778</v>
      </c>
      <c r="AI48" s="9" t="str">
        <f>VLOOKUP(K48,'1108 Educación'!$K$13:$AK$40,25,0)</f>
        <v xml:space="preserve">Formación a Docentes </v>
      </c>
      <c r="AJ48" s="9" t="str">
        <f>VLOOKUP(K48,'1108 Educación'!$K$13:$AK$40,26,0)</f>
        <v>1. En el marco del convenio  entre la secretaria de educación y la Universidad de LA SALLE, UNIVERSIDAD PEDAGÓGICA TECNOLÓGICA DE COLOMBIA Y LA UNIVERSIDAD ANTONIO NARIÑO, llamado (fortalecimiento de las competencias básicas y socioemocionales Fondo FEm) se dio inicio al componente de formación por medio de un diplomado, dicho componente inicio el 03 de mayo del presente año. 
2. En el programa de la cultura de contribución en la escuela, el cual es liderado por la DIAN y la secretaria de educación, para este programa se implementó un componente de formación el cual comprendía un curso dictado por el SENA, el cual lleva por nombre “DESARROLLO DE HABILIDADES, PRINCIPIOS Y VALORES PARA LA VIDA Y EL TRABAJO”  dicho curso conto con la participación de 21 docentes de los municipios de Guaduas y Yacopi. 
Evidencia: Además se anexa el listado de docentes inscritos en el curso con sus respectivos datos.
3. Se finalizo el proceso de formación del proyecto MIMI "Micasa, mi escuela" Componente de formación "La ruta de formación y cualificación docente 2021", la cual estuvo dividida en cuatro ciclos planeación- flexibilización curricular - práctica pedagógica y evaluación. A través de este proceso se beneficiaron 3.778 docentes del Departamento. 
Para el mes de junio se continua con la formación por parte de la Universidad de la Salle.  En el mes de julio Se continuan desarrollando los procesos de formación con la Universidad de la Salle,  UNIVERSIDAD PEDAGÓGICA TECNOLÓGICA DE COLOMBIA Y LA UNIVERSIDAD ANTONIO NARIÑO, llamado (fortalecimiento de las competencias básicas y socioemocionales Fondo FEm) se dio inicio al componente de formación por medio de un diplomado,
 En el programa de la cultura de contribución en la escuela, el cual es liderado por la DIAN y la secretaria de educación, para este programa se implementó un componente de formación el cual comprendía un curso dictado por el SENA, el cual lleva por nombre “DESARROLLO DE HABILIDADES, PRINCIPIOS Y VALORES PARA LA VIDA Y EL TRABAJO”  dicho curso continua con la participación de los 21 docentes de los municipios de Guaduas y Yacopi
Durante el mes de agosto, a traves del memorando de entendiento firmado  entre la Secretaría de Educación y la Dirección de impuestos y Aduanas Nacionales DIAN, Se formaron 19 docentes en "Cultura de la Contribución en la Escuela".   Durante los meses de agosto y septiembre se ha consolidado el inicio del Proyecto de Mejoramiento de la Calidad Educativa de la Secretaría de Educación, a través del cual se desarrollaran procesos de formación a docentes.Durante el mes de octubre se  continua desarrollando el proceso de formacion a Rectores en el marco de la Escuela de Rectores, del Proyecto de Mejoramiento de la Calidad.</v>
      </c>
      <c r="AK48" s="9">
        <f>VLOOKUP(K48,'1108 Educación'!$K$13:$AK$40,27,0)</f>
        <v>0</v>
      </c>
      <c r="AL48" s="11">
        <v>1583</v>
      </c>
      <c r="AM48" s="11">
        <v>0</v>
      </c>
      <c r="AN48" s="11">
        <v>400</v>
      </c>
      <c r="AO48" s="11">
        <v>0</v>
      </c>
      <c r="AP48" s="11">
        <v>0</v>
      </c>
      <c r="AQ48" s="11">
        <v>0</v>
      </c>
      <c r="AR48" s="52"/>
      <c r="AS48" s="54">
        <v>19398663</v>
      </c>
      <c r="AT48" s="54">
        <f t="shared" si="0"/>
        <v>19398663</v>
      </c>
      <c r="AU48" s="52"/>
      <c r="AV48" s="89">
        <v>329000000</v>
      </c>
      <c r="AY48" s="89">
        <v>0</v>
      </c>
      <c r="AZ48" s="42">
        <f t="shared" ref="AZ48" si="62">R48/Q48</f>
        <v>0.70350000000000001</v>
      </c>
      <c r="BA48" s="44">
        <v>7.3800000000000004E-2</v>
      </c>
      <c r="BB48" s="44">
        <v>1</v>
      </c>
      <c r="BC48" s="42">
        <f>AD48/Q48</f>
        <v>0.59566666666666668</v>
      </c>
      <c r="BD48" s="42" cm="1">
        <f t="array" ref="BD48">_xlfn.IFS(AD48=0,"NA",AD48&gt;0,AH48/AD48)</f>
        <v>1.0570789031897034</v>
      </c>
      <c r="BE48" s="42">
        <f>AL48/Q48</f>
        <v>0.26383333333333331</v>
      </c>
      <c r="BF48" s="44">
        <v>0</v>
      </c>
      <c r="BG48" s="42">
        <f>AN48/Q48</f>
        <v>6.6666666666666666E-2</v>
      </c>
      <c r="BH48" s="44">
        <v>0</v>
      </c>
      <c r="BI48" s="42">
        <f>AP48/Q48</f>
        <v>0</v>
      </c>
      <c r="BJ48" s="44" t="s">
        <v>115</v>
      </c>
      <c r="BK48" s="42">
        <f t="shared" si="1"/>
        <v>0.70350000000000001</v>
      </c>
      <c r="BL48" s="44">
        <v>1</v>
      </c>
      <c r="BM48" s="42" t="str" cm="1">
        <f t="array" ref="BM48">_xlfn.IFS(BD48="NA","NA",BD48&gt;100%,"100%",BD48&lt;100,BD48)</f>
        <v>100%</v>
      </c>
      <c r="BN48" s="42" cm="1">
        <f t="array" ref="BN48">_xlfn.IFS(BF48="NA","NA",BF48&gt;100%,"100%",BF48&lt;100,BF48)</f>
        <v>0</v>
      </c>
      <c r="BO48" s="42" cm="1">
        <f t="array" ref="BO48">_xlfn.IFS(BH48="NA","NA",BH48&gt;100%,"100%",BH48&lt;100,BH48)</f>
        <v>0</v>
      </c>
      <c r="BP48" s="42" t="str" cm="1">
        <f t="array" ref="BP48">_xlfn.IFS(BJ48="NA","NA",BJ48&gt;100%,"100%",BJ48&lt;100,BJ48)</f>
        <v>NA</v>
      </c>
      <c r="BQ48" s="45">
        <v>0.22500000000000001</v>
      </c>
      <c r="BR48" s="43">
        <f t="shared" si="2"/>
        <v>0.1582875</v>
      </c>
      <c r="BS48" s="45">
        <v>1.66E-2</v>
      </c>
      <c r="BT48" s="45">
        <v>1.66E-2</v>
      </c>
      <c r="BU48" s="45">
        <v>1.66E-2</v>
      </c>
      <c r="BV48" s="43">
        <f>(AD48*BQ48)/Q48</f>
        <v>0.13402500000000001</v>
      </c>
      <c r="BW48" s="43">
        <f t="shared" si="3"/>
        <v>0.13402500000000001</v>
      </c>
      <c r="BX48" s="43">
        <f t="shared" si="4"/>
        <v>0.14168749999999999</v>
      </c>
      <c r="BY48" s="43">
        <f>(AL48*BQ48)/Q48</f>
        <v>5.9362499999999999E-2</v>
      </c>
      <c r="BZ48" s="43">
        <f>IF(BN48="NA","NA",BN48*BY48)</f>
        <v>0</v>
      </c>
      <c r="CA48" s="43">
        <f t="shared" si="5"/>
        <v>0</v>
      </c>
      <c r="CB48" s="43">
        <f>(AN48*BQ48)/Q48</f>
        <v>1.4999999999999999E-2</v>
      </c>
      <c r="CC48" s="43">
        <f>IF(BO48="NA","NA",BO48*CB48)</f>
        <v>0</v>
      </c>
      <c r="CD48" s="45">
        <v>0</v>
      </c>
      <c r="CE48" s="43">
        <f>(AP48*BQ48)/Q48</f>
        <v>0</v>
      </c>
      <c r="CF48" s="43" t="str">
        <f>IF(BP48="NA","NA",BP48*CE48)</f>
        <v>NA</v>
      </c>
      <c r="CG48" s="45">
        <v>0</v>
      </c>
    </row>
    <row r="49" spans="1:90" ht="18" customHeight="1">
      <c r="A49" s="260" t="s">
        <v>292</v>
      </c>
      <c r="B49" s="260" t="s">
        <v>293</v>
      </c>
      <c r="C49" s="260" t="s">
        <v>100</v>
      </c>
      <c r="D49" s="260" t="s">
        <v>101</v>
      </c>
      <c r="E49" s="260" t="s">
        <v>294</v>
      </c>
      <c r="F49" s="260" t="s">
        <v>372</v>
      </c>
      <c r="G49" s="260" t="s">
        <v>373</v>
      </c>
      <c r="H49" s="260" t="s">
        <v>2849</v>
      </c>
      <c r="I49" s="260" t="s">
        <v>255</v>
      </c>
      <c r="J49" s="260"/>
      <c r="K49" s="260" t="s">
        <v>2850</v>
      </c>
      <c r="L49" s="260" t="s">
        <v>2851</v>
      </c>
      <c r="M49" s="260" t="s">
        <v>2852</v>
      </c>
      <c r="N49" s="260" t="s">
        <v>111</v>
      </c>
      <c r="O49" s="260" t="s">
        <v>124</v>
      </c>
      <c r="P49" s="10">
        <v>0</v>
      </c>
      <c r="Q49" s="11">
        <v>1</v>
      </c>
      <c r="R49" s="11" t="e">
        <f t="shared" ref="R49" si="63">(Z49+AH49)/CL49</f>
        <v>#N/A</v>
      </c>
      <c r="S49" s="11" t="e">
        <f>VLOOKUP(K49,'1108 Educación'!$K$13:$AK$40,9,0)</f>
        <v>#N/A</v>
      </c>
      <c r="T49" s="11">
        <v>0</v>
      </c>
      <c r="U49" s="11">
        <v>1</v>
      </c>
      <c r="V49" s="11">
        <v>0</v>
      </c>
      <c r="W49" s="11">
        <v>1</v>
      </c>
      <c r="X49" s="11" t="s">
        <v>115</v>
      </c>
      <c r="Y49" s="11">
        <v>1</v>
      </c>
      <c r="Z49" s="11">
        <v>1</v>
      </c>
      <c r="AA49" s="11" t="s">
        <v>2853</v>
      </c>
      <c r="AB49" s="11" t="s">
        <v>2854</v>
      </c>
      <c r="AC49" s="11" t="s">
        <v>380</v>
      </c>
      <c r="AD49" s="11">
        <v>0</v>
      </c>
      <c r="AE49" s="11">
        <v>1</v>
      </c>
      <c r="AF49" s="11" t="e">
        <f>VLOOKUP(K49,'1108 Educación'!$K$13:$AK$40,22,0)</f>
        <v>#N/A</v>
      </c>
      <c r="AG49" s="11" t="e">
        <f>VLOOKUP(K49,'1108 Educación'!$K$13:$AK$40,23,0)</f>
        <v>#N/A</v>
      </c>
      <c r="AH49" s="11" t="e">
        <f t="shared" ref="AH49:AH50" si="64">AG49</f>
        <v>#N/A</v>
      </c>
      <c r="AI49" s="9" t="e">
        <f>VLOOKUP(K49,'1108 Educación'!$K$13:$AK$40,25,0)</f>
        <v>#N/A</v>
      </c>
      <c r="AJ49" s="9" t="e">
        <f>VLOOKUP(K49,'1108 Educación'!$K$13:$AK$40,26,0)</f>
        <v>#N/A</v>
      </c>
      <c r="AK49" s="9" t="e">
        <f>VLOOKUP(K49,'1108 Educación'!$K$13:$AK$40,27,0)</f>
        <v>#N/A</v>
      </c>
      <c r="AL49" s="11">
        <v>0</v>
      </c>
      <c r="AM49" s="11">
        <v>1</v>
      </c>
      <c r="AN49" s="11">
        <v>0</v>
      </c>
      <c r="AO49" s="11">
        <v>1</v>
      </c>
      <c r="AP49" s="11">
        <v>0</v>
      </c>
      <c r="AQ49" s="11">
        <v>0</v>
      </c>
      <c r="AR49" s="52"/>
      <c r="AS49" s="54">
        <v>116000000</v>
      </c>
      <c r="AT49" s="54">
        <f t="shared" si="0"/>
        <v>116000000</v>
      </c>
      <c r="AU49" s="52"/>
      <c r="AV49" s="89">
        <v>0</v>
      </c>
      <c r="AY49" s="89">
        <v>0</v>
      </c>
      <c r="AZ49" s="44" t="e" cm="1">
        <f t="array" ref="AZ49">_xlfn.IFS((BA49=0),(BD49/CL49),(BA49&gt;0),((BB49+BD49)/CL49),(BE49&gt;0),((BB49+BD49+BE49)/CL49),(BG49&gt;0),((BB49+BD49+BE49+G49)/CL49))</f>
        <v>#N/A</v>
      </c>
      <c r="BA49" s="44">
        <v>0.25</v>
      </c>
      <c r="BB49" s="44">
        <v>1</v>
      </c>
      <c r="BC49" s="44">
        <f t="shared" ref="BC49:BC50" si="65">IF(AE49&gt;0,(1/CL49),0)</f>
        <v>0.25</v>
      </c>
      <c r="BD49" s="44" t="e" cm="1">
        <f t="array" ref="BD49">_xlfn.IFS(AE49=0,"NA",AE49&gt;0,AH49/AE49)</f>
        <v>#N/A</v>
      </c>
      <c r="BE49" s="44">
        <f t="shared" ref="BE49:BE50" si="66">IF(AM49&gt;0,(1/CL49),0)</f>
        <v>0.25</v>
      </c>
      <c r="BF49" s="44">
        <v>0</v>
      </c>
      <c r="BG49" s="44">
        <f t="shared" ref="BG49:BG50" si="67">IF(AO49&gt;0,(1/CL49),0)</f>
        <v>0.25</v>
      </c>
      <c r="BH49" s="44">
        <v>0</v>
      </c>
      <c r="BI49" s="44">
        <v>0</v>
      </c>
      <c r="BJ49" s="44" t="s">
        <v>115</v>
      </c>
      <c r="BK49" s="44" t="e">
        <f t="shared" si="1"/>
        <v>#N/A</v>
      </c>
      <c r="BL49" s="44">
        <v>1</v>
      </c>
      <c r="BM49" s="42" t="e" cm="1">
        <f t="array" ref="BM49">_xlfn.IFS(BD49="NA","NA",BD49&gt;100%,"100%",BD49&lt;100,BD49)</f>
        <v>#N/A</v>
      </c>
      <c r="BN49" s="44">
        <v>0</v>
      </c>
      <c r="BO49" s="44">
        <v>0</v>
      </c>
      <c r="BP49" s="44" t="s">
        <v>115</v>
      </c>
      <c r="BQ49" s="45">
        <v>0.22500000000000001</v>
      </c>
      <c r="BR49" s="43" t="e">
        <f t="shared" si="2"/>
        <v>#N/A</v>
      </c>
      <c r="BS49" s="45">
        <v>5.6300000000000003E-2</v>
      </c>
      <c r="BT49" s="45">
        <v>5.6300000000000003E-2</v>
      </c>
      <c r="BU49" s="45">
        <v>5.6300000000000003E-2</v>
      </c>
      <c r="BV49" s="45">
        <v>5.6300000000000003E-2</v>
      </c>
      <c r="BW49" s="43" t="e">
        <f t="shared" si="3"/>
        <v>#N/A</v>
      </c>
      <c r="BX49" s="43" t="e">
        <f t="shared" si="4"/>
        <v>#N/A</v>
      </c>
      <c r="BY49" s="45">
        <v>5.6300000000000003E-2</v>
      </c>
      <c r="BZ49" s="45">
        <v>0</v>
      </c>
      <c r="CA49" s="43" t="e">
        <f t="shared" si="5"/>
        <v>#N/A</v>
      </c>
      <c r="CB49" s="45">
        <v>5.6300000000000003E-2</v>
      </c>
      <c r="CC49" s="45">
        <v>0</v>
      </c>
      <c r="CD49" s="45">
        <v>0</v>
      </c>
      <c r="CE49" s="45">
        <v>0</v>
      </c>
      <c r="CF49" s="45" t="s">
        <v>115</v>
      </c>
      <c r="CG49" s="45">
        <v>0</v>
      </c>
      <c r="CH49">
        <f t="shared" ref="CH49:CH50" si="68">IF(W49&gt;0,1,0)</f>
        <v>1</v>
      </c>
      <c r="CI49">
        <f t="shared" ref="CI49:CI50" si="69">IF(AE49&gt;0,1,0)</f>
        <v>1</v>
      </c>
      <c r="CJ49">
        <f t="shared" ref="CJ49:CJ50" si="70">IF(AM49&gt;0,1,0)</f>
        <v>1</v>
      </c>
      <c r="CK49">
        <f t="shared" ref="CK49:CK50" si="71">IF(AO49&gt;0,1,0)</f>
        <v>1</v>
      </c>
      <c r="CL49">
        <f t="shared" ref="CL49:CL50" si="72">CH49+CI49+CJ49+CK49</f>
        <v>4</v>
      </c>
    </row>
    <row r="50" spans="1:90" ht="18" customHeight="1">
      <c r="A50" s="260" t="s">
        <v>292</v>
      </c>
      <c r="B50" s="260" t="s">
        <v>293</v>
      </c>
      <c r="C50" s="260" t="s">
        <v>100</v>
      </c>
      <c r="D50" s="260" t="s">
        <v>101</v>
      </c>
      <c r="E50" s="260" t="s">
        <v>294</v>
      </c>
      <c r="F50" s="260" t="s">
        <v>372</v>
      </c>
      <c r="G50" s="260" t="s">
        <v>373</v>
      </c>
      <c r="H50" s="260" t="s">
        <v>381</v>
      </c>
      <c r="I50" s="260" t="s">
        <v>106</v>
      </c>
      <c r="J50" s="12" t="s">
        <v>382</v>
      </c>
      <c r="K50" s="260" t="s">
        <v>383</v>
      </c>
      <c r="L50" s="260" t="s">
        <v>2855</v>
      </c>
      <c r="M50" s="260" t="s">
        <v>385</v>
      </c>
      <c r="N50" s="260" t="s">
        <v>123</v>
      </c>
      <c r="O50" s="260" t="s">
        <v>124</v>
      </c>
      <c r="P50" s="10">
        <v>100</v>
      </c>
      <c r="Q50" s="11">
        <v>100</v>
      </c>
      <c r="R50" s="11">
        <f>(Z50+AH50)/CL50</f>
        <v>43.325000000000003</v>
      </c>
      <c r="S50" s="11" t="str">
        <f>VLOOKUP(K50,'1108 Educación'!$K$13:$AK$40,9,0)</f>
        <v xml:space="preserve">Se benefició al 100% de los docentes, directivos docentes y personal administrativo de las instituciones educativas que corresponde a un total de 12152 funcionarios  con las actividades desarrolladas incluidas en el programa de bienestar laboral 2020,  con  el  desarrollo de   estrategias que permiten mejorar  la calidad de vida,  el desempeño laboral, el desarrollo humano y profesional de los directivos docentes, docentes y el personal administrativo de las instituciones educativas de los municipios no certificados de cundinamarca. Tal como se planteó en el programa de bienestar laboral y de incentivos </v>
      </c>
      <c r="T50" s="11">
        <v>0</v>
      </c>
      <c r="U50" s="11">
        <v>100</v>
      </c>
      <c r="V50" s="11">
        <v>0</v>
      </c>
      <c r="W50" s="11">
        <v>100</v>
      </c>
      <c r="X50" s="11" t="s">
        <v>115</v>
      </c>
      <c r="Y50" s="11">
        <v>100</v>
      </c>
      <c r="Z50" s="11">
        <v>100</v>
      </c>
      <c r="AA50" s="11" t="s">
        <v>386</v>
      </c>
      <c r="AB50" s="11" t="s">
        <v>387</v>
      </c>
      <c r="AC50" s="11">
        <v>0</v>
      </c>
      <c r="AD50" s="11">
        <v>0</v>
      </c>
      <c r="AE50" s="11">
        <v>100</v>
      </c>
      <c r="AF50" s="11">
        <f>VLOOKUP(K50,'1108 Educación'!$K$13:$AK$40,22,0)</f>
        <v>0</v>
      </c>
      <c r="AG50" s="11">
        <f>VLOOKUP(K50,'1108 Educación'!$K$13:$AK$40,23,0)</f>
        <v>73.3</v>
      </c>
      <c r="AH50" s="11">
        <f t="shared" si="64"/>
        <v>73.3</v>
      </c>
      <c r="AI50" s="9">
        <f>VLOOKUP(K50,'1108 Educación'!$K$13:$AK$40,25,0)</f>
        <v>0</v>
      </c>
      <c r="AJ50" s="9" t="str">
        <f>VLOOKUP(K50,'1108 Educación'!$K$13:$AK$40,26,0)</f>
        <v>En el mes de febrero  se realizó el encuentro de orientadores educativos con la participación de Colsubsidio ,la Secretaría de Educación quiso destacar, exaltar y reconocer el trabajo comprometido de los orientadores , sobre todo, en esta época de la escuela no presencial, donde han sido un apoyo emocional fundamental para las familias, igualmente  se realizó la primera reunión del Comité Paritario de Seguridad y Salud en el trabajo Copasst , con el fin de establecer los lineamientos a seguir con el acompañamiento al desarrollo de actividades en beneficio de los docentes directivos docentes y administrativos de las instituciones educativas del Departamento de Cundinamarca. Por otra parte, se realizó la encuesta de síntomas osteomuscular orientada a los funcionarios administrativos y operativos, con el fin de evaluar su estado de salud. Con la colaboración de la ARL y la fisioterapeuta mediante acta de reunión del 11 de febrero,  se  adelantó la revisión de los casos de accidentes , enfermedad laboral y enfermedad común para mantener información actualizada y realizar seguimiento a quienes presentan enfermedades. En el mes de marzo  Se adelantaron actividades orientadas al cumplimiento del Plan de Bienestar para brindar a los funcionarios de las Instituciones Educativas conocimientos y destrezas  aplicadas a los funcionarios en el desarrollo de su desempeño en las labores que adelanta    con la realización  del curso de yoga por parte de Colsubsidio dirigido a funcionarios de las instituciones educativas, igualmente se realizaron actividades en desarrollo de la implementación del Sistema de Gestión de Seguridad y Salud en el Trabajo SGSST y orientación  hacia el cumplimiento de los estandares mínimos establecidos para adelantar todas las actividades del SGSST estipuladas por las normas. En el mes de mayo con apoyo de Colsubsidio se realizó el evento de día del maestro. En el mes de junio  Se realizo la inscripcion de vigias ocupacionales para el curso investigación de accidentes e incidentes de trabajo , sensibilización  a funcionarios administrativos de las ied , rectores sobre accidentes de trabajo  a través de piezas publicitarias con acompañamiento de la oficina de prensa de la Secretaría de Educación , curso asistencia técnica soporte logico para el manejo de información herramienta Humano  evaluaci´n resultados encuesta osteomuscular con fisioterapeuta y arl bolivar para determinar el plan de intervención  a los caso de enfermedades musculoesqueleticas seguimiento a casos reportados de covid 19 y acompañamiento a los funcionarios que lo padecieron  reuniones con vigias presentando los deberes y derechos del vigia conforme al decreto 1072 de 2015, Capacitación  a integrantes copasst sobre legislación vigente y cumplimiento de standares mínimos resolución 0312 de 2019 del ministerio del trabajo dictada por Correcol asesor de seguros. PAra el mes de julio se logró beneficiar 26.38% de los docentes,  directivos docentes y administrativos  del Departamento correspondientes a 2.876 funcionarios, igualmente se avanzo en Implementación del Sistema de Gestión de Seguridad y Salud en el Trabajo (SGSST) y se aprueba el plan de bienestar 2021 acta de fecha   julio 2 de 2021, se programa seguimiento mensual e informe final de ejecución en diciembre de 2021, actividades de capacitacion desarrolladas en el SGSST ( descritas en la actividad respectiva ) reunion Copasst julio 2021,  Se efectuo el evento del dia del Servidor Público mediante reunión virtual en plataforma   con orientador y presentador proporcionado por Colsubsidio. Para  el mes de septiembre se emitio la resolución Maestros que dejan huella 2021  y promulgación de cartilla categorias y concurso dirigido adocentes directivos docentes y administrativos.Durante el mes de octubre los docentes ganadores del encuentro folclorico y cultural Departamental  seleccionados participaran en el encuentro folclorico y cultural Nacional, convocado por el Ministerio de educación para la semana del 2 al 5 de noviembre de 2021 , en el municipio de melgar, Tolima . Se esta adelantando la  final Nacional de los juegos deportivos del magisterio  en el municipio de  Melgar, Tolima , convocada por el Ministerio de Educación , con la participación de Cundinamarca en tres disciplinas masculinas  Futbol sala  ,Voleibol y  Baloncesto  la resolucion respectiva da permiso a los docentes conformada por los  participantes clasificados para los juegos  nacionales. Se realiza ajuste del proyecto de resolución de maestros que dejan huella y revisión por parte de la Subsecretaría de Educación,definición de la plataforma para inscripción de los docentes de instituciones educativas que deseen participar en las diferentes categorías con su respectivo instructivo para registro.Se solicitó la disponibilidad presupuestal y se prerpapraron los estudios previos para tramite en la oficina jurídica  para la realización exámenes médicos ocupacionales al personal administrativo de las IED, se desarrollo el curso manejo de herramientas por parte de los funcionarios administrativos  mediante la plataforma PROFE a ARL Bolivar.</v>
      </c>
      <c r="AK50" s="9">
        <f>VLOOKUP(K50,'1108 Educación'!$K$13:$AK$40,27,0)</f>
        <v>0</v>
      </c>
      <c r="AL50" s="11">
        <v>0</v>
      </c>
      <c r="AM50" s="11">
        <v>100</v>
      </c>
      <c r="AN50" s="11">
        <v>0</v>
      </c>
      <c r="AO50" s="11">
        <v>100</v>
      </c>
      <c r="AP50" s="11">
        <v>0</v>
      </c>
      <c r="AQ50" s="11">
        <v>0</v>
      </c>
      <c r="AR50" s="52"/>
      <c r="AS50" s="54">
        <v>57000000</v>
      </c>
      <c r="AT50" s="54">
        <f t="shared" si="0"/>
        <v>57000000</v>
      </c>
      <c r="AU50" s="52"/>
      <c r="AV50" s="89">
        <v>0</v>
      </c>
      <c r="AY50" s="89">
        <v>0</v>
      </c>
      <c r="AZ50" s="44" cm="1">
        <f t="array" ref="AZ50">_xlfn.IFS((BA50=0),(BD50/CL50),(BA50&gt;0),((BB50+BD50)/CL50),(BE50&gt;0),((BB50+BD50+BE50)/CL50),(BG50&gt;0),((BB50+BD50+BE50+G50)/CL50))</f>
        <v>0.43325000000000002</v>
      </c>
      <c r="BA50" s="44">
        <v>0.25</v>
      </c>
      <c r="BB50" s="44">
        <v>1</v>
      </c>
      <c r="BC50" s="44">
        <f t="shared" si="65"/>
        <v>0.25</v>
      </c>
      <c r="BD50" s="44" cm="1">
        <f t="array" ref="BD50">_xlfn.IFS(AE50=0,"NA",AE50&gt;0,AH50/AE50)</f>
        <v>0.73299999999999998</v>
      </c>
      <c r="BE50" s="44">
        <f t="shared" si="66"/>
        <v>0.25</v>
      </c>
      <c r="BF50" s="44">
        <v>0</v>
      </c>
      <c r="BG50" s="44">
        <f t="shared" si="67"/>
        <v>0.25</v>
      </c>
      <c r="BH50" s="44">
        <v>0</v>
      </c>
      <c r="BI50" s="44">
        <v>0</v>
      </c>
      <c r="BJ50" s="44" t="s">
        <v>115</v>
      </c>
      <c r="BK50" s="44">
        <f t="shared" si="1"/>
        <v>0.43325000000000002</v>
      </c>
      <c r="BL50" s="44">
        <v>1</v>
      </c>
      <c r="BM50" s="42" cm="1">
        <f t="array" ref="BM50">_xlfn.IFS(BD50="NA","NA",BD50&gt;100%,"100%",BD50&lt;100,BD50)</f>
        <v>0.73299999999999998</v>
      </c>
      <c r="BN50" s="44">
        <v>0</v>
      </c>
      <c r="BO50" s="44">
        <v>0</v>
      </c>
      <c r="BP50" s="44" t="s">
        <v>115</v>
      </c>
      <c r="BQ50" s="45">
        <v>0.22500000000000001</v>
      </c>
      <c r="BR50" s="43">
        <f t="shared" si="2"/>
        <v>9.7481250000000005E-2</v>
      </c>
      <c r="BS50" s="45">
        <v>5.6300000000000003E-2</v>
      </c>
      <c r="BT50" s="45">
        <v>5.6300000000000003E-2</v>
      </c>
      <c r="BU50" s="45">
        <v>5.6300000000000003E-2</v>
      </c>
      <c r="BV50" s="45">
        <v>5.6300000000000003E-2</v>
      </c>
      <c r="BW50" s="43">
        <f t="shared" si="3"/>
        <v>4.1267900000000003E-2</v>
      </c>
      <c r="BX50" s="43">
        <f t="shared" si="4"/>
        <v>4.1181250000000003E-2</v>
      </c>
      <c r="BY50" s="45">
        <v>5.6300000000000003E-2</v>
      </c>
      <c r="BZ50" s="45">
        <v>0</v>
      </c>
      <c r="CA50" s="43">
        <f t="shared" si="5"/>
        <v>0</v>
      </c>
      <c r="CB50" s="45">
        <v>5.6300000000000003E-2</v>
      </c>
      <c r="CC50" s="45">
        <v>0</v>
      </c>
      <c r="CD50" s="45">
        <v>0</v>
      </c>
      <c r="CE50" s="45">
        <v>0</v>
      </c>
      <c r="CF50" s="45" t="s">
        <v>115</v>
      </c>
      <c r="CG50" s="45">
        <v>0</v>
      </c>
      <c r="CH50">
        <f t="shared" si="68"/>
        <v>1</v>
      </c>
      <c r="CI50">
        <f t="shared" si="69"/>
        <v>1</v>
      </c>
      <c r="CJ50">
        <f t="shared" si="70"/>
        <v>1</v>
      </c>
      <c r="CK50">
        <f t="shared" si="71"/>
        <v>1</v>
      </c>
      <c r="CL50">
        <f t="shared" si="72"/>
        <v>4</v>
      </c>
    </row>
    <row r="51" spans="1:90" ht="18" customHeight="1">
      <c r="A51" s="260" t="s">
        <v>388</v>
      </c>
      <c r="B51" s="260" t="s">
        <v>389</v>
      </c>
      <c r="C51" s="260" t="s">
        <v>100</v>
      </c>
      <c r="D51" s="260" t="s">
        <v>101</v>
      </c>
      <c r="E51" s="260" t="s">
        <v>294</v>
      </c>
      <c r="F51" s="260" t="s">
        <v>390</v>
      </c>
      <c r="G51" s="260" t="s">
        <v>391</v>
      </c>
      <c r="H51" s="260" t="s">
        <v>392</v>
      </c>
      <c r="I51" s="260"/>
      <c r="J51" s="12" t="s">
        <v>393</v>
      </c>
      <c r="K51" s="260" t="s">
        <v>394</v>
      </c>
      <c r="L51" s="260" t="s">
        <v>395</v>
      </c>
      <c r="M51" s="260" t="s">
        <v>131</v>
      </c>
      <c r="N51" s="260" t="s">
        <v>111</v>
      </c>
      <c r="O51" s="260" t="s">
        <v>112</v>
      </c>
      <c r="P51" s="10">
        <v>1</v>
      </c>
      <c r="Q51" s="11">
        <v>1</v>
      </c>
      <c r="R51" s="9">
        <f t="shared" ref="R51:R53" si="73">Z51+AH51</f>
        <v>0.26</v>
      </c>
      <c r="S51" s="11" t="str">
        <f>VLOOKUP(K51,'1123 Transporte'!$K$13:$AK$23,9,0)</f>
        <v>Se creó el esquema funcional del Centro de Estudios (Ceis)  que es El centro de estudios e investigaciones de seguridad vial, desarrolló y organizó los informes provinciales y especiales de manera mensuales Envío a 36  municipios  ( Alcaldes) :*       Informes estadísticos especiales 10 productos*.Investigaciones especiales y boletines 102 productos*.Mapas de calor y tableros gráficos *.Monitoreo de Medios- Diario•       Plataforma en línea abierta con tablero de control, y descarga de datos para el consultante  para un total de 1044 informes especiales cualitativos de publicación online en el link https://www.ceiscundinamarca.com/Los resultados a la fecha son:a.-53,4% en fatalidades en Accidentes de tránsitob.-57,8% en lesiones en accidentes de tránsitoc.-29,9% hurto a Automotoresd.-39,1% hurto a Motocicletase.-168% en abigeatof.-47,4% en Piratería* COMPONENTE JORNADAS PEDAGÓGICAS EN SEGURIDAD VIAL LUDOEDUCADORES  11 Provincias atendidas24 Municipios beneficiados con Jornadas pedagógicas en seguridad vial.75 Instituciones atendidas en las cuales están: Instituciones Educativas, fundaciones, grupos de adulto mayor, instituciones educativas privadas, docentes, Juntas de Acción comunal, Servidores públicos,transportadores , peatones,bici usuarios,motociclistas .Apoyo a los operativos que realizan los municipios en seguridad vial, administraciones municipales de 24 municipios, según relación adjunta.55 bici-usuarios beneficiados con kit de protección5.170 personas sensibilizadas del  2 de junio  al 30 de septiembre  de 2020.</v>
      </c>
      <c r="T51" s="11">
        <v>0.1</v>
      </c>
      <c r="U51" s="11">
        <v>0</v>
      </c>
      <c r="V51" s="11">
        <v>0.1</v>
      </c>
      <c r="W51" s="11">
        <v>0</v>
      </c>
      <c r="X51" s="11">
        <v>0.1</v>
      </c>
      <c r="Y51" s="11">
        <v>0</v>
      </c>
      <c r="Z51" s="11">
        <v>0.1</v>
      </c>
      <c r="AA51" s="11" t="s">
        <v>396</v>
      </c>
      <c r="AB51" s="11" t="s">
        <v>397</v>
      </c>
      <c r="AC51" s="11">
        <v>0</v>
      </c>
      <c r="AD51" s="11">
        <v>0.2</v>
      </c>
      <c r="AE51" s="11">
        <v>0</v>
      </c>
      <c r="AF51" s="11">
        <f>VLOOKUP(K51,'1123 Transporte'!$K$13:$AK$23,22,0)</f>
        <v>0.16</v>
      </c>
      <c r="AG51" s="11">
        <f>VLOOKUP(K51,'1123 Transporte'!$K$13:$AK$23,23,0)</f>
        <v>0</v>
      </c>
      <c r="AH51" s="9">
        <f t="shared" ref="AH51:AH53" si="74">AF51</f>
        <v>0.16</v>
      </c>
      <c r="AI51" s="9" t="str">
        <f>VLOOKUP(K51,'1123 Transporte'!$K$13:$AK$23,25,0)</f>
        <v>INFORMES  ESTADISTICOS MENSUALES/JULIO/INFORMES SINIESTRALIDAD POR MUNICIPIO/464
INFORMES ESTADISTICOS ESPECIALES/JULIO/INFORMES SINIESTRALIDAD POR PROVINCIA/60
INVESTIGACIONES ES PECIALES Y BOLETINES /JULIO/BOLETINES MOVILIDAD PARO/197
MAPAS DE CALOR /JULIO/15
ENVIO MENSUAL DE ALCALDES/JULIO/464
MESAS DE TRABAJO/JULIO/12
PARTICIPACION DEL CEIS EN ESPACIOS EXTERNOS /JULIO/14
PARTICIPACION DEL CEIS EN ESPACIOS INTERNOS/JULIO/15
CREACION DE PROYECTOS ESPECIALES /JULIO/N/A 
CAPACITACIONES EXTERNAS/JULIO/N/A 
CAPACITACIONES INTERNAS/JULIO/7</v>
      </c>
      <c r="AJ51" s="9" t="str">
        <f>VLOOKUP(K51,'1123 Transporte'!$K$13:$AK$23,26,0)</f>
        <v>META 040
 Plataforma en línea abierta con tablero de control, y descarga de datos para el consultante   para un total de 1044 informes especiales cualitativos de publicación online en el link https://www.ceiscundinamarca.com/ con reportes actualizados para los 116 Municipios van 27 informes de siniestralidad vial,  5 de movilidad, 3 de seguimiento a siniestralidad en fechas especificas, 1 de investigación a terminales y centros de despacho, 1 de empresas del  sector transporte y 7 reuniones en las que se  han participado.
DISEÑO PARA REDES SOBRE EL PLAN CANDADO, DIAS ESPECIALES 
AVANCE DE META MES DE ABRIL 2021
DISEÑO PARA REDES SOBRE EL PLAN CANDADO, DIAS ESPECIALES  5           
VIDEO DE DECRETO DE MOVILIDAD 1
VIDEOS SECRETARIO  7
CONTENIDO INFORMATIVO EN EL CANAL DE MOVILIDAD  47 PUBLICACIONES EN TWITTER
040 AVANCES DE MAYO 
- 116-INFORMES ESTADISTICOS MENSUALES INFORMES SINIESTRALIDAD POR MUNICIPIO 
- 15 INFORMES ESTADISTICOS ESPECIALES SINIESTRALIDAD POR PROVINCIA
- 15 BOLETINES INVESTIGACIONES ESPECIALES MOVILIDAD PARO EN VIAS DEPARTAMENTALES 
- 15 MAPAS DE CALOR EN ACCIDENTALIDAD EN LOS MUNICIPIOS DE CUNDINAMMARCA EN  LA PAGINA  WEB DEL CEIS 
Los resultados estadísticos a la fecha son:
a. +48,54% en fatalidades en Accidentes de tránsito
b. +41,68% en lesiones en accidentes de tránsito
c. -3,82% hurto a Automotores
d. +24,7% hurto a Motocicletas
e. +4,55% en abigeato
f. -23,08% en Piratería
Avance mes de junio
De acuerdo con el objetivo de la meta 040 del plan de desarrollo de “Optimizar los mecanismos de recolección, tabulación y normalización para la consolidación de la información” Y “Crear mecanismos de recolección, tabulación y normalización para la consolidación de la información”
Desde el equipo de Centro de Estudios e Investigación en Seguridad Vial- CEIS dirigida por la Gerencia de Estudios sectoriales y de servicio de la secretaria de transporte y movilidad se ha desarrollado los siguientes productos:               
INFORMES  ESTADISTICOS MENSUALES 	JUNIO	INFORMES SINIESTRALIDAD POR MUNICIPIO	348
INFORMES ESTADISTICOS ESPECIALES 	JUNIO	INFORMES SINIESTRALIDAD POR PROVINCIA	45
INVESTIGACIONES ES PECIALES Y BOLETINES 	JUNIO	BOLETINES MOVILIDAD PARO	197
MAPAS DE CALOR 	JUNIO		15
ENVIO MENSUAL DE ALCALDES 	JUNIO		348
MESAS DE TRABAJO	JUNIO		9
PARTICIPACION DEL CEIS EN ESPACIOS EXTERNOS 	JUNIO		8
PARTICIPACION DEL CEIS EN ESPACIOS INTERNOS 	JUNIO		12
CREACION DE PROYECTOS ESPECIALES 	JUNIO	N/A	
CAPACITACIONES EXTERNAS	JUNIO	N/A	
CAPACITACIONES INTERNAS 	JUNIO		4
RESULTADO A LA FECHA 	MAYO	FATALIDADES DE ACCIDENTE  DE TRANSITO
AVANCE DE META MES DE JULIO  
INFORMES  ESTADISTICOS MENSUALES/JULIO/INFORMES SINIESTRALIDAD POR MUNICIPIO/464
INFORMES ESTADISTICOS ESPECIALES/JULIO/INFORMES SINIESTRALIDAD POR PROVINCIA/60
INVESTIGACIONES ES PECIALES Y BOLETINES /JULIO/BOLETINES MOVILIDAD PARO/197
MAPAS DE CALOR /JULIO/15
ENVIO MENSUAL DE ALCALDES/JULIO/464
MESAS DE TRABAJO/JULIO/12
PARTICIPACION DEL CEIS EN ESPACIOS EXTERNOS /JULIO/14
PARTICIPACION DEL CEIS EN ESPACIOS INTERNOS/JULIO/15
CREACION DE PROYECTOS ESPECIALES /JULIO/N/A 
CAPACITACIONES EXTERNAS/JULIO/N/A 
CAPACITACIONES INTERNAS/JULIO/7
RESULTADO A LA FECHA/JUNIO /FATALIDADES DE ACCIDENTE  DE TRANSITO/256
JUNIO LESIONADOS  957
JUNIO HURTO AUTOMOTORES  232
JUNIO HURTO MOTOCICLETAS  526
JUNIO ABIGEATO 109
JUNIO PIRATERIA  23
CONSOLIDADO COMPARATIVO DEL MES DE MAYO 2019 VS 2021  
JUNIO FATALIDADES DE ACCIDENTE  DE TRANSITO  59
JUNIO LESIONADOS  -151
JUNIO HURTO AUTOMOTORES  -1
JUNIO HURTO MOTOCICLETAS  85
JUNIO ABIGEATO -136
JUNIO PIRATERIA  0
Los resultados estadísticos acumulados del año son:
a. +29,9% en fatalidades en Accidentes de tránsito
b. -13,6% en lesiones en accidentes de tránsito
c. -0,4% hurto a Automotores
d. +19,3% hurto a Motocicletas
e. -55,5% en abigeato
f. 0% en Piratería
Avances mes de agosto 
Los resultados estadísticos acumulados del año 2021 con respecto a 2019, son:
a. +24,3% en fatalidades en Accidentes de tránsito
b. -20,2% en lesiones en accidentes de tránsito
c. +1,8% hurto a Automotores
d. +32,2% hurto a Motocicletas
e. -94,4% en abigeato
f. -16,7% en Piratería</v>
      </c>
      <c r="AK51" s="9">
        <f>VLOOKUP(K51,'1123 Transporte'!$K$13:$AK$23,27,0)</f>
        <v>0</v>
      </c>
      <c r="AL51" s="11">
        <v>0.2</v>
      </c>
      <c r="AM51" s="11">
        <v>0</v>
      </c>
      <c r="AN51" s="11">
        <v>0.5</v>
      </c>
      <c r="AO51" s="11">
        <v>0</v>
      </c>
      <c r="AP51" s="11">
        <v>0</v>
      </c>
      <c r="AQ51" s="11">
        <v>0</v>
      </c>
      <c r="AR51" s="51">
        <v>276368997</v>
      </c>
      <c r="AS51" s="54">
        <v>0</v>
      </c>
      <c r="AT51" s="54">
        <f t="shared" si="0"/>
        <v>276368997</v>
      </c>
      <c r="AU51" s="51">
        <v>0</v>
      </c>
      <c r="AV51" s="89">
        <v>1136373000</v>
      </c>
      <c r="AY51" s="89">
        <v>435282995</v>
      </c>
      <c r="AZ51" s="42">
        <f t="shared" ref="AZ51:AZ53" si="75">R51/Q51</f>
        <v>0.26</v>
      </c>
      <c r="BA51" s="44">
        <v>0.1</v>
      </c>
      <c r="BB51" s="44">
        <v>1</v>
      </c>
      <c r="BC51" s="42">
        <f t="shared" ref="BC51:BC53" si="76">AD51/Q51</f>
        <v>0.2</v>
      </c>
      <c r="BD51" s="42" cm="1">
        <f t="array" ref="BD51">_xlfn.IFS(AD51=0,"NA",AD51&gt;0,AH51/AD51)</f>
        <v>0.79999999999999993</v>
      </c>
      <c r="BE51" s="42">
        <f t="shared" ref="BE51:BE53" si="77">AL51/Q51</f>
        <v>0.2</v>
      </c>
      <c r="BF51" s="44">
        <v>0</v>
      </c>
      <c r="BG51" s="42">
        <f t="shared" ref="BG51:BG53" si="78">AN51/Q51</f>
        <v>0.5</v>
      </c>
      <c r="BH51" s="44">
        <v>0</v>
      </c>
      <c r="BI51" s="42">
        <f t="shared" ref="BI51:BI53" si="79">AP51/Q51</f>
        <v>0</v>
      </c>
      <c r="BJ51" s="44" t="s">
        <v>115</v>
      </c>
      <c r="BK51" s="42">
        <f t="shared" si="1"/>
        <v>0.26</v>
      </c>
      <c r="BL51" s="44">
        <v>1</v>
      </c>
      <c r="BM51" s="42" cm="1">
        <f t="array" ref="BM51">_xlfn.IFS(BD51="NA","NA",BD51&gt;100%,"100%",BD51&lt;100,BD51)</f>
        <v>0.79999999999999993</v>
      </c>
      <c r="BN51" s="42" cm="1">
        <f t="array" ref="BN51">_xlfn.IFS(BF51="NA","NA",BF51&gt;100%,"100%",BF51&lt;100,BF51)</f>
        <v>0</v>
      </c>
      <c r="BO51" s="42" cm="1">
        <f t="array" ref="BO51">_xlfn.IFS(BH51="NA","NA",BH51&gt;100%,"100%",BH51&lt;100,BH51)</f>
        <v>0</v>
      </c>
      <c r="BP51" s="42" t="str" cm="1">
        <f t="array" ref="BP51">_xlfn.IFS(BJ51="NA","NA",BJ51&gt;100%,"100%",BJ51&lt;100,BJ51)</f>
        <v>NA</v>
      </c>
      <c r="BQ51" s="45">
        <v>0.22500000000000001</v>
      </c>
      <c r="BR51" s="43">
        <f t="shared" si="2"/>
        <v>5.8500000000000003E-2</v>
      </c>
      <c r="BS51" s="45">
        <v>2.2499999999999999E-2</v>
      </c>
      <c r="BT51" s="45">
        <v>2.2499999999999999E-2</v>
      </c>
      <c r="BU51" s="45">
        <v>2.2499999999999999E-2</v>
      </c>
      <c r="BV51" s="43">
        <f t="shared" ref="BV51:BV53" si="80">(AD51*BQ51)/Q51</f>
        <v>4.5000000000000005E-2</v>
      </c>
      <c r="BW51" s="43">
        <f t="shared" si="3"/>
        <v>3.6000000000000004E-2</v>
      </c>
      <c r="BX51" s="43">
        <f t="shared" si="4"/>
        <v>3.6000000000000004E-2</v>
      </c>
      <c r="BY51" s="43">
        <f t="shared" ref="BY51:BY53" si="81">(AL51*BQ51)/Q51</f>
        <v>4.5000000000000005E-2</v>
      </c>
      <c r="BZ51" s="43">
        <f t="shared" ref="BZ51:BZ53" si="82">IF(BN51="NA","NA",BN51*BY51)</f>
        <v>0</v>
      </c>
      <c r="CA51" s="43">
        <f t="shared" si="5"/>
        <v>0</v>
      </c>
      <c r="CB51" s="43">
        <f t="shared" ref="CB51:CB53" si="83">(AN51*BQ51)/Q51</f>
        <v>0.1125</v>
      </c>
      <c r="CC51" s="43">
        <f t="shared" ref="CC51:CC53" si="84">IF(BO51="NA","NA",BO51*CB51)</f>
        <v>0</v>
      </c>
      <c r="CD51" s="45">
        <v>0</v>
      </c>
      <c r="CE51" s="43">
        <f t="shared" ref="CE51:CE53" si="85">(AP51*BQ51)/Q51</f>
        <v>0</v>
      </c>
      <c r="CF51" s="43" t="str">
        <f t="shared" ref="CF51:CF53" si="86">IF(BP51="NA","NA",BP51*CE51)</f>
        <v>NA</v>
      </c>
      <c r="CG51" s="45">
        <v>0</v>
      </c>
    </row>
    <row r="52" spans="1:90" ht="18" customHeight="1">
      <c r="A52" s="260" t="s">
        <v>221</v>
      </c>
      <c r="B52" s="260" t="s">
        <v>222</v>
      </c>
      <c r="C52" s="260" t="s">
        <v>100</v>
      </c>
      <c r="D52" s="260" t="s">
        <v>101</v>
      </c>
      <c r="E52" s="260" t="s">
        <v>294</v>
      </c>
      <c r="F52" s="260" t="s">
        <v>398</v>
      </c>
      <c r="G52" s="260" t="s">
        <v>399</v>
      </c>
      <c r="H52" s="260" t="s">
        <v>400</v>
      </c>
      <c r="I52" s="260"/>
      <c r="J52" s="260"/>
      <c r="K52" s="260" t="s">
        <v>401</v>
      </c>
      <c r="L52" s="260" t="s">
        <v>402</v>
      </c>
      <c r="M52" s="260" t="s">
        <v>403</v>
      </c>
      <c r="N52" s="260" t="s">
        <v>111</v>
      </c>
      <c r="O52" s="260" t="s">
        <v>112</v>
      </c>
      <c r="P52" s="10">
        <v>30</v>
      </c>
      <c r="Q52" s="11">
        <v>30</v>
      </c>
      <c r="R52" s="9">
        <f t="shared" ca="1" si="73"/>
        <v>7</v>
      </c>
      <c r="S52" s="11" t="str">
        <f ca="1">VLOOKUP(K52,'1220 IDECUT'!$K$13:$AK$48,9,0)</f>
        <v xml:space="preserve">Durante 2021 se han aprobado los proyectos de intervención de infraestructura física cultural de los municipios de Supatá, Paratebueno, Sibaté, Une, </v>
      </c>
      <c r="T52" s="11">
        <v>0</v>
      </c>
      <c r="U52" s="11">
        <v>0</v>
      </c>
      <c r="V52" s="11">
        <v>0</v>
      </c>
      <c r="W52" s="11">
        <v>0</v>
      </c>
      <c r="X52" s="11">
        <v>0</v>
      </c>
      <c r="Y52" s="11">
        <v>0</v>
      </c>
      <c r="Z52" s="11">
        <v>0</v>
      </c>
      <c r="AA52" s="11"/>
      <c r="AB52" s="11"/>
      <c r="AC52" s="11"/>
      <c r="AD52" s="11">
        <v>10</v>
      </c>
      <c r="AE52" s="11">
        <v>0</v>
      </c>
      <c r="AF52" s="11">
        <f ca="1">VLOOKUP(K52,'1220 IDECUT'!$K$13:$AK$48,22,0)</f>
        <v>7</v>
      </c>
      <c r="AG52" s="11">
        <f ca="1">VLOOKUP(K52,'1220 IDECUT'!$K$13:$AK$48,23,0)</f>
        <v>0</v>
      </c>
      <c r="AH52" s="9">
        <f t="shared" ca="1" si="74"/>
        <v>7</v>
      </c>
      <c r="AI52" s="9" t="str">
        <f ca="1">VLOOKUP(K52,'1220 IDECUT'!$K$13:$AK$48,25,0)</f>
        <v>Convenios Iccu</v>
      </c>
      <c r="AJ52" s="9" t="str">
        <f ca="1">VLOOKUP(K52,'1220 IDECUT'!$K$13:$AK$48,26,0)</f>
        <v xml:space="preserve">Durante 2021 se han aprobado los proyectos de intervención de infraestructura física cultural de los municipios de Supatá, Paratebueno, Sibaté, Une, </v>
      </c>
      <c r="AK52" s="9">
        <f ca="1">VLOOKUP(K52,'1220 IDECUT'!$K$13:$AK$48,27,0)</f>
        <v>0</v>
      </c>
      <c r="AL52" s="11">
        <v>10</v>
      </c>
      <c r="AM52" s="11">
        <v>0</v>
      </c>
      <c r="AN52" s="11">
        <v>10</v>
      </c>
      <c r="AO52" s="11">
        <v>0</v>
      </c>
      <c r="AP52" s="11">
        <v>0</v>
      </c>
      <c r="AQ52" s="11">
        <v>0</v>
      </c>
      <c r="AR52" s="51">
        <v>12000000000</v>
      </c>
      <c r="AS52" s="54">
        <v>0</v>
      </c>
      <c r="AT52" s="54">
        <f t="shared" si="0"/>
        <v>12000000000</v>
      </c>
      <c r="AU52" s="51">
        <v>12000000000</v>
      </c>
      <c r="AV52" s="89">
        <v>100000000</v>
      </c>
      <c r="AY52" s="89">
        <v>61600000</v>
      </c>
      <c r="AZ52" s="42">
        <f t="shared" ca="1" si="75"/>
        <v>0.23333333333333334</v>
      </c>
      <c r="BA52" s="44">
        <v>0</v>
      </c>
      <c r="BB52" s="44" t="s">
        <v>115</v>
      </c>
      <c r="BC52" s="42">
        <f t="shared" si="76"/>
        <v>0.33333333333333331</v>
      </c>
      <c r="BD52" s="42" cm="1">
        <f t="array" aca="1" ref="BD52" ca="1">_xlfn.IFS(AD52=0,"NA",AD52&gt;0,AH52/AD52)</f>
        <v>0.7</v>
      </c>
      <c r="BE52" s="42">
        <f t="shared" si="77"/>
        <v>0.33333333333333331</v>
      </c>
      <c r="BF52" s="44">
        <v>0</v>
      </c>
      <c r="BG52" s="42">
        <f t="shared" si="78"/>
        <v>0.33333333333333331</v>
      </c>
      <c r="BH52" s="44">
        <v>0</v>
      </c>
      <c r="BI52" s="42">
        <f t="shared" si="79"/>
        <v>0</v>
      </c>
      <c r="BJ52" s="44" t="s">
        <v>115</v>
      </c>
      <c r="BK52" s="42">
        <f t="shared" ca="1" si="1"/>
        <v>0.23333333333333334</v>
      </c>
      <c r="BL52" s="44" t="s">
        <v>115</v>
      </c>
      <c r="BM52" s="42" cm="1">
        <f t="array" aca="1" ref="BM52" ca="1">_xlfn.IFS(BD52="NA","NA",BD52&gt;100%,"100%",BD52&lt;100,BD52)</f>
        <v>0.7</v>
      </c>
      <c r="BN52" s="42" cm="1">
        <f t="array" ref="BN52">_xlfn.IFS(BF52="NA","NA",BF52&gt;100%,"100%",BF52&lt;100,BF52)</f>
        <v>0</v>
      </c>
      <c r="BO52" s="42" cm="1">
        <f t="array" ref="BO52">_xlfn.IFS(BH52="NA","NA",BH52&gt;100%,"100%",BH52&lt;100,BH52)</f>
        <v>0</v>
      </c>
      <c r="BP52" s="42" t="str" cm="1">
        <f t="array" ref="BP52">_xlfn.IFS(BJ52="NA","NA",BJ52&gt;100%,"100%",BJ52&lt;100,BJ52)</f>
        <v>NA</v>
      </c>
      <c r="BQ52" s="45">
        <v>0.22500000000000001</v>
      </c>
      <c r="BR52" s="43">
        <f t="shared" ca="1" si="2"/>
        <v>5.2500000000000005E-2</v>
      </c>
      <c r="BS52" s="45">
        <v>0</v>
      </c>
      <c r="BT52" s="45" t="s">
        <v>115</v>
      </c>
      <c r="BU52" s="45">
        <v>0</v>
      </c>
      <c r="BV52" s="43">
        <f t="shared" si="80"/>
        <v>7.4999999999999997E-2</v>
      </c>
      <c r="BW52" s="43">
        <f t="shared" ca="1" si="3"/>
        <v>5.2499999999999998E-2</v>
      </c>
      <c r="BX52" s="43">
        <f t="shared" ca="1" si="4"/>
        <v>5.2500000000000005E-2</v>
      </c>
      <c r="BY52" s="43">
        <f t="shared" si="81"/>
        <v>7.4999999999999997E-2</v>
      </c>
      <c r="BZ52" s="43">
        <f t="shared" si="82"/>
        <v>0</v>
      </c>
      <c r="CA52" s="43">
        <f t="shared" ca="1" si="5"/>
        <v>0</v>
      </c>
      <c r="CB52" s="43">
        <f t="shared" si="83"/>
        <v>7.4999999999999997E-2</v>
      </c>
      <c r="CC52" s="43">
        <f t="shared" si="84"/>
        <v>0</v>
      </c>
      <c r="CD52" s="45">
        <v>0</v>
      </c>
      <c r="CE52" s="43">
        <f t="shared" si="85"/>
        <v>0</v>
      </c>
      <c r="CF52" s="43" t="str">
        <f t="shared" si="86"/>
        <v>NA</v>
      </c>
      <c r="CG52" s="45">
        <v>0</v>
      </c>
    </row>
    <row r="53" spans="1:90" ht="18" customHeight="1">
      <c r="A53" s="260" t="s">
        <v>221</v>
      </c>
      <c r="B53" s="260" t="s">
        <v>222</v>
      </c>
      <c r="C53" s="260" t="s">
        <v>100</v>
      </c>
      <c r="D53" s="260" t="s">
        <v>101</v>
      </c>
      <c r="E53" s="260" t="s">
        <v>294</v>
      </c>
      <c r="F53" s="260" t="s">
        <v>398</v>
      </c>
      <c r="G53" s="260" t="s">
        <v>399</v>
      </c>
      <c r="H53" s="260" t="s">
        <v>404</v>
      </c>
      <c r="I53" s="260"/>
      <c r="J53" s="260"/>
      <c r="K53" s="260" t="s">
        <v>405</v>
      </c>
      <c r="L53" s="260" t="s">
        <v>406</v>
      </c>
      <c r="M53" s="260" t="s">
        <v>407</v>
      </c>
      <c r="N53" s="260" t="s">
        <v>111</v>
      </c>
      <c r="O53" s="260" t="s">
        <v>112</v>
      </c>
      <c r="P53" s="10">
        <v>1</v>
      </c>
      <c r="Q53" s="11">
        <v>1</v>
      </c>
      <c r="R53" s="9">
        <f t="shared" ca="1" si="73"/>
        <v>0.45</v>
      </c>
      <c r="S53" s="11" t="str">
        <f ca="1">VLOOKUP(K53,'1220 IDECUT'!$K$13:$AK$48,9,0)</f>
        <v xml:space="preserve">En la vigencia 2020, se dió inicio a la implementación de la primera fase del modelo de gestión cultural en el departamento, a  través de estrategias que potencializaron las capacidades de participación cultural de las 116 administraciones municipales, donde a partir de la asistencia técnica territorial se diagnosticaron las principales necesidades y problemáticas de los entes permitiendo marcar una hoja de ruta que facilitó la toma de decisiones en favor del desarrollo cultural, estrategia que dio inicio durante el primer trimestre de 2020. 
-Adicionalmente, como parte de las estrategias que dieron inicio durante el primer semestre de 2020, se financió el Servicio Social Complementario de Beneficios Económico Periódicos BEPS en la modalidad vitalicia de 90 gestores y creadores culturales de 18 municipios de Cundinamarca, mediante transferencia de recursos por valor de $3.032.388.709 realizada a Colpensiones, por el Departamento a través IDECUT, en cumplimiento del decreto 2012 de 2017 el cual estableció la manera de invertir los recursos provenientes del 10% del recaudo de la Estampilla Procultura Ley 666/01. En la vigencia 2021. Asistencia tecnica y acompañamiento en  la implementación del modelo de gestion publica de la cultura en los 116 municipios del departamento. Dentro del modelo de gestión se han realizado los consejos departamentales de cultura y las sesiones del consejo departamental de cinematografía y medios audiovisules, brindando apoyo, asistencia técnica y acompañamiento en los espacios de participación y gobernanza culturañ. Asimismo, se llevó a cabo el encuentro con el Ministerio de Cultura y se ha desarrollado la estrategia de acompañamiento territorial mediante la cual se brinda asistencia técnica, asesoria y acompañamiento a los 116 municipios en la consolidación e implementación del modelo de gestión pública de la cultura con el objetivo de garantarizar el acceso a los derechos culturales de la población cundinamarquesa.                                                                                           9. fortalecimiento provincial en el primer encuentro de planeación y gestión pública de la cultura provincia de rio negro.                                                                                    10. realización de Encuentro departamental fortalecer las capacidades de la institución cultural de los gestores y actores culturales de las entidades territoriales en los componentes culturales del sistema nacional de cultura.                                                                  11. se realiza acompañamieto a evaluación y seguimiento a los procesos de formación artística por provincia en el departamento.                                                     12. Articulación implementación programa “por mi familia cuido mi vida” a cargo de la secretaria de minas y la agencia nacional de minas en las provincias del Guavio y Ubaté.  </v>
      </c>
      <c r="T53" s="11">
        <v>0.25</v>
      </c>
      <c r="U53" s="11">
        <v>0</v>
      </c>
      <c r="V53" s="11">
        <v>0.25</v>
      </c>
      <c r="W53" s="11">
        <v>0</v>
      </c>
      <c r="X53" s="11">
        <v>0.25</v>
      </c>
      <c r="Y53" s="11">
        <v>0</v>
      </c>
      <c r="Z53" s="11">
        <v>0.25</v>
      </c>
      <c r="AA53" s="11" t="s">
        <v>408</v>
      </c>
      <c r="AB53" s="11" t="s">
        <v>409</v>
      </c>
      <c r="AC53" s="11" t="s">
        <v>410</v>
      </c>
      <c r="AD53" s="11">
        <v>0.25</v>
      </c>
      <c r="AE53" s="11">
        <v>0</v>
      </c>
      <c r="AF53" s="11">
        <f ca="1">VLOOKUP(K53,'1220 IDECUT'!$K$13:$AK$48,22,0)</f>
        <v>0.2</v>
      </c>
      <c r="AG53" s="11">
        <f ca="1">VLOOKUP(K53,'1220 IDECUT'!$K$13:$AK$48,23,0)</f>
        <v>0</v>
      </c>
      <c r="AH53" s="9">
        <f t="shared" ca="1" si="74"/>
        <v>0.2</v>
      </c>
      <c r="AI53" s="9" t="str">
        <f ca="1">VLOOKUP(K53,'1220 IDECUT'!$K$13:$AK$48,25,0)</f>
        <v>Asistencias tecnicas</v>
      </c>
      <c r="AJ53" s="9" t="str">
        <f ca="1">VLOOKUP(K53,'1220 IDECUT'!$K$13:$AK$48,26,0)</f>
        <v>Asistencia tecnica y acompañamiento en  la implementación del modelo de gestion publica de la cultura en los 116 municipios del departamento. Dentro del modelo de gestión se han realizado los consejos departamentales de cultura y las sesiones del consejo departamental de cinematografía y medios audiovisules, brindando apoyo, asistencia técnica y acompañamiento en los espacios de participación y gobernanza culturañ. Asimismo, se llevó a cabo el encuentro con el Ministerio de Cultura y se ha desarrollado la estrategia de acompañamiento territorial mediante la cual se brinda asistencia técnica, asesoria y acompañamiento a los 116 municipios en la consolidación e implementación del modelo de gestión pública de la cultura con el objetivo de garantarizar el acceso a los derechos culturales de la población cundinamarquesa.</v>
      </c>
      <c r="AK53" s="9">
        <f ca="1">VLOOKUP(K53,'1220 IDECUT'!$K$13:$AK$48,27,0)</f>
        <v>0</v>
      </c>
      <c r="AL53" s="11">
        <v>0.25</v>
      </c>
      <c r="AM53" s="11">
        <v>0</v>
      </c>
      <c r="AN53" s="11">
        <v>0.25</v>
      </c>
      <c r="AO53" s="11">
        <v>0</v>
      </c>
      <c r="AP53" s="11">
        <v>0</v>
      </c>
      <c r="AQ53" s="11">
        <v>0</v>
      </c>
      <c r="AR53" s="51">
        <v>552823000</v>
      </c>
      <c r="AS53" s="54">
        <v>122382845</v>
      </c>
      <c r="AT53" s="54">
        <f t="shared" si="0"/>
        <v>675205845</v>
      </c>
      <c r="AU53" s="51">
        <v>552823000</v>
      </c>
      <c r="AV53" s="89">
        <v>1195884000</v>
      </c>
      <c r="AY53" s="89">
        <v>504800000</v>
      </c>
      <c r="AZ53" s="42">
        <f t="shared" ca="1" si="75"/>
        <v>0.45</v>
      </c>
      <c r="BA53" s="44">
        <v>0.25</v>
      </c>
      <c r="BB53" s="44">
        <v>1</v>
      </c>
      <c r="BC53" s="42">
        <f t="shared" si="76"/>
        <v>0.25</v>
      </c>
      <c r="BD53" s="42" cm="1">
        <f t="array" aca="1" ref="BD53" ca="1">_xlfn.IFS(AD53=0,"NA",AD53&gt;0,AH53/AD53)</f>
        <v>0.8</v>
      </c>
      <c r="BE53" s="42">
        <f t="shared" si="77"/>
        <v>0.25</v>
      </c>
      <c r="BF53" s="44">
        <v>0</v>
      </c>
      <c r="BG53" s="42">
        <f t="shared" si="78"/>
        <v>0.25</v>
      </c>
      <c r="BH53" s="44">
        <v>0</v>
      </c>
      <c r="BI53" s="42">
        <f t="shared" si="79"/>
        <v>0</v>
      </c>
      <c r="BJ53" s="44" t="s">
        <v>115</v>
      </c>
      <c r="BK53" s="42">
        <f t="shared" ca="1" si="1"/>
        <v>0.45</v>
      </c>
      <c r="BL53" s="44">
        <v>1</v>
      </c>
      <c r="BM53" s="42" cm="1">
        <f t="array" aca="1" ref="BM53" ca="1">_xlfn.IFS(BD53="NA","NA",BD53&gt;100%,"100%",BD53&lt;100,BD53)</f>
        <v>0.8</v>
      </c>
      <c r="BN53" s="42" cm="1">
        <f t="array" ref="BN53">_xlfn.IFS(BF53="NA","NA",BF53&gt;100%,"100%",BF53&lt;100,BF53)</f>
        <v>0</v>
      </c>
      <c r="BO53" s="42" cm="1">
        <f t="array" ref="BO53">_xlfn.IFS(BH53="NA","NA",BH53&gt;100%,"100%",BH53&lt;100,BH53)</f>
        <v>0</v>
      </c>
      <c r="BP53" s="42" t="str" cm="1">
        <f t="array" ref="BP53">_xlfn.IFS(BJ53="NA","NA",BJ53&gt;100%,"100%",BJ53&lt;100,BJ53)</f>
        <v>NA</v>
      </c>
      <c r="BQ53" s="45">
        <v>0.22500000000000001</v>
      </c>
      <c r="BR53" s="43">
        <f t="shared" ca="1" si="2"/>
        <v>0.10125000000000001</v>
      </c>
      <c r="BS53" s="45">
        <v>5.6300000000000003E-2</v>
      </c>
      <c r="BT53" s="45">
        <v>5.6300000000000003E-2</v>
      </c>
      <c r="BU53" s="45">
        <v>5.6300000000000003E-2</v>
      </c>
      <c r="BV53" s="43">
        <f t="shared" si="80"/>
        <v>5.6250000000000001E-2</v>
      </c>
      <c r="BW53" s="43">
        <f t="shared" ca="1" si="3"/>
        <v>4.5000000000000005E-2</v>
      </c>
      <c r="BX53" s="43">
        <f t="shared" ca="1" si="4"/>
        <v>4.4950000000000004E-2</v>
      </c>
      <c r="BY53" s="43">
        <f t="shared" si="81"/>
        <v>5.6250000000000001E-2</v>
      </c>
      <c r="BZ53" s="43">
        <f t="shared" si="82"/>
        <v>0</v>
      </c>
      <c r="CA53" s="43">
        <f t="shared" ca="1" si="5"/>
        <v>0</v>
      </c>
      <c r="CB53" s="43">
        <f t="shared" si="83"/>
        <v>5.6250000000000001E-2</v>
      </c>
      <c r="CC53" s="43">
        <f t="shared" si="84"/>
        <v>0</v>
      </c>
      <c r="CD53" s="45">
        <v>0</v>
      </c>
      <c r="CE53" s="43">
        <f t="shared" si="85"/>
        <v>0</v>
      </c>
      <c r="CF53" s="43" t="str">
        <f t="shared" si="86"/>
        <v>NA</v>
      </c>
      <c r="CG53" s="45">
        <v>0</v>
      </c>
    </row>
    <row r="54" spans="1:90" ht="27.75" customHeight="1">
      <c r="A54" s="260" t="s">
        <v>221</v>
      </c>
      <c r="B54" s="260" t="s">
        <v>222</v>
      </c>
      <c r="C54" s="260" t="s">
        <v>100</v>
      </c>
      <c r="D54" s="260" t="s">
        <v>101</v>
      </c>
      <c r="E54" s="260" t="s">
        <v>294</v>
      </c>
      <c r="F54" s="260" t="s">
        <v>398</v>
      </c>
      <c r="G54" s="260" t="s">
        <v>399</v>
      </c>
      <c r="H54" s="260" t="s">
        <v>411</v>
      </c>
      <c r="I54" s="260"/>
      <c r="J54" s="260"/>
      <c r="K54" s="260" t="s">
        <v>412</v>
      </c>
      <c r="L54" s="260" t="s">
        <v>413</v>
      </c>
      <c r="M54" s="260" t="s">
        <v>414</v>
      </c>
      <c r="N54" s="260" t="s">
        <v>123</v>
      </c>
      <c r="O54" s="260" t="s">
        <v>124</v>
      </c>
      <c r="P54" s="10">
        <v>81</v>
      </c>
      <c r="Q54" s="11">
        <v>100</v>
      </c>
      <c r="R54" s="11">
        <f ca="1">(Z54+AH54)/CL54</f>
        <v>50</v>
      </c>
      <c r="S54" s="11" t="str">
        <f ca="1">VLOOKUP(K54,'1220 IDECUT'!$K$13:$AK$48,9,0)</f>
        <v>En la vigencia 2020 a cada una de las 158 bibliotecas que conforman la red departamental se le asignó un tutor. Adicionalmente, dentro de la convocatoria de estímulos "Corazonarte Cultura para Cuidarte" fueron adjudicados 30 para temas relacionados con bibliotecas públicas entre los cuales se encuentran: creación en conformación de club de lectura, fotografía y memoria en bibliotecas públicas y creación en laboratorios bibliotecarios.  Durante el año 2021 se continua con el acompañamiento in situ a las bibliotecas públicas municipales en un 100%, Se resalta que  al 31 de octubre se ha hecho acompañamiento técnico in situ a 113 bibliotecas públicas del departamento y al 100% de la red en modalidad virtual, por WhatsApp, Teams, Zoom y demás plataformas virtuales. Adicioalmente, se obtuvieron bibliotecas digitales makina editorial (Micro-servidores llamado “La Cajita” precargados con 330 libros pertenecientes a la Biblioteca Digital Offline de MakeMake), para entregar a cada una de las bibliotecas públicas del departamento.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
Durante el año 2021 se continua con el acompañamiento in situ a las bibliotecas públicas municipales, al 27 de septiembre se ha hecho acompañamiento técnico in situ a 83 bibliotecas públicas del departamento y al 10% de la red en modalidad virtual, por WhatsApp, Teams y Zoom.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
Durante el año 2021 se continua con el acompañamiento in situ a las bibliotecas públicas municipales, al 27 de septiembre se ha hecho acompañamiento técnico in situ a 83 bibliotecas públicas del departamento y al 10% de la red en modalidad virtual, por WhatsApp, Teams y Zoom.
En alianza con el ministerio de cultura – Biblioteca Nacional, se ha instalado durante el 2021 el software Koha en 24 bibliotecas públicas para el manejo de las bibliotecas públicas.
Durante el 2021 se hizo acompañamiento a los bibliotecarios en dos convocatorias BRI – Bibliotecas Rurales Itinerantes – logrando 49 bibliotecas públicas beneficiadas en el 2021, y así completar 78 Bibliotecas Rurales Itinerantes en Cundinamarca para llegar a las zonas rurales
Se avanza en el proyecto para la construcción de la biblioteca pública municipal para el municipio de La Palma en alianza con el gobierno de Japón, el Ministerio de Cultura, el municipio de La Palma y el Idecut.
Continuar dando lineamientos y aportar en la apertura de las bibliotecas públicas de manera acertada una vez se incluyen en las excepciones de acuerdo a lo establecido en la Resolución 777 del 2021 y a los lineamientos del ministerio de cultura.
En el año 2021 beneficiaron 15 bibliotecas con el programa departamental de estímulos Corazonarte.
Hemos cumplido con acompañamiento a la totalidad de nuestras bibliotecas públicas de forma virtual y nuestro mayor impacto será con la Biblioteca digital, de la cual avanzamos en el proceso de contratación para la dotación de libros en formato digital para las 158 bibliotecas públicas del departamento, se entregarán en el marco de encuentro, de esta forma se apoyará a cada una de las bibliotecas públicas que forman parte de la red departamental de bibliotecas públicas con 260 libros en formato digital.</v>
      </c>
      <c r="T54" s="11">
        <v>0</v>
      </c>
      <c r="U54" s="11">
        <v>100</v>
      </c>
      <c r="V54" s="11">
        <v>0</v>
      </c>
      <c r="W54" s="11">
        <v>100</v>
      </c>
      <c r="X54" s="11" t="s">
        <v>115</v>
      </c>
      <c r="Y54" s="11">
        <v>100</v>
      </c>
      <c r="Z54" s="11">
        <v>100</v>
      </c>
      <c r="AA54" s="11">
        <v>0</v>
      </c>
      <c r="AB54" s="11" t="s">
        <v>415</v>
      </c>
      <c r="AC54" s="11">
        <v>0</v>
      </c>
      <c r="AD54" s="11">
        <v>0</v>
      </c>
      <c r="AE54" s="11">
        <v>100</v>
      </c>
      <c r="AF54" s="11">
        <f ca="1">VLOOKUP(K54,'1220 IDECUT'!$K$13:$AK$48,22,0)</f>
        <v>0</v>
      </c>
      <c r="AG54" s="11">
        <f ca="1">VLOOKUP(K54,'1220 IDECUT'!$K$13:$AK$48,23,0)</f>
        <v>100</v>
      </c>
      <c r="AH54" s="11">
        <f ca="1">AG54</f>
        <v>100</v>
      </c>
      <c r="AI54" s="9" t="str">
        <f ca="1">VLOOKUP(K54,'1220 IDECUT'!$K$13:$AK$48,25,0)</f>
        <v>Asistencias tecnicas</v>
      </c>
      <c r="AJ54" s="9" t="str">
        <f ca="1">VLOOKUP(K54,'1220 IDECUT'!$K$13:$AK$48,26,0)</f>
        <v>Se realizo con el acompañamiento in situ a las bibliotecas públicas municipales, en acompañamiento técnico in situ a 158 bibliotecas públicas del departamento y al 100% de la red en modalidad virtual, por WhatsApp, Teams y Zoom. Se adquirieron bibliotecas digitales makina editorial (Micro-servidores llamado “La Cajita” precargados con 330 libros pertenecientes a la Biblioteca Digital Offline de MakeMake), para entregar a cada una de las bibliotecas públicas del departamento.</v>
      </c>
      <c r="AK54" s="9">
        <f ca="1">VLOOKUP(K54,'1220 IDECUT'!$K$13:$AK$48,27,0)</f>
        <v>0</v>
      </c>
      <c r="AL54" s="11">
        <v>0</v>
      </c>
      <c r="AM54" s="11">
        <v>100</v>
      </c>
      <c r="AN54" s="11">
        <v>0</v>
      </c>
      <c r="AO54" s="11">
        <v>100</v>
      </c>
      <c r="AP54" s="11">
        <v>0</v>
      </c>
      <c r="AQ54" s="11">
        <v>0</v>
      </c>
      <c r="AR54" s="51">
        <v>428528000</v>
      </c>
      <c r="AS54" s="54">
        <v>0</v>
      </c>
      <c r="AT54" s="54">
        <f t="shared" si="0"/>
        <v>428528000</v>
      </c>
      <c r="AU54" s="51">
        <v>428528000</v>
      </c>
      <c r="AV54" s="89">
        <v>595884000</v>
      </c>
      <c r="AY54" s="89">
        <v>68400000</v>
      </c>
      <c r="AZ54" s="44" cm="1">
        <f t="array" aca="1" ref="AZ54" ca="1">_xlfn.IFS((BA54=0),(BD54/CL54),(BA54&gt;0),((BB54+BD54)/CL54),(BE54&gt;0),((BB54+BD54+BE54)/CL54),(BG54&gt;0),((BB54+BD54+BE54+G54)/CL54))</f>
        <v>0.5</v>
      </c>
      <c r="BA54" s="44">
        <v>0.25</v>
      </c>
      <c r="BB54" s="44">
        <v>1</v>
      </c>
      <c r="BC54" s="44">
        <f>IF(AE54&gt;0,(1/CL54),0)</f>
        <v>0.25</v>
      </c>
      <c r="BD54" s="44" cm="1">
        <f t="array" aca="1" ref="BD54" ca="1">_xlfn.IFS(AE54=0,"NA",AE54&gt;0,AH54/AE54)</f>
        <v>1</v>
      </c>
      <c r="BE54" s="44">
        <f>IF(AM54&gt;0,(1/CL54),0)</f>
        <v>0.25</v>
      </c>
      <c r="BF54" s="44">
        <v>0</v>
      </c>
      <c r="BG54" s="44">
        <f>IF(AO54&gt;0,(1/CL54),0)</f>
        <v>0.25</v>
      </c>
      <c r="BH54" s="44">
        <v>0</v>
      </c>
      <c r="BI54" s="44">
        <v>0</v>
      </c>
      <c r="BJ54" s="44" t="s">
        <v>115</v>
      </c>
      <c r="BK54" s="44">
        <f t="shared" ca="1" si="1"/>
        <v>0.5</v>
      </c>
      <c r="BL54" s="44">
        <v>1</v>
      </c>
      <c r="BM54" s="42" cm="1">
        <f t="array" aca="1" ref="BM54" ca="1">_xlfn.IFS(BD54="NA","NA",BD54&gt;100%,"100%",BD54&lt;100,BD54)</f>
        <v>1</v>
      </c>
      <c r="BN54" s="44">
        <v>0</v>
      </c>
      <c r="BO54" s="44">
        <v>0</v>
      </c>
      <c r="BP54" s="44" t="s">
        <v>115</v>
      </c>
      <c r="BQ54" s="45">
        <v>0.22500000000000001</v>
      </c>
      <c r="BR54" s="43">
        <f t="shared" ca="1" si="2"/>
        <v>0.1125</v>
      </c>
      <c r="BS54" s="45">
        <v>5.6300000000000003E-2</v>
      </c>
      <c r="BT54" s="45">
        <v>5.6300000000000003E-2</v>
      </c>
      <c r="BU54" s="45">
        <v>5.6300000000000003E-2</v>
      </c>
      <c r="BV54" s="45">
        <v>5.6300000000000003E-2</v>
      </c>
      <c r="BW54" s="43">
        <f t="shared" ca="1" si="3"/>
        <v>5.6300000000000003E-2</v>
      </c>
      <c r="BX54" s="43">
        <f t="shared" ca="1" si="4"/>
        <v>5.62E-2</v>
      </c>
      <c r="BY54" s="45">
        <v>5.6300000000000003E-2</v>
      </c>
      <c r="BZ54" s="45">
        <v>0</v>
      </c>
      <c r="CA54" s="43">
        <f t="shared" ca="1" si="5"/>
        <v>0</v>
      </c>
      <c r="CB54" s="45">
        <v>5.6300000000000003E-2</v>
      </c>
      <c r="CC54" s="45">
        <v>0</v>
      </c>
      <c r="CD54" s="45">
        <v>0</v>
      </c>
      <c r="CE54" s="45">
        <v>0</v>
      </c>
      <c r="CF54" s="45" t="s">
        <v>115</v>
      </c>
      <c r="CG54" s="45">
        <v>0</v>
      </c>
      <c r="CH54">
        <f>IF(W54&gt;0,1,0)</f>
        <v>1</v>
      </c>
      <c r="CI54">
        <f>IF(AE54&gt;0,1,0)</f>
        <v>1</v>
      </c>
      <c r="CJ54">
        <f>IF(AM54&gt;0,1,0)</f>
        <v>1</v>
      </c>
      <c r="CK54">
        <f>IF(AO54&gt;0,1,0)</f>
        <v>1</v>
      </c>
      <c r="CL54">
        <f>CH54+CI54+CJ54+CK54</f>
        <v>4</v>
      </c>
    </row>
    <row r="55" spans="1:90" ht="18" customHeight="1">
      <c r="A55" s="260" t="s">
        <v>221</v>
      </c>
      <c r="B55" s="260" t="s">
        <v>222</v>
      </c>
      <c r="C55" s="260" t="s">
        <v>100</v>
      </c>
      <c r="D55" s="260" t="s">
        <v>101</v>
      </c>
      <c r="E55" s="260" t="s">
        <v>294</v>
      </c>
      <c r="F55" s="260" t="s">
        <v>398</v>
      </c>
      <c r="G55" s="260" t="s">
        <v>399</v>
      </c>
      <c r="H55" s="260" t="s">
        <v>416</v>
      </c>
      <c r="I55" s="260"/>
      <c r="J55" s="260"/>
      <c r="K55" s="260" t="s">
        <v>417</v>
      </c>
      <c r="L55" s="260" t="s">
        <v>418</v>
      </c>
      <c r="M55" s="260" t="s">
        <v>419</v>
      </c>
      <c r="N55" s="260" t="s">
        <v>111</v>
      </c>
      <c r="O55" s="260" t="s">
        <v>112</v>
      </c>
      <c r="P55" s="10">
        <v>0</v>
      </c>
      <c r="Q55" s="11">
        <v>1</v>
      </c>
      <c r="R55" s="9">
        <f t="shared" ref="R55:R77" ca="1" si="87">Z55+AH55</f>
        <v>0</v>
      </c>
      <c r="S55" s="11">
        <f ca="1">VLOOKUP(K55,'1220 IDECUT'!$K$13:$AK$48,9,0)</f>
        <v>0</v>
      </c>
      <c r="T55" s="11">
        <v>0</v>
      </c>
      <c r="U55" s="11">
        <v>0</v>
      </c>
      <c r="V55" s="11">
        <v>0</v>
      </c>
      <c r="W55" s="11">
        <v>0</v>
      </c>
      <c r="X55" s="11">
        <v>0</v>
      </c>
      <c r="Y55" s="11">
        <v>0</v>
      </c>
      <c r="Z55" s="11">
        <v>0</v>
      </c>
      <c r="AA55" s="11"/>
      <c r="AB55" s="11"/>
      <c r="AC55" s="11"/>
      <c r="AD55" s="11">
        <v>0</v>
      </c>
      <c r="AE55" s="11">
        <v>0</v>
      </c>
      <c r="AF55" s="11">
        <f ca="1">VLOOKUP(K55,'1220 IDECUT'!$K$13:$AK$48,22,0)</f>
        <v>0</v>
      </c>
      <c r="AG55" s="11">
        <f ca="1">VLOOKUP(K55,'1220 IDECUT'!$K$13:$AK$48,23,0)</f>
        <v>0</v>
      </c>
      <c r="AH55" s="9">
        <f t="shared" ref="AH55:AH77" ca="1" si="88">AF55</f>
        <v>0</v>
      </c>
      <c r="AI55" s="9">
        <f ca="1">VLOOKUP(K55,'1220 IDECUT'!$K$13:$AK$48,25,0)</f>
        <v>0</v>
      </c>
      <c r="AJ55" s="9">
        <f ca="1">VLOOKUP(K55,'1220 IDECUT'!$K$13:$AK$48,26,0)</f>
        <v>0</v>
      </c>
      <c r="AK55" s="9">
        <f ca="1">VLOOKUP(K55,'1220 IDECUT'!$K$13:$AK$48,27,0)</f>
        <v>0</v>
      </c>
      <c r="AL55" s="11">
        <v>0.5</v>
      </c>
      <c r="AM55" s="11">
        <v>0</v>
      </c>
      <c r="AN55" s="11">
        <v>0.5</v>
      </c>
      <c r="AO55" s="11">
        <v>0</v>
      </c>
      <c r="AP55" s="11">
        <v>0</v>
      </c>
      <c r="AQ55" s="11">
        <v>0</v>
      </c>
      <c r="AR55" s="52"/>
      <c r="AS55" s="54">
        <v>0</v>
      </c>
      <c r="AT55" s="54">
        <f t="shared" si="0"/>
        <v>0</v>
      </c>
      <c r="AU55" s="52"/>
      <c r="AV55" s="89">
        <v>0</v>
      </c>
      <c r="AY55" s="89">
        <v>0</v>
      </c>
      <c r="AZ55" s="42">
        <f t="shared" ref="AZ55:AZ77" ca="1" si="89">R55/Q55</f>
        <v>0</v>
      </c>
      <c r="BA55" s="44">
        <v>0</v>
      </c>
      <c r="BB55" s="44" t="s">
        <v>115</v>
      </c>
      <c r="BC55" s="42">
        <f t="shared" ref="BC55:BC77" si="90">AD55/Q55</f>
        <v>0</v>
      </c>
      <c r="BD55" s="42" t="str" cm="1">
        <f t="array" aca="1" ref="BD55" ca="1">_xlfn.IFS(AD55=0,"NA",AD55&gt;0,AH55/AD55)</f>
        <v>NA</v>
      </c>
      <c r="BE55" s="42">
        <f t="shared" ref="BE55:BE77" si="91">AL55/Q55</f>
        <v>0.5</v>
      </c>
      <c r="BF55" s="44">
        <v>0</v>
      </c>
      <c r="BG55" s="42">
        <f t="shared" ref="BG55:BG77" si="92">AN55/Q55</f>
        <v>0.5</v>
      </c>
      <c r="BH55" s="44">
        <v>0</v>
      </c>
      <c r="BI55" s="42">
        <f t="shared" ref="BI55:BI77" si="93">AP55/Q55</f>
        <v>0</v>
      </c>
      <c r="BJ55" s="44" t="s">
        <v>115</v>
      </c>
      <c r="BK55" s="42">
        <f t="shared" ca="1" si="1"/>
        <v>0</v>
      </c>
      <c r="BL55" s="44" t="s">
        <v>115</v>
      </c>
      <c r="BM55" s="42" t="str" cm="1">
        <f t="array" aca="1" ref="BM55" ca="1">_xlfn.IFS(BD55="NA","NA",BD55&gt;100%,"100%",BD55&lt;100,BD55)</f>
        <v>NA</v>
      </c>
      <c r="BN55" s="42" cm="1">
        <f t="array" ref="BN55">_xlfn.IFS(BF55="NA","NA",BF55&gt;100%,"100%",BF55&lt;100,BF55)</f>
        <v>0</v>
      </c>
      <c r="BO55" s="42" cm="1">
        <f t="array" ref="BO55">_xlfn.IFS(BH55="NA","NA",BH55&gt;100%,"100%",BH55&lt;100,BH55)</f>
        <v>0</v>
      </c>
      <c r="BP55" s="42" t="str" cm="1">
        <f t="array" ref="BP55">_xlfn.IFS(BJ55="NA","NA",BJ55&gt;100%,"100%",BJ55&lt;100,BJ55)</f>
        <v>NA</v>
      </c>
      <c r="BQ55" s="45">
        <v>0.22500000000000001</v>
      </c>
      <c r="BR55" s="43">
        <f t="shared" ca="1" si="2"/>
        <v>0</v>
      </c>
      <c r="BS55" s="45">
        <v>0</v>
      </c>
      <c r="BT55" s="45" t="s">
        <v>115</v>
      </c>
      <c r="BU55" s="45">
        <v>0</v>
      </c>
      <c r="BV55" s="43">
        <f t="shared" ref="BV55:BV77" si="94">(AD55*BQ55)/Q55</f>
        <v>0</v>
      </c>
      <c r="BW55" s="43" t="str">
        <f t="shared" ca="1" si="3"/>
        <v>NA</v>
      </c>
      <c r="BX55" s="43">
        <f t="shared" ca="1" si="4"/>
        <v>0</v>
      </c>
      <c r="BY55" s="43">
        <f t="shared" ref="BY55:BY77" si="95">(AL55*BQ55)/Q55</f>
        <v>0.1125</v>
      </c>
      <c r="BZ55" s="43">
        <f t="shared" ref="BZ55:BZ77" si="96">IF(BN55="NA","NA",BN55*BY55)</f>
        <v>0</v>
      </c>
      <c r="CA55" s="43">
        <f t="shared" ca="1" si="5"/>
        <v>0</v>
      </c>
      <c r="CB55" s="43">
        <f t="shared" ref="CB55:CB77" si="97">(AN55*BQ55)/Q55</f>
        <v>0.1125</v>
      </c>
      <c r="CC55" s="43">
        <f t="shared" ref="CC55:CC77" si="98">IF(BO55="NA","NA",BO55*CB55)</f>
        <v>0</v>
      </c>
      <c r="CD55" s="45">
        <v>0</v>
      </c>
      <c r="CE55" s="43">
        <f t="shared" ref="CE55:CE77" si="99">(AP55*BQ55)/Q55</f>
        <v>0</v>
      </c>
      <c r="CF55" s="43" t="str">
        <f t="shared" ref="CF55:CF77" si="100">IF(BP55="NA","NA",BP55*CE55)</f>
        <v>NA</v>
      </c>
      <c r="CG55" s="45">
        <v>0</v>
      </c>
    </row>
    <row r="56" spans="1:90" ht="18" customHeight="1">
      <c r="A56" s="260" t="s">
        <v>221</v>
      </c>
      <c r="B56" s="260" t="s">
        <v>222</v>
      </c>
      <c r="C56" s="260" t="s">
        <v>100</v>
      </c>
      <c r="D56" s="260" t="s">
        <v>101</v>
      </c>
      <c r="E56" s="260" t="s">
        <v>294</v>
      </c>
      <c r="F56" s="260" t="s">
        <v>398</v>
      </c>
      <c r="G56" s="260" t="s">
        <v>399</v>
      </c>
      <c r="H56" s="260" t="s">
        <v>420</v>
      </c>
      <c r="I56" s="260"/>
      <c r="J56" s="260"/>
      <c r="K56" s="260" t="s">
        <v>421</v>
      </c>
      <c r="L56" s="260" t="s">
        <v>422</v>
      </c>
      <c r="M56" s="260" t="s">
        <v>423</v>
      </c>
      <c r="N56" s="260" t="s">
        <v>111</v>
      </c>
      <c r="O56" s="260" t="s">
        <v>112</v>
      </c>
      <c r="P56" s="10">
        <v>8</v>
      </c>
      <c r="Q56" s="11">
        <v>8</v>
      </c>
      <c r="R56" s="9">
        <f t="shared" ca="1" si="87"/>
        <v>5</v>
      </c>
      <c r="S56" s="11" t="str">
        <f ca="1">VLOOKUP(K56,'1220 IDECUT'!$K$13:$AK$48,9,0)</f>
        <v>Durante el año 2021. Se han cofinanciado cinco (5) proyectos que desarrollan actividades para la socialización y acceso al patrimonio cultural, a través de los cuales se ha beneficiado a la comunidad de los municipios de Facatativá, Albán, Sesquilé, Tena y Cota. Mediante las  actividades se socializacón se pretende incrementar el sentido de partenencia de los cundinamarqueses hacia su territorio.Para la consecución de los objetivos trazados en la identificacion, rescate y conservación del patrimonio cultural se  suscribieron  de cinco convenios interadministrativos con el fin de beneficiar a los municipios de Facatativá, Tena, Sesquilé, Cota y Albán.</v>
      </c>
      <c r="T56" s="11">
        <v>0</v>
      </c>
      <c r="U56" s="11">
        <v>0</v>
      </c>
      <c r="V56" s="11">
        <v>0</v>
      </c>
      <c r="W56" s="11">
        <v>0</v>
      </c>
      <c r="X56" s="11">
        <v>0</v>
      </c>
      <c r="Y56" s="11">
        <v>0</v>
      </c>
      <c r="Z56" s="11">
        <v>0</v>
      </c>
      <c r="AA56" s="11"/>
      <c r="AB56" s="11"/>
      <c r="AC56" s="11"/>
      <c r="AD56" s="11">
        <v>2</v>
      </c>
      <c r="AE56" s="11">
        <v>0</v>
      </c>
      <c r="AF56" s="11">
        <f ca="1">VLOOKUP(K56,'1220 IDECUT'!$K$13:$AK$48,22,0)</f>
        <v>5</v>
      </c>
      <c r="AG56" s="11">
        <f ca="1">VLOOKUP(K56,'1220 IDECUT'!$K$13:$AK$48,23,0)</f>
        <v>0</v>
      </c>
      <c r="AH56" s="9">
        <f t="shared" ca="1" si="88"/>
        <v>5</v>
      </c>
      <c r="AI56" s="9" t="str">
        <f ca="1">VLOOKUP(K56,'1220 IDECUT'!$K$13:$AK$48,25,0)</f>
        <v>Documentos tecnicos</v>
      </c>
      <c r="AJ56" s="9" t="str">
        <f ca="1">VLOOKUP(K56,'1220 IDECUT'!$K$13:$AK$48,26,0)</f>
        <v>Se han cofinanciado cinco (5) proyectos que desarrollan actividades para la socialización y acceso al patrimonio cultural, a través de los cuales se ha beneficiado a la comunidad de los municipios de Facatativá, Albán, Sesquilé, Tena y Cota. Mediante las  actividades se socializacón se pretende incrementar el sentido de partenencia de los cundinamarqueses hacia su territorio.Para la consecución de los objetivos trazados en la identificaci+on, rescate y conservación del patrimonio cultural se  suscribieron  de cinco convenios interadministrativos con el fin de beneficiar a los municipios de Facatativá, Tena, Sesquilé, Cota y Albán.</v>
      </c>
      <c r="AK56" s="9">
        <f ca="1">VLOOKUP(K56,'1220 IDECUT'!$K$13:$AK$48,27,0)</f>
        <v>0</v>
      </c>
      <c r="AL56" s="11">
        <v>3</v>
      </c>
      <c r="AM56" s="11">
        <v>0</v>
      </c>
      <c r="AN56" s="11">
        <v>3</v>
      </c>
      <c r="AO56" s="11">
        <v>0</v>
      </c>
      <c r="AP56" s="11">
        <v>0</v>
      </c>
      <c r="AQ56" s="11">
        <v>0</v>
      </c>
      <c r="AR56" s="52"/>
      <c r="AS56" s="54">
        <v>0</v>
      </c>
      <c r="AT56" s="54">
        <f t="shared" si="0"/>
        <v>0</v>
      </c>
      <c r="AU56" s="52"/>
      <c r="AV56" s="89">
        <v>313663894</v>
      </c>
      <c r="AY56" s="89">
        <v>0</v>
      </c>
      <c r="AZ56" s="42">
        <f t="shared" ca="1" si="89"/>
        <v>0.625</v>
      </c>
      <c r="BA56" s="44">
        <v>0</v>
      </c>
      <c r="BB56" s="44" t="s">
        <v>115</v>
      </c>
      <c r="BC56" s="42">
        <f t="shared" si="90"/>
        <v>0.25</v>
      </c>
      <c r="BD56" s="42" cm="1">
        <f t="array" aca="1" ref="BD56" ca="1">_xlfn.IFS(AD56=0,"NA",AD56&gt;0,AH56/AD56)</f>
        <v>2.5</v>
      </c>
      <c r="BE56" s="42">
        <f t="shared" si="91"/>
        <v>0.375</v>
      </c>
      <c r="BF56" s="44">
        <v>0</v>
      </c>
      <c r="BG56" s="42">
        <f t="shared" si="92"/>
        <v>0.375</v>
      </c>
      <c r="BH56" s="44">
        <v>0</v>
      </c>
      <c r="BI56" s="42">
        <f t="shared" si="93"/>
        <v>0</v>
      </c>
      <c r="BJ56" s="44" t="s">
        <v>115</v>
      </c>
      <c r="BK56" s="42">
        <f t="shared" ca="1" si="1"/>
        <v>0.625</v>
      </c>
      <c r="BL56" s="44" t="s">
        <v>115</v>
      </c>
      <c r="BM56" s="42" t="str" cm="1">
        <f t="array" aca="1" ref="BM56" ca="1">_xlfn.IFS(BD56="NA","NA",BD56&gt;100%,"100%",BD56&lt;100,BD56)</f>
        <v>100%</v>
      </c>
      <c r="BN56" s="42" cm="1">
        <f t="array" ref="BN56">_xlfn.IFS(BF56="NA","NA",BF56&gt;100%,"100%",BF56&lt;100,BF56)</f>
        <v>0</v>
      </c>
      <c r="BO56" s="42" cm="1">
        <f t="array" ref="BO56">_xlfn.IFS(BH56="NA","NA",BH56&gt;100%,"100%",BH56&lt;100,BH56)</f>
        <v>0</v>
      </c>
      <c r="BP56" s="42" t="str" cm="1">
        <f t="array" ref="BP56">_xlfn.IFS(BJ56="NA","NA",BJ56&gt;100%,"100%",BJ56&lt;100,BJ56)</f>
        <v>NA</v>
      </c>
      <c r="BQ56" s="45">
        <v>0.22500000000000001</v>
      </c>
      <c r="BR56" s="43">
        <f t="shared" ca="1" si="2"/>
        <v>0.140625</v>
      </c>
      <c r="BS56" s="45">
        <v>0</v>
      </c>
      <c r="BT56" s="45" t="s">
        <v>115</v>
      </c>
      <c r="BU56" s="45">
        <v>0</v>
      </c>
      <c r="BV56" s="43">
        <f t="shared" si="94"/>
        <v>5.6250000000000001E-2</v>
      </c>
      <c r="BW56" s="43">
        <f t="shared" ca="1" si="3"/>
        <v>5.6250000000000001E-2</v>
      </c>
      <c r="BX56" s="43">
        <f t="shared" ca="1" si="4"/>
        <v>0.140625</v>
      </c>
      <c r="BY56" s="43">
        <f t="shared" si="95"/>
        <v>8.4375000000000006E-2</v>
      </c>
      <c r="BZ56" s="43">
        <f t="shared" si="96"/>
        <v>0</v>
      </c>
      <c r="CA56" s="43">
        <f t="shared" ca="1" si="5"/>
        <v>0</v>
      </c>
      <c r="CB56" s="43">
        <f t="shared" si="97"/>
        <v>8.4375000000000006E-2</v>
      </c>
      <c r="CC56" s="43">
        <f t="shared" si="98"/>
        <v>0</v>
      </c>
      <c r="CD56" s="45">
        <v>0</v>
      </c>
      <c r="CE56" s="43">
        <f t="shared" si="99"/>
        <v>0</v>
      </c>
      <c r="CF56" s="43" t="str">
        <f t="shared" si="100"/>
        <v>NA</v>
      </c>
      <c r="CG56" s="45">
        <v>0</v>
      </c>
    </row>
    <row r="57" spans="1:90" ht="18" customHeight="1">
      <c r="A57" s="260" t="s">
        <v>221</v>
      </c>
      <c r="B57" s="260" t="s">
        <v>222</v>
      </c>
      <c r="C57" s="260" t="s">
        <v>100</v>
      </c>
      <c r="D57" s="260" t="s">
        <v>101</v>
      </c>
      <c r="E57" s="260" t="s">
        <v>294</v>
      </c>
      <c r="F57" s="260" t="s">
        <v>398</v>
      </c>
      <c r="G57" s="260" t="s">
        <v>399</v>
      </c>
      <c r="H57" s="260" t="s">
        <v>424</v>
      </c>
      <c r="I57" s="260"/>
      <c r="J57" s="260"/>
      <c r="K57" s="260" t="s">
        <v>425</v>
      </c>
      <c r="L57" s="260" t="s">
        <v>426</v>
      </c>
      <c r="M57" s="260" t="s">
        <v>427</v>
      </c>
      <c r="N57" s="260" t="s">
        <v>111</v>
      </c>
      <c r="O57" s="260" t="s">
        <v>112</v>
      </c>
      <c r="P57" s="10">
        <v>12</v>
      </c>
      <c r="Q57" s="11">
        <v>8</v>
      </c>
      <c r="R57" s="9">
        <f t="shared" ca="1" si="87"/>
        <v>3</v>
      </c>
      <c r="S57" s="11" t="str">
        <f ca="1">VLOOKUP(K57,'1220 IDECUT'!$K$13:$AK$48,9,0)</f>
        <v>Durante 2021 se han cofinanciado tres( 3) proyectos para la realización de  actividades de preservación y conservación de patrimonio material, a través de los cuales se beneficia la población  de los municipios de Chaguaní, Suesca y Mosquera, ya que  con la intervención y restauración de este patrimonio cultural, se busca incrementar el sentido de partenencia del habitante cundinamarqueses.</v>
      </c>
      <c r="T57" s="11">
        <v>0</v>
      </c>
      <c r="U57" s="11">
        <v>0</v>
      </c>
      <c r="V57" s="11">
        <v>0</v>
      </c>
      <c r="W57" s="11">
        <v>0</v>
      </c>
      <c r="X57" s="11">
        <v>0</v>
      </c>
      <c r="Y57" s="11">
        <v>0</v>
      </c>
      <c r="Z57" s="11">
        <v>0</v>
      </c>
      <c r="AA57" s="11"/>
      <c r="AB57" s="11"/>
      <c r="AC57" s="11"/>
      <c r="AD57" s="11">
        <v>2</v>
      </c>
      <c r="AE57" s="11">
        <v>0</v>
      </c>
      <c r="AF57" s="11">
        <f ca="1">VLOOKUP(K57,'1220 IDECUT'!$K$13:$AK$48,22,0)</f>
        <v>3</v>
      </c>
      <c r="AG57" s="11">
        <f ca="1">VLOOKUP(K57,'1220 IDECUT'!$K$13:$AK$48,23,0)</f>
        <v>0</v>
      </c>
      <c r="AH57" s="9">
        <f t="shared" ca="1" si="88"/>
        <v>3</v>
      </c>
      <c r="AI57" s="9" t="str">
        <f ca="1">VLOOKUP(K57,'1220 IDECUT'!$K$13:$AK$48,25,0)</f>
        <v>Convenio</v>
      </c>
      <c r="AJ57" s="9" t="str">
        <f ca="1">VLOOKUP(K57,'1220 IDECUT'!$K$13:$AK$48,26,0)</f>
        <v>Se han cofinanciado tres( 3) proyectos para la realización de  actividades de preservación y conservación de patrimonio material, a través de los cuales se beneficia la población  de los municipios de Chaguaní, Suesca y Mosquera, ya que  con la intervención y restauración de este patrimonio cultural, se busca incrementar el sentido de partenencia del habitante cundinamarqueses.</v>
      </c>
      <c r="AK57" s="9">
        <f ca="1">VLOOKUP(K57,'1220 IDECUT'!$K$13:$AK$48,27,0)</f>
        <v>0</v>
      </c>
      <c r="AL57" s="11">
        <v>3</v>
      </c>
      <c r="AM57" s="11">
        <v>0</v>
      </c>
      <c r="AN57" s="11">
        <v>3</v>
      </c>
      <c r="AO57" s="11">
        <v>0</v>
      </c>
      <c r="AP57" s="11">
        <v>0</v>
      </c>
      <c r="AQ57" s="11">
        <v>0</v>
      </c>
      <c r="AR57" s="51">
        <v>2750000000</v>
      </c>
      <c r="AS57" s="54">
        <v>0</v>
      </c>
      <c r="AT57" s="54">
        <f t="shared" si="0"/>
        <v>2750000000</v>
      </c>
      <c r="AU57" s="51">
        <v>2750000000</v>
      </c>
      <c r="AV57" s="89">
        <v>1352091886</v>
      </c>
      <c r="AY57" s="89">
        <v>0</v>
      </c>
      <c r="AZ57" s="42">
        <f t="shared" ca="1" si="89"/>
        <v>0.375</v>
      </c>
      <c r="BA57" s="44">
        <v>0</v>
      </c>
      <c r="BB57" s="44" t="s">
        <v>115</v>
      </c>
      <c r="BC57" s="42">
        <f t="shared" si="90"/>
        <v>0.25</v>
      </c>
      <c r="BD57" s="42" cm="1">
        <f t="array" aca="1" ref="BD57" ca="1">_xlfn.IFS(AD57=0,"NA",AD57&gt;0,AH57/AD57)</f>
        <v>1.5</v>
      </c>
      <c r="BE57" s="42">
        <f t="shared" si="91"/>
        <v>0.375</v>
      </c>
      <c r="BF57" s="44">
        <v>0</v>
      </c>
      <c r="BG57" s="42">
        <f t="shared" si="92"/>
        <v>0.375</v>
      </c>
      <c r="BH57" s="44">
        <v>0</v>
      </c>
      <c r="BI57" s="42">
        <f t="shared" si="93"/>
        <v>0</v>
      </c>
      <c r="BJ57" s="44" t="s">
        <v>115</v>
      </c>
      <c r="BK57" s="42">
        <f t="shared" ca="1" si="1"/>
        <v>0.375</v>
      </c>
      <c r="BL57" s="44" t="s">
        <v>115</v>
      </c>
      <c r="BM57" s="42" t="str" cm="1">
        <f t="array" aca="1" ref="BM57" ca="1">_xlfn.IFS(BD57="NA","NA",BD57&gt;100%,"100%",BD57&lt;100,BD57)</f>
        <v>100%</v>
      </c>
      <c r="BN57" s="42" cm="1">
        <f t="array" ref="BN57">_xlfn.IFS(BF57="NA","NA",BF57&gt;100%,"100%",BF57&lt;100,BF57)</f>
        <v>0</v>
      </c>
      <c r="BO57" s="42" cm="1">
        <f t="array" ref="BO57">_xlfn.IFS(BH57="NA","NA",BH57&gt;100%,"100%",BH57&lt;100,BH57)</f>
        <v>0</v>
      </c>
      <c r="BP57" s="42" t="str" cm="1">
        <f t="array" ref="BP57">_xlfn.IFS(BJ57="NA","NA",BJ57&gt;100%,"100%",BJ57&lt;100,BJ57)</f>
        <v>NA</v>
      </c>
      <c r="BQ57" s="45">
        <v>0.22500000000000001</v>
      </c>
      <c r="BR57" s="43">
        <f t="shared" ca="1" si="2"/>
        <v>8.4375000000000006E-2</v>
      </c>
      <c r="BS57" s="45">
        <v>0</v>
      </c>
      <c r="BT57" s="45" t="s">
        <v>115</v>
      </c>
      <c r="BU57" s="45">
        <v>0</v>
      </c>
      <c r="BV57" s="43">
        <f t="shared" si="94"/>
        <v>5.6250000000000001E-2</v>
      </c>
      <c r="BW57" s="43">
        <f t="shared" ca="1" si="3"/>
        <v>5.6250000000000001E-2</v>
      </c>
      <c r="BX57" s="43">
        <f t="shared" ca="1" si="4"/>
        <v>8.4375000000000006E-2</v>
      </c>
      <c r="BY57" s="43">
        <f t="shared" si="95"/>
        <v>8.4375000000000006E-2</v>
      </c>
      <c r="BZ57" s="43">
        <f t="shared" si="96"/>
        <v>0</v>
      </c>
      <c r="CA57" s="43">
        <f t="shared" ca="1" si="5"/>
        <v>0</v>
      </c>
      <c r="CB57" s="43">
        <f t="shared" si="97"/>
        <v>8.4375000000000006E-2</v>
      </c>
      <c r="CC57" s="43">
        <f t="shared" si="98"/>
        <v>0</v>
      </c>
      <c r="CD57" s="45">
        <v>0</v>
      </c>
      <c r="CE57" s="43">
        <f t="shared" si="99"/>
        <v>0</v>
      </c>
      <c r="CF57" s="43" t="str">
        <f t="shared" si="100"/>
        <v>NA</v>
      </c>
      <c r="CG57" s="45">
        <v>0</v>
      </c>
    </row>
    <row r="58" spans="1:90" ht="18" customHeight="1">
      <c r="A58" s="260" t="s">
        <v>428</v>
      </c>
      <c r="B58" s="260" t="s">
        <v>429</v>
      </c>
      <c r="C58" s="260" t="s">
        <v>100</v>
      </c>
      <c r="D58" s="260" t="s">
        <v>101</v>
      </c>
      <c r="E58" s="260" t="s">
        <v>294</v>
      </c>
      <c r="F58" s="260" t="s">
        <v>430</v>
      </c>
      <c r="G58" s="260" t="s">
        <v>431</v>
      </c>
      <c r="H58" s="260" t="s">
        <v>432</v>
      </c>
      <c r="I58" s="260"/>
      <c r="J58" s="260"/>
      <c r="K58" s="260" t="s">
        <v>433</v>
      </c>
      <c r="L58" s="260" t="s">
        <v>434</v>
      </c>
      <c r="M58" s="260" t="s">
        <v>435</v>
      </c>
      <c r="N58" s="260" t="s">
        <v>123</v>
      </c>
      <c r="O58" s="260" t="s">
        <v>112</v>
      </c>
      <c r="P58" s="10">
        <v>0</v>
      </c>
      <c r="Q58" s="11">
        <v>100</v>
      </c>
      <c r="R58" s="9">
        <f>Z58+AH58</f>
        <v>0</v>
      </c>
      <c r="S58" s="11" t="str">
        <f>VLOOKUP(K58,'1223 ICCU'!$K$13:$AK$25,9,0)</f>
        <v> </v>
      </c>
      <c r="T58" s="11">
        <v>10</v>
      </c>
      <c r="U58" s="11">
        <v>0</v>
      </c>
      <c r="V58" s="11">
        <v>0</v>
      </c>
      <c r="W58" s="11">
        <v>0</v>
      </c>
      <c r="X58" s="11">
        <v>0</v>
      </c>
      <c r="Y58" s="11">
        <v>0</v>
      </c>
      <c r="Z58" s="11">
        <v>0</v>
      </c>
      <c r="AA58" s="11">
        <v>0</v>
      </c>
      <c r="AB58" s="11"/>
      <c r="AC58" s="11">
        <v>0</v>
      </c>
      <c r="AD58" s="11">
        <v>60</v>
      </c>
      <c r="AE58" s="11">
        <v>0</v>
      </c>
      <c r="AF58" s="109">
        <v>0</v>
      </c>
      <c r="AG58" s="11" t="str">
        <f>VLOOKUP(K58,'1223 ICCU'!$K$13:$AK$25,23,0)</f>
        <v> </v>
      </c>
      <c r="AH58" s="9">
        <f>AF58</f>
        <v>0</v>
      </c>
      <c r="AI58" s="9" t="str">
        <f>VLOOKUP(K58,'1223 ICCU'!$K$13:$AK$25,25,0)</f>
        <v> </v>
      </c>
      <c r="AJ58" s="9" t="str">
        <f>VLOOKUP(K58,'1223 ICCU'!$K$13:$AK$25,26,0)</f>
        <v> </v>
      </c>
      <c r="AK58" s="9" t="str">
        <f>VLOOKUP(K58,'1223 ICCU'!$K$13:$AK$25,27,0)</f>
        <v> </v>
      </c>
      <c r="AL58" s="11">
        <v>30</v>
      </c>
      <c r="AM58" s="11">
        <v>0</v>
      </c>
      <c r="AN58" s="11">
        <v>10</v>
      </c>
      <c r="AO58" s="11">
        <v>0</v>
      </c>
      <c r="AP58" s="11">
        <v>0</v>
      </c>
      <c r="AQ58" s="11">
        <v>0</v>
      </c>
      <c r="AR58" s="51">
        <v>3000000000</v>
      </c>
      <c r="AS58" s="54">
        <v>0</v>
      </c>
      <c r="AT58" s="54">
        <f t="shared" si="0"/>
        <v>3000000000</v>
      </c>
      <c r="AU58" s="51">
        <v>3000000000</v>
      </c>
      <c r="AV58" s="89">
        <v>0</v>
      </c>
      <c r="AY58" s="89">
        <v>0</v>
      </c>
      <c r="AZ58" s="42">
        <f t="shared" si="89"/>
        <v>0</v>
      </c>
      <c r="BA58" s="44">
        <v>0</v>
      </c>
      <c r="BB58" s="44" t="s">
        <v>115</v>
      </c>
      <c r="BC58" s="42">
        <f t="shared" si="90"/>
        <v>0.6</v>
      </c>
      <c r="BD58" s="42" cm="1">
        <f t="array" ref="BD58">_xlfn.IFS(AD58=0,"NA",AD58&gt;0,AH58/AD58)</f>
        <v>0</v>
      </c>
      <c r="BE58" s="42">
        <f t="shared" si="91"/>
        <v>0.3</v>
      </c>
      <c r="BF58" s="44">
        <v>0</v>
      </c>
      <c r="BG58" s="42">
        <f t="shared" si="92"/>
        <v>0.1</v>
      </c>
      <c r="BH58" s="44">
        <v>0</v>
      </c>
      <c r="BI58" s="42">
        <f t="shared" si="93"/>
        <v>0</v>
      </c>
      <c r="BJ58" s="44" t="s">
        <v>115</v>
      </c>
      <c r="BK58" s="42">
        <f t="shared" si="1"/>
        <v>0</v>
      </c>
      <c r="BL58" s="44" t="s">
        <v>115</v>
      </c>
      <c r="BM58" s="42" cm="1">
        <f t="array" ref="BM58">_xlfn.IFS(BD58="NA","NA",BD58&gt;100%,"100%",BD58&lt;100,BD58)</f>
        <v>0</v>
      </c>
      <c r="BN58" s="42" cm="1">
        <f t="array" ref="BN58">_xlfn.IFS(BF58="NA","NA",BF58&gt;100%,"100%",BF58&lt;100,BF58)</f>
        <v>0</v>
      </c>
      <c r="BO58" s="42" cm="1">
        <f t="array" ref="BO58">_xlfn.IFS(BH58="NA","NA",BH58&gt;100%,"100%",BH58&lt;100,BH58)</f>
        <v>0</v>
      </c>
      <c r="BP58" s="42" t="str" cm="1">
        <f t="array" ref="BP58">_xlfn.IFS(BJ58="NA","NA",BJ58&gt;100%,"100%",BJ58&lt;100,BJ58)</f>
        <v>NA</v>
      </c>
      <c r="BQ58" s="45">
        <v>0.22500000000000001</v>
      </c>
      <c r="BR58" s="43">
        <f t="shared" si="2"/>
        <v>0</v>
      </c>
      <c r="BS58" s="45">
        <v>0</v>
      </c>
      <c r="BT58" s="45" t="s">
        <v>115</v>
      </c>
      <c r="BU58" s="45">
        <v>0</v>
      </c>
      <c r="BV58" s="43">
        <f t="shared" si="94"/>
        <v>0.13500000000000001</v>
      </c>
      <c r="BW58" s="43">
        <f t="shared" si="3"/>
        <v>0</v>
      </c>
      <c r="BX58" s="43">
        <f t="shared" si="4"/>
        <v>0</v>
      </c>
      <c r="BY58" s="43">
        <f t="shared" si="95"/>
        <v>6.7500000000000004E-2</v>
      </c>
      <c r="BZ58" s="43">
        <f t="shared" si="96"/>
        <v>0</v>
      </c>
      <c r="CA58" s="43">
        <f t="shared" si="5"/>
        <v>0</v>
      </c>
      <c r="CB58" s="43">
        <f t="shared" si="97"/>
        <v>2.2499999999999999E-2</v>
      </c>
      <c r="CC58" s="43">
        <f t="shared" si="98"/>
        <v>0</v>
      </c>
      <c r="CD58" s="45">
        <v>0</v>
      </c>
      <c r="CE58" s="43">
        <f t="shared" si="99"/>
        <v>0</v>
      </c>
      <c r="CF58" s="43" t="str">
        <f t="shared" si="100"/>
        <v>NA</v>
      </c>
      <c r="CG58" s="45">
        <v>0</v>
      </c>
    </row>
    <row r="59" spans="1:90" ht="18" customHeight="1">
      <c r="A59" s="260" t="s">
        <v>428</v>
      </c>
      <c r="B59" s="260" t="s">
        <v>429</v>
      </c>
      <c r="C59" s="260" t="s">
        <v>100</v>
      </c>
      <c r="D59" s="260" t="s">
        <v>101</v>
      </c>
      <c r="E59" s="260" t="s">
        <v>294</v>
      </c>
      <c r="F59" s="260" t="s">
        <v>430</v>
      </c>
      <c r="G59" s="260" t="s">
        <v>431</v>
      </c>
      <c r="H59" s="260" t="s">
        <v>436</v>
      </c>
      <c r="I59" s="260"/>
      <c r="J59" s="260"/>
      <c r="K59" s="260" t="s">
        <v>437</v>
      </c>
      <c r="L59" s="260" t="s">
        <v>438</v>
      </c>
      <c r="M59" s="260" t="s">
        <v>439</v>
      </c>
      <c r="N59" s="260" t="s">
        <v>111</v>
      </c>
      <c r="O59" s="260" t="s">
        <v>112</v>
      </c>
      <c r="P59" s="10">
        <v>65000</v>
      </c>
      <c r="Q59" s="11">
        <v>85000</v>
      </c>
      <c r="R59" s="9">
        <f t="shared" si="87"/>
        <v>47441.05</v>
      </c>
      <c r="S59" s="11" t="str">
        <f>VLOOKUP(K59,'1223 ICCU'!$K$13:$AK$25,9,0)</f>
        <v xml:space="preserve">Durante el cuatrienio se han intervenido 47.441,05 de espacios públicos y parques con obras de construcción, adecuación y mejoramiento, fomentando la constucción de tejido social y la apropiación del territorio. </v>
      </c>
      <c r="T59" s="11">
        <v>15000</v>
      </c>
      <c r="U59" s="11">
        <v>0</v>
      </c>
      <c r="V59" s="11">
        <v>15000</v>
      </c>
      <c r="W59" s="11">
        <v>0</v>
      </c>
      <c r="X59" s="11">
        <v>15276.48</v>
      </c>
      <c r="Y59" s="11">
        <v>0</v>
      </c>
      <c r="Z59" s="11">
        <v>15276.48</v>
      </c>
      <c r="AA59" s="11" t="s">
        <v>440</v>
      </c>
      <c r="AB59" s="11" t="s">
        <v>441</v>
      </c>
      <c r="AC59" s="11">
        <v>0</v>
      </c>
      <c r="AD59" s="11">
        <v>30000</v>
      </c>
      <c r="AE59" s="11">
        <v>0</v>
      </c>
      <c r="AF59" s="11">
        <f>VLOOKUP(K59,'1223 ICCU'!$K$13:$AK$25,22,0)</f>
        <v>32164.57</v>
      </c>
      <c r="AG59" s="11" t="str">
        <f>VLOOKUP(K59,'1223 ICCU'!$K$13:$AK$25,23,0)</f>
        <v> </v>
      </c>
      <c r="AH59" s="9">
        <f t="shared" si="88"/>
        <v>32164.57</v>
      </c>
      <c r="AI59" s="9" t="str">
        <f>VLOOKUP(K59,'1223 ICCU'!$K$13:$AK$25,25,0)</f>
        <v xml:space="preserve">32.164,57m2 de espacio público intervenidos </v>
      </c>
      <c r="AJ59" s="9" t="str">
        <f>VLOOKUP(K59,'1223 ICCU'!$K$13:$AK$25,26,0)</f>
        <v>Durante la vigencia 2021 se han ejecutado obras de construcción y adecuación en 32.164,57 m2 de espacio público beneficiando a los municipios de Albán, Apulo, El Rosal, Girardot, Funza, Mosquera, Nemocón, Pacho, Paime, Ricaurte, San Francisco, Tabio, Villeta, Zipacón, San Cayetano, Anapoima, Guatavita,  Bituima y La Peña.</v>
      </c>
      <c r="AK59" s="9" t="str">
        <f>VLOOKUP(K59,'1223 ICCU'!$K$13:$AK$25,27,0)</f>
        <v> </v>
      </c>
      <c r="AL59" s="11">
        <v>28000</v>
      </c>
      <c r="AM59" s="11">
        <v>0</v>
      </c>
      <c r="AN59" s="11">
        <v>11723.52</v>
      </c>
      <c r="AO59" s="11">
        <v>0</v>
      </c>
      <c r="AP59" s="11">
        <v>0</v>
      </c>
      <c r="AQ59" s="11">
        <v>0</v>
      </c>
      <c r="AR59" s="51">
        <v>21776603272</v>
      </c>
      <c r="AS59" s="54">
        <v>20000000</v>
      </c>
      <c r="AT59" s="54">
        <f t="shared" si="0"/>
        <v>21796603272</v>
      </c>
      <c r="AU59" s="51">
        <v>21776603272</v>
      </c>
      <c r="AV59" s="89">
        <v>0</v>
      </c>
      <c r="AY59" s="89">
        <v>0</v>
      </c>
      <c r="AZ59" s="42">
        <f t="shared" si="89"/>
        <v>0.55813000000000001</v>
      </c>
      <c r="BA59" s="44">
        <v>0.17649999999999999</v>
      </c>
      <c r="BB59" s="44">
        <v>1.0184</v>
      </c>
      <c r="BC59" s="42">
        <f t="shared" si="90"/>
        <v>0.35294117647058826</v>
      </c>
      <c r="BD59" s="42" cm="1">
        <f t="array" ref="BD59">_xlfn.IFS(AD59=0,"NA",AD59&gt;0,AH59/AD59)</f>
        <v>1.0721523333333334</v>
      </c>
      <c r="BE59" s="42">
        <f t="shared" si="91"/>
        <v>0.32941176470588235</v>
      </c>
      <c r="BF59" s="44">
        <v>0</v>
      </c>
      <c r="BG59" s="42">
        <f t="shared" si="92"/>
        <v>0.13792376470588236</v>
      </c>
      <c r="BH59" s="44">
        <v>0</v>
      </c>
      <c r="BI59" s="42">
        <f t="shared" si="93"/>
        <v>0</v>
      </c>
      <c r="BJ59" s="44" t="s">
        <v>115</v>
      </c>
      <c r="BK59" s="42">
        <f t="shared" si="1"/>
        <v>0.55813000000000001</v>
      </c>
      <c r="BL59" s="44">
        <v>1</v>
      </c>
      <c r="BM59" s="42" t="str" cm="1">
        <f t="array" ref="BM59">_xlfn.IFS(BD59="NA","NA",BD59&gt;100%,"100%",BD59&lt;100,BD59)</f>
        <v>100%</v>
      </c>
      <c r="BN59" s="42" cm="1">
        <f t="array" ref="BN59">_xlfn.IFS(BF59="NA","NA",BF59&gt;100%,"100%",BF59&lt;100,BF59)</f>
        <v>0</v>
      </c>
      <c r="BO59" s="42" cm="1">
        <f t="array" ref="BO59">_xlfn.IFS(BH59="NA","NA",BH59&gt;100%,"100%",BH59&lt;100,BH59)</f>
        <v>0</v>
      </c>
      <c r="BP59" s="42" t="str" cm="1">
        <f t="array" ref="BP59">_xlfn.IFS(BJ59="NA","NA",BJ59&gt;100%,"100%",BJ59&lt;100,BJ59)</f>
        <v>NA</v>
      </c>
      <c r="BQ59" s="45">
        <v>0.22500000000000001</v>
      </c>
      <c r="BR59" s="43">
        <f t="shared" si="2"/>
        <v>0.12557925</v>
      </c>
      <c r="BS59" s="45">
        <v>3.9699999999999999E-2</v>
      </c>
      <c r="BT59" s="45">
        <v>3.9699999999999999E-2</v>
      </c>
      <c r="BU59" s="45">
        <v>4.0399999999999998E-2</v>
      </c>
      <c r="BV59" s="43">
        <f t="shared" si="94"/>
        <v>7.9411764705882348E-2</v>
      </c>
      <c r="BW59" s="43">
        <f t="shared" si="3"/>
        <v>7.9411764705882348E-2</v>
      </c>
      <c r="BX59" s="43">
        <f t="shared" si="4"/>
        <v>8.5179250000000012E-2</v>
      </c>
      <c r="BY59" s="43">
        <f t="shared" si="95"/>
        <v>7.4117647058823524E-2</v>
      </c>
      <c r="BZ59" s="43">
        <f t="shared" si="96"/>
        <v>0</v>
      </c>
      <c r="CA59" s="43">
        <f t="shared" si="5"/>
        <v>0</v>
      </c>
      <c r="CB59" s="43">
        <f t="shared" si="97"/>
        <v>3.1032847058823535E-2</v>
      </c>
      <c r="CC59" s="43">
        <f t="shared" si="98"/>
        <v>0</v>
      </c>
      <c r="CD59" s="45">
        <v>0</v>
      </c>
      <c r="CE59" s="43">
        <f t="shared" si="99"/>
        <v>0</v>
      </c>
      <c r="CF59" s="43" t="str">
        <f t="shared" si="100"/>
        <v>NA</v>
      </c>
      <c r="CG59" s="45">
        <v>0</v>
      </c>
    </row>
    <row r="60" spans="1:90" ht="18" customHeight="1">
      <c r="A60" s="260" t="s">
        <v>442</v>
      </c>
      <c r="B60" s="260" t="s">
        <v>443</v>
      </c>
      <c r="C60" s="260" t="s">
        <v>100</v>
      </c>
      <c r="D60" s="260" t="s">
        <v>101</v>
      </c>
      <c r="E60" s="260" t="s">
        <v>294</v>
      </c>
      <c r="F60" s="260" t="s">
        <v>430</v>
      </c>
      <c r="G60" s="260" t="s">
        <v>431</v>
      </c>
      <c r="H60" s="260" t="s">
        <v>444</v>
      </c>
      <c r="I60" s="260" t="s">
        <v>445</v>
      </c>
      <c r="J60" s="260"/>
      <c r="K60" s="260" t="s">
        <v>446</v>
      </c>
      <c r="L60" s="260" t="s">
        <v>2856</v>
      </c>
      <c r="M60" s="260" t="s">
        <v>448</v>
      </c>
      <c r="N60" s="260" t="s">
        <v>111</v>
      </c>
      <c r="O60" s="260" t="s">
        <v>112</v>
      </c>
      <c r="P60" s="10">
        <v>5963</v>
      </c>
      <c r="Q60" s="11">
        <v>6000</v>
      </c>
      <c r="R60" s="9">
        <f t="shared" si="87"/>
        <v>1235</v>
      </c>
      <c r="S60" s="11" t="str">
        <f>VLOOKUP(K60,'1131 Hábitat'!$K$13:$AK$24,9,0)</f>
        <v xml:space="preserve">Vigencia 2020: Se adelantó gestión ante el Ministerio de Vivienda, Ciudad y Territorio cuyo resultado en la asignación de recursos del orden nacional por la suma de $5.100.000.000 para tres (3) municipios, y una asignación de recursos del orden municipal por la suma de $4.500.000.000, para la ejecución de obras de mejoramientos de aproximadamente 900 viviendas urbanas en el marco del Programa “Casa digna, Vida Digna” que se ejecutarán en 2021.
61 hogares del Municipio de Funza se beneficiarán con la ejecución de obras de mejoramiento de viviendas urbanas, que se llevarán a cabo con una inversión departamental de $200 millones de pesos y de $200 millones de pesos del municipio.
ejecución de proyectos de mejoramiento de vivienda rural - construcción de pisos, que serán financiados en su totalidad por la Secretaría de Hábitat y Vivienda y beneficiarán a 608 hogares (20 hogares VCA y 588 hogares vulnerables) de las zonas rurales de 34 municipios del Departamento.
</v>
      </c>
      <c r="T60" s="11">
        <v>300</v>
      </c>
      <c r="U60" s="11">
        <v>0</v>
      </c>
      <c r="V60" s="11">
        <v>300</v>
      </c>
      <c r="W60" s="11">
        <v>0</v>
      </c>
      <c r="X60" s="11">
        <v>669</v>
      </c>
      <c r="Y60" s="11">
        <v>0</v>
      </c>
      <c r="Z60" s="11">
        <v>669</v>
      </c>
      <c r="AA60" s="11" t="s">
        <v>449</v>
      </c>
      <c r="AB60" s="11" t="s">
        <v>450</v>
      </c>
      <c r="AC60" s="11" t="s">
        <v>451</v>
      </c>
      <c r="AD60" s="11">
        <v>1500</v>
      </c>
      <c r="AE60" s="11">
        <v>0</v>
      </c>
      <c r="AF60" s="11">
        <f>VLOOKUP(K60,'1131 Hábitat'!$K$13:$AK$24,22,0)</f>
        <v>566</v>
      </c>
      <c r="AG60" s="11">
        <f>VLOOKUP(K60,'1131 Hábitat'!$K$13:$AK$24,23,0)</f>
        <v>0</v>
      </c>
      <c r="AH60" s="9">
        <f t="shared" si="88"/>
        <v>566</v>
      </c>
      <c r="AI60" s="9">
        <f>VLOOKUP(K60,'1131 Hábitat'!$K$13:$AK$24,25,0)</f>
        <v>0</v>
      </c>
      <c r="AJ60" s="9" t="str">
        <f>VLOOKUP(K60,'1131 Hábitat'!$K$13:$AK$24,26,0)</f>
        <v>La Secretaría de Hábitat y Vivienda expidió la Circular 006 del 26 de abril, invitando a los municipios a participar en la ejecución de proyectos de mejoramiento de vivienda en la modalidad de pisos. En proceso de recepción de documentos para la presentación de proyectos. La meta no presenta avance a la fecha del presente reporte. La Secretaría de Hábitat y Vivienda adelanta la implementación de la estrategia de inversión de los recursos asignados en el presupuesto y los adicionados mediante decreto No. 062 del 04 de marzo, para definir la modalidad de proyectos a ser financiados para optimizar el alcance de los mismos. 
Durante el mes de mayo se adelantaron las acciones correspondientes al proceso de formulación de los proyectos de mejoramiento de pisos para dar inicio al proceso precontractual.
Durante el mes de junio se adelantaron procesos de verificación de los beneficiarios de los proyectos de mejoramiento de vivienda rural (construcción de pisos) con el fin de evitar cambios durante el proceso de ejecución. Terminado este proceso se continuará con el proceso precontractual para la suscripción de los convenios con los municipios de Quetame, Tausa, Yacopí, Subachoque, Apulo, Medina, Cachipay, Simijaca, Puerto Salgar, Útica, Sibaté, Villeta y Ubaté 
JULIO
Durante el mes de julio se celebró convenio interadministrativo con el municipio de Subachoque para el mejoramiento de 12 viviendas rurales con la construcción de pisos. Se encuentran en unidad de contratos los procesos que se adelantarán con los municipios de Quetame, Tausa, Yacopí, Apulo, Medina, Cachipay, Simijaca, Puerto Salgar, Útica, Sibaté, Villeta y Ubaté.
En cuanto al Programa “Casa digna, Vida digna” del MVCT, en el marco de la ejecución de los convenios interadministrativos FNV-011-2020, FNV-012-2020 Y FNV-013-2020, fueron aprobados los sectores de intervención en los municipios de Chía, Cajicá y Fusagasugá. Se adelantan los procesos de postulación de potenciales beneficiarios localizados en los sectores de intervención aprobados. Se presenta gran dificultad en la selección de 283 hogares urbanos que cumplan con los requisitos exigidos por el MVCT. La Secretaría de Hábitat y Vivienda dispuso de personal de apoyo técnico, para apoyar a los municipios de Chía y Cajicá en las visitas de campo puerta a puerta para lograr avanzar en la postulación y habilitación de hogares y dar inicio a la ejecución de las obras. Se espera que en el mes de Noviembre se tengan 849 hogares habilitados para el mejoramiento de igual número de viviendas.
Durante el mes de agosto se detuvieron los procesos precontractuales a la espera de la expedición de la Resolución 1394 de ajuste de los códigos presupuestarios solicitados por la Secretaría de Hacienda, y del Decreto No. 275 de Armonización Plan de Desarrollo. 
Se encuentra en proceso precontractual el proyecto de mejoramiento de vivienda urbana para Tocaima.
Se solicitaron conceptos para adelantar procesos precontractuales con los municipios de Quetame, Tausa, Yacopí, Apulo, Medina, Cachipay, Simijaca, Puerto Salgar, Útica, Sibaté, Villeta y Ubaté. En trámite la inscripción de proyectos de pisos para los municipios de Bojacá y Guataquí.
Se avanza en la postulación de beneficiarios del Programa “Casa digna, Vida digna” del MVCT, en el marco de la ejecución de los convenios interadministrativos FNV-011-2020, FNV-012-2020 y FNV-013-2020 en los municipios de Chía, Cajicá y Fusagasugá, pero se presentan dificultades en la habilitación de los hogares postulados por no cumplimiento de los requisitos exigidos por el MVCT (Valor de la vivienda superior al tope VIS, tener otra vivienda, y haber recibido subsidio del gobierno nacional).
Fusagasugá lleva el 84% de avance con 239 hogares habilitados, Cajicá: 26,5% con 75 hogares habilitados y 102 hogares en proceso de cruces, y Chía 4,9% con 14 hogares habilitados y 43 hogares en proceso de evaluación.
SEPTIEMBRE
Se celebraron los siguientes convenios:
SHVS-CDCVI-055-2021 Municipio de Sibaté (11 viviendas)
SHVS-CDCVI-056-2021 Municipio de Puerto Salgar (13 viviendas)
SHVS-CDCVI-059-2021 Municipio de Tausa (10 viviendas)
SHVS-CDCVI-060-2021 Municipio de Apulo (10 viviendas)
SHVS-CDCVI-061-2021 Municipio de Utica (17 viviendas)
SHVS-CDCVI-062-2021 Municipio de Villeta (9 viviendas)
SHVS-CDCVI-063-2021 Municipio de Quetame (15 viviendas)
SHVS-CDCVI-064-2021 Municipio de Cachipay (7 viviendas)
Se avanza en la postulación de beneficiarios del Programa “Casa digna, Vida digna” del MVCT, en el marco de la ejecución de los convenios interadministrativos FNV-011-2020, FNV-012-2020 y FNV-013-2020 en los municipios de Chía, Cajicá y Fusagasugá, pero se presentan dificultades en la habilitación de los hogares postulados por no cumplimiento de los requisitos exigidos por el MVCT (Valor de la vivienda superior al tope VIS, tener otra vivienda, y haber recibido subsidio del gobierno nacional).
Fusagasugá lleva el 95% de avance de hogares habilitados y ya se abrió proceso licitatorio para las obras y la interventoría Cajicá: 43% con 121 hogares habilitados, y Chía 7% con grandes dificultades en el proceso de postulación y habilitación de hogares.
OCTUBRE:
Se encuentran en proceso para celebración de convenios los proyectos de Pisos con los municipios de Medina, Simijaca, Guataquí, Bojacá y Yacopí.
Se avanza en la postulación de beneficiarios del Programa “Casa digna, Vida digna” del MVCT, en el marco de la ejecución de los convenios interadministrativos FNV-011-2020, FNV-012-2020 y FNV-013-2020 en los municipios de Chía, Cajicá y Fusagasugá.
Fusagasugá lleva el 100% de avance de hogares habilitados y en el mes de noviembre se adjudicarán los contratistas de obras y la interventoría. Cajicá: 57% con 165 hogares habilitados. El municipio de Chía 15% de avance en las postulaciones con grandes dificultades en el proceso de postulación y habilitación de hogares.
Se adelantan procesos precontractuales para la celebración de convenios con los municipios de Manta, Quipile, Sasaima y La Mesa los cuales beneficiarán a 28 hogares con mejoramiento de cubiertas.
De igual manera se adelantan procesos precontractuales para el mejoramiento de fachadas en los municipios de Villagómez y San Cayetano los cuales beneficiarán a 51 viviendas.</v>
      </c>
      <c r="AK60" s="9" t="str">
        <f>VLOOKUP(K60,'1131 Hábitat'!$K$13:$AK$24,27,0)</f>
        <v>El proceso de postulación de potenciales beneficiarios en los municipios de Chía, Cajicá y Fusagasugá, presenta dificultades en la habilitación de los hogares postulados por no cumplimiento de los requisitos exigidos por el MVCT (Valor de la vivienda superior al tope VIS, tener otra vivienda, y haber recibido subsidio del gobierno nacional).
El Gobierno Nacional no abrió convocatorias en la vigencia 2021 para proyectos de mejoramiento de vivienda lo que dificulta el acceso a recursos del orden nacional.</v>
      </c>
      <c r="AL60" s="11">
        <v>1731</v>
      </c>
      <c r="AM60" s="11">
        <v>0</v>
      </c>
      <c r="AN60" s="11">
        <v>2100</v>
      </c>
      <c r="AO60" s="11">
        <v>0</v>
      </c>
      <c r="AP60" s="11">
        <v>0</v>
      </c>
      <c r="AQ60" s="11">
        <v>0</v>
      </c>
      <c r="AR60" s="51">
        <v>2832658252</v>
      </c>
      <c r="AS60" s="54">
        <v>1470000000</v>
      </c>
      <c r="AT60" s="54">
        <f t="shared" si="0"/>
        <v>4302658252</v>
      </c>
      <c r="AU60" s="51">
        <v>2829943912</v>
      </c>
      <c r="AV60" s="89">
        <v>2500000000</v>
      </c>
      <c r="AY60" s="89">
        <v>0</v>
      </c>
      <c r="AZ60" s="42">
        <f t="shared" si="89"/>
        <v>0.20583333333333334</v>
      </c>
      <c r="BA60" s="44">
        <v>0.05</v>
      </c>
      <c r="BB60" s="44">
        <v>2.23</v>
      </c>
      <c r="BC60" s="42">
        <f t="shared" si="90"/>
        <v>0.25</v>
      </c>
      <c r="BD60" s="42" cm="1">
        <f t="array" ref="BD60">_xlfn.IFS(AD60=0,"NA",AD60&gt;0,AH60/AD60)</f>
        <v>0.37733333333333335</v>
      </c>
      <c r="BE60" s="42">
        <f t="shared" si="91"/>
        <v>0.28849999999999998</v>
      </c>
      <c r="BF60" s="44">
        <v>0</v>
      </c>
      <c r="BG60" s="42">
        <f t="shared" si="92"/>
        <v>0.35</v>
      </c>
      <c r="BH60" s="44">
        <v>0</v>
      </c>
      <c r="BI60" s="42">
        <f t="shared" si="93"/>
        <v>0</v>
      </c>
      <c r="BJ60" s="44" t="s">
        <v>115</v>
      </c>
      <c r="BK60" s="42">
        <f t="shared" si="1"/>
        <v>0.20583333333333334</v>
      </c>
      <c r="BL60" s="44">
        <v>1</v>
      </c>
      <c r="BM60" s="42" cm="1">
        <f t="array" ref="BM60">_xlfn.IFS(BD60="NA","NA",BD60&gt;100%,"100%",BD60&lt;100,BD60)</f>
        <v>0.37733333333333335</v>
      </c>
      <c r="BN60" s="42" cm="1">
        <f t="array" ref="BN60">_xlfn.IFS(BF60="NA","NA",BF60&gt;100%,"100%",BF60&lt;100,BF60)</f>
        <v>0</v>
      </c>
      <c r="BO60" s="42" cm="1">
        <f t="array" ref="BO60">_xlfn.IFS(BH60="NA","NA",BH60&gt;100%,"100%",BH60&lt;100,BH60)</f>
        <v>0</v>
      </c>
      <c r="BP60" s="42" t="str" cm="1">
        <f t="array" ref="BP60">_xlfn.IFS(BJ60="NA","NA",BJ60&gt;100%,"100%",BJ60&lt;100,BJ60)</f>
        <v>NA</v>
      </c>
      <c r="BQ60" s="45">
        <v>0.22500000000000001</v>
      </c>
      <c r="BR60" s="43">
        <f t="shared" si="2"/>
        <v>4.63125E-2</v>
      </c>
      <c r="BS60" s="45">
        <v>1.1299999999999999E-2</v>
      </c>
      <c r="BT60" s="45">
        <v>1.1299999999999999E-2</v>
      </c>
      <c r="BU60" s="45">
        <v>2.5100000000000001E-2</v>
      </c>
      <c r="BV60" s="43">
        <f t="shared" si="94"/>
        <v>5.6250000000000001E-2</v>
      </c>
      <c r="BW60" s="43">
        <f t="shared" si="3"/>
        <v>2.1225000000000001E-2</v>
      </c>
      <c r="BX60" s="43">
        <f t="shared" si="4"/>
        <v>2.1212499999999999E-2</v>
      </c>
      <c r="BY60" s="43">
        <f t="shared" si="95"/>
        <v>6.4912499999999998E-2</v>
      </c>
      <c r="BZ60" s="43">
        <f t="shared" si="96"/>
        <v>0</v>
      </c>
      <c r="CA60" s="43">
        <f t="shared" si="5"/>
        <v>0</v>
      </c>
      <c r="CB60" s="43">
        <f t="shared" si="97"/>
        <v>7.8750000000000001E-2</v>
      </c>
      <c r="CC60" s="43">
        <f t="shared" si="98"/>
        <v>0</v>
      </c>
      <c r="CD60" s="45">
        <v>0</v>
      </c>
      <c r="CE60" s="43">
        <f t="shared" si="99"/>
        <v>0</v>
      </c>
      <c r="CF60" s="43" t="str">
        <f t="shared" si="100"/>
        <v>NA</v>
      </c>
      <c r="CG60" s="45">
        <v>0</v>
      </c>
    </row>
    <row r="61" spans="1:90" ht="18" customHeight="1">
      <c r="A61" s="260" t="s">
        <v>442</v>
      </c>
      <c r="B61" s="260" t="s">
        <v>443</v>
      </c>
      <c r="C61" s="260" t="s">
        <v>100</v>
      </c>
      <c r="D61" s="260" t="s">
        <v>101</v>
      </c>
      <c r="E61" s="260" t="s">
        <v>294</v>
      </c>
      <c r="F61" s="260" t="s">
        <v>430</v>
      </c>
      <c r="G61" s="260" t="s">
        <v>431</v>
      </c>
      <c r="H61" s="260" t="s">
        <v>452</v>
      </c>
      <c r="I61" s="260" t="s">
        <v>200</v>
      </c>
      <c r="J61" s="260"/>
      <c r="K61" s="260" t="s">
        <v>453</v>
      </c>
      <c r="L61" s="260" t="s">
        <v>2857</v>
      </c>
      <c r="M61" s="260" t="s">
        <v>455</v>
      </c>
      <c r="N61" s="260" t="s">
        <v>111</v>
      </c>
      <c r="O61" s="260" t="s">
        <v>112</v>
      </c>
      <c r="P61" s="10">
        <v>0</v>
      </c>
      <c r="Q61" s="11">
        <v>10</v>
      </c>
      <c r="R61" s="9">
        <f t="shared" si="87"/>
        <v>33</v>
      </c>
      <c r="S61" s="11" t="str">
        <f>VLOOKUP(K61,'1131 Hábitat'!$K$13:$AK$24,9,0)</f>
        <v xml:space="preserve">Vigencia 2020: 842 hogares localizados en diferentes sectores de 20 municipios, embellecieron sus fachadas y adecuaron sus andenes para mejora movilidad y seguridad en el espacio público, con una inversión departamental por la suma de $1.000 millones de pesos y una gestión de recursos municipales por la suma de $210 millones de pesos. </v>
      </c>
      <c r="T61" s="11">
        <v>3</v>
      </c>
      <c r="U61" s="11">
        <v>0</v>
      </c>
      <c r="V61" s="11">
        <v>3</v>
      </c>
      <c r="W61" s="11">
        <v>0</v>
      </c>
      <c r="X61" s="11">
        <v>20</v>
      </c>
      <c r="Y61" s="11">
        <v>0</v>
      </c>
      <c r="Z61" s="11">
        <v>20</v>
      </c>
      <c r="AA61" s="11" t="s">
        <v>456</v>
      </c>
      <c r="AB61" s="11" t="s">
        <v>457</v>
      </c>
      <c r="AC61" s="11" t="s">
        <v>458</v>
      </c>
      <c r="AD61" s="11">
        <v>3</v>
      </c>
      <c r="AE61" s="11">
        <v>0</v>
      </c>
      <c r="AF61" s="11">
        <f>VLOOKUP(K61,'1131 Hábitat'!$K$13:$AK$24,22,0)</f>
        <v>13</v>
      </c>
      <c r="AG61" s="11">
        <f>VLOOKUP(K61,'1131 Hábitat'!$K$13:$AK$24,23,0)</f>
        <v>0</v>
      </c>
      <c r="AH61" s="9">
        <f t="shared" si="88"/>
        <v>13</v>
      </c>
      <c r="AI61" s="9">
        <f>VLOOKUP(K61,'1131 Hábitat'!$K$13:$AK$24,25,0)</f>
        <v>0</v>
      </c>
      <c r="AJ61" s="9" t="str">
        <f>VLOOKUP(K61,'1131 Hábitat'!$K$13:$AK$24,26,0)</f>
        <v>La meta no presenta avance a la fecha del presente reporte. La Secretaría de Hábitat y Vivienda adelanta la implementación de la estrategia de inversión de los recursos asignados en el presupuesto y los adicionados mediante decreto No. 062 del 04 de marzo, para definir la modalidad de proyectos a ser financiados para optimizar el alcance de los mismos.
Durante el mes de mayo se adelantaron las acciones correspondientes al proceso de formulación de los proyectos de mejoramiento de fachadas para dar inicio al proceso precontractual.
Durante el mes de junio se inscribió el proyecto específico, se expidió concepto precontractual y CDP para iniciar la suscripción de los convenios con los municipios beneficiados con mejoramiento de fachadas.
JULIO
Durante el mes de julio se celebraron los convenios para Aunar esfuerzos técnicos administrativos y financieros para el mejoramiento de barrios y entornos urbanos a través del embellecimiento de fachadas en los municipios de Caparrapí, Cogua, Fómeque, Fúquene, Lenguazaque, Ricaurte, Sasaima y Ubalá. La meta presenta un avance de 8 entornos urbanos atendidos y 278 viviendas beneficiadas con obras de mejoramiento de fachadas.
En el mes de agosto se celebraron 2 convenios en el marco del programa fachadas con los cuales se atenderán 88 viviendas en el municipio de La Mesa y 31 viviendas en el municipio de Sesquilé. 
SEPTIEMBRE
Se celebraron 2 convenios en el marco del programa fachadas con los cuales se atenderán 53 viviendas en el municipio de Ubaté SHVS-CDCVI-057-2021 y mediante el convenio SHVS-CDCVI-058-2021 se atenderán 52 viviendas en el municipio de Guasca. 
OCTUBRE
En el mes de octubre se celebró el convenio SHVS-CDCVI-072-2021 con el Municipio de Suesca en el marco del programa fachadas con el cual se atenderá 48 viviendas. Para esta meta se benefician en total 601 hogares en la Vigencia 2021.</v>
      </c>
      <c r="AK61" s="9">
        <f>VLOOKUP(K61,'1131 Hábitat'!$K$13:$AK$24,27,0)</f>
        <v>0</v>
      </c>
      <c r="AL61" s="11">
        <v>3</v>
      </c>
      <c r="AM61" s="11">
        <v>0</v>
      </c>
      <c r="AN61" s="11">
        <v>1</v>
      </c>
      <c r="AO61" s="11">
        <v>0</v>
      </c>
      <c r="AP61" s="11">
        <v>0</v>
      </c>
      <c r="AQ61" s="11">
        <v>0</v>
      </c>
      <c r="AR61" s="51">
        <v>1000000000</v>
      </c>
      <c r="AS61" s="54">
        <v>0</v>
      </c>
      <c r="AT61" s="54">
        <f t="shared" si="0"/>
        <v>1000000000</v>
      </c>
      <c r="AU61" s="51">
        <v>1000000000</v>
      </c>
      <c r="AV61" s="89">
        <v>650000000</v>
      </c>
      <c r="AY61" s="89">
        <v>0</v>
      </c>
      <c r="AZ61" s="42">
        <f t="shared" si="89"/>
        <v>3.3</v>
      </c>
      <c r="BA61" s="44">
        <v>0.3</v>
      </c>
      <c r="BB61" s="44">
        <v>6.6666999999999996</v>
      </c>
      <c r="BC61" s="42">
        <f t="shared" si="90"/>
        <v>0.3</v>
      </c>
      <c r="BD61" s="42" cm="1">
        <f t="array" ref="BD61">_xlfn.IFS(AD61=0,"NA",AD61&gt;0,AH61/AD61)</f>
        <v>4.333333333333333</v>
      </c>
      <c r="BE61" s="42">
        <f t="shared" si="91"/>
        <v>0.3</v>
      </c>
      <c r="BF61" s="44">
        <v>0</v>
      </c>
      <c r="BG61" s="42">
        <f t="shared" si="92"/>
        <v>0.1</v>
      </c>
      <c r="BH61" s="44">
        <v>0</v>
      </c>
      <c r="BI61" s="42">
        <f t="shared" si="93"/>
        <v>0</v>
      </c>
      <c r="BJ61" s="44" t="s">
        <v>115</v>
      </c>
      <c r="BK61" s="42" t="str">
        <f t="shared" si="1"/>
        <v>100%</v>
      </c>
      <c r="BL61" s="44">
        <v>1</v>
      </c>
      <c r="BM61" s="42" t="str" cm="1">
        <f t="array" ref="BM61">_xlfn.IFS(BD61="NA","NA",BD61&gt;100%,"100%",BD61&lt;100,BD61)</f>
        <v>100%</v>
      </c>
      <c r="BN61" s="42" cm="1">
        <f t="array" ref="BN61">_xlfn.IFS(BF61="NA","NA",BF61&gt;100%,"100%",BF61&lt;100,BF61)</f>
        <v>0</v>
      </c>
      <c r="BO61" s="42" cm="1">
        <f t="array" ref="BO61">_xlfn.IFS(BH61="NA","NA",BH61&gt;100%,"100%",BH61&lt;100,BH61)</f>
        <v>0</v>
      </c>
      <c r="BP61" s="42" t="str" cm="1">
        <f t="array" ref="BP61">_xlfn.IFS(BJ61="NA","NA",BJ61&gt;100%,"100%",BJ61&lt;100,BJ61)</f>
        <v>NA</v>
      </c>
      <c r="BQ61" s="45">
        <v>0.22500000000000001</v>
      </c>
      <c r="BR61" s="43">
        <f t="shared" si="2"/>
        <v>0.22500000000000001</v>
      </c>
      <c r="BS61" s="45">
        <v>6.7500000000000004E-2</v>
      </c>
      <c r="BT61" s="45">
        <v>6.7500000000000004E-2</v>
      </c>
      <c r="BU61" s="45">
        <v>0.22500000000000001</v>
      </c>
      <c r="BV61" s="43">
        <f t="shared" si="94"/>
        <v>6.7500000000000004E-2</v>
      </c>
      <c r="BW61" s="43">
        <f t="shared" si="3"/>
        <v>6.7500000000000004E-2</v>
      </c>
      <c r="BX61" s="43">
        <f t="shared" si="4"/>
        <v>0</v>
      </c>
      <c r="BY61" s="43">
        <f t="shared" si="95"/>
        <v>6.7500000000000004E-2</v>
      </c>
      <c r="BZ61" s="43">
        <f t="shared" si="96"/>
        <v>0</v>
      </c>
      <c r="CA61" s="43">
        <f t="shared" si="5"/>
        <v>0</v>
      </c>
      <c r="CB61" s="43">
        <f t="shared" si="97"/>
        <v>2.2499999999999999E-2</v>
      </c>
      <c r="CC61" s="43">
        <f t="shared" si="98"/>
        <v>0</v>
      </c>
      <c r="CD61" s="45">
        <v>0</v>
      </c>
      <c r="CE61" s="43">
        <f t="shared" si="99"/>
        <v>0</v>
      </c>
      <c r="CF61" s="43" t="str">
        <f t="shared" si="100"/>
        <v>NA</v>
      </c>
      <c r="CG61" s="45">
        <v>0</v>
      </c>
    </row>
    <row r="62" spans="1:90" ht="18" customHeight="1">
      <c r="A62" s="260" t="s">
        <v>442</v>
      </c>
      <c r="B62" s="260" t="s">
        <v>443</v>
      </c>
      <c r="C62" s="260" t="s">
        <v>100</v>
      </c>
      <c r="D62" s="260" t="s">
        <v>101</v>
      </c>
      <c r="E62" s="260" t="s">
        <v>294</v>
      </c>
      <c r="F62" s="260" t="s">
        <v>430</v>
      </c>
      <c r="G62" s="260" t="s">
        <v>431</v>
      </c>
      <c r="H62" s="260" t="s">
        <v>459</v>
      </c>
      <c r="I62" s="260" t="s">
        <v>445</v>
      </c>
      <c r="J62" s="260"/>
      <c r="K62" s="260" t="s">
        <v>460</v>
      </c>
      <c r="L62" s="260" t="s">
        <v>2858</v>
      </c>
      <c r="M62" s="260" t="s">
        <v>462</v>
      </c>
      <c r="N62" s="260" t="s">
        <v>111</v>
      </c>
      <c r="O62" s="260" t="s">
        <v>112</v>
      </c>
      <c r="P62" s="10">
        <v>0</v>
      </c>
      <c r="Q62" s="11">
        <v>10</v>
      </c>
      <c r="R62" s="9">
        <f t="shared" si="87"/>
        <v>6</v>
      </c>
      <c r="S62" s="11" t="str">
        <f>VLOOKUP(K62,'1131 Hábitat'!$K$13:$AK$24,9,0)</f>
        <v>Vigencia 2020. No hubo asignación de recursos
Vigencia 2021: Se han adelantado 5 procesos de acompañamiento social en proyectos habitacionales en los municipios de La Mesa, Villeta, Caparrapí, Cajicá, Chía</v>
      </c>
      <c r="T62" s="11">
        <v>3</v>
      </c>
      <c r="U62" s="11">
        <v>0</v>
      </c>
      <c r="V62" s="11">
        <v>0</v>
      </c>
      <c r="W62" s="11">
        <v>0</v>
      </c>
      <c r="X62" s="11">
        <v>0</v>
      </c>
      <c r="Y62" s="11">
        <v>0</v>
      </c>
      <c r="Z62" s="11">
        <v>0</v>
      </c>
      <c r="AA62" s="11"/>
      <c r="AB62" s="11"/>
      <c r="AC62" s="11"/>
      <c r="AD62" s="11">
        <v>3</v>
      </c>
      <c r="AE62" s="11">
        <v>0</v>
      </c>
      <c r="AF62" s="11">
        <f>VLOOKUP(K62,'1131 Hábitat'!$K$13:$AK$24,22,0)</f>
        <v>6</v>
      </c>
      <c r="AG62" s="11">
        <f>VLOOKUP(K62,'1131 Hábitat'!$K$13:$AK$24,23,0)</f>
        <v>0</v>
      </c>
      <c r="AH62" s="9">
        <f t="shared" si="88"/>
        <v>6</v>
      </c>
      <c r="AI62" s="9">
        <f>VLOOKUP(K62,'1131 Hábitat'!$K$13:$AK$24,25,0)</f>
        <v>6</v>
      </c>
      <c r="AJ62" s="9" t="str">
        <f>VLOOKUP(K62,'1131 Hábitat'!$K$13:$AK$24,26,0)</f>
        <v>Se suscribieron tres contratos de prestación de servicios para el fortalecimiento de la gestión de la SHV. Se adelantan gestiones de acompañamiento social para el desarrollo de los proyectos de mejoramiento de vivienda urbana en el marco del programa "Casa Digna, Vida Digna" y la selección de los beneficiarios de los mismos.
En el mes de abril se suscribieron cuatro contratos de prestación de servicios.
JULIO
En el Municipio de Cajicá, específicamente en los conjuntos residenciales Biblos, Candelaria 2 y Caminos de Cajicá 2, personal técnico de la Secretaría de Hábitat y Vivienda realizó visitas de campo puerta a puerta en viviendas focalizadas en el Programa “Casa digna, Vida digna” del MVCT, en el marco de la ejecución de los convenios interadministrativos FNV-011-2020, FNV-012-2020 Y FNV-013-2020, promocionando y divulgando el programa para incentivar a la comunidad a postularse, allegando los documentos técnicos y sociales requeridos para que el hogar sea habilitado y pueda acceder al subsidio de mejoramiento de vivienda urbana.
En el proceso se acompañó a 25 hogares en el proceso de registro en la Plataforma del MVCT, verificando el cumplimiento de los requisitos del programa, y apoyando a los hogares a subir la documentación completa. 
En el mes de agosto se llevó a cabo acompañamiento social en el Municipio de Caparrapí – Urbanización San Carlos, tratando temas de Resolución de Conflictos. Se brindaron herramientas para una sana convivencia, logrando que los asistentes reflexionaran sobre la importancia de vivir en armonía, establecer mecanismos de conciliación y generar acuerdos. El total de asistentes fue de 32 personas.
En el Municipio de Villeta Conjunto Residencial Villa Crisly que hace parte del programa “Podemos Casa”, se llevó a cabo acompañamiento social sobre el tema “Convivencia en Propiedad Horizontal”, para socializar la entrega de viviendas,  deberes y derechos al vivir en propiedad horizontal, normas reconocidas por los residentes, reglamento y manual de convivencia, límites a las acciones de las personas, protección de derechos de residentes en la copropiedad. Asistieron  28 personas.
SEPTIEMBRE
Este mes la meta no presenta avance.
OCTUBRE:
En el mes de octubre se llevaron a cabo las siguientes actividades: 
Se brindó acompañamiento social a 42 personas sobre el Programa de Vivienda Podemos Casa, el día viernes 29 de octubre de 2021 en el municipio de Tena Cundinamarca. 
Se realizó socialización del Programa Podemos Casa a 92 personas en el municipio de Sopó Cundinamarca. 
Se realizó socialización a la comunidad en el Municipio de San Juan de Rio Seco y Cambao con una asistencia de 86 personas. Se les dio a conocer el Programa Nacional de Titulación y se aclararon dudas al respecto; también se les entregó un folleto para complementar el tema.
NOVIEMBRE
Se llevaron a cabo talleres sobre manejo responsable del crédito y Convivencia en propiedad horizontal, Tenencia responsable de mascotas, Programa Podemos Casa, proceso de caracterización socioeconómica a familias población Resguardo Indígena Muisca de Sesquilé. Un total de 175 personas acompañadas en los municipios de Guasca, Villapinzón, Sesquilé y Ricaurte.</v>
      </c>
      <c r="AK62" s="9">
        <f>VLOOKUP(K62,'1131 Hábitat'!$K$13:$AK$24,27,0)</f>
        <v>0</v>
      </c>
      <c r="AL62" s="11">
        <v>3</v>
      </c>
      <c r="AM62" s="11">
        <v>0</v>
      </c>
      <c r="AN62" s="11">
        <v>4</v>
      </c>
      <c r="AO62" s="11">
        <v>0</v>
      </c>
      <c r="AP62" s="11">
        <v>0</v>
      </c>
      <c r="AQ62" s="11">
        <v>0</v>
      </c>
      <c r="AR62" s="52"/>
      <c r="AS62" s="54">
        <v>0</v>
      </c>
      <c r="AT62" s="54">
        <f t="shared" si="0"/>
        <v>0</v>
      </c>
      <c r="AU62" s="52"/>
      <c r="AV62" s="89">
        <v>145780000</v>
      </c>
      <c r="AY62" s="89">
        <v>101449160</v>
      </c>
      <c r="AZ62" s="42">
        <f t="shared" si="89"/>
        <v>0.6</v>
      </c>
      <c r="BA62" s="44">
        <v>0</v>
      </c>
      <c r="BB62" s="44" t="s">
        <v>115</v>
      </c>
      <c r="BC62" s="42">
        <f t="shared" si="90"/>
        <v>0.3</v>
      </c>
      <c r="BD62" s="42" cm="1">
        <f t="array" ref="BD62">_xlfn.IFS(AD62=0,"NA",AD62&gt;0,AH62/AD62)</f>
        <v>2</v>
      </c>
      <c r="BE62" s="42">
        <f t="shared" si="91"/>
        <v>0.3</v>
      </c>
      <c r="BF62" s="44">
        <v>0</v>
      </c>
      <c r="BG62" s="42">
        <f t="shared" si="92"/>
        <v>0.4</v>
      </c>
      <c r="BH62" s="44">
        <v>0</v>
      </c>
      <c r="BI62" s="42">
        <f t="shared" si="93"/>
        <v>0</v>
      </c>
      <c r="BJ62" s="44" t="s">
        <v>115</v>
      </c>
      <c r="BK62" s="42">
        <f t="shared" si="1"/>
        <v>0.6</v>
      </c>
      <c r="BL62" s="44" t="s">
        <v>115</v>
      </c>
      <c r="BM62" s="42" t="str" cm="1">
        <f t="array" ref="BM62">_xlfn.IFS(BD62="NA","NA",BD62&gt;100%,"100%",BD62&lt;100,BD62)</f>
        <v>100%</v>
      </c>
      <c r="BN62" s="42" cm="1">
        <f t="array" ref="BN62">_xlfn.IFS(BF62="NA","NA",BF62&gt;100%,"100%",BF62&lt;100,BF62)</f>
        <v>0</v>
      </c>
      <c r="BO62" s="42" cm="1">
        <f t="array" ref="BO62">_xlfn.IFS(BH62="NA","NA",BH62&gt;100%,"100%",BH62&lt;100,BH62)</f>
        <v>0</v>
      </c>
      <c r="BP62" s="42" t="str" cm="1">
        <f t="array" ref="BP62">_xlfn.IFS(BJ62="NA","NA",BJ62&gt;100%,"100%",BJ62&lt;100,BJ62)</f>
        <v>NA</v>
      </c>
      <c r="BQ62" s="45">
        <v>0.22500000000000001</v>
      </c>
      <c r="BR62" s="43">
        <f t="shared" si="2"/>
        <v>0.13500000000000001</v>
      </c>
      <c r="BS62" s="45">
        <v>0</v>
      </c>
      <c r="BT62" s="45" t="s">
        <v>115</v>
      </c>
      <c r="BU62" s="45">
        <v>0</v>
      </c>
      <c r="BV62" s="43">
        <f t="shared" si="94"/>
        <v>6.7500000000000004E-2</v>
      </c>
      <c r="BW62" s="43">
        <f t="shared" si="3"/>
        <v>6.7500000000000004E-2</v>
      </c>
      <c r="BX62" s="43">
        <f t="shared" si="4"/>
        <v>0.13500000000000001</v>
      </c>
      <c r="BY62" s="43">
        <f t="shared" si="95"/>
        <v>6.7500000000000004E-2</v>
      </c>
      <c r="BZ62" s="43">
        <f t="shared" si="96"/>
        <v>0</v>
      </c>
      <c r="CA62" s="43">
        <f t="shared" si="5"/>
        <v>0</v>
      </c>
      <c r="CB62" s="43">
        <f t="shared" si="97"/>
        <v>0.09</v>
      </c>
      <c r="CC62" s="43">
        <f t="shared" si="98"/>
        <v>0</v>
      </c>
      <c r="CD62" s="45">
        <v>0</v>
      </c>
      <c r="CE62" s="43">
        <f t="shared" si="99"/>
        <v>0</v>
      </c>
      <c r="CF62" s="43" t="str">
        <f t="shared" si="100"/>
        <v>NA</v>
      </c>
      <c r="CG62" s="45">
        <v>0</v>
      </c>
    </row>
    <row r="63" spans="1:90" ht="18" customHeight="1">
      <c r="A63" s="260" t="s">
        <v>442</v>
      </c>
      <c r="B63" s="260" t="s">
        <v>443</v>
      </c>
      <c r="C63" s="260" t="s">
        <v>100</v>
      </c>
      <c r="D63" s="260" t="s">
        <v>101</v>
      </c>
      <c r="E63" s="260" t="s">
        <v>294</v>
      </c>
      <c r="F63" s="260" t="s">
        <v>463</v>
      </c>
      <c r="G63" s="260" t="s">
        <v>464</v>
      </c>
      <c r="H63" s="260" t="s">
        <v>465</v>
      </c>
      <c r="I63" s="260" t="s">
        <v>200</v>
      </c>
      <c r="J63" s="260"/>
      <c r="K63" s="260" t="s">
        <v>466</v>
      </c>
      <c r="L63" s="260" t="s">
        <v>2859</v>
      </c>
      <c r="M63" s="260" t="s">
        <v>468</v>
      </c>
      <c r="N63" s="260" t="s">
        <v>111</v>
      </c>
      <c r="O63" s="260" t="s">
        <v>112</v>
      </c>
      <c r="P63" s="10">
        <v>302</v>
      </c>
      <c r="Q63" s="11">
        <v>300</v>
      </c>
      <c r="R63" s="9">
        <f t="shared" si="87"/>
        <v>20</v>
      </c>
      <c r="S63" s="11" t="str">
        <f>VLOOKUP(K63,'1131 Hábitat'!$K$13:$AK$24,9,0)</f>
        <v>Vigencia 2020: Con una inversión departamental de $651.807.923 se cofinanció la ejecución de proyectos de construcción de vivienda rural en 7 municipios del departamento, los cuales beneficiarán a 13 hogares de víctimas del conflicto armado.</v>
      </c>
      <c r="T63" s="11">
        <v>10</v>
      </c>
      <c r="U63" s="11">
        <v>0</v>
      </c>
      <c r="V63" s="11">
        <v>10</v>
      </c>
      <c r="W63" s="11">
        <v>0</v>
      </c>
      <c r="X63" s="11">
        <v>13</v>
      </c>
      <c r="Y63" s="11">
        <v>0</v>
      </c>
      <c r="Z63" s="11">
        <v>13</v>
      </c>
      <c r="AA63" s="11" t="s">
        <v>469</v>
      </c>
      <c r="AB63" s="11" t="s">
        <v>470</v>
      </c>
      <c r="AC63" s="11" t="s">
        <v>471</v>
      </c>
      <c r="AD63" s="11">
        <v>90</v>
      </c>
      <c r="AE63" s="11">
        <v>0</v>
      </c>
      <c r="AF63" s="11">
        <f>VLOOKUP(K63,'1131 Hábitat'!$K$13:$AK$24,22,0)</f>
        <v>7</v>
      </c>
      <c r="AG63" s="11">
        <f>VLOOKUP(K63,'1131 Hábitat'!$K$13:$AK$24,23,0)</f>
        <v>0</v>
      </c>
      <c r="AH63" s="9">
        <f t="shared" si="88"/>
        <v>7</v>
      </c>
      <c r="AI63" s="9">
        <f>VLOOKUP(K63,'1131 Hábitat'!$K$13:$AK$24,25,0)</f>
        <v>0</v>
      </c>
      <c r="AJ63" s="9" t="str">
        <f>VLOOKUP(K63,'1131 Hábitat'!$K$13:$AK$24,26,0)</f>
        <v>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Durante el mes de junio la meta no presenta avance.
La meta no presenta avance a la fecha del presente reporte. 
JULIO
La Secretaría de Hábitat y Vivienda implementó la estrategia de unificar los recursos de la meta 052, 054, 055 y 057 para la modalidad de construcción de vivienda rural, para optimizar los recursos y obtener un mayor alcance de los mismos.
Se encuentran en proceso de formulación proyectos de construcción de vivienda rural para los municipios de Ubalá, Quetame, La Calera, Guataquí, La Vega y San Antonio del Tequendama.
En el mes de agosto se inscribió el proyecto construcción vivienda nueva para población víctima del conflicto armado en los municipios de Guataquí, El Peñón, La Vega, Quetame y Ubalá, en el marco de la estrategia de unificar los recursos de la meta 052, 054, 055 y 057 para la modalidad de construcción de vivienda rural, para optimizar los recursos y obtener un mayor alcance de los mismos. Se adelantan los procesos precontractuales para la celebración de los convenios.
SEPTIEMBRE
En el mes de septiembre se continúa con el proceso de estructuración del proyecto construcción vivienda nueva para población víctima del conflicto armado en los municipios de Guataquí, El Peñón, La Vega, Quetame y Ubalá, en el marco de la estrategia de unificar los recursos de la meta 052, 054, 055 y 057 para la modalidad de construcción de vivienda rural, para optimizar los recursos y obtener un mayor alcance de los mismos. Se adelantan los procesos precontractuales para la celebración de los convenios.
OCTUBRE:
En el mes de octubre se celebró el convenio interadministrativo SHVS-CDCVI-078-2021 con el Municipio de El Peñón con el cual se benefician 6 hogares de los cuales 5 son población VCA. El Dpto aporta $200 millones y el Mpio $166.997.470
Se celebró el convenio interadministrativo SHVS-CDCVI-075-2021 con el Municipio de Quetame con el cual se benefician 38 hogares de los cuales 2 son población VCA. El Dpto aporta $50 millones y el Municipio $60.462.825.
NOVIEMBRE
Durante este mes los convenios celebrados para el cumplimiento de la meta se encuentran en proceso precontractual para dar inicio a las obras.</v>
      </c>
      <c r="AK63" s="9" t="str">
        <f>VLOOKUP(K63,'1131 Hábitat'!$K$13:$AK$24,27,0)</f>
        <v>Falta de recursos municipales para cofinanciar proyectos de vivienda nueva. Los municipios no identifican y priorizan población VCA para ser beneficiados de los proyectos.
Demora de las administraciones municipales para la formulación de los proyectos, gestionar sus contrapartidas y verficar los potenciales beneficiarios.</v>
      </c>
      <c r="AL63" s="11">
        <v>97</v>
      </c>
      <c r="AM63" s="11">
        <v>0</v>
      </c>
      <c r="AN63" s="11">
        <v>100</v>
      </c>
      <c r="AO63" s="11">
        <v>0</v>
      </c>
      <c r="AP63" s="11">
        <v>0</v>
      </c>
      <c r="AQ63" s="11">
        <v>0</v>
      </c>
      <c r="AR63" s="51">
        <v>300000000</v>
      </c>
      <c r="AS63" s="54">
        <v>1314000000</v>
      </c>
      <c r="AT63" s="54">
        <f t="shared" si="0"/>
        <v>1614000000</v>
      </c>
      <c r="AU63" s="51">
        <v>300000000</v>
      </c>
      <c r="AV63" s="89">
        <v>250000000</v>
      </c>
      <c r="AY63" s="89">
        <v>0</v>
      </c>
      <c r="AZ63" s="42">
        <f t="shared" si="89"/>
        <v>6.6666666666666666E-2</v>
      </c>
      <c r="BA63" s="44">
        <v>3.3300000000000003E-2</v>
      </c>
      <c r="BB63" s="44">
        <v>1.3</v>
      </c>
      <c r="BC63" s="42">
        <f t="shared" si="90"/>
        <v>0.3</v>
      </c>
      <c r="BD63" s="42" cm="1">
        <f t="array" ref="BD63">_xlfn.IFS(AD63=0,"NA",AD63&gt;0,AH63/AD63)</f>
        <v>7.7777777777777779E-2</v>
      </c>
      <c r="BE63" s="42">
        <f t="shared" si="91"/>
        <v>0.32333333333333331</v>
      </c>
      <c r="BF63" s="44">
        <v>0</v>
      </c>
      <c r="BG63" s="42">
        <f t="shared" si="92"/>
        <v>0.33333333333333331</v>
      </c>
      <c r="BH63" s="44">
        <v>0</v>
      </c>
      <c r="BI63" s="42">
        <f t="shared" si="93"/>
        <v>0</v>
      </c>
      <c r="BJ63" s="44" t="s">
        <v>115</v>
      </c>
      <c r="BK63" s="42">
        <f t="shared" si="1"/>
        <v>6.6666666666666666E-2</v>
      </c>
      <c r="BL63" s="44">
        <v>1</v>
      </c>
      <c r="BM63" s="42" cm="1">
        <f t="array" ref="BM63">_xlfn.IFS(BD63="NA","NA",BD63&gt;100%,"100%",BD63&lt;100,BD63)</f>
        <v>7.7777777777777779E-2</v>
      </c>
      <c r="BN63" s="42" cm="1">
        <f t="array" ref="BN63">_xlfn.IFS(BF63="NA","NA",BF63&gt;100%,"100%",BF63&lt;100,BF63)</f>
        <v>0</v>
      </c>
      <c r="BO63" s="42" cm="1">
        <f t="array" ref="BO63">_xlfn.IFS(BH63="NA","NA",BH63&gt;100%,"100%",BH63&lt;100,BH63)</f>
        <v>0</v>
      </c>
      <c r="BP63" s="42" t="str" cm="1">
        <f t="array" ref="BP63">_xlfn.IFS(BJ63="NA","NA",BJ63&gt;100%,"100%",BJ63&lt;100,BJ63)</f>
        <v>NA</v>
      </c>
      <c r="BQ63" s="45">
        <v>0.22500000000000001</v>
      </c>
      <c r="BR63" s="43">
        <f t="shared" si="2"/>
        <v>1.4999999999999999E-2</v>
      </c>
      <c r="BS63" s="45">
        <v>7.4999999999999997E-3</v>
      </c>
      <c r="BT63" s="45">
        <v>7.4999999999999997E-3</v>
      </c>
      <c r="BU63" s="45">
        <v>9.7000000000000003E-3</v>
      </c>
      <c r="BV63" s="43">
        <f t="shared" si="94"/>
        <v>6.7500000000000004E-2</v>
      </c>
      <c r="BW63" s="43">
        <f t="shared" si="3"/>
        <v>5.2500000000000003E-3</v>
      </c>
      <c r="BX63" s="43">
        <f t="shared" si="4"/>
        <v>5.2999999999999992E-3</v>
      </c>
      <c r="BY63" s="43">
        <f t="shared" si="95"/>
        <v>7.2749999999999995E-2</v>
      </c>
      <c r="BZ63" s="43">
        <f t="shared" si="96"/>
        <v>0</v>
      </c>
      <c r="CA63" s="43">
        <f t="shared" si="5"/>
        <v>0</v>
      </c>
      <c r="CB63" s="43">
        <f t="shared" si="97"/>
        <v>7.4999999999999997E-2</v>
      </c>
      <c r="CC63" s="43">
        <f t="shared" si="98"/>
        <v>0</v>
      </c>
      <c r="CD63" s="45">
        <v>0</v>
      </c>
      <c r="CE63" s="43">
        <f t="shared" si="99"/>
        <v>0</v>
      </c>
      <c r="CF63" s="43" t="str">
        <f t="shared" si="100"/>
        <v>NA</v>
      </c>
      <c r="CG63" s="45">
        <v>0</v>
      </c>
    </row>
    <row r="64" spans="1:90" ht="18" customHeight="1">
      <c r="A64" s="260" t="s">
        <v>442</v>
      </c>
      <c r="B64" s="260" t="s">
        <v>443</v>
      </c>
      <c r="C64" s="260" t="s">
        <v>100</v>
      </c>
      <c r="D64" s="260" t="s">
        <v>101</v>
      </c>
      <c r="E64" s="260" t="s">
        <v>294</v>
      </c>
      <c r="F64" s="260" t="s">
        <v>463</v>
      </c>
      <c r="G64" s="260" t="s">
        <v>464</v>
      </c>
      <c r="H64" s="260" t="s">
        <v>2860</v>
      </c>
      <c r="I64" s="260" t="s">
        <v>445</v>
      </c>
      <c r="J64" s="260"/>
      <c r="K64" s="260" t="s">
        <v>2861</v>
      </c>
      <c r="L64" s="260" t="s">
        <v>2862</v>
      </c>
      <c r="M64" s="260" t="s">
        <v>2863</v>
      </c>
      <c r="N64" s="260" t="s">
        <v>111</v>
      </c>
      <c r="O64" s="260" t="s">
        <v>112</v>
      </c>
      <c r="P64" s="10">
        <v>0</v>
      </c>
      <c r="Q64" s="11">
        <v>10</v>
      </c>
      <c r="R64" s="9" t="e">
        <f t="shared" si="87"/>
        <v>#N/A</v>
      </c>
      <c r="S64" s="11" t="e">
        <f>VLOOKUP(K64,'1131 Hábitat'!$K$13:$AK$24,9,0)</f>
        <v>#N/A</v>
      </c>
      <c r="T64" s="11">
        <v>3</v>
      </c>
      <c r="U64" s="11">
        <v>0</v>
      </c>
      <c r="V64" s="11">
        <v>0</v>
      </c>
      <c r="W64" s="11">
        <v>0</v>
      </c>
      <c r="X64" s="11">
        <v>0</v>
      </c>
      <c r="Y64" s="11">
        <v>0</v>
      </c>
      <c r="Z64" s="11">
        <v>0</v>
      </c>
      <c r="AA64" s="11"/>
      <c r="AB64" s="11"/>
      <c r="AC64" s="11"/>
      <c r="AD64" s="11">
        <v>3</v>
      </c>
      <c r="AE64" s="11">
        <v>0</v>
      </c>
      <c r="AF64" s="11" t="e">
        <f>VLOOKUP(K64,'1131 Hábitat'!$K$13:$AK$24,22,0)</f>
        <v>#N/A</v>
      </c>
      <c r="AG64" s="11" t="e">
        <f>VLOOKUP(K64,'1131 Hábitat'!$K$13:$AK$24,23,0)</f>
        <v>#N/A</v>
      </c>
      <c r="AH64" s="9" t="e">
        <f t="shared" si="88"/>
        <v>#N/A</v>
      </c>
      <c r="AI64" s="9" t="e">
        <f>VLOOKUP(K64,'1131 Hábitat'!$K$13:$AK$24,25,0)</f>
        <v>#N/A</v>
      </c>
      <c r="AJ64" s="9" t="e">
        <f>VLOOKUP(K64,'1131 Hábitat'!$K$13:$AK$24,26,0)</f>
        <v>#N/A</v>
      </c>
      <c r="AK64" s="9" t="e">
        <f>VLOOKUP(K64,'1131 Hábitat'!$K$13:$AK$24,27,0)</f>
        <v>#N/A</v>
      </c>
      <c r="AL64" s="11">
        <v>3</v>
      </c>
      <c r="AM64" s="11">
        <v>0</v>
      </c>
      <c r="AN64" s="11">
        <v>4</v>
      </c>
      <c r="AO64" s="11">
        <v>0</v>
      </c>
      <c r="AP64" s="11">
        <v>0</v>
      </c>
      <c r="AQ64" s="11">
        <v>0</v>
      </c>
      <c r="AR64" s="52"/>
      <c r="AS64" s="54">
        <v>0</v>
      </c>
      <c r="AT64" s="54">
        <f t="shared" si="0"/>
        <v>0</v>
      </c>
      <c r="AU64" s="52"/>
      <c r="AV64" s="89">
        <v>133915000</v>
      </c>
      <c r="AY64" s="89">
        <v>67392948</v>
      </c>
      <c r="AZ64" s="42" t="e">
        <f t="shared" si="89"/>
        <v>#N/A</v>
      </c>
      <c r="BA64" s="44">
        <v>0</v>
      </c>
      <c r="BB64" s="44" t="s">
        <v>115</v>
      </c>
      <c r="BC64" s="42">
        <f t="shared" si="90"/>
        <v>0.3</v>
      </c>
      <c r="BD64" s="42" t="e" cm="1">
        <f t="array" ref="BD64">_xlfn.IFS(AD64=0,"NA",AD64&gt;0,AH64/AD64)</f>
        <v>#N/A</v>
      </c>
      <c r="BE64" s="42">
        <f t="shared" si="91"/>
        <v>0.3</v>
      </c>
      <c r="BF64" s="44">
        <v>0</v>
      </c>
      <c r="BG64" s="42">
        <f t="shared" si="92"/>
        <v>0.4</v>
      </c>
      <c r="BH64" s="44">
        <v>0</v>
      </c>
      <c r="BI64" s="42">
        <f t="shared" si="93"/>
        <v>0</v>
      </c>
      <c r="BJ64" s="44" t="s">
        <v>115</v>
      </c>
      <c r="BK64" s="42" t="e">
        <f t="shared" si="1"/>
        <v>#N/A</v>
      </c>
      <c r="BL64" s="44" t="s">
        <v>115</v>
      </c>
      <c r="BM64" s="42" t="e" cm="1">
        <f t="array" ref="BM64">_xlfn.IFS(BD64="NA","NA",BD64&gt;100%,"100%",BD64&lt;100,BD64)</f>
        <v>#N/A</v>
      </c>
      <c r="BN64" s="42" cm="1">
        <f t="array" ref="BN64">_xlfn.IFS(BF64="NA","NA",BF64&gt;100%,"100%",BF64&lt;100,BF64)</f>
        <v>0</v>
      </c>
      <c r="BO64" s="42" cm="1">
        <f t="array" ref="BO64">_xlfn.IFS(BH64="NA","NA",BH64&gt;100%,"100%",BH64&lt;100,BH64)</f>
        <v>0</v>
      </c>
      <c r="BP64" s="42" t="str" cm="1">
        <f t="array" ref="BP64">_xlfn.IFS(BJ64="NA","NA",BJ64&gt;100%,"100%",BJ64&lt;100,BJ64)</f>
        <v>NA</v>
      </c>
      <c r="BQ64" s="45">
        <v>0.22500000000000001</v>
      </c>
      <c r="BR64" s="43" t="e">
        <f t="shared" si="2"/>
        <v>#N/A</v>
      </c>
      <c r="BS64" s="45">
        <v>0</v>
      </c>
      <c r="BT64" s="45" t="s">
        <v>115</v>
      </c>
      <c r="BU64" s="45">
        <v>0</v>
      </c>
      <c r="BV64" s="43">
        <f t="shared" si="94"/>
        <v>6.7500000000000004E-2</v>
      </c>
      <c r="BW64" s="43" t="e">
        <f t="shared" si="3"/>
        <v>#N/A</v>
      </c>
      <c r="BX64" s="43" t="e">
        <f t="shared" si="4"/>
        <v>#N/A</v>
      </c>
      <c r="BY64" s="43">
        <f t="shared" si="95"/>
        <v>6.7500000000000004E-2</v>
      </c>
      <c r="BZ64" s="43">
        <f t="shared" si="96"/>
        <v>0</v>
      </c>
      <c r="CA64" s="43" t="e">
        <f t="shared" si="5"/>
        <v>#N/A</v>
      </c>
      <c r="CB64" s="43">
        <f t="shared" si="97"/>
        <v>0.09</v>
      </c>
      <c r="CC64" s="43">
        <f t="shared" si="98"/>
        <v>0</v>
      </c>
      <c r="CD64" s="45">
        <v>0</v>
      </c>
      <c r="CE64" s="43">
        <f t="shared" si="99"/>
        <v>0</v>
      </c>
      <c r="CF64" s="43" t="str">
        <f t="shared" si="100"/>
        <v>NA</v>
      </c>
      <c r="CG64" s="45">
        <v>0</v>
      </c>
    </row>
    <row r="65" spans="1:90" ht="18" customHeight="1">
      <c r="A65" s="260" t="s">
        <v>442</v>
      </c>
      <c r="B65" s="260" t="s">
        <v>443</v>
      </c>
      <c r="C65" s="260" t="s">
        <v>100</v>
      </c>
      <c r="D65" s="260" t="s">
        <v>101</v>
      </c>
      <c r="E65" s="260" t="s">
        <v>294</v>
      </c>
      <c r="F65" s="260" t="s">
        <v>463</v>
      </c>
      <c r="G65" s="260" t="s">
        <v>464</v>
      </c>
      <c r="H65" s="260" t="s">
        <v>472</v>
      </c>
      <c r="I65" s="260" t="s">
        <v>200</v>
      </c>
      <c r="J65" s="260"/>
      <c r="K65" s="260" t="s">
        <v>473</v>
      </c>
      <c r="L65" s="260" t="s">
        <v>2864</v>
      </c>
      <c r="M65" s="260" t="s">
        <v>2865</v>
      </c>
      <c r="N65" s="260" t="s">
        <v>111</v>
      </c>
      <c r="O65" s="260" t="s">
        <v>112</v>
      </c>
      <c r="P65" s="10">
        <v>5321</v>
      </c>
      <c r="Q65" s="11">
        <v>4700</v>
      </c>
      <c r="R65" s="9">
        <f t="shared" si="87"/>
        <v>8067</v>
      </c>
      <c r="S65" s="11" t="str">
        <f>VLOOKUP(K65,'1131 Hábitat'!$K$13:$AK$24,9,0)</f>
        <v>Vigencia 2020:
2.679 hogares cundinamarqueses que adquirieron viviendas de interés social y prioritario con subsidios familiares de vivienda, obtuvieron el beneficio de exención del pago del impuesto de registro establecido mediante la Ordenanza No. 003 de 2020 la cual fue gestionada por la Secretaría de Hábitat y Vivienda para aliviar la carga financiera de las familias de menores ingresos a la hora de comprar vivienda.
Como resultado de la estrategia Plan Semillero de Propietarios implementada por la Secretaría de Hábitat y Vivienda, durante la Vigencia 2020, 11.185 hogares se encuentran habilitados y se han asignado 396 subsidios de arriendo para hogares cundinamarqueses de ingresos entre 1 y 2 smlmv.
En el marco de ejecución del programa “Podemos Casa” se entregaron 32 viviendas del proyecto Villa Daniela del municipio de Mosquera y 21 viviendas el proyecto Villa Catalina del municipio de Guasca. Los proyectos de La Mesa, Villeta, Villapinzón y Guasca tienen un avance promedio del 80% y se tiene previsto entrega de las viviendas a 1.047 familias en el primer semestre de la vigencia 2021.
Se destinaron recursos departamentales por la suma de $1.473.542.705 para cofinanciar la ejecución de proyectos de construcción de vivienda rural en 12 municipios para beneficiar a 48 hogares del sector rural en condición de vulnerabilidad y pobreza.</v>
      </c>
      <c r="T65" s="11">
        <v>900</v>
      </c>
      <c r="U65" s="11">
        <v>0</v>
      </c>
      <c r="V65" s="11">
        <v>900</v>
      </c>
      <c r="W65" s="11">
        <v>0</v>
      </c>
      <c r="X65" s="11">
        <v>3123</v>
      </c>
      <c r="Y65" s="11">
        <v>0</v>
      </c>
      <c r="Z65" s="11">
        <v>3123</v>
      </c>
      <c r="AA65" s="11" t="s">
        <v>476</v>
      </c>
      <c r="AB65" s="11" t="s">
        <v>477</v>
      </c>
      <c r="AC65" s="11" t="s">
        <v>478</v>
      </c>
      <c r="AD65" s="11">
        <v>550</v>
      </c>
      <c r="AE65" s="11">
        <v>0</v>
      </c>
      <c r="AF65" s="11">
        <f>VLOOKUP(K65,'1131 Hábitat'!$K$13:$AK$24,22,0)</f>
        <v>4944</v>
      </c>
      <c r="AG65" s="11">
        <f>VLOOKUP(K65,'1131 Hábitat'!$K$13:$AK$24,23,0)</f>
        <v>0</v>
      </c>
      <c r="AH65" s="9">
        <f t="shared" si="88"/>
        <v>4944</v>
      </c>
      <c r="AI65" s="9">
        <f>VLOOKUP(K65,'1131 Hábitat'!$K$13:$AK$24,25,0)</f>
        <v>4889</v>
      </c>
      <c r="AJ65" s="9" t="str">
        <f>VLOOKUP(K65,'1131 Hábitat'!$K$13:$AK$24,26,0)</f>
        <v>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Se adelantan gestiones de acompañamiento social para el desarrollo de los proyectos de mejoramiento de vivienda urbana en el marco del programa "Podemos Casa".
Para el mes de mayo la meta presenta avance en su ejecución gracias a la estrategia implementada con la Exención del pago del impuesto de registro que a 31 de mayo es de 2.154 hogares que recibieron este beneficio.
JULIO
Con corte a 31 de julio la meta presenta avance en su ejecución gracias a la estrategia implementada con la Exención del pago del impuesto de registro de 3.911 hogares que recibieron este beneficio.
La Secretaría de Hábitat y Vivienda implementó la estrategia de unificar los recursos de la meta 052, 054, 055 y 057 para la modalidad de construcción de vivienda rural, para optimizar los recursos y obtener un mayor alcance de los mismos.
Con corte a 31 de agosto la meta presenta avance en su ejecución gracias a la estrategia implementada con la Exención del pago del impuesto de registro. Para el mes de agosto se realizaron 978 exenciones para un total en la vigencia de 4.889 hogares que recibieron este beneficio. La Secretaría de Hábitat y Vivienda implementó la estrategia de unificar los recursos de la meta 052, 054, 055 y 057 para la modalidad de construcción de vivienda rural, para optimizar los recursos y obtener un mayor alcance de los mismos. A corte 31 de agosto  se encuentran en proceso de formulación los proyectos de los municipios de Ubalá, Quetame, La Calera, La Vega, Guataquí, Fómeque, La Mesa y El Peñón, para su inscripción en el BDPP.
SEPTIEMBRE:
Con corte a 30 de septiembre la estrategia Exención del pago del impuesto de registro presenta un avance de exenciones para hogares que recibieron este beneficio. Se continúa con el proceso de  formulación los proyectos de los municipios de Ubalá, Quetame, La Calera, La Vega, Guataquí, Fómeque, La Mesa y El Peñón, para su inscripción en el BDPP.
OCTUBRE:
Durante el mes de octubre se celebró el Convenio Interadministrativo SHVS-CDCVI-075-2021 con el municipio de Quetame con el cual se construirán 38 viviendas de las cuales 31 viviendas se ejecutarán con recursos de la Meta 054 con un aporte del Dpto de $330 millones de pesos y del municipio de $1.382.173.791
Se celebró el convenio interadministrativo  SHVS-CDCVI-076-2021 con el municipio de La Calera para la construcción de 13 viviendas de las cuales 5 viviendas se ejecutarán con recursos de la Meta 054. El Dpto aporta $100.026.096 y el Municipio $171.896.163.
Para el mes de octubre se aplicaron 1.460 exenciones de impuesto de registro para un total a corte 31 de octubre de 6.349 en los municipios de Cajicá, Chía, Gachancipá, Girardot, Guasca. La Mesa, Madrid, Mosquera, Nemocón, Ricaurte, Sibaté, Soacha, Tabio, Tenjo, Tocancipá, Villapinzón, Villeta, Zipaquirá.
NOVIEMBRE
Durante este mes los convenios celebrados para el cumplimiento de la meta se encuentran en proceso precontractual para dar inicio a las obras.
Con la estrategia exención de pago de impuesto de registro en el mes de noviembre se avanzó con 856 hogares beneficiados para un total de 7.346 en la vigencia.
Se celebraron los convenios SHVS-CDCVI-089-2021 con el municipio de Ubalá para la construcción de 9 viviendas, y el convenio SHVS-CDCVI-081-2021 con el municipio de La Vega para la construcción de 10 viviendas</v>
      </c>
      <c r="AK65" s="9" t="str">
        <f>VLOOKUP(K65,'1131 Hábitat'!$K$13:$AK$24,27,0)</f>
        <v>Falta de recursos municipales para cofinanciar proyectos de vivienda nueva. Demora en el proceso de verificación y caracterización de los beneficiarios.
Demora de las administraciones municipales para la formulación de los proyectos, gestionar sus contrapartidas y verficar los potenciales beneficiarios.</v>
      </c>
      <c r="AL65" s="11">
        <v>527</v>
      </c>
      <c r="AM65" s="11">
        <v>0</v>
      </c>
      <c r="AN65" s="11">
        <v>500</v>
      </c>
      <c r="AO65" s="11">
        <v>0</v>
      </c>
      <c r="AP65" s="11">
        <v>0</v>
      </c>
      <c r="AQ65" s="11">
        <v>0</v>
      </c>
      <c r="AR65" s="51">
        <v>1500000000</v>
      </c>
      <c r="AS65" s="54">
        <v>20363226600</v>
      </c>
      <c r="AT65" s="54">
        <f t="shared" si="0"/>
        <v>21863226600</v>
      </c>
      <c r="AU65" s="51">
        <v>1473386651</v>
      </c>
      <c r="AV65" s="89">
        <v>1750000000</v>
      </c>
      <c r="AY65" s="89">
        <v>0</v>
      </c>
      <c r="AZ65" s="42">
        <f t="shared" si="89"/>
        <v>1.7163829787234042</v>
      </c>
      <c r="BA65" s="44">
        <v>0.1915</v>
      </c>
      <c r="BB65" s="44">
        <v>3.47</v>
      </c>
      <c r="BC65" s="42">
        <f t="shared" si="90"/>
        <v>0.11702127659574468</v>
      </c>
      <c r="BD65" s="42" cm="1">
        <f t="array" ref="BD65">_xlfn.IFS(AD65=0,"NA",AD65&gt;0,AH65/AD65)</f>
        <v>8.9890909090909084</v>
      </c>
      <c r="BE65" s="42">
        <f t="shared" si="91"/>
        <v>0.11212765957446809</v>
      </c>
      <c r="BF65" s="44">
        <v>0</v>
      </c>
      <c r="BG65" s="42">
        <f t="shared" si="92"/>
        <v>0.10638297872340426</v>
      </c>
      <c r="BH65" s="44">
        <v>0</v>
      </c>
      <c r="BI65" s="42">
        <f t="shared" si="93"/>
        <v>0</v>
      </c>
      <c r="BJ65" s="44" t="s">
        <v>115</v>
      </c>
      <c r="BK65" s="42" t="str">
        <f t="shared" si="1"/>
        <v>100%</v>
      </c>
      <c r="BL65" s="44">
        <v>1</v>
      </c>
      <c r="BM65" s="42" t="str" cm="1">
        <f t="array" ref="BM65">_xlfn.IFS(BD65="NA","NA",BD65&gt;100%,"100%",BD65&lt;100,BD65)</f>
        <v>100%</v>
      </c>
      <c r="BN65" s="42" cm="1">
        <f t="array" ref="BN65">_xlfn.IFS(BF65="NA","NA",BF65&gt;100%,"100%",BF65&lt;100,BF65)</f>
        <v>0</v>
      </c>
      <c r="BO65" s="42" cm="1">
        <f t="array" ref="BO65">_xlfn.IFS(BH65="NA","NA",BH65&gt;100%,"100%",BH65&lt;100,BH65)</f>
        <v>0</v>
      </c>
      <c r="BP65" s="42" t="str" cm="1">
        <f t="array" ref="BP65">_xlfn.IFS(BJ65="NA","NA",BJ65&gt;100%,"100%",BJ65&lt;100,BJ65)</f>
        <v>NA</v>
      </c>
      <c r="BQ65" s="45">
        <v>0.22500000000000001</v>
      </c>
      <c r="BR65" s="43">
        <f t="shared" si="2"/>
        <v>0.22500000000000001</v>
      </c>
      <c r="BS65" s="45">
        <v>4.3099999999999999E-2</v>
      </c>
      <c r="BT65" s="45">
        <v>4.3099999999999999E-2</v>
      </c>
      <c r="BU65" s="45">
        <v>0.14949999999999999</v>
      </c>
      <c r="BV65" s="43">
        <f t="shared" si="94"/>
        <v>2.6329787234042553E-2</v>
      </c>
      <c r="BW65" s="43">
        <f t="shared" si="3"/>
        <v>2.6329787234042553E-2</v>
      </c>
      <c r="BX65" s="43">
        <f t="shared" si="4"/>
        <v>7.5500000000000012E-2</v>
      </c>
      <c r="BY65" s="43">
        <f t="shared" si="95"/>
        <v>2.5228723404255318E-2</v>
      </c>
      <c r="BZ65" s="43">
        <f t="shared" si="96"/>
        <v>0</v>
      </c>
      <c r="CA65" s="43">
        <f t="shared" si="5"/>
        <v>0</v>
      </c>
      <c r="CB65" s="43">
        <f t="shared" si="97"/>
        <v>2.3936170212765957E-2</v>
      </c>
      <c r="CC65" s="43">
        <f t="shared" si="98"/>
        <v>0</v>
      </c>
      <c r="CD65" s="45">
        <v>0</v>
      </c>
      <c r="CE65" s="43">
        <f t="shared" si="99"/>
        <v>0</v>
      </c>
      <c r="CF65" s="43" t="str">
        <f t="shared" si="100"/>
        <v>NA</v>
      </c>
      <c r="CG65" s="45">
        <v>0</v>
      </c>
    </row>
    <row r="66" spans="1:90" ht="18" customHeight="1">
      <c r="A66" s="260" t="s">
        <v>442</v>
      </c>
      <c r="B66" s="260" t="s">
        <v>443</v>
      </c>
      <c r="C66" s="260" t="s">
        <v>100</v>
      </c>
      <c r="D66" s="260" t="s">
        <v>101</v>
      </c>
      <c r="E66" s="260" t="s">
        <v>294</v>
      </c>
      <c r="F66" s="260" t="s">
        <v>463</v>
      </c>
      <c r="G66" s="260" t="s">
        <v>464</v>
      </c>
      <c r="H66" s="260" t="s">
        <v>479</v>
      </c>
      <c r="I66" s="260" t="s">
        <v>200</v>
      </c>
      <c r="J66" s="260"/>
      <c r="K66" s="260" t="s">
        <v>480</v>
      </c>
      <c r="L66" s="260" t="s">
        <v>2866</v>
      </c>
      <c r="M66" s="260" t="s">
        <v>2867</v>
      </c>
      <c r="N66" s="260" t="s">
        <v>111</v>
      </c>
      <c r="O66" s="260" t="s">
        <v>112</v>
      </c>
      <c r="P66" s="10">
        <v>1090</v>
      </c>
      <c r="Q66" s="11">
        <v>300</v>
      </c>
      <c r="R66" s="9">
        <f t="shared" si="87"/>
        <v>81</v>
      </c>
      <c r="S66" s="11" t="str">
        <f>VLOOKUP(K66,'1131 Hábitat'!$K$13:$AK$24,9,0)</f>
        <v xml:space="preserve">Vigencia 2020: Se destinaron recursos departamentales por la suma de $1.533.287.073 para cofinanciar proyectos de construcción de vivienda rural en sitio propio en 8 municipios, los cuales beneficiarán a 64 hogares en situación de pobreza y condiciones de vulnerabilidad del sector rural. </v>
      </c>
      <c r="T66" s="11">
        <v>50</v>
      </c>
      <c r="U66" s="11">
        <v>0</v>
      </c>
      <c r="V66" s="11">
        <v>50</v>
      </c>
      <c r="W66" s="11">
        <v>0</v>
      </c>
      <c r="X66" s="11">
        <v>64</v>
      </c>
      <c r="Y66" s="11">
        <v>0</v>
      </c>
      <c r="Z66" s="11">
        <v>64</v>
      </c>
      <c r="AA66" s="11" t="s">
        <v>483</v>
      </c>
      <c r="AB66" s="11" t="s">
        <v>484</v>
      </c>
      <c r="AC66" s="11" t="s">
        <v>485</v>
      </c>
      <c r="AD66" s="11">
        <v>86</v>
      </c>
      <c r="AE66" s="11">
        <v>0</v>
      </c>
      <c r="AF66" s="11">
        <f>VLOOKUP(K66,'1131 Hábitat'!$K$13:$AK$24,22,0)</f>
        <v>17</v>
      </c>
      <c r="AG66" s="11">
        <f>VLOOKUP(K66,'1131 Hábitat'!$K$13:$AK$24,23,0)</f>
        <v>0</v>
      </c>
      <c r="AH66" s="9">
        <f t="shared" si="88"/>
        <v>17</v>
      </c>
      <c r="AI66" s="9">
        <f>VLOOKUP(K66,'1131 Hábitat'!$K$13:$AK$24,25,0)</f>
        <v>0</v>
      </c>
      <c r="AJ66" s="9" t="str">
        <f>VLOOKUP(K66,'1131 Hábitat'!$K$13:$AK$24,26,0)</f>
        <v>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Desde la Secretaría de Hábitat y Vivienda se apoya técnicamente a los municipios de San Juan de Rioseco, Beltrán, Chaguaní y Pulí, aprobados por el MVCT para ser beneficiados con 200 soluciones de vivienda del programa "Vivienda Social para el Campo". A la fecha el proceso se encuentra en definición de tipología de vivienda, procesos de acompañamiento social para selección de beneficiarios y estructuración técnica de los proyectos a financiarse con recursos del SGR.
Durante el mes de junio se inició el proceso precontractual para la ejecución del convenio de construcción de vivienda rural con el municipio de Jerusalén. Cuenta con CDP y se encuentra en Sec. Jurídica en revisión.
JULIO: La Secretaría de Hábitat y Vivienda implementó la estrategia de unificar los recursos de la meta 052, 054, 055 y 057 para la modalidad de construcción de vivienda rural, para optimizar los recursos y obtener un mayor alcance de los mismos.
Se celebró convenio interadministrativo con el Municipio de Jerusalén para la construcción de 7 viviendas rurales para beneficiar a igual número de hogares.
Se encuentran en proceso de formulación proyectos de construcción de vivienda rural para los municipios de Ubalá, Quetame, La Calera, Guataquí, La Vega y San Antonio del Tequendama.
En el mes de agosto se celebró convenio SHVS-CDCVI-043-2021 con el municipio de Jerusalén para la construcción de 7 viviendas rurales. Se adelanta el proceso de inscripción de proyectos con los municipios de Guataquí, El Peñón, La Vega.
SEPTIEMBRE
Continúa el proceso de estructuración y de inscripción de proyectos con los municipios de Guataquí, El Peñón, La Vega, Quetame, La Calera, Ubalá, La Mesa y Fómeque para la celebración de los convenios para construcción de vivienda en sitio propio.
OCTUBRE:
Se celebró el Convenio interadministrativo No. SHVS-CDCVI-077-2021 con el municipio de Guataquí para la construcción de 3 viviendas que corresponden a la Meta 055. El Dpto aporta la suma de $120 millones de pesos y el municipio aporta la suma de $82.827.822
Se celebró el convenio interadministrativo  SHVS-CDCVI-076-2021 con el municipio de La Calera para la construcción de 13 viviendas de las cuales 6 viviendas se ejecutarán con recursos de la Meta 055. El Dpto aporta $211.205.000 y el Municipio $115.101.711
Se celebró el convenio interadministrativo SHVS-CDCVI-078-2021 con el Municipio de El Peñón con el cual se construirán 6 viviendas de los cuales 1 se ejecutará con recursos de la Meta 055. El Dpto no aporta recursos para la construcción de esa vivienda y el Mpio aporta $73.399.494
NOVIEMBRE
Durante este mes los convenios celebrados para el cumplimiento de la meta se encuentran en proceso precontractual para dar inicio a las obras.</v>
      </c>
      <c r="AK66" s="9" t="str">
        <f>VLOOKUP(K66,'1131 Hábitat'!$K$13:$AK$24,27,0)</f>
        <v>Falta de recursos municipales para cofinanciar proyectos de vivienda nueva.
Demora de las administraciones municipales para la formulación de los proyectos, gestionar sus contrapartidas y verficar los potenciales beneficiarios.</v>
      </c>
      <c r="AL66" s="11">
        <v>100</v>
      </c>
      <c r="AM66" s="11">
        <v>0</v>
      </c>
      <c r="AN66" s="11">
        <v>50</v>
      </c>
      <c r="AO66" s="11">
        <v>0</v>
      </c>
      <c r="AP66" s="11">
        <v>0</v>
      </c>
      <c r="AQ66" s="11">
        <v>0</v>
      </c>
      <c r="AR66" s="51">
        <v>1608656350</v>
      </c>
      <c r="AS66" s="54">
        <v>900000000</v>
      </c>
      <c r="AT66" s="54">
        <f t="shared" si="0"/>
        <v>2508656350</v>
      </c>
      <c r="AU66" s="51">
        <v>1533287073</v>
      </c>
      <c r="AV66" s="89">
        <v>726205000</v>
      </c>
      <c r="AY66" s="89">
        <v>0</v>
      </c>
      <c r="AZ66" s="42">
        <f t="shared" si="89"/>
        <v>0.27</v>
      </c>
      <c r="BA66" s="44">
        <v>0.16669999999999999</v>
      </c>
      <c r="BB66" s="44">
        <v>1.28</v>
      </c>
      <c r="BC66" s="42">
        <f t="shared" si="90"/>
        <v>0.28666666666666668</v>
      </c>
      <c r="BD66" s="42" cm="1">
        <f t="array" ref="BD66">_xlfn.IFS(AD66=0,"NA",AD66&gt;0,AH66/AD66)</f>
        <v>0.19767441860465115</v>
      </c>
      <c r="BE66" s="42">
        <f t="shared" si="91"/>
        <v>0.33333333333333331</v>
      </c>
      <c r="BF66" s="44">
        <v>0</v>
      </c>
      <c r="BG66" s="42">
        <f t="shared" si="92"/>
        <v>0.16666666666666666</v>
      </c>
      <c r="BH66" s="44">
        <v>0</v>
      </c>
      <c r="BI66" s="42">
        <f t="shared" si="93"/>
        <v>0</v>
      </c>
      <c r="BJ66" s="44" t="s">
        <v>115</v>
      </c>
      <c r="BK66" s="42">
        <f t="shared" si="1"/>
        <v>0.27</v>
      </c>
      <c r="BL66" s="44">
        <v>1</v>
      </c>
      <c r="BM66" s="42" cm="1">
        <f t="array" ref="BM66">_xlfn.IFS(BD66="NA","NA",BD66&gt;100%,"100%",BD66&lt;100,BD66)</f>
        <v>0.19767441860465115</v>
      </c>
      <c r="BN66" s="42" cm="1">
        <f t="array" ref="BN66">_xlfn.IFS(BF66="NA","NA",BF66&gt;100%,"100%",BF66&lt;100,BF66)</f>
        <v>0</v>
      </c>
      <c r="BO66" s="42" cm="1">
        <f t="array" ref="BO66">_xlfn.IFS(BH66="NA","NA",BH66&gt;100%,"100%",BH66&lt;100,BH66)</f>
        <v>0</v>
      </c>
      <c r="BP66" s="42" t="str" cm="1">
        <f t="array" ref="BP66">_xlfn.IFS(BJ66="NA","NA",BJ66&gt;100%,"100%",BJ66&lt;100,BJ66)</f>
        <v>NA</v>
      </c>
      <c r="BQ66" s="45">
        <v>0.22500000000000001</v>
      </c>
      <c r="BR66" s="43">
        <f t="shared" si="2"/>
        <v>6.0750000000000005E-2</v>
      </c>
      <c r="BS66" s="45">
        <v>3.7499999999999999E-2</v>
      </c>
      <c r="BT66" s="45">
        <v>3.7499999999999999E-2</v>
      </c>
      <c r="BU66" s="45">
        <v>4.8000000000000001E-2</v>
      </c>
      <c r="BV66" s="43">
        <f t="shared" si="94"/>
        <v>6.4500000000000002E-2</v>
      </c>
      <c r="BW66" s="43">
        <f t="shared" si="3"/>
        <v>1.2749999999999999E-2</v>
      </c>
      <c r="BX66" s="43">
        <f t="shared" si="4"/>
        <v>1.2750000000000004E-2</v>
      </c>
      <c r="BY66" s="43">
        <f t="shared" si="95"/>
        <v>7.4999999999999997E-2</v>
      </c>
      <c r="BZ66" s="43">
        <f t="shared" si="96"/>
        <v>0</v>
      </c>
      <c r="CA66" s="43">
        <f t="shared" si="5"/>
        <v>0</v>
      </c>
      <c r="CB66" s="43">
        <f t="shared" si="97"/>
        <v>3.7499999999999999E-2</v>
      </c>
      <c r="CC66" s="43">
        <f t="shared" si="98"/>
        <v>0</v>
      </c>
      <c r="CD66" s="45">
        <v>0</v>
      </c>
      <c r="CE66" s="43">
        <f t="shared" si="99"/>
        <v>0</v>
      </c>
      <c r="CF66" s="43" t="str">
        <f t="shared" si="100"/>
        <v>NA</v>
      </c>
      <c r="CG66" s="45">
        <v>0</v>
      </c>
    </row>
    <row r="67" spans="1:90" ht="18" customHeight="1">
      <c r="A67" s="260" t="s">
        <v>442</v>
      </c>
      <c r="B67" s="260" t="s">
        <v>443</v>
      </c>
      <c r="C67" s="260" t="s">
        <v>100</v>
      </c>
      <c r="D67" s="260" t="s">
        <v>101</v>
      </c>
      <c r="E67" s="260" t="s">
        <v>294</v>
      </c>
      <c r="F67" s="260" t="s">
        <v>463</v>
      </c>
      <c r="G67" s="260" t="s">
        <v>464</v>
      </c>
      <c r="H67" s="260" t="s">
        <v>486</v>
      </c>
      <c r="I67" s="260" t="s">
        <v>200</v>
      </c>
      <c r="J67" s="260"/>
      <c r="K67" s="260" t="s">
        <v>487</v>
      </c>
      <c r="L67" s="260" t="s">
        <v>488</v>
      </c>
      <c r="M67" s="260" t="s">
        <v>489</v>
      </c>
      <c r="N67" s="260" t="s">
        <v>111</v>
      </c>
      <c r="O67" s="260" t="s">
        <v>112</v>
      </c>
      <c r="P67" s="10">
        <v>0</v>
      </c>
      <c r="Q67" s="11">
        <v>10</v>
      </c>
      <c r="R67" s="9">
        <f t="shared" si="87"/>
        <v>10</v>
      </c>
      <c r="S67" s="11" t="str">
        <f>VLOOKUP(K67,'1131 Hábitat'!$K$13:$AK$24,9,0)</f>
        <v>Vigencia 2020: Se gestionó con el Gobierno Nacional la suscripción de convenios tripartita con 15 municipios para procesos de saneamiento y cesión a título gratuito de predios fiscales ocupados con viviendas de interés social y prioritario. Los procesos contractuales cuentan con revisión de la Secretaría de Jurídica y del Ministerio de Vivienda, Ciudad y territorio para proceder a su celebración.</v>
      </c>
      <c r="T67" s="11">
        <v>1</v>
      </c>
      <c r="U67" s="11">
        <v>0</v>
      </c>
      <c r="V67" s="11">
        <v>1</v>
      </c>
      <c r="W67" s="11">
        <v>0</v>
      </c>
      <c r="X67" s="11">
        <v>1</v>
      </c>
      <c r="Y67" s="11">
        <v>0</v>
      </c>
      <c r="Z67" s="11">
        <v>1</v>
      </c>
      <c r="AA67" s="11" t="s">
        <v>490</v>
      </c>
      <c r="AB67" s="11" t="s">
        <v>491</v>
      </c>
      <c r="AC67" s="11">
        <v>0</v>
      </c>
      <c r="AD67" s="11">
        <v>3</v>
      </c>
      <c r="AE67" s="11">
        <v>0</v>
      </c>
      <c r="AF67" s="11">
        <f>VLOOKUP(K67,'1131 Hábitat'!$K$13:$AK$24,22,0)</f>
        <v>9</v>
      </c>
      <c r="AG67" s="11">
        <f>VLOOKUP(K67,'1131 Hábitat'!$K$13:$AK$24,23,0)</f>
        <v>0</v>
      </c>
      <c r="AH67" s="9">
        <f t="shared" si="88"/>
        <v>9</v>
      </c>
      <c r="AI67" s="9">
        <f>VLOOKUP(K67,'1131 Hábitat'!$K$13:$AK$24,25,0)</f>
        <v>0</v>
      </c>
      <c r="AJ67" s="9" t="str">
        <f>VLOOKUP(K67,'1131 Hábitat'!$K$13:$AK$24,26,0)</f>
        <v>Se suscribieron 2 contratos de prestación de servicios profesionales para la gestión de los procesos de titulación a cargo de la Secretaría de Hábitat y Vivienda. Del proceso adelantado en la Vigencia 2020, a corte 28 de febrero se encuentran en proceso precontractual 5 convenios para celebrarse con el MVCT, la SHV y los municipios de Bojacá, El Colegio, Cáqueza, Chipaque y Cabrera. 
A 30 de abril se han suscrito  los siguientes Convenios Tripartita (MVCT - Dpto - Mpio): Cáqueza (         712-2021)       Cabrera            713-2021
Chipaque          714-2021
Bojacá               715-2021
El Colegio       737-2021
Sasaima            738-2021
Ubaque             739-2021
 Gachancipá    740-2021
Gachalá           741-2021
El Ministerio junto con la Secretaria de Hábitat y Vivienda, han adelantado mesas de trabajo para organizar la socialización correspondiente al Programa Nacional de Titulación de los convenios tripartitas suscritos con los diferentes municipios del Departamento y conforme la reunión del 16 de abril del 2021 la distribución de fechas de convocatoria a los Municipios, se han socializado los siguientes:
Chipaque, El Peñón, Gachalá, Nemocón, Pulí, Quipile, Sasaima, Villagómez, Cáqueza, El Colegio y Villeta.
Se suscribió un contrato de prestación de servicios profesionales.
Para el mes de mayo se han venido realizando las socializaciones correspondientes al desarrollo de la primera etapa del convenio tripartita suscrito entre la Secretaría de Hábitat y Vivienda de la Gobernación de Cundinamarca y el Ministerio de Vivienda, Ciudad y Territorio y los siguientes municipios: Cáqueza, con No. de convenio 712; Chipaque  con No. Convenio 714; El Colegio, con No. de Convenio 737; Gachalá, con No. de Convenio 741; Sasaima, con No. de Convenio 738; Villeta, con No. de Convenio 825; El Peñón, con No. de Convenio 821; Nemocón, con No. de Convenio 822; Pulí, con No. de Convenio 823 y Villagomez, con No. de Convenio 824.
Esta etapa consiste en explicar detalladamente el proceso  que abarca el asesoramiento y acompañamiento al municipio por parte de la Secretaría y del Ministerio para los procesos de Saneaminto, Legalización y Titulación de Predios fiscales urbanos. Adicionalmente se han adelantado labores en cuanto al primer punto del proceso que tiene por objeto la identificación de predios que clasifican para el programa, por medio del cruce de información catastral.
En el mes de agosto se celebraron ocho (8) convenios tripartita entre el Ministerio de Vivienda, Ciudad y Territorio, la Secretaría de Hábitat y Vivienda y los Municipios de Villeta, Quipile, Guataquí, Gutiérrez, Une, Medina, Yacopí y Albán; y se encuentra en proceso precontractual el Convenio a celebrarse con San Juan de Rioseco.
De igual manera se adelantaron procesos de socialización del alcance de los convenios ya suscritos. De igual manera se brindó asistencia técnica a los municipios que ya tienen  convenios suscritos en el marco del proceso de titulación reportado en la vigencia 2020, en temas relacionados con tareas de topografía durante el proceso de cesión de predios fiscales urbanos, apoyo técnico a los municipios remitiendo Registros Catastrales para el cruce de información con la base catastral municipal, asistencia técnica y apoyo jurídico para la proyección de actos administrativos que permitan otorgar facultades a las administraciones municipales en la cesión a título gratuito, y revisión jurídica de expedientes de los predios a titular.
Se adelantó reunión con el Ministerio de Vivienda, Ciudad y Territorio, La Secretaría de Hábitat y Vivienda y la Agencia Catastral de Cundinamarca, para aunar esfuerzos y resolver dudas técnicas respecto al desenglobe de predios de mayor extensión. 
OCTUBRE:
En el mes de octubre y en el marco de la meta de titulación 056, conforme al procedimiento que tiene por objeto asesorar a los municipios en la titulación de bienes fiscales urbanos y según las etapas que deben ser agotadas para lograr titular los predios cuyas características cumplan con los requisitos que establece la normatividad vigente, se realizan las siguientes actividades contempladas en la ejecución de los convenios tripartitas suscritos para el cumplimiento de la meta:
Realización de cruce de información catastral de beneficiarios remitida por los municipios de Gutiérrez, Cáqueza, Gachalá, Pulí, Sasaima, San Juan de Rioseco y Chipaque.
Diagnóstico de información catastral de predios susceptibles de ser titulados en los municipios de Tena, Une, Medina y Yacopí.
Solicitudes a los municipios para la postulación de potenciales beneficiarios en los municipios de Albán, Guataquí
Revisión jurídica de resoluciones para titulación de predios en los municipios de Une y Cáqueza.
Informe definitivo de potenciales beneficiarios de titulación de predios en el marco de la ejecución de 23 convenios interadministrativos, con lo cual se titularían 1.407 predios.
NOVIEMBRE
Se continuó con actividades asistencia técnica y jurídica a los municipios,
Realización de cruce de información catastral de beneficiarios,
Diagnóstico de información catastral de predios susceptibles de ser titulados,
Solicitudes a los municipios para la postulación de potenciales beneficiarios,
Revisión jurídica de resoluciones para titulación de predios.
Informe de potenciales beneficiarios de titulación de predios en el marco de la ejecución de 23 convenios.</v>
      </c>
      <c r="AK67" s="9">
        <f>VLOOKUP(K67,'1131 Hábitat'!$K$13:$AK$24,27,0)</f>
        <v>0</v>
      </c>
      <c r="AL67" s="11">
        <v>3</v>
      </c>
      <c r="AM67" s="11">
        <v>0</v>
      </c>
      <c r="AN67" s="11">
        <v>3</v>
      </c>
      <c r="AO67" s="11">
        <v>0</v>
      </c>
      <c r="AP67" s="11">
        <v>0</v>
      </c>
      <c r="AQ67" s="11">
        <v>0</v>
      </c>
      <c r="AR67" s="51">
        <v>21987954</v>
      </c>
      <c r="AS67" s="54">
        <v>0</v>
      </c>
      <c r="AT67" s="54">
        <f t="shared" si="0"/>
        <v>21987954</v>
      </c>
      <c r="AU67" s="51">
        <v>21987954</v>
      </c>
      <c r="AV67" s="89">
        <v>140160000</v>
      </c>
      <c r="AY67" s="89">
        <v>84332752</v>
      </c>
      <c r="AZ67" s="42">
        <f t="shared" si="89"/>
        <v>1</v>
      </c>
      <c r="BA67" s="44">
        <v>0.1</v>
      </c>
      <c r="BB67" s="44">
        <v>1</v>
      </c>
      <c r="BC67" s="42">
        <f t="shared" si="90"/>
        <v>0.3</v>
      </c>
      <c r="BD67" s="42" cm="1">
        <f t="array" ref="BD67">_xlfn.IFS(AD67=0,"NA",AD67&gt;0,AH67/AD67)</f>
        <v>3</v>
      </c>
      <c r="BE67" s="42">
        <f t="shared" si="91"/>
        <v>0.3</v>
      </c>
      <c r="BF67" s="44">
        <v>0</v>
      </c>
      <c r="BG67" s="42">
        <f t="shared" si="92"/>
        <v>0.3</v>
      </c>
      <c r="BH67" s="44">
        <v>0</v>
      </c>
      <c r="BI67" s="42">
        <f t="shared" si="93"/>
        <v>0</v>
      </c>
      <c r="BJ67" s="44" t="s">
        <v>115</v>
      </c>
      <c r="BK67" s="42">
        <f t="shared" si="1"/>
        <v>1</v>
      </c>
      <c r="BL67" s="44">
        <v>1</v>
      </c>
      <c r="BM67" s="42" t="str" cm="1">
        <f t="array" ref="BM67">_xlfn.IFS(BD67="NA","NA",BD67&gt;100%,"100%",BD67&lt;100,BD67)</f>
        <v>100%</v>
      </c>
      <c r="BN67" s="42" cm="1">
        <f t="array" ref="BN67">_xlfn.IFS(BF67="NA","NA",BF67&gt;100%,"100%",BF67&lt;100,BF67)</f>
        <v>0</v>
      </c>
      <c r="BO67" s="42" cm="1">
        <f t="array" ref="BO67">_xlfn.IFS(BH67="NA","NA",BH67&gt;100%,"100%",BH67&lt;100,BH67)</f>
        <v>0</v>
      </c>
      <c r="BP67" s="42" t="str" cm="1">
        <f t="array" ref="BP67">_xlfn.IFS(BJ67="NA","NA",BJ67&gt;100%,"100%",BJ67&lt;100,BJ67)</f>
        <v>NA</v>
      </c>
      <c r="BQ67" s="45">
        <v>0.22500000000000001</v>
      </c>
      <c r="BR67" s="43">
        <f t="shared" si="2"/>
        <v>0.22500000000000001</v>
      </c>
      <c r="BS67" s="45">
        <v>2.2499999999999999E-2</v>
      </c>
      <c r="BT67" s="45">
        <v>2.2499999999999999E-2</v>
      </c>
      <c r="BU67" s="45">
        <v>2.2499999999999999E-2</v>
      </c>
      <c r="BV67" s="43">
        <f t="shared" si="94"/>
        <v>6.7500000000000004E-2</v>
      </c>
      <c r="BW67" s="43">
        <f t="shared" si="3"/>
        <v>6.7500000000000004E-2</v>
      </c>
      <c r="BX67" s="43">
        <f t="shared" si="4"/>
        <v>0.20250000000000001</v>
      </c>
      <c r="BY67" s="43">
        <f t="shared" si="95"/>
        <v>6.7500000000000004E-2</v>
      </c>
      <c r="BZ67" s="43">
        <f t="shared" si="96"/>
        <v>0</v>
      </c>
      <c r="CA67" s="43">
        <f t="shared" si="5"/>
        <v>0</v>
      </c>
      <c r="CB67" s="43">
        <f t="shared" si="97"/>
        <v>6.7500000000000004E-2</v>
      </c>
      <c r="CC67" s="43">
        <f t="shared" si="98"/>
        <v>0</v>
      </c>
      <c r="CD67" s="45">
        <v>0</v>
      </c>
      <c r="CE67" s="43">
        <f t="shared" si="99"/>
        <v>0</v>
      </c>
      <c r="CF67" s="43" t="str">
        <f t="shared" si="100"/>
        <v>NA</v>
      </c>
      <c r="CG67" s="45">
        <v>0</v>
      </c>
    </row>
    <row r="68" spans="1:90" ht="18" customHeight="1">
      <c r="A68" s="260" t="s">
        <v>442</v>
      </c>
      <c r="B68" s="260" t="s">
        <v>443</v>
      </c>
      <c r="C68" s="260" t="s">
        <v>100</v>
      </c>
      <c r="D68" s="260" t="s">
        <v>101</v>
      </c>
      <c r="E68" s="260" t="s">
        <v>294</v>
      </c>
      <c r="F68" s="260" t="s">
        <v>463</v>
      </c>
      <c r="G68" s="260" t="s">
        <v>464</v>
      </c>
      <c r="H68" s="260" t="s">
        <v>492</v>
      </c>
      <c r="I68" s="260" t="s">
        <v>200</v>
      </c>
      <c r="J68" s="260"/>
      <c r="K68" s="260" t="s">
        <v>493</v>
      </c>
      <c r="L68" s="260" t="s">
        <v>2868</v>
      </c>
      <c r="M68" s="260" t="s">
        <v>495</v>
      </c>
      <c r="N68" s="260" t="s">
        <v>111</v>
      </c>
      <c r="O68" s="260" t="s">
        <v>112</v>
      </c>
      <c r="P68" s="10">
        <v>736</v>
      </c>
      <c r="Q68" s="11">
        <v>300</v>
      </c>
      <c r="R68" s="9">
        <f t="shared" si="87"/>
        <v>34</v>
      </c>
      <c r="S68" s="11" t="str">
        <f>VLOOKUP(K68,'1131 Hábitat'!$K$13:$AK$24,9,0)</f>
        <v>Vigencia 2020: Se destinaron recursos departamentales por la suma de $497.309.346 para cofinanciar proyectos de construcción de vivienda rural en 4 municipios, los cuales beneficiarán a 16 hogares localizados en zonas de alto riesgo del sector rural y en condiciones de vulnerabilidad y pobreza.</v>
      </c>
      <c r="T68" s="11">
        <v>20</v>
      </c>
      <c r="U68" s="11">
        <v>0</v>
      </c>
      <c r="V68" s="11">
        <v>20</v>
      </c>
      <c r="W68" s="11">
        <v>0</v>
      </c>
      <c r="X68" s="11">
        <v>17</v>
      </c>
      <c r="Y68" s="11">
        <v>0</v>
      </c>
      <c r="Z68" s="11">
        <v>17</v>
      </c>
      <c r="AA68" s="11" t="s">
        <v>496</v>
      </c>
      <c r="AB68" s="11" t="s">
        <v>497</v>
      </c>
      <c r="AC68" s="11" t="s">
        <v>478</v>
      </c>
      <c r="AD68" s="11">
        <v>83</v>
      </c>
      <c r="AE68" s="11">
        <v>0</v>
      </c>
      <c r="AF68" s="11">
        <f>VLOOKUP(K68,'1131 Hábitat'!$K$13:$AK$24,22,0)</f>
        <v>17</v>
      </c>
      <c r="AG68" s="11">
        <f>VLOOKUP(K68,'1131 Hábitat'!$K$13:$AK$24,23,0)</f>
        <v>0</v>
      </c>
      <c r="AH68" s="9">
        <f t="shared" si="88"/>
        <v>17</v>
      </c>
      <c r="AI68" s="9">
        <f>VLOOKUP(K68,'1131 Hábitat'!$K$13:$AK$24,25,0)</f>
        <v>0</v>
      </c>
      <c r="AJ68" s="9" t="str">
        <f>VLOOKUP(K68,'1131 Hábitat'!$K$13:$AK$24,26,0)</f>
        <v>La meta no presenta avance a la fecha del presente reporte. La Secretaría de Hábitat y Vivienda se encontraba a la espera del Decreto de Adición de recursos para la implementación de la estrategia de inversión y definir la modalidad de proyectos a ser financiados para optimizar el alcance de los mismos.
Durante el mes de junio la meta no presenta avance.
JULIO
La Secretaría de Hábitat y Vivienda implementó la estrategia de unificar los recursos de la meta 052, 054, 055 y 057 para la modalidad de construcción de vivienda rural, para optimizar los recursos y obtener un mayor alcance de los mismos.
Se encuentran en proceso de formulación proyectos de construcción de vivienda rural para los municipios de Ubalá, Quetame, La Calera, Guataquí, La Vega y San Antonio del Tequendama.
En el mes de agosto se celebró convenio SHVS-CDCVI-043-2021 con el municipio de Jerusalén para la construcción de 7 viviendas rurales. Se adelanta el proceso de inscripción de proyectos con los municipios de Guataquí, El Peñón, La Vega, Quetame, La Calera, Ubalá, La Mesa y Fómeque para la celebración de los convenios para construcción de vivienda en sitio propio.
En el mes de agosto se inscribieron los proyectos de construcción de viviendas urbanas para la reubicación de 8 hogares en el municipio de Pacho y construcción de vivienda rural para reubicación de 2 hogares en el municipio de San Antonio del T/dama, en situación de riesgo no mitigable. Se adelantan procesos precontractuales para la celebración de los convenios.
De igual manera se inscribió el proyecto para la construcción de Vivienda rural para  hogares con viviendas en alto riesgo en los municipios de Guataquí, El Peñón, La Vega, Quetame, La Calera y Ubalá. Se adelantan procesos precontractuales para la celebración de los convenios.
SEPTIEMBRE:
Se celebró el convenio:
SHVS-CDCVI—065-2021 Aunar esfuerzos técnicos administrativos y financieros para la construcción de Vivienda urbana en el Municipio de Pacho, Departamento de Cundinamarca” Valor: $681.600.579 Aporte Dpto: $400.000.000. Aporte Mpio: $281.600.579. Beneficiarios: Reubicación de 8 hogares.
En proceso precontractual para celebración del convenio interadministrativo el proyecto de reubicación de 2 viviendas en el municipio de San Antonio del T/dama, en situación de riesgo no mitigable. 
OCTUBRE:
En el mes de octubre se celebró el convenio interadministrativo SHVS-CDCVI-075-2021 con el Municipio de Quetame para la construcción de 38 viviendas de las cuales 5 son de reubicación. El Dpto aporta $220 millones y el municipio aporta $56.157.063
Se celebró el convenio interadministrativo  SHVS-CDCVI-066-2021 con el municipio de San Antonio del Tequendama para la construcción de 2 viviendas para reubicar a 2 hogares. El Dpto aporta $105 millones y el Municipio $39.425.082
Se celebró el convenio interadministrativo  SHVS-CDCVI-076-2021 con el municipio de La Calera para la construcción de 13 viviendas de las cuales 2 hogares se benefician con la reubicación de sus viviendas. El Dpto aporta $108.768.904 y el Municipio no aporta recursos.
NOVIEMBRE
Durante este mes los convenios celebrados para el cumplimiento de la meta se encuentran en proceso precontractual para dar inicio a las obras.</v>
      </c>
      <c r="AK68" s="9" t="str">
        <f>VLOOKUP(K68,'1131 Hábitat'!$K$13:$AK$24,27,0)</f>
        <v>Falta de recursos municipales para cofinanciar proyectos de vivienda nueva.
Demora de las administraciones municipales para la formulación de los proyectos, gestionar sus contrapartidas y verficar los potenciales beneficiarios.</v>
      </c>
      <c r="AL68" s="11">
        <v>100</v>
      </c>
      <c r="AM68" s="11">
        <v>0</v>
      </c>
      <c r="AN68" s="11">
        <v>100</v>
      </c>
      <c r="AO68" s="11">
        <v>0</v>
      </c>
      <c r="AP68" s="11">
        <v>0</v>
      </c>
      <c r="AQ68" s="11">
        <v>0</v>
      </c>
      <c r="AR68" s="51">
        <v>500000000</v>
      </c>
      <c r="AS68" s="54">
        <v>782122473</v>
      </c>
      <c r="AT68" s="54">
        <f t="shared" si="0"/>
        <v>1282122473</v>
      </c>
      <c r="AU68" s="51">
        <v>497309346</v>
      </c>
      <c r="AV68" s="89">
        <v>1000000000</v>
      </c>
      <c r="AY68" s="89">
        <v>0</v>
      </c>
      <c r="AZ68" s="42">
        <f t="shared" si="89"/>
        <v>0.11333333333333333</v>
      </c>
      <c r="BA68" s="44">
        <v>6.6699999999999995E-2</v>
      </c>
      <c r="BB68" s="44">
        <v>0.85</v>
      </c>
      <c r="BC68" s="42">
        <f t="shared" si="90"/>
        <v>0.27666666666666667</v>
      </c>
      <c r="BD68" s="42" cm="1">
        <f t="array" ref="BD68">_xlfn.IFS(AD68=0,"NA",AD68&gt;0,AH68/AD68)</f>
        <v>0.20481927710843373</v>
      </c>
      <c r="BE68" s="42">
        <f t="shared" si="91"/>
        <v>0.33333333333333331</v>
      </c>
      <c r="BF68" s="44">
        <v>0</v>
      </c>
      <c r="BG68" s="42">
        <f t="shared" si="92"/>
        <v>0.33333333333333331</v>
      </c>
      <c r="BH68" s="44">
        <v>0</v>
      </c>
      <c r="BI68" s="42">
        <f t="shared" si="93"/>
        <v>0</v>
      </c>
      <c r="BJ68" s="44" t="s">
        <v>115</v>
      </c>
      <c r="BK68" s="42">
        <f t="shared" si="1"/>
        <v>0.11333333333333333</v>
      </c>
      <c r="BL68" s="44">
        <v>0.85</v>
      </c>
      <c r="BM68" s="42" cm="1">
        <f t="array" ref="BM68">_xlfn.IFS(BD68="NA","NA",BD68&gt;100%,"100%",BD68&lt;100,BD68)</f>
        <v>0.20481927710843373</v>
      </c>
      <c r="BN68" s="42" cm="1">
        <f t="array" ref="BN68">_xlfn.IFS(BF68="NA","NA",BF68&gt;100%,"100%",BF68&lt;100,BF68)</f>
        <v>0</v>
      </c>
      <c r="BO68" s="42" cm="1">
        <f t="array" ref="BO68">_xlfn.IFS(BH68="NA","NA",BH68&gt;100%,"100%",BH68&lt;100,BH68)</f>
        <v>0</v>
      </c>
      <c r="BP68" s="42" t="str" cm="1">
        <f t="array" ref="BP68">_xlfn.IFS(BJ68="NA","NA",BJ68&gt;100%,"100%",BJ68&lt;100,BJ68)</f>
        <v>NA</v>
      </c>
      <c r="BQ68" s="45">
        <v>0.22500000000000001</v>
      </c>
      <c r="BR68" s="43">
        <f t="shared" si="2"/>
        <v>2.5499999999999998E-2</v>
      </c>
      <c r="BS68" s="45">
        <v>1.4999999999999999E-2</v>
      </c>
      <c r="BT68" s="45">
        <v>1.2800000000000001E-2</v>
      </c>
      <c r="BU68" s="45">
        <v>1.2800000000000001E-2</v>
      </c>
      <c r="BV68" s="43">
        <f t="shared" si="94"/>
        <v>6.225E-2</v>
      </c>
      <c r="BW68" s="43">
        <f t="shared" si="3"/>
        <v>1.2749999999999999E-2</v>
      </c>
      <c r="BX68" s="9">
        <f>BR68-BU68</f>
        <v>1.2699999999999998E-2</v>
      </c>
      <c r="BY68" s="43">
        <f t="shared" si="95"/>
        <v>7.4999999999999997E-2</v>
      </c>
      <c r="BZ68" s="43">
        <f t="shared" si="96"/>
        <v>0</v>
      </c>
      <c r="CA68" s="43">
        <f t="shared" si="5"/>
        <v>0</v>
      </c>
      <c r="CB68" s="43">
        <f t="shared" si="97"/>
        <v>7.4999999999999997E-2</v>
      </c>
      <c r="CC68" s="43">
        <f t="shared" si="98"/>
        <v>0</v>
      </c>
      <c r="CD68" s="45">
        <v>0</v>
      </c>
      <c r="CE68" s="43">
        <f t="shared" si="99"/>
        <v>0</v>
      </c>
      <c r="CF68" s="43" t="str">
        <f t="shared" si="100"/>
        <v>NA</v>
      </c>
      <c r="CG68" s="45">
        <v>0</v>
      </c>
    </row>
    <row r="69" spans="1:90" ht="18" customHeight="1">
      <c r="A69" s="260" t="s">
        <v>442</v>
      </c>
      <c r="B69" s="260" t="s">
        <v>443</v>
      </c>
      <c r="C69" s="260" t="s">
        <v>100</v>
      </c>
      <c r="D69" s="260" t="s">
        <v>101</v>
      </c>
      <c r="E69" s="260" t="s">
        <v>294</v>
      </c>
      <c r="F69" s="260" t="s">
        <v>463</v>
      </c>
      <c r="G69" s="260" t="s">
        <v>464</v>
      </c>
      <c r="H69" s="260" t="s">
        <v>498</v>
      </c>
      <c r="I69" s="260" t="s">
        <v>200</v>
      </c>
      <c r="J69" s="260"/>
      <c r="K69" s="260" t="s">
        <v>499</v>
      </c>
      <c r="L69" s="260" t="s">
        <v>500</v>
      </c>
      <c r="M69" s="260" t="s">
        <v>501</v>
      </c>
      <c r="N69" s="260" t="s">
        <v>111</v>
      </c>
      <c r="O69" s="260" t="s">
        <v>112</v>
      </c>
      <c r="P69" s="10">
        <v>5</v>
      </c>
      <c r="Q69" s="11">
        <v>5</v>
      </c>
      <c r="R69" s="9">
        <f t="shared" si="87"/>
        <v>1</v>
      </c>
      <c r="S69" s="11" t="str">
        <f>VLOOKUP(K69,'1131 Hábitat'!$K$13:$AK$24,9,0)</f>
        <v>Vigencia 2020: No hubo asignación de recursos</v>
      </c>
      <c r="T69" s="11">
        <v>0</v>
      </c>
      <c r="U69" s="11">
        <v>0</v>
      </c>
      <c r="V69" s="11">
        <v>0</v>
      </c>
      <c r="W69" s="11">
        <v>0</v>
      </c>
      <c r="X69" s="11">
        <v>0</v>
      </c>
      <c r="Y69" s="11">
        <v>0</v>
      </c>
      <c r="Z69" s="11">
        <v>0</v>
      </c>
      <c r="AA69" s="11"/>
      <c r="AB69" s="11"/>
      <c r="AC69" s="11"/>
      <c r="AD69" s="11">
        <v>2</v>
      </c>
      <c r="AE69" s="11">
        <v>0</v>
      </c>
      <c r="AF69" s="11">
        <f>VLOOKUP(K69,'1131 Hábitat'!$K$13:$AK$24,22,0)</f>
        <v>1</v>
      </c>
      <c r="AG69" s="11">
        <f>VLOOKUP(K69,'1131 Hábitat'!$K$13:$AK$24,23,0)</f>
        <v>0</v>
      </c>
      <c r="AH69" s="9">
        <f t="shared" si="88"/>
        <v>1</v>
      </c>
      <c r="AI69" s="9">
        <f>VLOOKUP(K69,'1131 Hábitat'!$K$13:$AK$24,25,0)</f>
        <v>0</v>
      </c>
      <c r="AJ69" s="9" t="str">
        <f>VLOOKUP(K69,'1131 Hábitat'!$K$13:$AK$24,26,0)</f>
        <v>Para el presente reporte de Plan Indicativo, la meta no presenta avance.
Durante el mes de junio la meta no presenta avance, sin embargo se adelantan gestiones con el municipio de Supatá para apoyar la continuidad del proyecto Urbanización San Antonio que se encuentra estancada por revisión de obras estructurales.
Durante el mes de agosto se encuentra en proceso de formulación del proyecto Terminación de muros colindantes, pisos y fachadas de viviendas en la urbanización Aposentos en el Municipio de Venecia. Está pendiente CDP de contrapartida municipal para iniciar proceso precontractual.
SEPTIEMBRE:
Durante el mes de septiembre se continúa con el proceso de estructuración y formulación del proyecto Terminación de muros colindantes, pisos y fachadas de viviendas en la urbanización Aposentos en el Municipio de Venecia. Está pendiente CDP de contrapartida municipal para iniciar proceso precontractual.
OCTUBRE
En proceso precontractual para la celebración del Convenio Interadministrativo con el municipio de Venecia para la ejecución del proyecto Terminación de muros colindantes, pisos y fachadas de viviendas en la urbanización Aposentos en el Municipio de Venecia. 
NOVIEMBRE
Se celebró el convenio SHVS-CDCVI-092-2021 con el municipio de Venecia para apoyar la terminación del proyecto Urbanización Porvenir, el cual beneficiará a 49 hogares.</v>
      </c>
      <c r="AK69" s="9">
        <f>VLOOKUP(K69,'1131 Hábitat'!$K$13:$AK$24,27,0)</f>
        <v>0</v>
      </c>
      <c r="AL69" s="11">
        <v>2</v>
      </c>
      <c r="AM69" s="11">
        <v>0</v>
      </c>
      <c r="AN69" s="11">
        <v>1</v>
      </c>
      <c r="AO69" s="11">
        <v>0</v>
      </c>
      <c r="AP69" s="11">
        <v>0</v>
      </c>
      <c r="AQ69" s="11">
        <v>0</v>
      </c>
      <c r="AR69" s="52"/>
      <c r="AS69" s="54">
        <v>0</v>
      </c>
      <c r="AT69" s="54">
        <f t="shared" si="0"/>
        <v>0</v>
      </c>
      <c r="AU69" s="52"/>
      <c r="AV69" s="89">
        <v>200000000</v>
      </c>
      <c r="AY69" s="89">
        <v>0</v>
      </c>
      <c r="AZ69" s="42">
        <f t="shared" si="89"/>
        <v>0.2</v>
      </c>
      <c r="BA69" s="44">
        <v>0</v>
      </c>
      <c r="BB69" s="44" t="s">
        <v>115</v>
      </c>
      <c r="BC69" s="42">
        <f t="shared" si="90"/>
        <v>0.4</v>
      </c>
      <c r="BD69" s="42" cm="1">
        <f t="array" ref="BD69">_xlfn.IFS(AD69=0,"NA",AD69&gt;0,AH69/AD69)</f>
        <v>0.5</v>
      </c>
      <c r="BE69" s="42">
        <f t="shared" si="91"/>
        <v>0.4</v>
      </c>
      <c r="BF69" s="44">
        <v>0</v>
      </c>
      <c r="BG69" s="42">
        <f t="shared" si="92"/>
        <v>0.2</v>
      </c>
      <c r="BH69" s="44">
        <v>0</v>
      </c>
      <c r="BI69" s="42">
        <f t="shared" si="93"/>
        <v>0</v>
      </c>
      <c r="BJ69" s="44" t="s">
        <v>115</v>
      </c>
      <c r="BK69" s="42">
        <f t="shared" si="1"/>
        <v>0.2</v>
      </c>
      <c r="BL69" s="44" t="s">
        <v>115</v>
      </c>
      <c r="BM69" s="42" cm="1">
        <f t="array" ref="BM69">_xlfn.IFS(BD69="NA","NA",BD69&gt;100%,"100%",BD69&lt;100,BD69)</f>
        <v>0.5</v>
      </c>
      <c r="BN69" s="42" cm="1">
        <f t="array" ref="BN69">_xlfn.IFS(BF69="NA","NA",BF69&gt;100%,"100%",BF69&lt;100,BF69)</f>
        <v>0</v>
      </c>
      <c r="BO69" s="42" cm="1">
        <f t="array" ref="BO69">_xlfn.IFS(BH69="NA","NA",BH69&gt;100%,"100%",BH69&lt;100,BH69)</f>
        <v>0</v>
      </c>
      <c r="BP69" s="42" t="str" cm="1">
        <f t="array" ref="BP69">_xlfn.IFS(BJ69="NA","NA",BJ69&gt;100%,"100%",BJ69&lt;100,BJ69)</f>
        <v>NA</v>
      </c>
      <c r="BQ69" s="45">
        <v>0.22500000000000001</v>
      </c>
      <c r="BR69" s="43">
        <f t="shared" si="2"/>
        <v>4.5000000000000005E-2</v>
      </c>
      <c r="BS69" s="45">
        <v>0</v>
      </c>
      <c r="BT69" s="45" t="s">
        <v>115</v>
      </c>
      <c r="BU69" s="45">
        <v>0</v>
      </c>
      <c r="BV69" s="43">
        <f t="shared" si="94"/>
        <v>0.09</v>
      </c>
      <c r="BW69" s="43">
        <f t="shared" si="3"/>
        <v>4.4999999999999998E-2</v>
      </c>
      <c r="BX69" s="43">
        <f t="shared" si="4"/>
        <v>4.5000000000000005E-2</v>
      </c>
      <c r="BY69" s="43">
        <f t="shared" si="95"/>
        <v>0.09</v>
      </c>
      <c r="BZ69" s="43">
        <f t="shared" si="96"/>
        <v>0</v>
      </c>
      <c r="CA69" s="43">
        <f t="shared" si="5"/>
        <v>0</v>
      </c>
      <c r="CB69" s="43">
        <f t="shared" si="97"/>
        <v>4.4999999999999998E-2</v>
      </c>
      <c r="CC69" s="43">
        <f t="shared" si="98"/>
        <v>0</v>
      </c>
      <c r="CD69" s="45">
        <v>0</v>
      </c>
      <c r="CE69" s="43">
        <f t="shared" si="99"/>
        <v>0</v>
      </c>
      <c r="CF69" s="43" t="str">
        <f t="shared" si="100"/>
        <v>NA</v>
      </c>
      <c r="CG69" s="45">
        <v>0</v>
      </c>
    </row>
    <row r="70" spans="1:90" ht="18" customHeight="1">
      <c r="A70" s="260" t="s">
        <v>442</v>
      </c>
      <c r="B70" s="260" t="s">
        <v>443</v>
      </c>
      <c r="C70" s="260" t="s">
        <v>100</v>
      </c>
      <c r="D70" s="260" t="s">
        <v>101</v>
      </c>
      <c r="E70" s="260" t="s">
        <v>294</v>
      </c>
      <c r="F70" s="260" t="s">
        <v>463</v>
      </c>
      <c r="G70" s="260" t="s">
        <v>464</v>
      </c>
      <c r="H70" s="260" t="s">
        <v>502</v>
      </c>
      <c r="I70" s="260" t="s">
        <v>200</v>
      </c>
      <c r="J70" s="260"/>
      <c r="K70" s="260" t="s">
        <v>503</v>
      </c>
      <c r="L70" s="260" t="s">
        <v>2869</v>
      </c>
      <c r="M70" s="260" t="s">
        <v>2870</v>
      </c>
      <c r="N70" s="260" t="s">
        <v>123</v>
      </c>
      <c r="O70" s="260" t="s">
        <v>112</v>
      </c>
      <c r="P70" s="10">
        <v>0</v>
      </c>
      <c r="Q70" s="11">
        <v>50</v>
      </c>
      <c r="R70" s="9">
        <f t="shared" si="87"/>
        <v>35</v>
      </c>
      <c r="S70" s="11" t="str">
        <f>VLOOKUP(K70,'1131 Hábitat'!$K$13:$AK$24,9,0)</f>
        <v>Vigencia 2020: Se llevó a cabo la justificación de la Política Pública de Hábitat y Vivienda, la cual fue aprobada ante el CODEPS, se suscribió el Decreto de creación de la Mesa Departamental de Hábitat y Vivienda, Socialización de la Política Pública de Hábitat y Vivienda a las Administraciones Municipales, se definió el cronograma de aplicación de los instrumentos de recolección de información en el territorio, Planeación y coordinación logística para recolección de información, se identificaron los Ejes y Líneas de Acción, y se diseñaron los Indicadores para el cierre de brechas.</v>
      </c>
      <c r="T70" s="11">
        <v>10</v>
      </c>
      <c r="U70" s="11">
        <v>0</v>
      </c>
      <c r="V70" s="11">
        <v>10</v>
      </c>
      <c r="W70" s="11">
        <v>0</v>
      </c>
      <c r="X70" s="11">
        <v>10</v>
      </c>
      <c r="Y70" s="11">
        <v>0</v>
      </c>
      <c r="Z70" s="11">
        <v>10</v>
      </c>
      <c r="AA70" s="11" t="s">
        <v>506</v>
      </c>
      <c r="AB70" s="11" t="s">
        <v>507</v>
      </c>
      <c r="AC70" s="11">
        <v>0</v>
      </c>
      <c r="AD70" s="11">
        <v>15</v>
      </c>
      <c r="AE70" s="11">
        <v>0</v>
      </c>
      <c r="AF70" s="11">
        <f>VLOOKUP(K70,'1131 Hábitat'!$K$13:$AK$24,22,0)</f>
        <v>25</v>
      </c>
      <c r="AG70" s="11">
        <f>VLOOKUP(K70,'1131 Hábitat'!$K$13:$AK$24,23,0)</f>
        <v>0</v>
      </c>
      <c r="AH70" s="9">
        <f t="shared" si="88"/>
        <v>25</v>
      </c>
      <c r="AI70" s="9">
        <f>VLOOKUP(K70,'1131 Hábitat'!$K$13:$AK$24,25,0)</f>
        <v>25</v>
      </c>
      <c r="AJ70" s="9" t="str">
        <f>VLOOKUP(K70,'1131 Hábitat'!$K$13:$AK$24,26,0)</f>
        <v>Se suscribieron 20 contratos de prestación de servicios profesionales para el fortalecimiento de la capacidad técnica de la Secretaría, y para el apoyo a la gestión.
Se creó la instancia institucional, el Comité Departamental de Hábitat y Vivienda, que tiene como objetivo ser una instancia de participación para la coordinación interinstitucional e intersectorial en la formulación, implementación y ejecución de la Política Pública de Hábitat y Vivienda de Cundinamarca, orientada a mejorar la calidad de vida de los Cundinamarqueses. De igual manera, se activó la instancia de participación en el proceso de Diagnóstico de la Política Pública, donde se realizaron diferentes Focus Group, en los cuales tuvimos la participación de 9 provincias, abordando el 38% de los Municipios del Departamento, en esta etapa. Por otro lado, en coordinación con la Dirección de Sistemas de Información Geográfica, Análisis y Estadística se realizó un proceso de análisis cuantitativo que permitiera la identificación de necesidades habitacionales en el Departamento. Finalmente, el equipo de Política Pública de la Secretaría de Hábitat y Vivienda se encuentra en el proceso de sistematización de información, con el propósito de remitir a la Secretaría de Planeación los formatos correspondientes para la aprobación del Diagnóstico, y posteriormente dar inicio a la estructuración de la Política Pública.
En el mes de abril se suscribieron con cargo a esta meta 6 contratos de prestación de servicios profesionales.
para el mes de mayo basados en el diagnóstico se identificaron unas posibles soluciones de política, por lo que se implementó una evalucaión de alternativas de política pública, de acuerdo al método de evaluación multicriterio, el cual conjuga información cuantitativa y cualitativa e incorpora la ponderación de variables asociadas a la percepción, intuición y experiencia, permitiendo ordenarla y hacer comparable los diferentes factores asociados independientemente de la diversidad de su naturaleza. La anterior evalución se realizo a los Directores de la Secretaría de Hábitat y Vivienda.
En el proceso de la Política Pública enmarcado en el procedimiento de la Secretaría de Planeación, se plantea la necesidad en la etapa de Formulación, la evaluación de alternativas de política, la cual, se desarrolla de acuerdo al formato E-DEAG-FR - 90. Actividad realizada en este periodo.
A 31 de mayo el avance de la meta es de 6%.
A 31 de Julio del 2021 se ha logrado un avance acumulado del  36% de acuerdo al plan de seguimiento de la Dirección de Estudios Económicos y Políticas Públicas de la Secretaría de Planeación. Dicho avance, corresponde al cumplimiento en la estructuración de la política Pública, donde se plantearon los ejes que serán los pilares de  la política pública de Hábitat y Vivienda, estos son: Asequibilidad a la vivienda digna, Hábitat Seguro, Construcción de vivienda, Gestión social y Gestión del suelo.
Lo anterior permitió desarrollar los elementos que componen la Política Pública y así formular las alternativas de solución de acuerdo a las necesidades habitacionales identificadas en el proceso de diagnóstico. 
Estas alternativas fueron evaluadas por los funcionarios de la Secretaría de Hábitat y Vivienda de la Gobernación de Cundinamarca, de acuerdo a la matriz desarrollada por la Universidad de los Andes en el marco del convenio de asociación No. SHVS-CDCASO-028-2020.
Se identificaron los actores involucrados en la política reconociendo su nivel de interés y poder de acción. Finalmente, el equipo de la Dirección de Política Pública y titulación predial se encuentra en el proceso de desarrollo de la teoría del cambio de la alternativa seleccionada, estableciendo los insumos, las actividades, los productos, y los resultados esperados de la Implementación de la Política pública, midiéndolos con los indicadores seleccionados en el proceso de diagnóstico.
En el mes de agosto se presentó el documento final realizado por la Universidad de los Andes en el marco del Convenio de Asociación No. SHVS-CDCASO-028-2020 (Resultados finales del diagnóstico de la Política de Hábitat y Vivienda, las alternativas de solución a ser presentadas ante el Comité de Hábitat y Vivienda de Cundinamarca para su validación y puesta en marcha).
Se realizó mesa de trabajo con la Dirección de Sistemas de Información Geográfica, Análisis y Estadística, a cargo de Juan Ricardo Mozo, para presentar el análisis cuantitativo de la Política de Vivienda, con un panorama de las necesidades habitacionales. 
Se llevó a cabo reunión con la universidad Nacional para analizar el estudio de gestión del suelo en el Departamento, y usar ese insumo en la política de vivienda. 
Se remitió a la Dirección de Estudios Económicos y Políticas Públicas el Diagnóstico consolidado de la Política Pública, tanto el documento técnico desarrollado por la Universidad de los Andes y la Secretaría de Hábitat y Vivienda como el formato E-DEAG-FR–063.
Se remitieron las evidencias de la activación de la instancia de participación y el Plan de Trabajo de la Política pública.  
SEPTIEMBRE:
Durante el mes de septiembre se realizaron los siguientes avances: 
1.	Se realizó un encuentro con la Universidad Nacional de Colombia, con el objetivo de establecer una ayuda conjunta en el desarrollo del eje de gestión del suelo, la cual estará enmarcada en la investigación particular que está realizando la universidad, y donde se planteó que los resultados de la investigación fueran compartidos con la Secretaría de Hábitat y Vivienda para el desarrollo del componente “EJE GESTIÓN DEL SUELO”. 
2.	Se desarrolló junto con la Secretaría de Gobierno la estrategia de participación ciudadana en la gestión pública, donde se priorizó la instancia de participación de la Política Pública, Juntas de Acción Comunal, así como actores de los Entes territoriales que aportarán en la Formulación de la Política de Hábitat y Vivienda. 
3.	Se remitió a la Secretaría de Planeación el Diagnóstico de la Política Pública de Hábitat y Vivienda el día 23 de Septiembre del 2021. Para la revisión del documento, la Dirección de Estudios Económicos y Políticas Públicas  tiene un plazo de 10 días hábiles, posterior a esto lo remitirá a la Secretaría correspondiente y así avanzar en el proceso de la formulación de la Política Pública, razón por la cual, el porcentaje de avance se encuentra en un 33%. 
OCTUBRE:
Durante el mes de Octubre la Meta 059 no presenta avance.
NOVIEMBRE
Durante este mes se llevó a cabo la Instalación del Comité de Política Pública de Hábitat y Vivienda la cual contó con la participación de 14 dependencias.  Como evidencia de este evento se cuenta con el acta de reunión.</v>
      </c>
      <c r="AK70" s="9">
        <f>VLOOKUP(K70,'1131 Hábitat'!$K$13:$AK$24,27,0)</f>
        <v>0</v>
      </c>
      <c r="AL70" s="11">
        <v>15</v>
      </c>
      <c r="AM70" s="11">
        <v>0</v>
      </c>
      <c r="AN70" s="11">
        <v>10</v>
      </c>
      <c r="AO70" s="11">
        <v>0</v>
      </c>
      <c r="AP70" s="11">
        <v>0</v>
      </c>
      <c r="AQ70" s="11">
        <v>0</v>
      </c>
      <c r="AR70" s="51">
        <v>95353794</v>
      </c>
      <c r="AS70" s="54">
        <v>0</v>
      </c>
      <c r="AT70" s="54">
        <f t="shared" si="0"/>
        <v>95353794</v>
      </c>
      <c r="AU70" s="51">
        <v>95353794</v>
      </c>
      <c r="AV70" s="89">
        <v>1453940000</v>
      </c>
      <c r="AY70" s="89">
        <v>998897844</v>
      </c>
      <c r="AZ70" s="42">
        <f t="shared" si="89"/>
        <v>0.7</v>
      </c>
      <c r="BA70" s="44">
        <v>0.2</v>
      </c>
      <c r="BB70" s="44">
        <v>1</v>
      </c>
      <c r="BC70" s="42">
        <f t="shared" si="90"/>
        <v>0.3</v>
      </c>
      <c r="BD70" s="42" cm="1">
        <f t="array" ref="BD70">_xlfn.IFS(AD70=0,"NA",AD70&gt;0,AH70/AD70)</f>
        <v>1.6666666666666667</v>
      </c>
      <c r="BE70" s="42">
        <f t="shared" si="91"/>
        <v>0.3</v>
      </c>
      <c r="BF70" s="44">
        <v>0</v>
      </c>
      <c r="BG70" s="42">
        <f t="shared" si="92"/>
        <v>0.2</v>
      </c>
      <c r="BH70" s="44">
        <v>0</v>
      </c>
      <c r="BI70" s="42">
        <f t="shared" si="93"/>
        <v>0</v>
      </c>
      <c r="BJ70" s="44" t="s">
        <v>115</v>
      </c>
      <c r="BK70" s="42">
        <f t="shared" si="1"/>
        <v>0.7</v>
      </c>
      <c r="BL70" s="44">
        <v>1</v>
      </c>
      <c r="BM70" s="42" t="str" cm="1">
        <f t="array" ref="BM70">_xlfn.IFS(BD70="NA","NA",BD70&gt;100%,"100%",BD70&lt;100,BD70)</f>
        <v>100%</v>
      </c>
      <c r="BN70" s="42" cm="1">
        <f t="array" ref="BN70">_xlfn.IFS(BF70="NA","NA",BF70&gt;100%,"100%",BF70&lt;100,BF70)</f>
        <v>0</v>
      </c>
      <c r="BO70" s="42" cm="1">
        <f t="array" ref="BO70">_xlfn.IFS(BH70="NA","NA",BH70&gt;100%,"100%",BH70&lt;100,BH70)</f>
        <v>0</v>
      </c>
      <c r="BP70" s="42" t="str" cm="1">
        <f t="array" ref="BP70">_xlfn.IFS(BJ70="NA","NA",BJ70&gt;100%,"100%",BJ70&lt;100,BJ70)</f>
        <v>NA</v>
      </c>
      <c r="BQ70" s="45">
        <v>0.22500000000000001</v>
      </c>
      <c r="BR70" s="43">
        <f t="shared" si="2"/>
        <v>0.1575</v>
      </c>
      <c r="BS70" s="45">
        <v>4.4999999999999998E-2</v>
      </c>
      <c r="BT70" s="45">
        <v>4.4999999999999998E-2</v>
      </c>
      <c r="BU70" s="45">
        <v>4.4999999999999998E-2</v>
      </c>
      <c r="BV70" s="43">
        <f t="shared" si="94"/>
        <v>6.7500000000000004E-2</v>
      </c>
      <c r="BW70" s="43">
        <f t="shared" si="3"/>
        <v>6.7500000000000004E-2</v>
      </c>
      <c r="BX70" s="43">
        <f t="shared" si="4"/>
        <v>0.1125</v>
      </c>
      <c r="BY70" s="43">
        <f t="shared" si="95"/>
        <v>6.7500000000000004E-2</v>
      </c>
      <c r="BZ70" s="43">
        <f t="shared" si="96"/>
        <v>0</v>
      </c>
      <c r="CA70" s="43">
        <f t="shared" si="5"/>
        <v>0</v>
      </c>
      <c r="CB70" s="43">
        <f t="shared" si="97"/>
        <v>4.4999999999999998E-2</v>
      </c>
      <c r="CC70" s="43">
        <f t="shared" si="98"/>
        <v>0</v>
      </c>
      <c r="CD70" s="45">
        <v>0</v>
      </c>
      <c r="CE70" s="43">
        <f t="shared" si="99"/>
        <v>0</v>
      </c>
      <c r="CF70" s="43" t="str">
        <f t="shared" si="100"/>
        <v>NA</v>
      </c>
      <c r="CG70" s="45">
        <v>0</v>
      </c>
    </row>
    <row r="71" spans="1:90" ht="18" customHeight="1">
      <c r="A71" s="260" t="s">
        <v>248</v>
      </c>
      <c r="B71" s="260" t="s">
        <v>249</v>
      </c>
      <c r="C71" s="260" t="s">
        <v>100</v>
      </c>
      <c r="D71" s="260" t="s">
        <v>508</v>
      </c>
      <c r="E71" s="260" t="s">
        <v>509</v>
      </c>
      <c r="F71" s="260" t="s">
        <v>2871</v>
      </c>
      <c r="G71" s="260" t="s">
        <v>2872</v>
      </c>
      <c r="H71" s="260" t="s">
        <v>510</v>
      </c>
      <c r="I71" s="260"/>
      <c r="J71" s="260"/>
      <c r="K71" s="260" t="s">
        <v>511</v>
      </c>
      <c r="L71" s="260" t="s">
        <v>512</v>
      </c>
      <c r="M71" s="260" t="s">
        <v>513</v>
      </c>
      <c r="N71" s="260" t="s">
        <v>514</v>
      </c>
      <c r="O71" s="260" t="s">
        <v>112</v>
      </c>
      <c r="P71" s="10">
        <v>0</v>
      </c>
      <c r="Q71" s="11">
        <v>4</v>
      </c>
      <c r="R71" s="9">
        <f t="shared" si="87"/>
        <v>2</v>
      </c>
      <c r="S71" s="11" t="str">
        <f>VLOOKUP(K71,'1208 Indeportes'!$K$13:$AK$39,9,0)</f>
        <v>A través del convenio No. 257 celebrado con FONDECUN,se contrató la realización de este evento para el mes de diciembre.</v>
      </c>
      <c r="T71" s="11">
        <v>1</v>
      </c>
      <c r="U71" s="11">
        <v>0</v>
      </c>
      <c r="V71" s="11">
        <v>1</v>
      </c>
      <c r="W71" s="11">
        <v>0</v>
      </c>
      <c r="X71" s="11">
        <v>1</v>
      </c>
      <c r="Y71" s="11">
        <v>0</v>
      </c>
      <c r="Z71" s="11">
        <v>1</v>
      </c>
      <c r="AA71" s="11">
        <v>0</v>
      </c>
      <c r="AB71" s="11" t="s">
        <v>515</v>
      </c>
      <c r="AC71" s="11">
        <v>0</v>
      </c>
      <c r="AD71" s="11">
        <v>1</v>
      </c>
      <c r="AE71" s="11">
        <v>0</v>
      </c>
      <c r="AF71" s="11">
        <f>VLOOKUP(K71,'1208 Indeportes'!$K$13:$AH$39,22,0)</f>
        <v>1</v>
      </c>
      <c r="AG71" s="11">
        <f>VLOOKUP(K71,'1208 Indeportes'!$K$13:$AH$39,23,0)</f>
        <v>0</v>
      </c>
      <c r="AH71" s="9">
        <f t="shared" si="88"/>
        <v>1</v>
      </c>
      <c r="AI71" s="9">
        <f>VLOOKUP(K71,'1208 Indeportes'!$K$13:$AK$39,25,0)</f>
        <v>0</v>
      </c>
      <c r="AJ71" s="9" t="str">
        <f>VLOOKUP(K71,'1208 Indeportes'!$K$13:$AK$39,26,0)</f>
        <v>Se desarollaron mesas técnicas con directores de deporte, coordinadores, formadores de EFD del Instituto, promocionando el evento. Se capacito a todo el personal por provincias, dando a connocer la temática, la planeación y la ejecución para el desarrollo del evento. Se logro desarrollar actividdaes relacionadas con las vacaciones recreativas en 103 municipios del departamento, beneficiando a mas de 4444 niños y niñas, brindando un espacio propicio para el desarrollo de habiliddaes lúdicas y recreativas.</v>
      </c>
      <c r="AK71" s="9">
        <f>VLOOKUP(K71,'1208 Indeportes'!$K$13:$AK$39,27,0)</f>
        <v>0</v>
      </c>
      <c r="AL71" s="11">
        <v>1</v>
      </c>
      <c r="AM71" s="11">
        <v>0</v>
      </c>
      <c r="AN71" s="11">
        <v>1</v>
      </c>
      <c r="AO71" s="11">
        <v>0</v>
      </c>
      <c r="AP71" s="11">
        <v>0</v>
      </c>
      <c r="AQ71" s="11">
        <v>0</v>
      </c>
      <c r="AR71" s="51">
        <v>212085085</v>
      </c>
      <c r="AS71" s="54">
        <v>0</v>
      </c>
      <c r="AT71" s="54">
        <f t="shared" si="0"/>
        <v>212085085</v>
      </c>
      <c r="AU71" s="51">
        <v>197978865</v>
      </c>
      <c r="AV71" s="89">
        <v>140000000</v>
      </c>
      <c r="AY71" s="89">
        <v>0</v>
      </c>
      <c r="AZ71" s="42">
        <f t="shared" si="89"/>
        <v>0.5</v>
      </c>
      <c r="BA71" s="44">
        <v>0.25</v>
      </c>
      <c r="BB71" s="44">
        <v>1</v>
      </c>
      <c r="BC71" s="42">
        <f t="shared" si="90"/>
        <v>0.25</v>
      </c>
      <c r="BD71" s="42" cm="1">
        <f t="array" ref="BD71">_xlfn.IFS(AD71=0,"NA",AD71&gt;0,AH71/AD71)</f>
        <v>1</v>
      </c>
      <c r="BE71" s="42">
        <f t="shared" si="91"/>
        <v>0.25</v>
      </c>
      <c r="BF71" s="44">
        <v>0</v>
      </c>
      <c r="BG71" s="42">
        <f t="shared" si="92"/>
        <v>0.25</v>
      </c>
      <c r="BH71" s="44">
        <v>0</v>
      </c>
      <c r="BI71" s="42">
        <f t="shared" si="93"/>
        <v>0</v>
      </c>
      <c r="BJ71" s="44" t="s">
        <v>115</v>
      </c>
      <c r="BK71" s="42">
        <f t="shared" si="1"/>
        <v>0.5</v>
      </c>
      <c r="BL71" s="44">
        <v>1</v>
      </c>
      <c r="BM71" s="42" cm="1">
        <f t="array" ref="BM71">_xlfn.IFS(BD71="NA","NA",BD71&gt;100%,"100%",BD71&lt;100,BD71)</f>
        <v>1</v>
      </c>
      <c r="BN71" s="42" cm="1">
        <f t="array" ref="BN71">_xlfn.IFS(BF71="NA","NA",BF71&gt;100%,"100%",BF71&lt;100,BF71)</f>
        <v>0</v>
      </c>
      <c r="BO71" s="42" cm="1">
        <f t="array" ref="BO71">_xlfn.IFS(BH71="NA","NA",BH71&gt;100%,"100%",BH71&lt;100,BH71)</f>
        <v>0</v>
      </c>
      <c r="BP71" s="42" t="str" cm="1">
        <f t="array" ref="BP71">_xlfn.IFS(BJ71="NA","NA",BJ71&gt;100%,"100%",BJ71&lt;100,BJ71)</f>
        <v>NA</v>
      </c>
      <c r="BQ71" s="45">
        <v>0.22500000000000001</v>
      </c>
      <c r="BR71" s="43">
        <f t="shared" si="2"/>
        <v>0.1125</v>
      </c>
      <c r="BS71" s="45">
        <v>5.6300000000000003E-2</v>
      </c>
      <c r="BT71" s="45">
        <v>5.6300000000000003E-2</v>
      </c>
      <c r="BU71" s="45">
        <v>5.6300000000000003E-2</v>
      </c>
      <c r="BV71" s="43">
        <f t="shared" si="94"/>
        <v>5.6250000000000001E-2</v>
      </c>
      <c r="BW71" s="43">
        <f t="shared" si="3"/>
        <v>5.6250000000000001E-2</v>
      </c>
      <c r="BX71" s="9">
        <f t="shared" si="4"/>
        <v>5.62E-2</v>
      </c>
      <c r="BY71" s="43">
        <f t="shared" si="95"/>
        <v>5.6250000000000001E-2</v>
      </c>
      <c r="BZ71" s="43">
        <f t="shared" si="96"/>
        <v>0</v>
      </c>
      <c r="CA71" s="43">
        <f t="shared" si="5"/>
        <v>0</v>
      </c>
      <c r="CB71" s="43">
        <f t="shared" si="97"/>
        <v>5.6250000000000001E-2</v>
      </c>
      <c r="CC71" s="43">
        <f t="shared" si="98"/>
        <v>0</v>
      </c>
      <c r="CD71" s="45">
        <v>0</v>
      </c>
      <c r="CE71" s="43">
        <f t="shared" si="99"/>
        <v>0</v>
      </c>
      <c r="CF71" s="43" t="str">
        <f t="shared" si="100"/>
        <v>NA</v>
      </c>
      <c r="CG71" s="45">
        <v>0</v>
      </c>
    </row>
    <row r="72" spans="1:90" ht="18" customHeight="1">
      <c r="A72" s="260" t="s">
        <v>248</v>
      </c>
      <c r="B72" s="260" t="s">
        <v>249</v>
      </c>
      <c r="C72" s="260" t="s">
        <v>100</v>
      </c>
      <c r="D72" s="260" t="s">
        <v>508</v>
      </c>
      <c r="E72" s="260" t="s">
        <v>509</v>
      </c>
      <c r="F72" s="260" t="s">
        <v>2871</v>
      </c>
      <c r="G72" s="260" t="s">
        <v>2872</v>
      </c>
      <c r="H72" s="260" t="s">
        <v>516</v>
      </c>
      <c r="I72" s="260"/>
      <c r="J72" s="260"/>
      <c r="K72" s="260" t="s">
        <v>517</v>
      </c>
      <c r="L72" s="260" t="s">
        <v>518</v>
      </c>
      <c r="M72" s="260" t="s">
        <v>519</v>
      </c>
      <c r="N72" s="260" t="s">
        <v>111</v>
      </c>
      <c r="O72" s="260" t="s">
        <v>112</v>
      </c>
      <c r="P72" s="10">
        <v>200</v>
      </c>
      <c r="Q72" s="11">
        <v>200</v>
      </c>
      <c r="R72" s="9">
        <f t="shared" si="87"/>
        <v>0</v>
      </c>
      <c r="S72" s="11" t="str">
        <f>VLOOKUP(K72,'1208 Indeportes'!$K$13:$AK$39,9,0)</f>
        <v>La meta se encuentra en ejecución: Se han recibido solicitudes de 12 municipios, que contemplan un total de 34 parques saludables, de las cuales 6 adjuntan documentos completos para el proceso. Se realizó el estudio del sector y del mercado para llevar a cabo la etapa pre contractual de la adquisición de parques saludables. Se inicia el proceso de contratación para la dotación de 10 parques saludables para los municipios del departamento.</v>
      </c>
      <c r="T72" s="11">
        <v>10</v>
      </c>
      <c r="U72" s="11">
        <v>0</v>
      </c>
      <c r="V72" s="11">
        <v>0</v>
      </c>
      <c r="W72" s="11">
        <v>0</v>
      </c>
      <c r="X72" s="11">
        <v>0</v>
      </c>
      <c r="Y72" s="11">
        <v>0</v>
      </c>
      <c r="Z72" s="11">
        <v>0</v>
      </c>
      <c r="AA72" s="11">
        <v>0</v>
      </c>
      <c r="AB72" s="11"/>
      <c r="AC72" s="11">
        <v>0</v>
      </c>
      <c r="AD72" s="11">
        <v>70</v>
      </c>
      <c r="AE72" s="11">
        <v>0</v>
      </c>
      <c r="AF72" s="11">
        <f>VLOOKUP(K72,'1208 Indeportes'!$K$13:$AH$39,22,0)</f>
        <v>0</v>
      </c>
      <c r="AG72" s="11">
        <f>VLOOKUP(K72,'1208 Indeportes'!$K$13:$AH$39,23,0)</f>
        <v>0</v>
      </c>
      <c r="AH72" s="9">
        <f t="shared" si="88"/>
        <v>0</v>
      </c>
      <c r="AI72" s="9">
        <f>VLOOKUP(K72,'1208 Indeportes'!$K$13:$AK$39,25,0)</f>
        <v>0</v>
      </c>
      <c r="AJ72" s="9" t="str">
        <f>VLOOKUP(K72,'1208 Indeportes'!$K$13:$AK$39,26,0)</f>
        <v>La Licitación Pública cuyo objeto es: CONTRATAR EL SUMINISTRO E INSTALACIÓN DE PARQUES SALUDABLES Y PARQUES INFANTILES PARA EL CUMPLIMIENTO DE LAS METAS DEL PLAN DE DESARROLLO "CUNDINAMARCA REGIÓN QUE PROGRESA “, por valor de $2.628.000.000, se encuentra en proceso de adjudicación y ejecución programada partir del 06 de diciembre de 2021.</v>
      </c>
      <c r="AK72" s="9">
        <f>VLOOKUP(K72,'1208 Indeportes'!$K$13:$AK$39,27,0)</f>
        <v>0</v>
      </c>
      <c r="AL72" s="11">
        <v>60</v>
      </c>
      <c r="AM72" s="11">
        <v>0</v>
      </c>
      <c r="AN72" s="11">
        <v>70</v>
      </c>
      <c r="AO72" s="11">
        <v>0</v>
      </c>
      <c r="AP72" s="11">
        <v>0</v>
      </c>
      <c r="AQ72" s="11">
        <v>0</v>
      </c>
      <c r="AR72" s="51">
        <v>578643317</v>
      </c>
      <c r="AS72" s="54">
        <v>0</v>
      </c>
      <c r="AT72" s="54">
        <f t="shared" si="0"/>
        <v>578643317</v>
      </c>
      <c r="AU72" s="51">
        <v>0</v>
      </c>
      <c r="AV72" s="89">
        <v>1785000000</v>
      </c>
      <c r="AY72" s="89">
        <v>0</v>
      </c>
      <c r="AZ72" s="42">
        <f t="shared" si="89"/>
        <v>0</v>
      </c>
      <c r="BA72" s="44">
        <v>0</v>
      </c>
      <c r="BB72" s="44" t="s">
        <v>115</v>
      </c>
      <c r="BC72" s="42">
        <f t="shared" si="90"/>
        <v>0.35</v>
      </c>
      <c r="BD72" s="42" cm="1">
        <f t="array" ref="BD72">_xlfn.IFS(AD72=0,"NA",AD72&gt;0,AH72/AD72)</f>
        <v>0</v>
      </c>
      <c r="BE72" s="42">
        <f t="shared" si="91"/>
        <v>0.3</v>
      </c>
      <c r="BF72" s="44">
        <v>0</v>
      </c>
      <c r="BG72" s="42">
        <f t="shared" si="92"/>
        <v>0.35</v>
      </c>
      <c r="BH72" s="44">
        <v>0</v>
      </c>
      <c r="BI72" s="42">
        <f t="shared" si="93"/>
        <v>0</v>
      </c>
      <c r="BJ72" s="44" t="s">
        <v>115</v>
      </c>
      <c r="BK72" s="42">
        <f t="shared" si="1"/>
        <v>0</v>
      </c>
      <c r="BL72" s="44" t="s">
        <v>115</v>
      </c>
      <c r="BM72" s="42" cm="1">
        <f t="array" ref="BM72">_xlfn.IFS(BD72="NA","NA",BD72&gt;100%,"100%",BD72&lt;100,BD72)</f>
        <v>0</v>
      </c>
      <c r="BN72" s="42" cm="1">
        <f t="array" ref="BN72">_xlfn.IFS(BF72="NA","NA",BF72&gt;100%,"100%",BF72&lt;100,BF72)</f>
        <v>0</v>
      </c>
      <c r="BO72" s="42" cm="1">
        <f t="array" ref="BO72">_xlfn.IFS(BH72="NA","NA",BH72&gt;100%,"100%",BH72&lt;100,BH72)</f>
        <v>0</v>
      </c>
      <c r="BP72" s="42" t="str" cm="1">
        <f t="array" ref="BP72">_xlfn.IFS(BJ72="NA","NA",BJ72&gt;100%,"100%",BJ72&lt;100,BJ72)</f>
        <v>NA</v>
      </c>
      <c r="BQ72" s="45">
        <v>0.22500000000000001</v>
      </c>
      <c r="BR72" s="43">
        <f t="shared" si="2"/>
        <v>0</v>
      </c>
      <c r="BS72" s="45">
        <v>0</v>
      </c>
      <c r="BT72" s="45" t="s">
        <v>115</v>
      </c>
      <c r="BU72" s="45">
        <v>0</v>
      </c>
      <c r="BV72" s="43">
        <f t="shared" si="94"/>
        <v>7.8750000000000001E-2</v>
      </c>
      <c r="BW72" s="43">
        <f t="shared" si="3"/>
        <v>0</v>
      </c>
      <c r="BX72" s="43">
        <f t="shared" si="4"/>
        <v>0</v>
      </c>
      <c r="BY72" s="43">
        <f t="shared" si="95"/>
        <v>6.7500000000000004E-2</v>
      </c>
      <c r="BZ72" s="43">
        <f t="shared" si="96"/>
        <v>0</v>
      </c>
      <c r="CA72" s="43">
        <f t="shared" si="5"/>
        <v>0</v>
      </c>
      <c r="CB72" s="43">
        <f t="shared" si="97"/>
        <v>7.8750000000000001E-2</v>
      </c>
      <c r="CC72" s="43">
        <f t="shared" si="98"/>
        <v>0</v>
      </c>
      <c r="CD72" s="45">
        <v>0</v>
      </c>
      <c r="CE72" s="43">
        <f t="shared" si="99"/>
        <v>0</v>
      </c>
      <c r="CF72" s="43" t="str">
        <f t="shared" si="100"/>
        <v>NA</v>
      </c>
      <c r="CG72" s="45">
        <v>0</v>
      </c>
    </row>
    <row r="73" spans="1:90" ht="18" customHeight="1">
      <c r="A73" s="260" t="s">
        <v>248</v>
      </c>
      <c r="B73" s="260" t="s">
        <v>249</v>
      </c>
      <c r="C73" s="260" t="s">
        <v>100</v>
      </c>
      <c r="D73" s="260" t="s">
        <v>508</v>
      </c>
      <c r="E73" s="260" t="s">
        <v>509</v>
      </c>
      <c r="F73" s="260" t="s">
        <v>2871</v>
      </c>
      <c r="G73" s="260" t="s">
        <v>2872</v>
      </c>
      <c r="H73" s="260" t="s">
        <v>520</v>
      </c>
      <c r="I73" s="260"/>
      <c r="J73" s="260"/>
      <c r="K73" s="260" t="s">
        <v>521</v>
      </c>
      <c r="L73" s="260" t="s">
        <v>522</v>
      </c>
      <c r="M73" s="260" t="s">
        <v>523</v>
      </c>
      <c r="N73" s="260" t="s">
        <v>111</v>
      </c>
      <c r="O73" s="260" t="s">
        <v>112</v>
      </c>
      <c r="P73" s="10">
        <v>160</v>
      </c>
      <c r="Q73" s="11">
        <v>160</v>
      </c>
      <c r="R73" s="9">
        <f t="shared" si="87"/>
        <v>0</v>
      </c>
      <c r="S73" s="11" t="str">
        <f>VLOOKUP(K73,'1208 Indeportes'!$K$13:$AK$39,9,0)</f>
        <v>La meta se encuentra en ejecución: Se han recibido solicitudes de 12 municipios, que contemplan un total de 34 parques saludables, de las cuales 6 adjuntan documentos completos para el proceso. Se realizó el estudio del sector y del mercado para llevar a cabo la etapa pre contractual de la adquisición de parques saludables. Se inicia el proceso de contratación para la dotación de 10 parques saludables para los municipios del departamento.</v>
      </c>
      <c r="T73" s="11">
        <v>10</v>
      </c>
      <c r="U73" s="11">
        <v>0</v>
      </c>
      <c r="V73" s="11">
        <v>0</v>
      </c>
      <c r="W73" s="11">
        <v>0</v>
      </c>
      <c r="X73" s="11">
        <v>0</v>
      </c>
      <c r="Y73" s="11">
        <v>0</v>
      </c>
      <c r="Z73" s="11">
        <v>0</v>
      </c>
      <c r="AA73" s="11">
        <v>0</v>
      </c>
      <c r="AB73" s="11"/>
      <c r="AC73" s="11">
        <v>0</v>
      </c>
      <c r="AD73" s="11">
        <v>60</v>
      </c>
      <c r="AE73" s="11">
        <v>0</v>
      </c>
      <c r="AF73" s="11">
        <f>VLOOKUP(K73,'1208 Indeportes'!$K$13:$AH$39,22,0)</f>
        <v>0</v>
      </c>
      <c r="AG73" s="11">
        <f>VLOOKUP(K73,'1208 Indeportes'!$K$13:$AH$39,23,0)</f>
        <v>0</v>
      </c>
      <c r="AH73" s="9">
        <f t="shared" si="88"/>
        <v>0</v>
      </c>
      <c r="AI73" s="9">
        <f>VLOOKUP(K73,'1208 Indeportes'!$K$13:$AK$39,25,0)</f>
        <v>0</v>
      </c>
      <c r="AJ73" s="9" t="str">
        <f>VLOOKUP(K73,'1208 Indeportes'!$K$13:$AK$39,26,0)</f>
        <v>La Licitación Pública cuyo objeto es: CONTRATAR EL SUMINISTRO E INSTALACIÓN DE PARQUES SALUDABLES Y PARQUES INFANTILES PARA EL CUMPLIMIENTO DE LAS METAS DEL PLAN DE DESARROLLO "CUNDINAMARCA REGIÓN QUE PROGRESA “, por valor de $2.628.000.000, se encuentra en proceso de adjudicación y ejecución programada partir del 06 de diciembre de 2021.</v>
      </c>
      <c r="AK73" s="9">
        <f>VLOOKUP(K73,'1208 Indeportes'!$K$13:$AK$39,27,0)</f>
        <v>0</v>
      </c>
      <c r="AL73" s="11">
        <v>50</v>
      </c>
      <c r="AM73" s="11">
        <v>0</v>
      </c>
      <c r="AN73" s="11">
        <v>50</v>
      </c>
      <c r="AO73" s="11">
        <v>0</v>
      </c>
      <c r="AP73" s="11">
        <v>0</v>
      </c>
      <c r="AQ73" s="11">
        <v>0</v>
      </c>
      <c r="AR73" s="51">
        <v>615333333</v>
      </c>
      <c r="AS73" s="54">
        <v>0</v>
      </c>
      <c r="AT73" s="54">
        <f t="shared" si="0"/>
        <v>615333333</v>
      </c>
      <c r="AU73" s="51">
        <v>0</v>
      </c>
      <c r="AV73" s="89">
        <v>835000000</v>
      </c>
      <c r="AY73" s="89">
        <v>0</v>
      </c>
      <c r="AZ73" s="42">
        <f t="shared" si="89"/>
        <v>0</v>
      </c>
      <c r="BA73" s="44">
        <v>0</v>
      </c>
      <c r="BB73" s="44" t="s">
        <v>115</v>
      </c>
      <c r="BC73" s="42">
        <f t="shared" si="90"/>
        <v>0.375</v>
      </c>
      <c r="BD73" s="42" cm="1">
        <f t="array" ref="BD73">_xlfn.IFS(AD73=0,"NA",AD73&gt;0,AH73/AD73)</f>
        <v>0</v>
      </c>
      <c r="BE73" s="42">
        <f t="shared" si="91"/>
        <v>0.3125</v>
      </c>
      <c r="BF73" s="44">
        <v>0</v>
      </c>
      <c r="BG73" s="42">
        <f t="shared" si="92"/>
        <v>0.3125</v>
      </c>
      <c r="BH73" s="44">
        <v>0</v>
      </c>
      <c r="BI73" s="42">
        <f t="shared" si="93"/>
        <v>0</v>
      </c>
      <c r="BJ73" s="44" t="s">
        <v>115</v>
      </c>
      <c r="BK73" s="42">
        <f t="shared" si="1"/>
        <v>0</v>
      </c>
      <c r="BL73" s="44" t="s">
        <v>115</v>
      </c>
      <c r="BM73" s="42" cm="1">
        <f t="array" ref="BM73">_xlfn.IFS(BD73="NA","NA",BD73&gt;100%,"100%",BD73&lt;100,BD73)</f>
        <v>0</v>
      </c>
      <c r="BN73" s="42" cm="1">
        <f t="array" ref="BN73">_xlfn.IFS(BF73="NA","NA",BF73&gt;100%,"100%",BF73&lt;100,BF73)</f>
        <v>0</v>
      </c>
      <c r="BO73" s="42" cm="1">
        <f t="array" ref="BO73">_xlfn.IFS(BH73="NA","NA",BH73&gt;100%,"100%",BH73&lt;100,BH73)</f>
        <v>0</v>
      </c>
      <c r="BP73" s="42" t="str" cm="1">
        <f t="array" ref="BP73">_xlfn.IFS(BJ73="NA","NA",BJ73&gt;100%,"100%",BJ73&lt;100,BJ73)</f>
        <v>NA</v>
      </c>
      <c r="BQ73" s="45">
        <v>0.22500000000000001</v>
      </c>
      <c r="BR73" s="43">
        <f t="shared" si="2"/>
        <v>0</v>
      </c>
      <c r="BS73" s="45">
        <v>0</v>
      </c>
      <c r="BT73" s="45" t="s">
        <v>115</v>
      </c>
      <c r="BU73" s="45">
        <v>0</v>
      </c>
      <c r="BV73" s="43">
        <f t="shared" si="94"/>
        <v>8.4375000000000006E-2</v>
      </c>
      <c r="BW73" s="43">
        <f t="shared" si="3"/>
        <v>0</v>
      </c>
      <c r="BX73" s="43">
        <f t="shared" si="4"/>
        <v>0</v>
      </c>
      <c r="BY73" s="43">
        <f t="shared" si="95"/>
        <v>7.03125E-2</v>
      </c>
      <c r="BZ73" s="43">
        <f t="shared" si="96"/>
        <v>0</v>
      </c>
      <c r="CA73" s="43">
        <f t="shared" si="5"/>
        <v>0</v>
      </c>
      <c r="CB73" s="43">
        <f t="shared" si="97"/>
        <v>7.03125E-2</v>
      </c>
      <c r="CC73" s="43">
        <f t="shared" si="98"/>
        <v>0</v>
      </c>
      <c r="CD73" s="45">
        <v>0</v>
      </c>
      <c r="CE73" s="43">
        <f t="shared" si="99"/>
        <v>0</v>
      </c>
      <c r="CF73" s="43" t="str">
        <f t="shared" si="100"/>
        <v>NA</v>
      </c>
      <c r="CG73" s="45">
        <v>0</v>
      </c>
    </row>
    <row r="74" spans="1:90" ht="18" customHeight="1">
      <c r="A74" s="260" t="s">
        <v>144</v>
      </c>
      <c r="B74" s="260" t="s">
        <v>145</v>
      </c>
      <c r="C74" s="260" t="s">
        <v>100</v>
      </c>
      <c r="D74" s="260" t="s">
        <v>508</v>
      </c>
      <c r="E74" s="260" t="s">
        <v>509</v>
      </c>
      <c r="F74" s="260" t="s">
        <v>524</v>
      </c>
      <c r="G74" s="260" t="s">
        <v>525</v>
      </c>
      <c r="H74" s="260" t="s">
        <v>526</v>
      </c>
      <c r="I74" s="260"/>
      <c r="J74" s="260"/>
      <c r="K74" s="260" t="s">
        <v>527</v>
      </c>
      <c r="L74" s="260" t="s">
        <v>2873</v>
      </c>
      <c r="M74" s="260" t="s">
        <v>529</v>
      </c>
      <c r="N74" s="260" t="s">
        <v>111</v>
      </c>
      <c r="O74" s="260" t="s">
        <v>112</v>
      </c>
      <c r="P74" s="10">
        <v>12000</v>
      </c>
      <c r="Q74" s="11">
        <v>12000</v>
      </c>
      <c r="R74" s="9">
        <f t="shared" si="87"/>
        <v>0</v>
      </c>
      <c r="S74" s="11">
        <f>VLOOKUP(K74,'1126 Desarrollo Social'!$K$13:$S$58,9,0)</f>
        <v>0</v>
      </c>
      <c r="T74" s="11">
        <v>0</v>
      </c>
      <c r="U74" s="11">
        <v>0</v>
      </c>
      <c r="V74" s="11">
        <v>3000</v>
      </c>
      <c r="W74" s="11">
        <v>0</v>
      </c>
      <c r="X74" s="11">
        <v>0</v>
      </c>
      <c r="Y74" s="11">
        <v>0</v>
      </c>
      <c r="Z74" s="11">
        <v>0</v>
      </c>
      <c r="AA74" s="11"/>
      <c r="AB74" s="11"/>
      <c r="AC74" s="11"/>
      <c r="AD74" s="11">
        <v>3000</v>
      </c>
      <c r="AE74" s="11">
        <v>0</v>
      </c>
      <c r="AF74" s="11">
        <f>VLOOKUP(K74,'1126 Desarrollo Social'!$K$13:$AK$58,22,0)</f>
        <v>0</v>
      </c>
      <c r="AG74" s="11">
        <f>VLOOKUP(K74,'1126 Desarrollo Social'!$K$13:$AK$58,23,0)</f>
        <v>0</v>
      </c>
      <c r="AH74" s="9">
        <f t="shared" si="88"/>
        <v>0</v>
      </c>
      <c r="AI74" s="9">
        <f>VLOOKUP(K74,'1126 Desarrollo Social'!$K$13:$AK$58,25,0)</f>
        <v>0</v>
      </c>
      <c r="AJ74" s="9" t="str">
        <f>VLOOKUP(K74,'1126 Desarrollo Social'!$K$13:$AK$58,26,0)</f>
        <v xml:space="preserve">Junto con la Caja de COMPENSACION COMPENSAR  se pretende firmar un Convenio de Asociación a fin de beneficiar 188 niños de 0 a 5 años de edad a y así lograr regular su estado nutricional.   Inicialmente en los municipios de  Caparrapi Yacopi La Palma La Peña Guaduas y Villeta. Se encuentra en tramite precontractual
Se adelantaron acercamientos con Tecnoquimicas S.A., Nestle S.A y Caja de Compensaciòn Colsubsidio </v>
      </c>
      <c r="AK74" s="9">
        <f>VLOOKUP(K74,'1126 Desarrollo Social'!$K$13:$AK$58,27,0)</f>
        <v>0</v>
      </c>
      <c r="AL74" s="11">
        <v>3000</v>
      </c>
      <c r="AM74" s="11">
        <v>0</v>
      </c>
      <c r="AN74" s="11">
        <v>3000</v>
      </c>
      <c r="AO74" s="11">
        <v>0</v>
      </c>
      <c r="AP74" s="11">
        <v>0</v>
      </c>
      <c r="AQ74" s="11">
        <v>0</v>
      </c>
      <c r="AR74" s="51">
        <v>290729481</v>
      </c>
      <c r="AS74" s="54">
        <v>0</v>
      </c>
      <c r="AT74" s="54">
        <f t="shared" si="0"/>
        <v>290729481</v>
      </c>
      <c r="AU74" s="51">
        <v>0</v>
      </c>
      <c r="AV74" s="89">
        <v>0</v>
      </c>
      <c r="AY74" s="89">
        <v>0</v>
      </c>
      <c r="AZ74" s="42">
        <f t="shared" si="89"/>
        <v>0</v>
      </c>
      <c r="BA74" s="44">
        <v>0.25</v>
      </c>
      <c r="BB74" s="44">
        <v>0</v>
      </c>
      <c r="BC74" s="42">
        <f t="shared" si="90"/>
        <v>0.25</v>
      </c>
      <c r="BD74" s="42" cm="1">
        <f t="array" ref="BD74">_xlfn.IFS(AD74=0,"NA",AD74&gt;0,AH74/AD74)</f>
        <v>0</v>
      </c>
      <c r="BE74" s="42">
        <f t="shared" si="91"/>
        <v>0.25</v>
      </c>
      <c r="BF74" s="44">
        <v>0</v>
      </c>
      <c r="BG74" s="42">
        <f t="shared" si="92"/>
        <v>0.25</v>
      </c>
      <c r="BH74" s="44">
        <v>0</v>
      </c>
      <c r="BI74" s="42">
        <f t="shared" si="93"/>
        <v>0</v>
      </c>
      <c r="BJ74" s="44" t="s">
        <v>115</v>
      </c>
      <c r="BK74" s="42">
        <f t="shared" si="1"/>
        <v>0</v>
      </c>
      <c r="BL74" s="44">
        <v>0</v>
      </c>
      <c r="BM74" s="42" cm="1">
        <f t="array" ref="BM74">_xlfn.IFS(BD74="NA","NA",BD74&gt;100%,"100%",BD74&lt;100,BD74)</f>
        <v>0</v>
      </c>
      <c r="BN74" s="42" cm="1">
        <f t="array" ref="BN74">_xlfn.IFS(BF74="NA","NA",BF74&gt;100%,"100%",BF74&lt;100,BF74)</f>
        <v>0</v>
      </c>
      <c r="BO74" s="42" cm="1">
        <f t="array" ref="BO74">_xlfn.IFS(BH74="NA","NA",BH74&gt;100%,"100%",BH74&lt;100,BH74)</f>
        <v>0</v>
      </c>
      <c r="BP74" s="42" t="str" cm="1">
        <f t="array" ref="BP74">_xlfn.IFS(BJ74="NA","NA",BJ74&gt;100%,"100%",BJ74&lt;100,BJ74)</f>
        <v>NA</v>
      </c>
      <c r="BQ74" s="45">
        <v>0.22500000000000001</v>
      </c>
      <c r="BR74" s="43">
        <f t="shared" si="2"/>
        <v>0</v>
      </c>
      <c r="BS74" s="45">
        <v>5.6300000000000003E-2</v>
      </c>
      <c r="BT74" s="45">
        <v>0</v>
      </c>
      <c r="BU74" s="45">
        <v>0</v>
      </c>
      <c r="BV74" s="43">
        <f t="shared" si="94"/>
        <v>5.6250000000000001E-2</v>
      </c>
      <c r="BW74" s="43">
        <f t="shared" si="3"/>
        <v>0</v>
      </c>
      <c r="BX74" s="43">
        <f t="shared" si="4"/>
        <v>0</v>
      </c>
      <c r="BY74" s="43">
        <f t="shared" si="95"/>
        <v>5.6250000000000001E-2</v>
      </c>
      <c r="BZ74" s="43">
        <f t="shared" si="96"/>
        <v>0</v>
      </c>
      <c r="CA74" s="43">
        <f t="shared" si="5"/>
        <v>0</v>
      </c>
      <c r="CB74" s="43">
        <f t="shared" si="97"/>
        <v>5.6250000000000001E-2</v>
      </c>
      <c r="CC74" s="43">
        <f t="shared" si="98"/>
        <v>0</v>
      </c>
      <c r="CD74" s="45">
        <v>0</v>
      </c>
      <c r="CE74" s="43">
        <f t="shared" si="99"/>
        <v>0</v>
      </c>
      <c r="CF74" s="43" t="str">
        <f t="shared" si="100"/>
        <v>NA</v>
      </c>
      <c r="CG74" s="45">
        <v>0</v>
      </c>
    </row>
    <row r="75" spans="1:90" ht="18" customHeight="1">
      <c r="A75" s="260" t="s">
        <v>98</v>
      </c>
      <c r="B75" s="260" t="s">
        <v>99</v>
      </c>
      <c r="C75" s="260" t="s">
        <v>100</v>
      </c>
      <c r="D75" s="260" t="s">
        <v>508</v>
      </c>
      <c r="E75" s="260" t="s">
        <v>509</v>
      </c>
      <c r="F75" s="260" t="s">
        <v>524</v>
      </c>
      <c r="G75" s="260" t="s">
        <v>525</v>
      </c>
      <c r="H75" s="260" t="s">
        <v>530</v>
      </c>
      <c r="I75" s="260"/>
      <c r="J75" s="260" t="s">
        <v>531</v>
      </c>
      <c r="K75" s="260" t="s">
        <v>532</v>
      </c>
      <c r="L75" s="260" t="s">
        <v>533</v>
      </c>
      <c r="M75" s="260" t="s">
        <v>534</v>
      </c>
      <c r="N75" s="260" t="s">
        <v>111</v>
      </c>
      <c r="O75" s="260" t="s">
        <v>112</v>
      </c>
      <c r="P75" s="10">
        <v>0</v>
      </c>
      <c r="Q75" s="11">
        <v>14</v>
      </c>
      <c r="R75" s="9">
        <f t="shared" si="87"/>
        <v>2</v>
      </c>
      <c r="S75" s="9" t="str">
        <f>VLOOKUP(K75,'1197 Salud'!$K$13:$AK$54,9,0)</f>
        <v>La estrategia se ha trabajado en 10 ESES priorizadas,  por su nivel de avance en la implementación de la Estrategia, han  logrado  obtener su certificación 6 ESES Arbelaez, Caqueza, El colegio, Choconta, La mesa, Fusagasuga.
6492 gestantes depuradas, con malnutrición y que se han subido con seguimiento al link, de las cuales 4634 tuvieron cita de nutrición</v>
      </c>
      <c r="T75" s="11">
        <v>1</v>
      </c>
      <c r="U75" s="11">
        <v>0</v>
      </c>
      <c r="V75" s="11">
        <v>1</v>
      </c>
      <c r="W75" s="11">
        <v>0</v>
      </c>
      <c r="X75" s="11">
        <v>0</v>
      </c>
      <c r="Y75" s="11">
        <v>0</v>
      </c>
      <c r="Z75" s="11">
        <v>0</v>
      </c>
      <c r="AA75" s="11" t="s">
        <v>534</v>
      </c>
      <c r="AB75" s="11" t="s">
        <v>535</v>
      </c>
      <c r="AC75" s="11" t="s">
        <v>536</v>
      </c>
      <c r="AD75" s="11">
        <v>6</v>
      </c>
      <c r="AE75" s="11">
        <v>0</v>
      </c>
      <c r="AF75" s="9">
        <f>VLOOKUP(K75,'1197 Salud'!$K$13:$AK$54,22,0)</f>
        <v>2</v>
      </c>
      <c r="AG75" s="9">
        <f>VLOOKUP(K75,'1197 Salud'!$K$13:$AK$54,23,0)</f>
        <v>0</v>
      </c>
      <c r="AH75" s="9">
        <f t="shared" si="88"/>
        <v>2</v>
      </c>
      <c r="AI75" s="9" t="str">
        <f>VLOOKUP(K75,'1197 Salud'!$K$13:$AK$54,25,0)</f>
        <v>ESEs acreditadas como IAMII</v>
      </c>
      <c r="AJ75" s="9" t="str">
        <f>VLOOKUP(K75,'1197 Salud'!$K$13:$AK$54,26,0)</f>
        <v>La estrategia se ha trabajado en 10 ESES priorizadas,  por su nivel de avance en la implementación de la Estrategia, han  logrado  obtener su certificación 6 ESES Arbelaez, Caqueza, El colegio, Choconta, La mesa, Fusagasuga.
6492 gestantes depuradas, con malnutrición y que se han subido con seguimiento al link, de las cuales 4634 tuvieron cita de nutrición</v>
      </c>
      <c r="AK75" s="9" t="str">
        <f>VLOOKUP(K75,'1197 Salud'!$K$13:$AK$54,27,0)</f>
        <v>La acreditación requiere el cumplimiento de fases, de un proceso que se da a lo largo del año. Los tiempos no se han cumplido y estamos atrasados frente a la planeación para lograr ceremonias de acreditación en el  mes de diciembre 2021. Por otro lado, se requiere del compromiso de las ESES, compromiso gerencial y un equipo fortalecido que se encargue de la implementación en la Institución</v>
      </c>
      <c r="AL75" s="11">
        <v>4</v>
      </c>
      <c r="AM75" s="11">
        <v>0</v>
      </c>
      <c r="AN75" s="11">
        <v>4</v>
      </c>
      <c r="AO75" s="11">
        <v>0</v>
      </c>
      <c r="AP75" s="11">
        <v>0</v>
      </c>
      <c r="AQ75" s="11">
        <v>0</v>
      </c>
      <c r="AR75" s="51">
        <v>639031240</v>
      </c>
      <c r="AS75" s="54">
        <v>0</v>
      </c>
      <c r="AT75" s="54">
        <f t="shared" si="0"/>
        <v>639031240</v>
      </c>
      <c r="AU75" s="51">
        <v>637760036</v>
      </c>
      <c r="AV75" s="89">
        <v>710955692</v>
      </c>
      <c r="AY75" s="89">
        <v>50987701</v>
      </c>
      <c r="AZ75" s="42">
        <f t="shared" si="89"/>
        <v>0.14285714285714285</v>
      </c>
      <c r="BA75" s="44">
        <v>7.1400000000000005E-2</v>
      </c>
      <c r="BB75" s="44">
        <v>0</v>
      </c>
      <c r="BC75" s="42">
        <f t="shared" si="90"/>
        <v>0.42857142857142855</v>
      </c>
      <c r="BD75" s="42" cm="1">
        <f t="array" ref="BD75">_xlfn.IFS(AD75=0,"NA",AD75&gt;0,AH75/AD75)</f>
        <v>0.33333333333333331</v>
      </c>
      <c r="BE75" s="42">
        <f t="shared" si="91"/>
        <v>0.2857142857142857</v>
      </c>
      <c r="BF75" s="44">
        <v>0</v>
      </c>
      <c r="BG75" s="42">
        <f t="shared" si="92"/>
        <v>0.2857142857142857</v>
      </c>
      <c r="BH75" s="44">
        <v>0</v>
      </c>
      <c r="BI75" s="42">
        <f t="shared" si="93"/>
        <v>0</v>
      </c>
      <c r="BJ75" s="44" t="s">
        <v>115</v>
      </c>
      <c r="BK75" s="42">
        <f t="shared" si="1"/>
        <v>0.14285714285714285</v>
      </c>
      <c r="BL75" s="44">
        <v>0</v>
      </c>
      <c r="BM75" s="42" cm="1">
        <f t="array" ref="BM75">_xlfn.IFS(BD75="NA","NA",BD75&gt;100%,"100%",BD75&lt;100,BD75)</f>
        <v>0.33333333333333331</v>
      </c>
      <c r="BN75" s="42" cm="1">
        <f t="array" ref="BN75">_xlfn.IFS(BF75="NA","NA",BF75&gt;100%,"100%",BF75&lt;100,BF75)</f>
        <v>0</v>
      </c>
      <c r="BO75" s="42" cm="1">
        <f t="array" ref="BO75">_xlfn.IFS(BH75="NA","NA",BH75&gt;100%,"100%",BH75&lt;100,BH75)</f>
        <v>0</v>
      </c>
      <c r="BP75" s="42" t="str" cm="1">
        <f t="array" ref="BP75">_xlfn.IFS(BJ75="NA","NA",BJ75&gt;100%,"100%",BJ75&lt;100,BJ75)</f>
        <v>NA</v>
      </c>
      <c r="BQ75" s="45">
        <v>0.22500000000000001</v>
      </c>
      <c r="BR75" s="43">
        <f t="shared" si="2"/>
        <v>3.214285714285714E-2</v>
      </c>
      <c r="BS75" s="45">
        <v>1.61E-2</v>
      </c>
      <c r="BT75" s="45">
        <v>0</v>
      </c>
      <c r="BU75" s="45">
        <v>0</v>
      </c>
      <c r="BV75" s="43">
        <f t="shared" si="94"/>
        <v>9.6428571428571433E-2</v>
      </c>
      <c r="BW75" s="43">
        <f t="shared" si="3"/>
        <v>3.214285714285714E-2</v>
      </c>
      <c r="BX75" s="43">
        <f t="shared" si="4"/>
        <v>3.214285714285714E-2</v>
      </c>
      <c r="BY75" s="43">
        <f t="shared" si="95"/>
        <v>6.4285714285714293E-2</v>
      </c>
      <c r="BZ75" s="43">
        <f t="shared" si="96"/>
        <v>0</v>
      </c>
      <c r="CA75" s="43">
        <f t="shared" si="5"/>
        <v>0</v>
      </c>
      <c r="CB75" s="43">
        <f t="shared" si="97"/>
        <v>6.4285714285714293E-2</v>
      </c>
      <c r="CC75" s="43">
        <f t="shared" si="98"/>
        <v>0</v>
      </c>
      <c r="CD75" s="45">
        <v>0</v>
      </c>
      <c r="CE75" s="43">
        <f t="shared" si="99"/>
        <v>0</v>
      </c>
      <c r="CF75" s="43" t="str">
        <f t="shared" si="100"/>
        <v>NA</v>
      </c>
      <c r="CG75" s="45">
        <v>0</v>
      </c>
    </row>
    <row r="76" spans="1:90" ht="18" customHeight="1">
      <c r="A76" s="260" t="s">
        <v>98</v>
      </c>
      <c r="B76" s="260" t="s">
        <v>99</v>
      </c>
      <c r="C76" s="260" t="s">
        <v>100</v>
      </c>
      <c r="D76" s="260" t="s">
        <v>508</v>
      </c>
      <c r="E76" s="260" t="s">
        <v>509</v>
      </c>
      <c r="F76" s="260" t="s">
        <v>537</v>
      </c>
      <c r="G76" s="260" t="s">
        <v>538</v>
      </c>
      <c r="H76" s="260" t="s">
        <v>539</v>
      </c>
      <c r="I76" s="260"/>
      <c r="J76" s="260" t="s">
        <v>531</v>
      </c>
      <c r="K76" s="260" t="s">
        <v>540</v>
      </c>
      <c r="L76" s="260" t="s">
        <v>541</v>
      </c>
      <c r="M76" s="260" t="s">
        <v>542</v>
      </c>
      <c r="N76" s="260" t="s">
        <v>111</v>
      </c>
      <c r="O76" s="260" t="s">
        <v>112</v>
      </c>
      <c r="P76" s="10">
        <v>0</v>
      </c>
      <c r="Q76" s="11">
        <v>60</v>
      </c>
      <c r="R76" s="9">
        <f t="shared" si="87"/>
        <v>0</v>
      </c>
      <c r="S76" s="9" t="str">
        <f>VLOOKUP(K76,'1197 Salud'!$K$13:$AK$54,9,0)</f>
        <v>Elaboración de lineamientos Departamentales para la implementación de la estrategia Tiendas Escolares Saludables. Se contacta a los rectores de las Instituciones Educativas en donde se proyecta la implementación de la estrategia en el año 2021. Participación en el Comité PAE. Se inicia proceso de asistencia técnica dirigido a rectores y alcaldias municipales priorizados. Se realizan reuniones con Secretaria de Educación e INDEPORTES a fin de articular acciones de la estrategia. Socialización de los lineamientos Departamentales, coordinación con IED para dar inicio a la ejecución de las fases para la implementación de la Estrategia.</v>
      </c>
      <c r="T76" s="11">
        <v>10</v>
      </c>
      <c r="U76" s="11">
        <v>0</v>
      </c>
      <c r="V76" s="11">
        <v>10</v>
      </c>
      <c r="W76" s="11">
        <v>0</v>
      </c>
      <c r="X76" s="11">
        <v>0</v>
      </c>
      <c r="Y76" s="11">
        <v>0</v>
      </c>
      <c r="Z76" s="11">
        <v>0</v>
      </c>
      <c r="AA76" s="11" t="s">
        <v>542</v>
      </c>
      <c r="AB76" s="11" t="s">
        <v>543</v>
      </c>
      <c r="AC76" s="11" t="s">
        <v>544</v>
      </c>
      <c r="AD76" s="11">
        <v>30</v>
      </c>
      <c r="AE76" s="11">
        <v>0</v>
      </c>
      <c r="AF76" s="9">
        <f>VLOOKUP(K76,'1197 Salud'!$K$13:$AK$54,22,0)</f>
        <v>0</v>
      </c>
      <c r="AG76" s="9">
        <f>VLOOKUP(K76,'1197 Salud'!$K$13:$AK$54,23,0)</f>
        <v>0</v>
      </c>
      <c r="AH76" s="9">
        <f t="shared" si="88"/>
        <v>0</v>
      </c>
      <c r="AI76" s="9" t="str">
        <f>VLOOKUP(K76,'1197 Salud'!$K$13:$AK$54,25,0)</f>
        <v>IED con estrategia implementada</v>
      </c>
      <c r="AJ76" s="9" t="str">
        <f>VLOOKUP(K76,'1197 Salud'!$K$13:$AK$54,26,0)</f>
        <v>Acercamiento con las IED, y las Alcaldias municipales de los municipios priorizados, reuniones de articulación con Secretaria de Educación Departamental e INDEPORTES a fin de generar acciones articuladas frente a la estrategia de tiendas escolares saludables.  Ajuste del documento lineamiento técnico Departamental "Implementación de la estrategia tiendas escolares" . Socialización del lineamiento ajustado a las 30 IED y municipios priorizados. Asistencia técnica y seguimiento para el inicio de la ejecución de las fases de implementación de la estrategia. Acompañamiento a las IED en cuanto a conformación y funcionamiento de comités, Sensibilización a actoes de la comunidad educativa, Caracterización de las IED, Grupos focales y encuesta de frecuencia de consumo de alimentos</v>
      </c>
      <c r="AK76" s="9" t="str">
        <f>VLOOKUP(K76,'1197 Salud'!$K$13:$AK$54,27,0)</f>
        <v xml:space="preserve">Debido a la contigencia por COVID 19 las IED continuan funcionando de manera virtual y las tiendas escolares están cerradas lo cual limita el cumplimiento de la implementación de la estrategia, lo que nos llevo a ajustar los lineamientos Departamentales. No ha sido posible la articulación con Secretaria de Agricultura </v>
      </c>
      <c r="AL76" s="11">
        <v>15</v>
      </c>
      <c r="AM76" s="11">
        <v>0</v>
      </c>
      <c r="AN76" s="11">
        <v>15</v>
      </c>
      <c r="AO76" s="11">
        <v>0</v>
      </c>
      <c r="AP76" s="11">
        <v>0</v>
      </c>
      <c r="AQ76" s="11">
        <v>0</v>
      </c>
      <c r="AR76" s="51">
        <v>21112920</v>
      </c>
      <c r="AS76" s="54">
        <v>0</v>
      </c>
      <c r="AT76" s="54">
        <f t="shared" si="0"/>
        <v>21112920</v>
      </c>
      <c r="AU76" s="51">
        <v>17066277</v>
      </c>
      <c r="AV76" s="89">
        <v>365238923</v>
      </c>
      <c r="AY76" s="89">
        <v>0</v>
      </c>
      <c r="AZ76" s="42">
        <f t="shared" si="89"/>
        <v>0</v>
      </c>
      <c r="BA76" s="44">
        <v>0.16669999999999999</v>
      </c>
      <c r="BB76" s="44">
        <v>0</v>
      </c>
      <c r="BC76" s="42">
        <f t="shared" si="90"/>
        <v>0.5</v>
      </c>
      <c r="BD76" s="42" cm="1">
        <f t="array" ref="BD76">_xlfn.IFS(AD76=0,"NA",AD76&gt;0,AH76/AD76)</f>
        <v>0</v>
      </c>
      <c r="BE76" s="42">
        <f t="shared" si="91"/>
        <v>0.25</v>
      </c>
      <c r="BF76" s="44">
        <v>0</v>
      </c>
      <c r="BG76" s="42">
        <f t="shared" si="92"/>
        <v>0.25</v>
      </c>
      <c r="BH76" s="44">
        <v>0</v>
      </c>
      <c r="BI76" s="42">
        <f t="shared" si="93"/>
        <v>0</v>
      </c>
      <c r="BJ76" s="44" t="s">
        <v>115</v>
      </c>
      <c r="BK76" s="42">
        <f t="shared" si="1"/>
        <v>0</v>
      </c>
      <c r="BL76" s="44">
        <v>0</v>
      </c>
      <c r="BM76" s="42" cm="1">
        <f t="array" ref="BM76">_xlfn.IFS(BD76="NA","NA",BD76&gt;100%,"100%",BD76&lt;100,BD76)</f>
        <v>0</v>
      </c>
      <c r="BN76" s="42" cm="1">
        <f t="array" ref="BN76">_xlfn.IFS(BF76="NA","NA",BF76&gt;100%,"100%",BF76&lt;100,BF76)</f>
        <v>0</v>
      </c>
      <c r="BO76" s="42" cm="1">
        <f t="array" ref="BO76">_xlfn.IFS(BH76="NA","NA",BH76&gt;100%,"100%",BH76&lt;100,BH76)</f>
        <v>0</v>
      </c>
      <c r="BP76" s="42" t="str" cm="1">
        <f t="array" ref="BP76">_xlfn.IFS(BJ76="NA","NA",BJ76&gt;100%,"100%",BJ76&lt;100,BJ76)</f>
        <v>NA</v>
      </c>
      <c r="BQ76" s="45">
        <v>0.22500000000000001</v>
      </c>
      <c r="BR76" s="43">
        <f t="shared" si="2"/>
        <v>0</v>
      </c>
      <c r="BS76" s="45">
        <v>3.7499999999999999E-2</v>
      </c>
      <c r="BT76" s="45">
        <v>0</v>
      </c>
      <c r="BU76" s="45">
        <v>0</v>
      </c>
      <c r="BV76" s="43">
        <f t="shared" si="94"/>
        <v>0.1125</v>
      </c>
      <c r="BW76" s="43">
        <f t="shared" si="3"/>
        <v>0</v>
      </c>
      <c r="BX76" s="43">
        <f t="shared" si="4"/>
        <v>0</v>
      </c>
      <c r="BY76" s="43">
        <f t="shared" si="95"/>
        <v>5.6250000000000001E-2</v>
      </c>
      <c r="BZ76" s="43">
        <f t="shared" si="96"/>
        <v>0</v>
      </c>
      <c r="CA76" s="43">
        <f t="shared" si="5"/>
        <v>0</v>
      </c>
      <c r="CB76" s="43">
        <f t="shared" si="97"/>
        <v>5.6250000000000001E-2</v>
      </c>
      <c r="CC76" s="43">
        <f t="shared" si="98"/>
        <v>0</v>
      </c>
      <c r="CD76" s="45">
        <v>0</v>
      </c>
      <c r="CE76" s="43">
        <f t="shared" si="99"/>
        <v>0</v>
      </c>
      <c r="CF76" s="43" t="str">
        <f t="shared" si="100"/>
        <v>NA</v>
      </c>
      <c r="CG76" s="45">
        <v>0</v>
      </c>
    </row>
    <row r="77" spans="1:90" ht="18" customHeight="1">
      <c r="A77" s="260" t="s">
        <v>98</v>
      </c>
      <c r="B77" s="260" t="s">
        <v>99</v>
      </c>
      <c r="C77" s="260" t="s">
        <v>100</v>
      </c>
      <c r="D77" s="260" t="s">
        <v>508</v>
      </c>
      <c r="E77" s="260" t="s">
        <v>509</v>
      </c>
      <c r="F77" s="260" t="s">
        <v>537</v>
      </c>
      <c r="G77" s="260" t="s">
        <v>538</v>
      </c>
      <c r="H77" s="260" t="s">
        <v>545</v>
      </c>
      <c r="I77" s="260"/>
      <c r="J77" s="12" t="s">
        <v>546</v>
      </c>
      <c r="K77" s="260" t="s">
        <v>547</v>
      </c>
      <c r="L77" s="260" t="s">
        <v>548</v>
      </c>
      <c r="M77" s="260" t="s">
        <v>549</v>
      </c>
      <c r="N77" s="260" t="s">
        <v>111</v>
      </c>
      <c r="O77" s="260" t="s">
        <v>112</v>
      </c>
      <c r="P77" s="10">
        <v>85</v>
      </c>
      <c r="Q77" s="11">
        <v>80</v>
      </c>
      <c r="R77" s="9">
        <f t="shared" si="87"/>
        <v>41</v>
      </c>
      <c r="S77" s="9" t="str">
        <f>VLOOKUP(K77,'1197 Salud'!$K$13:$AK$54,9,0)</f>
        <v>Se realizaron planes de acción intersectorial con las instituciones educativas de Susa 2 (I.E.D ​​Tisquesusa y Nuestra Señora del Carmen), Guachetá 3 (​I.E.D Niña, Ticha, Nuestra Señora del Transito), Lenguazaque 1. (I.E.D Nuestra Señora del Carmen), Ubaté 5 (I.E.D Santa María, El Volcán, Bruselas, Normal Superior, Bolivar), Paratebueno 3 (​I.E.D Josué Manrique, Agrícola, Santa Cecilia), Cucunuba 1 (I.E.D ​Divino Salvador), Cáqueza 3 (​I.E.D Girón de blancos, Rionegro sur, Urbana), Utica 2  (I.E.D Manuel Murillo Toro,​ I.E.D Gonzalo Jiménez de Quesada​), Sasaima 2 (I.E.D Nuestra Señora de Fátima y San Nicolas), Pacho 3 (I.E.D PIOXII, Aquileo Parra, técnico agrícola), Villeta 2 (I.E.D Cune y Promoción Social),​ Gacheta 2 (I.E.D Piloto y Abdón López), Guatavita 1 (​I.E.D José Gregorio Salas), San Juan de Rioseco 1 (I.E.D San Juan de Rioseco), La Calera 2 (​I.E.D Aurora, Salitre y Mundo Nuevo), Alban 1 (I.E.D Chimbe)
Y además se organizaron el día del cepillado en las instituciones de los municipios de Cucunuba 1 (Divino Salvador), Guachetá 4 (El Transito, Niña, Ticha, El Carmen), Lenguazaque 1 (El Carmen), Susa 1 (Tisquesusa), Ubaté 4 (Bruselas, Volcán , Normal superior, Santa María), Paratebueno 1 (Josué Manrique), Bojacá 1 (Barroblanco), Suesca 3 (I.ED Garcilasgo, San Juan apóstol, Gonzalo Jiménez de Quesada), Puerto Salgar 1 (I.ED departamental), El Colegio 1 (I.E.D El Triunfo), Funza 1 (I-E.D Bicentenario), Sopo 2 (Pablo sexto, La Victoria), Anolaima 1 (I:E:D La florida), Silvania 3 (Agua Bonita, Santa Inés y Subía), Sibaté 1 (Pablo Neruda), Nilo 3 (Oreste Sindice, Pueblo Nuevo, La esmeralda) y Ricaurte 1 (Antonio Ricaurte</v>
      </c>
      <c r="T77" s="11">
        <v>5</v>
      </c>
      <c r="U77" s="11">
        <v>0</v>
      </c>
      <c r="V77" s="11">
        <v>5</v>
      </c>
      <c r="W77" s="11">
        <v>0</v>
      </c>
      <c r="X77" s="11">
        <v>11</v>
      </c>
      <c r="Y77" s="11">
        <v>0</v>
      </c>
      <c r="Z77" s="11">
        <v>11</v>
      </c>
      <c r="AA77" s="11" t="s">
        <v>549</v>
      </c>
      <c r="AB77" s="11" t="s">
        <v>550</v>
      </c>
      <c r="AC77" s="11" t="s">
        <v>551</v>
      </c>
      <c r="AD77" s="11">
        <v>30</v>
      </c>
      <c r="AE77" s="11">
        <v>0</v>
      </c>
      <c r="AF77" s="9">
        <f>VLOOKUP(K77,'1197 Salud'!$K$13:$AK$54,22,0)</f>
        <v>30</v>
      </c>
      <c r="AG77" s="9">
        <f>VLOOKUP(K77,'1197 Salud'!$K$13:$AK$54,23,0)</f>
        <v>0</v>
      </c>
      <c r="AH77" s="9">
        <f t="shared" si="88"/>
        <v>30</v>
      </c>
      <c r="AI77" s="9" t="str">
        <f>VLOOKUP(K77,'1197 Salud'!$K$13:$AK$54,25,0)</f>
        <v>Instituciones educativas con planes de acción implementados</v>
      </c>
      <c r="AJ77" s="9" t="str">
        <f>VLOOKUP(K77,'1197 Salud'!$K$13:$AK$54,26,0)</f>
        <v>Se logra organizar con las instituciones educativas el día del cepillado como parte de las acciones intersectoriales de gestión de la salud pública en las instituciones de los municipios de Cucunuba 1 (divino salvador), Guachetá 4 (El transito, Niña, Ticha, El Carmen), Lenguazaque 1 (El Carmen), Susa 1 (Tisquesusa), Ubaté 4 (Bruselas, Volcán , Normal superior, Santa María), Paratebueno 1 (Josué Manrique), Bojacá 1 (Barroblanco), Suesca 3 (I.ED Garcilasgo, San Juan apóstol, Gonzalo Jiménez de Quesada), Puerto Salgar 1  (I.ED departamental), El Colegio 1 (I.E.D El Triunfo), Funza 1 (I-E.D Bicentenario), Sopo 2 (Pablo sexto, La Victoria), Anolaima 1 (I:E:D La florida), Silvania 3 (Agua Bonita, Santa Inés y Subía), Sibaté 1 (Pablo Neruda), Nilo 3 (Oreste Sindice, Pueblo Nuevo, La esmeralda) y Ricaurte 1 (Antonio Ricaurte).</v>
      </c>
      <c r="AK77" s="9" t="str">
        <f>VLOOKUP(K77,'1197 Salud'!$K$13:$AK$54,27,0)</f>
        <v>N/A</v>
      </c>
      <c r="AL77" s="11">
        <v>30</v>
      </c>
      <c r="AM77" s="11">
        <v>0</v>
      </c>
      <c r="AN77" s="11">
        <v>15</v>
      </c>
      <c r="AO77" s="11">
        <v>0</v>
      </c>
      <c r="AP77" s="11">
        <v>0</v>
      </c>
      <c r="AQ77" s="11">
        <v>0</v>
      </c>
      <c r="AR77" s="51">
        <v>243700000</v>
      </c>
      <c r="AS77" s="54">
        <v>0</v>
      </c>
      <c r="AT77" s="54">
        <f t="shared" ref="AT77:AT140" si="101">AR77+AS77</f>
        <v>243700000</v>
      </c>
      <c r="AU77" s="51">
        <v>216740142</v>
      </c>
      <c r="AV77" s="89">
        <v>115954920</v>
      </c>
      <c r="AY77" s="89">
        <v>46930671</v>
      </c>
      <c r="AZ77" s="42">
        <f t="shared" si="89"/>
        <v>0.51249999999999996</v>
      </c>
      <c r="BA77" s="44">
        <v>6.25E-2</v>
      </c>
      <c r="BB77" s="44">
        <v>2.2000000000000002</v>
      </c>
      <c r="BC77" s="42">
        <f t="shared" si="90"/>
        <v>0.375</v>
      </c>
      <c r="BD77" s="42" cm="1">
        <f t="array" ref="BD77">_xlfn.IFS(AD77=0,"NA",AD77&gt;0,AH77/AD77)</f>
        <v>1</v>
      </c>
      <c r="BE77" s="42">
        <f t="shared" si="91"/>
        <v>0.375</v>
      </c>
      <c r="BF77" s="44">
        <v>0</v>
      </c>
      <c r="BG77" s="42">
        <f t="shared" si="92"/>
        <v>0.1875</v>
      </c>
      <c r="BH77" s="44">
        <v>0</v>
      </c>
      <c r="BI77" s="42">
        <f t="shared" si="93"/>
        <v>0</v>
      </c>
      <c r="BJ77" s="44" t="s">
        <v>115</v>
      </c>
      <c r="BK77" s="42">
        <f t="shared" ref="BK77:BK140" si="102">IF(AZ77&gt;100%,"100%",AZ77)</f>
        <v>0.51249999999999996</v>
      </c>
      <c r="BL77" s="44">
        <v>1</v>
      </c>
      <c r="BM77" s="42" cm="1">
        <f t="array" ref="BM77">_xlfn.IFS(BD77="NA","NA",BD77&gt;100%,"100%",BD77&lt;100,BD77)</f>
        <v>1</v>
      </c>
      <c r="BN77" s="42" cm="1">
        <f t="array" ref="BN77">_xlfn.IFS(BF77="NA","NA",BF77&gt;100%,"100%",BF77&lt;100,BF77)</f>
        <v>0</v>
      </c>
      <c r="BO77" s="42" cm="1">
        <f t="array" ref="BO77">_xlfn.IFS(BH77="NA","NA",BH77&gt;100%,"100%",BH77&lt;100,BH77)</f>
        <v>0</v>
      </c>
      <c r="BP77" s="42" t="str" cm="1">
        <f t="array" ref="BP77">_xlfn.IFS(BJ77="NA","NA",BJ77&gt;100%,"100%",BJ77&lt;100,BJ77)</f>
        <v>NA</v>
      </c>
      <c r="BQ77" s="45">
        <v>0.22500000000000001</v>
      </c>
      <c r="BR77" s="43">
        <f t="shared" ref="BR77:BR140" si="103">BQ77*BK77</f>
        <v>0.1153125</v>
      </c>
      <c r="BS77" s="45">
        <v>1.41E-2</v>
      </c>
      <c r="BT77" s="45">
        <v>1.41E-2</v>
      </c>
      <c r="BU77" s="45">
        <v>3.09E-2</v>
      </c>
      <c r="BV77" s="43">
        <f t="shared" si="94"/>
        <v>8.4375000000000006E-2</v>
      </c>
      <c r="BW77" s="43">
        <f t="shared" ref="BW77:BW140" si="104">IF(BM77="NA","NA",BM77*BV77)</f>
        <v>8.4375000000000006E-2</v>
      </c>
      <c r="BX77" s="43">
        <f t="shared" ref="BX77:BX140" si="105">BR77-BU77</f>
        <v>8.4412500000000001E-2</v>
      </c>
      <c r="BY77" s="43">
        <f t="shared" si="95"/>
        <v>8.4375000000000006E-2</v>
      </c>
      <c r="BZ77" s="43">
        <f t="shared" si="96"/>
        <v>0</v>
      </c>
      <c r="CA77" s="43">
        <f t="shared" ref="CA77:CA140" si="106">BR77-BU77-BX77</f>
        <v>0</v>
      </c>
      <c r="CB77" s="43">
        <f t="shared" si="97"/>
        <v>4.2187500000000003E-2</v>
      </c>
      <c r="CC77" s="43">
        <f t="shared" si="98"/>
        <v>0</v>
      </c>
      <c r="CD77" s="45">
        <v>0</v>
      </c>
      <c r="CE77" s="43">
        <f t="shared" si="99"/>
        <v>0</v>
      </c>
      <c r="CF77" s="43" t="str">
        <f t="shared" si="100"/>
        <v>NA</v>
      </c>
      <c r="CG77" s="45">
        <v>0</v>
      </c>
    </row>
    <row r="78" spans="1:90" ht="18" customHeight="1">
      <c r="A78" s="260" t="s">
        <v>98</v>
      </c>
      <c r="B78" s="260" t="s">
        <v>99</v>
      </c>
      <c r="C78" s="260" t="s">
        <v>100</v>
      </c>
      <c r="D78" s="260" t="s">
        <v>508</v>
      </c>
      <c r="E78" s="260" t="s">
        <v>509</v>
      </c>
      <c r="F78" s="260" t="s">
        <v>552</v>
      </c>
      <c r="G78" s="260" t="s">
        <v>553</v>
      </c>
      <c r="H78" s="260" t="s">
        <v>554</v>
      </c>
      <c r="I78" s="260"/>
      <c r="J78" s="260" t="s">
        <v>531</v>
      </c>
      <c r="K78" s="260" t="s">
        <v>555</v>
      </c>
      <c r="L78" s="260" t="s">
        <v>556</v>
      </c>
      <c r="M78" s="260" t="s">
        <v>557</v>
      </c>
      <c r="N78" s="260" t="s">
        <v>123</v>
      </c>
      <c r="O78" s="260" t="s">
        <v>124</v>
      </c>
      <c r="P78" s="10">
        <v>0</v>
      </c>
      <c r="Q78" s="11">
        <v>100</v>
      </c>
      <c r="R78" s="11">
        <f>(Z78+AH78)/CL78</f>
        <v>25.324999999999999</v>
      </c>
      <c r="S78" s="9" t="str">
        <f>VLOOKUP(K78,'1197 Salud'!$K$13:$AK$54,9,0)</f>
        <v>Se logra consolidar la Mesa Departamental de seguimiento a la malnutrición de la gestante y el niño pequeño, intersectorial e interinstitucional. Se consolida el seguimiento semanal municipal a las gestantes con malnutrición y la gestión con las EAPB para la atención oportuna. Se consolida la mesa Departamental de trabajo con las EAPB para el seguimiento a la malnutrición</v>
      </c>
      <c r="T78" s="11">
        <v>0</v>
      </c>
      <c r="U78" s="11">
        <v>100</v>
      </c>
      <c r="V78" s="11">
        <v>0</v>
      </c>
      <c r="W78" s="11">
        <v>100</v>
      </c>
      <c r="X78" s="11" t="s">
        <v>115</v>
      </c>
      <c r="Y78" s="11">
        <v>30</v>
      </c>
      <c r="Z78" s="11">
        <v>30</v>
      </c>
      <c r="AA78" s="11" t="s">
        <v>558</v>
      </c>
      <c r="AB78" s="11" t="s">
        <v>559</v>
      </c>
      <c r="AC78" s="11" t="s">
        <v>560</v>
      </c>
      <c r="AD78" s="11">
        <v>0</v>
      </c>
      <c r="AE78" s="11">
        <v>100</v>
      </c>
      <c r="AF78" s="9">
        <f>VLOOKUP(K78,'1197 Salud'!$K$13:$AK$54,22,0)</f>
        <v>0</v>
      </c>
      <c r="AG78" s="9">
        <f>VLOOKUP(K78,'1197 Salud'!$K$13:$AK$54,23,0)</f>
        <v>71.3</v>
      </c>
      <c r="AH78" s="11">
        <f>AG78</f>
        <v>71.3</v>
      </c>
      <c r="AI78" s="9" t="str">
        <f>VLOOKUP(K78,'1197 Salud'!$K$13:$AK$54,25,0)</f>
        <v>Gestantes identificadas con malnutrición con garantia de valoración nutricional por parte del asegurador</v>
      </c>
      <c r="AJ78" s="9" t="str">
        <f>VLOOKUP(K78,'1197 Salud'!$K$13:$AK$54,26,0)</f>
        <v>Se logra consolidar la Mesa Departamental de seguimiento a la malnutrición de la gestante y el niño pequeño, intersectorial e interinstitucional. 
Se consolida el seguimiento semanal municipal a las gestantes con malnutrición y la gestión con las EAPB para la atención oportuna. 
Se consolida la mesa Departamental de trabajo con las EAPB para el seguimiento a la malnutrición</v>
      </c>
      <c r="AK78" s="9" t="str">
        <f>VLOOKUP(K78,'1197 Salud'!$K$13:$AK$54,27,0)</f>
        <v>Inoportunidad en la entrega de los seguimientos por parte de los municipios y de las EAPBS con el fin de verificar el cumplimiento frente a la valoración nutricional en las gestantes. Inasistencia a las reuniones Departamentales por parte de CONVIDA y Famisanar que son las EAPB con mayor cobertura en el Departamento.</v>
      </c>
      <c r="AL78" s="11">
        <v>0</v>
      </c>
      <c r="AM78" s="11">
        <v>100</v>
      </c>
      <c r="AN78" s="11">
        <v>0</v>
      </c>
      <c r="AO78" s="11">
        <v>100</v>
      </c>
      <c r="AP78" s="11">
        <v>0</v>
      </c>
      <c r="AQ78" s="11">
        <v>0</v>
      </c>
      <c r="AR78" s="51">
        <v>26971392</v>
      </c>
      <c r="AS78" s="54">
        <v>0</v>
      </c>
      <c r="AT78" s="54">
        <f t="shared" si="101"/>
        <v>26971392</v>
      </c>
      <c r="AU78" s="51">
        <v>0</v>
      </c>
      <c r="AV78" s="89">
        <v>165238923</v>
      </c>
      <c r="AY78" s="89">
        <v>54629680</v>
      </c>
      <c r="AZ78" s="44" cm="1">
        <f t="array" ref="AZ78">_xlfn.IFS((BA78=0),(BD78/CL78),(BA78&gt;0),((BB78+BD78)/CL78),(BE78&gt;0),((BB78+BD78+BE78)/CL78),(BG78&gt;0),((BB78+BD78+BE78+G78)/CL78))</f>
        <v>0.25324999999999998</v>
      </c>
      <c r="BA78" s="44">
        <v>0.25</v>
      </c>
      <c r="BB78" s="44">
        <v>0.3</v>
      </c>
      <c r="BC78" s="44">
        <f>IF(AE78&gt;0,(1/CL78),0)</f>
        <v>0.25</v>
      </c>
      <c r="BD78" s="44" cm="1">
        <f t="array" ref="BD78">_xlfn.IFS(AE78=0,"NA",AE78&gt;0,AH78/AE78)</f>
        <v>0.71299999999999997</v>
      </c>
      <c r="BE78" s="44">
        <f>IF(AM78&gt;0,(1/CL78),0)</f>
        <v>0.25</v>
      </c>
      <c r="BF78" s="44">
        <v>0</v>
      </c>
      <c r="BG78" s="44">
        <f>IF(AO78&gt;0,(1/CL78),0)</f>
        <v>0.25</v>
      </c>
      <c r="BH78" s="44">
        <v>0</v>
      </c>
      <c r="BI78" s="44">
        <v>0</v>
      </c>
      <c r="BJ78" s="44" t="s">
        <v>115</v>
      </c>
      <c r="BK78" s="44">
        <f t="shared" si="102"/>
        <v>0.25324999999999998</v>
      </c>
      <c r="BL78" s="44">
        <v>0.3</v>
      </c>
      <c r="BM78" s="42" cm="1">
        <f t="array" ref="BM78">_xlfn.IFS(BD78="NA","NA",BD78&gt;100%,"100%",BD78&lt;100,BD78)</f>
        <v>0.71299999999999997</v>
      </c>
      <c r="BN78" s="44">
        <v>0</v>
      </c>
      <c r="BO78" s="44">
        <v>0</v>
      </c>
      <c r="BP78" s="44" t="s">
        <v>115</v>
      </c>
      <c r="BQ78" s="45">
        <v>0.22500000000000001</v>
      </c>
      <c r="BR78" s="43">
        <f t="shared" si="103"/>
        <v>5.6981249999999997E-2</v>
      </c>
      <c r="BS78" s="45">
        <v>5.6300000000000003E-2</v>
      </c>
      <c r="BT78" s="45">
        <v>1.6899999999999998E-2</v>
      </c>
      <c r="BU78" s="45">
        <v>1.6899999999999998E-2</v>
      </c>
      <c r="BV78" s="45">
        <v>5.6300000000000003E-2</v>
      </c>
      <c r="BW78" s="43">
        <f t="shared" si="104"/>
        <v>4.0141900000000001E-2</v>
      </c>
      <c r="BX78" s="43">
        <f t="shared" si="105"/>
        <v>4.0081249999999999E-2</v>
      </c>
      <c r="BY78" s="45">
        <v>5.6300000000000003E-2</v>
      </c>
      <c r="BZ78" s="45">
        <v>0</v>
      </c>
      <c r="CA78" s="43">
        <f t="shared" si="106"/>
        <v>0</v>
      </c>
      <c r="CB78" s="45">
        <v>5.6300000000000003E-2</v>
      </c>
      <c r="CC78" s="45">
        <v>0</v>
      </c>
      <c r="CD78" s="45">
        <v>0</v>
      </c>
      <c r="CE78" s="45">
        <v>0</v>
      </c>
      <c r="CF78" s="45" t="s">
        <v>115</v>
      </c>
      <c r="CG78" s="45">
        <v>0</v>
      </c>
      <c r="CH78">
        <f>IF(W78&gt;0,1,0)</f>
        <v>1</v>
      </c>
      <c r="CI78">
        <f>IF(AE78&gt;0,1,0)</f>
        <v>1</v>
      </c>
      <c r="CJ78">
        <f>IF(AM78&gt;0,1,0)</f>
        <v>1</v>
      </c>
      <c r="CK78">
        <f>IF(AO78&gt;0,1,0)</f>
        <v>1</v>
      </c>
      <c r="CL78">
        <f>CH78+CI78+CJ78+CK78</f>
        <v>4</v>
      </c>
    </row>
    <row r="79" spans="1:90" ht="18" customHeight="1">
      <c r="A79" s="260" t="s">
        <v>98</v>
      </c>
      <c r="B79" s="260" t="s">
        <v>99</v>
      </c>
      <c r="C79" s="260" t="s">
        <v>100</v>
      </c>
      <c r="D79" s="260" t="s">
        <v>508</v>
      </c>
      <c r="E79" s="260" t="s">
        <v>509</v>
      </c>
      <c r="F79" s="260" t="s">
        <v>561</v>
      </c>
      <c r="G79" s="260" t="s">
        <v>562</v>
      </c>
      <c r="H79" s="260" t="s">
        <v>563</v>
      </c>
      <c r="I79" s="260"/>
      <c r="J79" s="12" t="s">
        <v>564</v>
      </c>
      <c r="K79" s="260" t="s">
        <v>565</v>
      </c>
      <c r="L79" s="260" t="s">
        <v>566</v>
      </c>
      <c r="M79" s="260" t="s">
        <v>567</v>
      </c>
      <c r="N79" s="260" t="s">
        <v>123</v>
      </c>
      <c r="O79" s="260" t="s">
        <v>112</v>
      </c>
      <c r="P79" s="10">
        <v>50</v>
      </c>
      <c r="Q79" s="11">
        <v>50</v>
      </c>
      <c r="R79" s="9">
        <f t="shared" ref="R79:R81" si="107">Z79+AH79</f>
        <v>8</v>
      </c>
      <c r="S79" s="9" t="str">
        <f>VLOOKUP(K79,'1197 Salud'!$K$13:$AK$54,9,0)</f>
        <v>se socializo propuesta para construcción y aprobación del plan de acción para la reducción de la morbilidad materna extrema en el departamento de Cundinamarca, una vez se consoliden las acciones propuestas por las diferentes direcciones se procederá a la aprobación y socialización del plan. La implementación se hará  por fases, nos encontramos en el alistamiento identificando barreras y facilitadores, como respaldo a la propuesta realizada por el Departamento.La implementación se hará  por fases, nos encontramos en el alistamiento identificando barreras y facilitadores, como respaldo a la propuesta realizada por el Departamento, con apoyo del desarrollo de mesas de trabajo con Ministerio de salud y proteccion social, municipios y EAPBSLa implementación se hará  por fases, nos encontramos en el alistamiento identificando barreras y facilitadores, como respaldo a la propuesta realizada por el Departamento, con apoyo del desarrollo de mesas de trabajo con Ministerio de salud y protección social, municipios y EAPBS
Desde la DSDSDR se realizan acciones concernientes al plan accion para la reduccion de la mme en base a las competencias propias como son los procesos de asitencias tecnicas a IPS, EAPBS, DTS, mesas de trabajo con DTS,IPS,EAPBS, Visitas de asistencia tecnica a las ESEs priorizadas de acuerdo al comportamiento del indicador de mortalidad materna
Se cuenta con documento firmado por secretario y aprobado por la diferentes direcciones el cual sera socializado e iniciara proceso de implemetacion para 4 trimestre de 2021</v>
      </c>
      <c r="T79" s="11">
        <v>5</v>
      </c>
      <c r="U79" s="11">
        <v>0</v>
      </c>
      <c r="V79" s="11">
        <v>5</v>
      </c>
      <c r="W79" s="11">
        <v>0</v>
      </c>
      <c r="X79" s="11">
        <v>5</v>
      </c>
      <c r="Y79" s="11">
        <v>0</v>
      </c>
      <c r="Z79" s="11">
        <v>5</v>
      </c>
      <c r="AA79" s="11" t="s">
        <v>568</v>
      </c>
      <c r="AB79" s="11" t="s">
        <v>569</v>
      </c>
      <c r="AC79" s="11" t="s">
        <v>570</v>
      </c>
      <c r="AD79" s="11">
        <v>15</v>
      </c>
      <c r="AE79" s="11">
        <v>0</v>
      </c>
      <c r="AF79" s="9">
        <f>VLOOKUP(K79,'1197 Salud'!$K$13:$AK$54,22,0)</f>
        <v>3</v>
      </c>
      <c r="AG79" s="9">
        <f>VLOOKUP(K79,'1197 Salud'!$K$13:$AK$54,23,0)</f>
        <v>0</v>
      </c>
      <c r="AH79" s="9">
        <f t="shared" ref="AH79:AH81" si="108">AF79</f>
        <v>3</v>
      </c>
      <c r="AI79" s="9" t="str">
        <f>VLOOKUP(K79,'1197 Salud'!$K$13:$AK$54,25,0)</f>
        <v>Avance en implementación del plan</v>
      </c>
      <c r="AJ79" s="9" t="str">
        <f>VLOOKUP(K79,'1197 Salud'!$K$13:$AK$54,26,0)</f>
        <v>se socializo propuesta para construcción y aprobación del plan de acción para la reducción de la morbilidad materna extrema en el departamento de Cundinamarca, una vez se consoliden las acciones propuestas por las diferentes direcciones se procederá a la aprobación y socialización del plan. La implementación se hará  por fases, nos encontramos en el alistamiento identificando barreras y facilitadores, como respaldo a la propuesta realizada por el Departamento.
La implementación se hará  por fases, nos encontramos en el alistamiento identificando barreras y facilitadores, como respaldo a la propuesta realizada por el Departamento, con apoyo del desarrollo de mesas de trabajo con Ministerio de salud y proteccion social, municipios y EAPBS
Se cuenta con documento firmado por secretario y aprobado por la diferentes direcciones el cual sera socializado e iniciara proceso de implemetacion para 4 trimestre de 2021</v>
      </c>
      <c r="AK79" s="9" t="str">
        <f>VLOOKUP(K79,'1197 Salud'!$K$13:$AK$54,27,0)</f>
        <v>Demoras en los tramites administrativos (DIRECCION DESARROLLO DE SERVICIOS)
Desde julio se estan desarrollando las acciones inmersas en el plan de accion de competencias de la DSDSDR, Aseguramiento dado que la direccion de desarrollo de servicios aun no define su responsabilidad en la ejecucion de este plan.</v>
      </c>
      <c r="AL79" s="11">
        <v>15</v>
      </c>
      <c r="AM79" s="11">
        <v>0</v>
      </c>
      <c r="AN79" s="11">
        <v>15</v>
      </c>
      <c r="AO79" s="11">
        <v>0</v>
      </c>
      <c r="AP79" s="11">
        <v>0</v>
      </c>
      <c r="AQ79" s="11">
        <v>0</v>
      </c>
      <c r="AR79" s="51">
        <v>437000000</v>
      </c>
      <c r="AS79" s="54">
        <v>0</v>
      </c>
      <c r="AT79" s="54">
        <f t="shared" si="101"/>
        <v>437000000</v>
      </c>
      <c r="AU79" s="51">
        <v>402723345</v>
      </c>
      <c r="AV79" s="89">
        <v>802958669</v>
      </c>
      <c r="AY79" s="89">
        <v>65135905</v>
      </c>
      <c r="AZ79" s="42">
        <f t="shared" ref="AZ79:AZ81" si="109">R79/Q79</f>
        <v>0.16</v>
      </c>
      <c r="BA79" s="44">
        <v>0.1</v>
      </c>
      <c r="BB79" s="44">
        <v>1</v>
      </c>
      <c r="BC79" s="42">
        <f t="shared" ref="BC79:BC81" si="110">AD79/Q79</f>
        <v>0.3</v>
      </c>
      <c r="BD79" s="42" cm="1">
        <f t="array" ref="BD79">_xlfn.IFS(AD79=0,"NA",AD79&gt;0,AH79/AD79)</f>
        <v>0.2</v>
      </c>
      <c r="BE79" s="42">
        <f t="shared" ref="BE79:BE81" si="111">AL79/Q79</f>
        <v>0.3</v>
      </c>
      <c r="BF79" s="44">
        <v>0</v>
      </c>
      <c r="BG79" s="42">
        <f t="shared" ref="BG79:BG81" si="112">AN79/Q79</f>
        <v>0.3</v>
      </c>
      <c r="BH79" s="44">
        <v>0</v>
      </c>
      <c r="BI79" s="42">
        <f t="shared" ref="BI79:BI81" si="113">AP79/Q79</f>
        <v>0</v>
      </c>
      <c r="BJ79" s="44" t="s">
        <v>115</v>
      </c>
      <c r="BK79" s="42">
        <f t="shared" si="102"/>
        <v>0.16</v>
      </c>
      <c r="BL79" s="44">
        <v>1</v>
      </c>
      <c r="BM79" s="42" cm="1">
        <f t="array" ref="BM79">_xlfn.IFS(BD79="NA","NA",BD79&gt;100%,"100%",BD79&lt;100,BD79)</f>
        <v>0.2</v>
      </c>
      <c r="BN79" s="42" cm="1">
        <f t="array" ref="BN79">_xlfn.IFS(BF79="NA","NA",BF79&gt;100%,"100%",BF79&lt;100,BF79)</f>
        <v>0</v>
      </c>
      <c r="BO79" s="42" cm="1">
        <f t="array" ref="BO79">_xlfn.IFS(BH79="NA","NA",BH79&gt;100%,"100%",BH79&lt;100,BH79)</f>
        <v>0</v>
      </c>
      <c r="BP79" s="42" t="str" cm="1">
        <f t="array" ref="BP79">_xlfn.IFS(BJ79="NA","NA",BJ79&gt;100%,"100%",BJ79&lt;100,BJ79)</f>
        <v>NA</v>
      </c>
      <c r="BQ79" s="45">
        <v>0.22500000000000001</v>
      </c>
      <c r="BR79" s="43">
        <f t="shared" si="103"/>
        <v>3.6000000000000004E-2</v>
      </c>
      <c r="BS79" s="45">
        <v>2.2499999999999999E-2</v>
      </c>
      <c r="BT79" s="45">
        <v>2.2499999999999999E-2</v>
      </c>
      <c r="BU79" s="45">
        <v>2.2499999999999999E-2</v>
      </c>
      <c r="BV79" s="43">
        <f t="shared" ref="BV79:BV81" si="114">(AD79*BQ79)/Q79</f>
        <v>6.7500000000000004E-2</v>
      </c>
      <c r="BW79" s="43">
        <f t="shared" si="104"/>
        <v>1.3500000000000002E-2</v>
      </c>
      <c r="BX79" s="43">
        <f t="shared" si="105"/>
        <v>1.3500000000000005E-2</v>
      </c>
      <c r="BY79" s="43">
        <f t="shared" ref="BY79:BY81" si="115">(AL79*BQ79)/Q79</f>
        <v>6.7500000000000004E-2</v>
      </c>
      <c r="BZ79" s="43">
        <f t="shared" ref="BZ79:BZ81" si="116">IF(BN79="NA","NA",BN79*BY79)</f>
        <v>0</v>
      </c>
      <c r="CA79" s="43">
        <f t="shared" si="106"/>
        <v>0</v>
      </c>
      <c r="CB79" s="43">
        <f t="shared" ref="CB79:CB81" si="117">(AN79*BQ79)/Q79</f>
        <v>6.7500000000000004E-2</v>
      </c>
      <c r="CC79" s="43">
        <f t="shared" ref="CC79:CC81" si="118">IF(BO79="NA","NA",BO79*CB79)</f>
        <v>0</v>
      </c>
      <c r="CD79" s="45">
        <v>0</v>
      </c>
      <c r="CE79" s="43">
        <f t="shared" ref="CE79:CE81" si="119">(AP79*BQ79)/Q79</f>
        <v>0</v>
      </c>
      <c r="CF79" s="43" t="str">
        <f t="shared" ref="CF79:CF81" si="120">IF(BP79="NA","NA",BP79*CE79)</f>
        <v>NA</v>
      </c>
      <c r="CG79" s="45">
        <v>0</v>
      </c>
    </row>
    <row r="80" spans="1:90" ht="18" customHeight="1">
      <c r="A80" s="260" t="s">
        <v>98</v>
      </c>
      <c r="B80" s="260" t="s">
        <v>99</v>
      </c>
      <c r="C80" s="260" t="s">
        <v>100</v>
      </c>
      <c r="D80" s="260" t="s">
        <v>508</v>
      </c>
      <c r="E80" s="260" t="s">
        <v>509</v>
      </c>
      <c r="F80" s="260" t="s">
        <v>561</v>
      </c>
      <c r="G80" s="260" t="s">
        <v>562</v>
      </c>
      <c r="H80" s="260" t="s">
        <v>571</v>
      </c>
      <c r="I80" s="260"/>
      <c r="J80" s="12" t="s">
        <v>564</v>
      </c>
      <c r="K80" s="260" t="s">
        <v>572</v>
      </c>
      <c r="L80" s="260" t="s">
        <v>573</v>
      </c>
      <c r="M80" s="260" t="s">
        <v>574</v>
      </c>
      <c r="N80" s="260" t="s">
        <v>123</v>
      </c>
      <c r="O80" s="260" t="s">
        <v>112</v>
      </c>
      <c r="P80" s="10">
        <v>88</v>
      </c>
      <c r="Q80" s="11">
        <v>4</v>
      </c>
      <c r="R80" s="9">
        <f t="shared" si="107"/>
        <v>1.2</v>
      </c>
      <c r="S80" s="9" t="str">
        <f>VLOOKUP(K80,'1197 Salud'!$K$13:$AK$54,9,0)</f>
        <v>Se realizan procesos de asistencias tecnicas para IPS Publicas y privadas, EAPBS y direcciones territoriales de salud en la implementacion de la RIA MATERNO PERINATAL, GESTION DEL RIESGO OBSTETRICO, con el fin de garantizar la captación temprana de la gestante para así lograr la garantía a los controles prenatales completos durante el proceso de gestación</v>
      </c>
      <c r="T80" s="11">
        <v>0.4</v>
      </c>
      <c r="U80" s="11">
        <v>0</v>
      </c>
      <c r="V80" s="11">
        <v>0.4</v>
      </c>
      <c r="W80" s="11">
        <v>0</v>
      </c>
      <c r="X80" s="11">
        <v>1</v>
      </c>
      <c r="Y80" s="11">
        <v>0</v>
      </c>
      <c r="Z80" s="11">
        <v>1</v>
      </c>
      <c r="AA80" s="11" t="s">
        <v>575</v>
      </c>
      <c r="AB80" s="11" t="s">
        <v>576</v>
      </c>
      <c r="AC80" s="11">
        <v>0</v>
      </c>
      <c r="AD80" s="11">
        <v>1.2</v>
      </c>
      <c r="AE80" s="11">
        <v>0</v>
      </c>
      <c r="AF80" s="9">
        <f>VLOOKUP(K80,'1197 Salud'!$K$13:$AK$54,22,0)</f>
        <v>0.2</v>
      </c>
      <c r="AG80" s="9">
        <f>VLOOKUP(K80,'1197 Salud'!$K$13:$AK$54,23,0)</f>
        <v>0</v>
      </c>
      <c r="AH80" s="9">
        <f t="shared" si="108"/>
        <v>0.2</v>
      </c>
      <c r="AI80" s="9" t="str">
        <f>VLOOKUP(K80,'1197 Salud'!$K$13:$AK$54,25,0)</f>
        <v>Gestantes con 4 o más controles prenatales.</v>
      </c>
      <c r="AJ80" s="9" t="str">
        <f>VLOOKUP(K80,'1197 Salud'!$K$13:$AK$54,26,0)</f>
        <v>Se realizan procesos de asistencias tecnicas para IPS Publicas y privadas, EAPBS y direcciones territoriales de salud en la implementacion de la RIA MATERNO PERINATAL, GESTION DEL RIESGO OBSTETRICO, con el fin de garantizar la captación temprana de la gestante para así lograr la garantía a los controles prenatales completos durante el proceso de gestación</v>
      </c>
      <c r="AK80" s="9" t="str">
        <f>VLOOKUP(K80,'1197 Salud'!$K$13:$AK$54,27,0)</f>
        <v>N/A</v>
      </c>
      <c r="AL80" s="11">
        <v>1.2</v>
      </c>
      <c r="AM80" s="11">
        <v>0</v>
      </c>
      <c r="AN80" s="11">
        <v>1.2</v>
      </c>
      <c r="AO80" s="11">
        <v>0</v>
      </c>
      <c r="AP80" s="11">
        <v>0</v>
      </c>
      <c r="AQ80" s="11">
        <v>0</v>
      </c>
      <c r="AR80" s="51">
        <v>9000000</v>
      </c>
      <c r="AS80" s="54">
        <v>0</v>
      </c>
      <c r="AT80" s="54">
        <f t="shared" si="101"/>
        <v>9000000</v>
      </c>
      <c r="AU80" s="51">
        <v>7389522</v>
      </c>
      <c r="AV80" s="89">
        <v>195716768</v>
      </c>
      <c r="AY80" s="89">
        <v>160247061</v>
      </c>
      <c r="AZ80" s="42">
        <f t="shared" si="109"/>
        <v>0.3</v>
      </c>
      <c r="BA80" s="44">
        <v>0.1</v>
      </c>
      <c r="BB80" s="44">
        <v>2.5</v>
      </c>
      <c r="BC80" s="42">
        <f t="shared" si="110"/>
        <v>0.3</v>
      </c>
      <c r="BD80" s="42" cm="1">
        <f t="array" ref="BD80">_xlfn.IFS(AD80=0,"NA",AD80&gt;0,AH80/AD80)</f>
        <v>0.16666666666666669</v>
      </c>
      <c r="BE80" s="42">
        <f t="shared" si="111"/>
        <v>0.3</v>
      </c>
      <c r="BF80" s="44">
        <v>0</v>
      </c>
      <c r="BG80" s="42">
        <f t="shared" si="112"/>
        <v>0.3</v>
      </c>
      <c r="BH80" s="44">
        <v>0</v>
      </c>
      <c r="BI80" s="42">
        <f t="shared" si="113"/>
        <v>0</v>
      </c>
      <c r="BJ80" s="44" t="s">
        <v>115</v>
      </c>
      <c r="BK80" s="42">
        <f t="shared" si="102"/>
        <v>0.3</v>
      </c>
      <c r="BL80" s="44">
        <v>1</v>
      </c>
      <c r="BM80" s="42" cm="1">
        <f t="array" ref="BM80">_xlfn.IFS(BD80="NA","NA",BD80&gt;100%,"100%",BD80&lt;100,BD80)</f>
        <v>0.16666666666666669</v>
      </c>
      <c r="BN80" s="42" cm="1">
        <f t="array" ref="BN80">_xlfn.IFS(BF80="NA","NA",BF80&gt;100%,"100%",BF80&lt;100,BF80)</f>
        <v>0</v>
      </c>
      <c r="BO80" s="42" cm="1">
        <f t="array" ref="BO80">_xlfn.IFS(BH80="NA","NA",BH80&gt;100%,"100%",BH80&lt;100,BH80)</f>
        <v>0</v>
      </c>
      <c r="BP80" s="42" t="str" cm="1">
        <f t="array" ref="BP80">_xlfn.IFS(BJ80="NA","NA",BJ80&gt;100%,"100%",BJ80&lt;100,BJ80)</f>
        <v>NA</v>
      </c>
      <c r="BQ80" s="45">
        <v>0.22500000000000001</v>
      </c>
      <c r="BR80" s="43">
        <f t="shared" si="103"/>
        <v>6.7500000000000004E-2</v>
      </c>
      <c r="BS80" s="45">
        <v>2.2499999999999999E-2</v>
      </c>
      <c r="BT80" s="45">
        <v>2.2499999999999999E-2</v>
      </c>
      <c r="BU80" s="45">
        <v>5.6300000000000003E-2</v>
      </c>
      <c r="BV80" s="43">
        <f t="shared" si="114"/>
        <v>6.7500000000000004E-2</v>
      </c>
      <c r="BW80" s="43">
        <f t="shared" si="104"/>
        <v>1.1250000000000001E-2</v>
      </c>
      <c r="BX80" s="9">
        <f t="shared" si="105"/>
        <v>1.1200000000000002E-2</v>
      </c>
      <c r="BY80" s="43">
        <f t="shared" si="115"/>
        <v>6.7500000000000004E-2</v>
      </c>
      <c r="BZ80" s="43">
        <f t="shared" si="116"/>
        <v>0</v>
      </c>
      <c r="CA80" s="43">
        <f t="shared" si="106"/>
        <v>0</v>
      </c>
      <c r="CB80" s="43">
        <f t="shared" si="117"/>
        <v>6.7500000000000004E-2</v>
      </c>
      <c r="CC80" s="43">
        <f t="shared" si="118"/>
        <v>0</v>
      </c>
      <c r="CD80" s="45">
        <v>0</v>
      </c>
      <c r="CE80" s="43">
        <f t="shared" si="119"/>
        <v>0</v>
      </c>
      <c r="CF80" s="43" t="str">
        <f t="shared" si="120"/>
        <v>NA</v>
      </c>
      <c r="CG80" s="45">
        <v>0</v>
      </c>
    </row>
    <row r="81" spans="1:90" ht="18" customHeight="1">
      <c r="A81" s="260" t="s">
        <v>144</v>
      </c>
      <c r="B81" s="260" t="s">
        <v>145</v>
      </c>
      <c r="C81" s="260" t="s">
        <v>100</v>
      </c>
      <c r="D81" s="260" t="s">
        <v>508</v>
      </c>
      <c r="E81" s="260" t="s">
        <v>509</v>
      </c>
      <c r="F81" s="260" t="s">
        <v>561</v>
      </c>
      <c r="G81" s="260" t="s">
        <v>562</v>
      </c>
      <c r="H81" s="260" t="s">
        <v>577</v>
      </c>
      <c r="I81" s="260"/>
      <c r="J81" s="260"/>
      <c r="K81" s="260" t="s">
        <v>578</v>
      </c>
      <c r="L81" s="260" t="s">
        <v>2874</v>
      </c>
      <c r="M81" s="260" t="s">
        <v>580</v>
      </c>
      <c r="N81" s="260" t="s">
        <v>111</v>
      </c>
      <c r="O81" s="260" t="s">
        <v>112</v>
      </c>
      <c r="P81" s="10">
        <v>4200</v>
      </c>
      <c r="Q81" s="11">
        <v>8000</v>
      </c>
      <c r="R81" s="9">
        <f t="shared" si="107"/>
        <v>0</v>
      </c>
      <c r="S81" s="11">
        <f>VLOOKUP(K81,'1126 Desarrollo Social'!$K$13:$S$58,9,0)</f>
        <v>0</v>
      </c>
      <c r="T81" s="11">
        <v>0</v>
      </c>
      <c r="U81" s="11">
        <v>0</v>
      </c>
      <c r="V81" s="11">
        <v>0</v>
      </c>
      <c r="W81" s="11">
        <v>0</v>
      </c>
      <c r="X81" s="11">
        <v>0</v>
      </c>
      <c r="Y81" s="11">
        <v>0</v>
      </c>
      <c r="Z81" s="11">
        <v>0</v>
      </c>
      <c r="AA81" s="11"/>
      <c r="AB81" s="11"/>
      <c r="AC81" s="11"/>
      <c r="AD81" s="11">
        <v>2000</v>
      </c>
      <c r="AE81" s="11">
        <v>0</v>
      </c>
      <c r="AF81" s="11">
        <f>VLOOKUP(K81,'1126 Desarrollo Social'!$K$13:$AK$58,22,0)</f>
        <v>0</v>
      </c>
      <c r="AG81" s="11">
        <f>VLOOKUP(K81,'1126 Desarrollo Social'!$K$13:$AK$58,23,0)</f>
        <v>0</v>
      </c>
      <c r="AH81" s="9">
        <f t="shared" si="108"/>
        <v>0</v>
      </c>
      <c r="AI81" s="9">
        <f>VLOOKUP(K81,'1126 Desarrollo Social'!$K$13:$AK$58,25,0)</f>
        <v>0</v>
      </c>
      <c r="AJ81" s="9" t="str">
        <f>VLOOKUP(K81,'1126 Desarrollo Social'!$K$13:$AK$58,26,0)</f>
        <v>Junto con la Caja de COMPENSACION COMPENSAR  se pretende firmar un Convenio de Asociación a fin de beneficiar 152  madres gestantes y Lactantes y asi lograr regular su estado nutricional.   Inicialmente en los municipios de  Caparrapi Yacopi La Palma La Peña Guaduas y Villeta. Se encuentra en revisiòn por las partes</v>
      </c>
      <c r="AK81" s="9">
        <f>VLOOKUP(K81,'1126 Desarrollo Social'!$K$13:$AK$58,27,0)</f>
        <v>0</v>
      </c>
      <c r="AL81" s="11">
        <v>3000</v>
      </c>
      <c r="AM81" s="11">
        <v>0</v>
      </c>
      <c r="AN81" s="11">
        <v>3000</v>
      </c>
      <c r="AO81" s="11">
        <v>0</v>
      </c>
      <c r="AP81" s="11">
        <v>0</v>
      </c>
      <c r="AQ81" s="11">
        <v>0</v>
      </c>
      <c r="AR81" s="52"/>
      <c r="AS81" s="54">
        <v>0</v>
      </c>
      <c r="AT81" s="54">
        <f t="shared" si="101"/>
        <v>0</v>
      </c>
      <c r="AU81" s="52"/>
      <c r="AV81" s="89">
        <v>0</v>
      </c>
      <c r="AY81" s="89">
        <v>0</v>
      </c>
      <c r="AZ81" s="42">
        <f t="shared" si="109"/>
        <v>0</v>
      </c>
      <c r="BA81" s="44">
        <v>0</v>
      </c>
      <c r="BB81" s="44" t="s">
        <v>115</v>
      </c>
      <c r="BC81" s="42">
        <f t="shared" si="110"/>
        <v>0.25</v>
      </c>
      <c r="BD81" s="42" cm="1">
        <f t="array" ref="BD81">_xlfn.IFS(AD81=0,"NA",AD81&gt;0,AH81/AD81)</f>
        <v>0</v>
      </c>
      <c r="BE81" s="42">
        <f t="shared" si="111"/>
        <v>0.375</v>
      </c>
      <c r="BF81" s="44">
        <v>0</v>
      </c>
      <c r="BG81" s="42">
        <f t="shared" si="112"/>
        <v>0.375</v>
      </c>
      <c r="BH81" s="44">
        <v>0</v>
      </c>
      <c r="BI81" s="42">
        <f t="shared" si="113"/>
        <v>0</v>
      </c>
      <c r="BJ81" s="44" t="s">
        <v>115</v>
      </c>
      <c r="BK81" s="42">
        <f t="shared" si="102"/>
        <v>0</v>
      </c>
      <c r="BL81" s="44" t="s">
        <v>115</v>
      </c>
      <c r="BM81" s="42" cm="1">
        <f t="array" ref="BM81">_xlfn.IFS(BD81="NA","NA",BD81&gt;100%,"100%",BD81&lt;100,BD81)</f>
        <v>0</v>
      </c>
      <c r="BN81" s="42" cm="1">
        <f t="array" ref="BN81">_xlfn.IFS(BF81="NA","NA",BF81&gt;100%,"100%",BF81&lt;100,BF81)</f>
        <v>0</v>
      </c>
      <c r="BO81" s="42" cm="1">
        <f t="array" ref="BO81">_xlfn.IFS(BH81="NA","NA",BH81&gt;100%,"100%",BH81&lt;100,BH81)</f>
        <v>0</v>
      </c>
      <c r="BP81" s="42" t="str" cm="1">
        <f t="array" ref="BP81">_xlfn.IFS(BJ81="NA","NA",BJ81&gt;100%,"100%",BJ81&lt;100,BJ81)</f>
        <v>NA</v>
      </c>
      <c r="BQ81" s="45">
        <v>0.22500000000000001</v>
      </c>
      <c r="BR81" s="43">
        <f t="shared" si="103"/>
        <v>0</v>
      </c>
      <c r="BS81" s="45">
        <v>0</v>
      </c>
      <c r="BT81" s="45" t="s">
        <v>115</v>
      </c>
      <c r="BU81" s="45">
        <v>0</v>
      </c>
      <c r="BV81" s="43">
        <f t="shared" si="114"/>
        <v>5.6250000000000001E-2</v>
      </c>
      <c r="BW81" s="43">
        <f t="shared" si="104"/>
        <v>0</v>
      </c>
      <c r="BX81" s="43">
        <f t="shared" si="105"/>
        <v>0</v>
      </c>
      <c r="BY81" s="43">
        <f t="shared" si="115"/>
        <v>8.4375000000000006E-2</v>
      </c>
      <c r="BZ81" s="43">
        <f t="shared" si="116"/>
        <v>0</v>
      </c>
      <c r="CA81" s="43">
        <f t="shared" si="106"/>
        <v>0</v>
      </c>
      <c r="CB81" s="43">
        <f t="shared" si="117"/>
        <v>8.4375000000000006E-2</v>
      </c>
      <c r="CC81" s="43">
        <f t="shared" si="118"/>
        <v>0</v>
      </c>
      <c r="CD81" s="45">
        <v>0</v>
      </c>
      <c r="CE81" s="43">
        <f t="shared" si="119"/>
        <v>0</v>
      </c>
      <c r="CF81" s="43" t="str">
        <f t="shared" si="120"/>
        <v>NA</v>
      </c>
      <c r="CG81" s="45">
        <v>0</v>
      </c>
    </row>
    <row r="82" spans="1:90" ht="18" customHeight="1">
      <c r="A82" s="260" t="s">
        <v>98</v>
      </c>
      <c r="B82" s="260" t="s">
        <v>99</v>
      </c>
      <c r="C82" s="260" t="s">
        <v>100</v>
      </c>
      <c r="D82" s="260" t="s">
        <v>508</v>
      </c>
      <c r="E82" s="260" t="s">
        <v>509</v>
      </c>
      <c r="F82" s="260" t="s">
        <v>581</v>
      </c>
      <c r="G82" s="260" t="s">
        <v>582</v>
      </c>
      <c r="H82" s="260" t="s">
        <v>583</v>
      </c>
      <c r="I82" s="260"/>
      <c r="J82" s="12" t="s">
        <v>584</v>
      </c>
      <c r="K82" s="260" t="s">
        <v>585</v>
      </c>
      <c r="L82" s="260" t="s">
        <v>586</v>
      </c>
      <c r="M82" s="260" t="s">
        <v>587</v>
      </c>
      <c r="N82" s="260" t="s">
        <v>123</v>
      </c>
      <c r="O82" s="260" t="s">
        <v>124</v>
      </c>
      <c r="P82" s="10">
        <v>95</v>
      </c>
      <c r="Q82" s="11">
        <v>95</v>
      </c>
      <c r="R82" s="11">
        <f t="shared" ref="R82:R83" si="121">(Z82+AH82)/CL82</f>
        <v>47</v>
      </c>
      <c r="S82" s="9" t="str">
        <f>VLOOKUP(K82,'1197 Salud'!$K$13:$AK$54,9,0)</f>
        <v xml:space="preserve">Coberturas:
	Menor de un año 61,1 % con la tercera dosis del biológico de pentavalente; equivalente al 93%.
	Menor de año 60% con el biológico de triple viral; equivalente al 90,6% 
	Menor de cinco Años 63,9% para el trazador de cinco años con el biológicos de primer refuerzo de triple viral; equivalente al 96,2% 
El ideal para el periodo es de 63,2% para poder estar con coberturas del 95%, a la fecha el departamento lleva  coberturas  óptimas solo en menor de cinco años con el trazador de refuerzo de Triple viral, para un año y menor de  año estamos en coberturas  en riesgo por debajo del 95%, , sin empbaro estamos  por ecima del resultado de la nacion y de departametos como  boyaca y valle del cauca. </v>
      </c>
      <c r="T82" s="11">
        <v>0</v>
      </c>
      <c r="U82" s="11">
        <v>95</v>
      </c>
      <c r="V82" s="11">
        <v>0</v>
      </c>
      <c r="W82" s="11">
        <v>95</v>
      </c>
      <c r="X82" s="11" t="s">
        <v>115</v>
      </c>
      <c r="Y82" s="11">
        <v>95</v>
      </c>
      <c r="Z82" s="11">
        <v>95</v>
      </c>
      <c r="AA82" s="11" t="s">
        <v>588</v>
      </c>
      <c r="AB82" s="11" t="s">
        <v>589</v>
      </c>
      <c r="AC82" s="11" t="s">
        <v>590</v>
      </c>
      <c r="AD82" s="11">
        <v>0</v>
      </c>
      <c r="AE82" s="11">
        <v>95</v>
      </c>
      <c r="AF82" s="9">
        <f>VLOOKUP(K82,'1197 Salud'!$K$13:$AK$54,22,0)</f>
        <v>0</v>
      </c>
      <c r="AG82" s="9">
        <f>VLOOKUP(K82,'1197 Salud'!$K$13:$AK$54,23,0)</f>
        <v>93</v>
      </c>
      <c r="AH82" s="11">
        <f t="shared" ref="AH82:AH83" si="122">AG82</f>
        <v>93</v>
      </c>
      <c r="AI82" s="9" t="str">
        <f>VLOOKUP(K82,'1197 Salud'!$K$13:$AK$54,25,0)</f>
        <v>informe de coberturas de vacunación</v>
      </c>
      <c r="AJ82" s="9" t="str">
        <f>VLOOKUP(K82,'1197 Salud'!$K$13:$AK$54,26,0)</f>
        <v xml:space="preserve">Coberturas:
	Menor de un año 61,1 % con la tercera dosis del biológico de pentavalente; equivalente al 93%.
	Menor de año 60% con el biológico de triple viral; equivalente al 90,6% 
	Menor de cinco Años 63,9% para el trazador de cinco años con el biológicos de primer refuerzo de triple viral; equivalente al 96,2% 
El ideal para el periodo es de 63,2% para poder estar con coberturas del 95%, a la fecha el departamento lleva  coberturas  óptimas solo en menor de cinco años con el trazador de refuerzo de Triple viral, para un año y menor de  año estamos en coberturas  en riesgo por debajo del 95%, , sin empbaro estamos  por ecima del resultado de la nacion y de departametos como  boyaca y valle del cauca. </v>
      </c>
      <c r="AK82" s="9" t="str">
        <f>VLOOKUP(K82,'1197 Salud'!$K$13:$AK$54,27,0)</f>
        <v>Falta de personal exclusivo para el programa, al iguial incermeto de actividades en el talento humano, inasistencia oportuna de los menores causando una prologacion en la cohorte.</v>
      </c>
      <c r="AL82" s="11">
        <v>0</v>
      </c>
      <c r="AM82" s="11">
        <v>95</v>
      </c>
      <c r="AN82" s="11">
        <v>0</v>
      </c>
      <c r="AO82" s="11">
        <v>95</v>
      </c>
      <c r="AP82" s="11">
        <v>0</v>
      </c>
      <c r="AQ82" s="11">
        <v>0</v>
      </c>
      <c r="AR82" s="51">
        <v>193063879</v>
      </c>
      <c r="AS82" s="54">
        <v>0</v>
      </c>
      <c r="AT82" s="54">
        <f t="shared" si="101"/>
        <v>193063879</v>
      </c>
      <c r="AU82" s="51">
        <v>180293059</v>
      </c>
      <c r="AV82" s="89">
        <v>6832451289</v>
      </c>
      <c r="AY82" s="89">
        <v>1026818890</v>
      </c>
      <c r="AZ82" s="44" cm="1">
        <f t="array" ref="AZ82">_xlfn.IFS((BA82=0),(BD82/CL82),(BA82&gt;0),((BB82+BD82)/CL82),(BE82&gt;0),((BB82+BD82+BE82)/CL82),(BG82&gt;0),((BB82+BD82+BE82+G82)/CL82))</f>
        <v>0.49473684210526314</v>
      </c>
      <c r="BA82" s="44">
        <v>0.25</v>
      </c>
      <c r="BB82" s="44">
        <v>1</v>
      </c>
      <c r="BC82" s="44">
        <f t="shared" ref="BC82:BC83" si="123">IF(AE82&gt;0,(1/CL82),0)</f>
        <v>0.25</v>
      </c>
      <c r="BD82" s="44" cm="1">
        <f t="array" ref="BD82">_xlfn.IFS(AE82=0,"NA",AE82&gt;0,AH82/AE82)</f>
        <v>0.97894736842105268</v>
      </c>
      <c r="BE82" s="44">
        <f t="shared" ref="BE82:BE83" si="124">IF(AM82&gt;0,(1/CL82),0)</f>
        <v>0.25</v>
      </c>
      <c r="BF82" s="44">
        <v>0</v>
      </c>
      <c r="BG82" s="44">
        <f t="shared" ref="BG82:BG83" si="125">IF(AO82&gt;0,(1/CL82),0)</f>
        <v>0.25</v>
      </c>
      <c r="BH82" s="44">
        <v>0</v>
      </c>
      <c r="BI82" s="44">
        <v>0</v>
      </c>
      <c r="BJ82" s="44" t="s">
        <v>115</v>
      </c>
      <c r="BK82" s="44">
        <f t="shared" si="102"/>
        <v>0.49473684210526314</v>
      </c>
      <c r="BL82" s="44">
        <v>1</v>
      </c>
      <c r="BM82" s="42" cm="1">
        <f t="array" ref="BM82">_xlfn.IFS(BD82="NA","NA",BD82&gt;100%,"100%",BD82&lt;100,BD82)</f>
        <v>0.97894736842105268</v>
      </c>
      <c r="BN82" s="44">
        <v>0</v>
      </c>
      <c r="BO82" s="44">
        <v>0</v>
      </c>
      <c r="BP82" s="44" t="s">
        <v>115</v>
      </c>
      <c r="BQ82" s="45">
        <v>0.22500000000000001</v>
      </c>
      <c r="BR82" s="43">
        <f t="shared" si="103"/>
        <v>0.11131578947368422</v>
      </c>
      <c r="BS82" s="45">
        <v>5.6300000000000003E-2</v>
      </c>
      <c r="BT82" s="45">
        <v>5.6300000000000003E-2</v>
      </c>
      <c r="BU82" s="45">
        <v>5.6300000000000003E-2</v>
      </c>
      <c r="BV82" s="45">
        <v>5.6300000000000003E-2</v>
      </c>
      <c r="BW82" s="43">
        <f t="shared" si="104"/>
        <v>5.5114736842105272E-2</v>
      </c>
      <c r="BX82" s="43">
        <f t="shared" si="105"/>
        <v>5.5015789473684212E-2</v>
      </c>
      <c r="BY82" s="45">
        <v>5.6300000000000003E-2</v>
      </c>
      <c r="BZ82" s="45">
        <v>0</v>
      </c>
      <c r="CA82" s="43">
        <f t="shared" si="106"/>
        <v>0</v>
      </c>
      <c r="CB82" s="45">
        <v>5.6300000000000003E-2</v>
      </c>
      <c r="CC82" s="45">
        <v>0</v>
      </c>
      <c r="CD82" s="45">
        <v>0</v>
      </c>
      <c r="CE82" s="45">
        <v>0</v>
      </c>
      <c r="CF82" s="45" t="s">
        <v>115</v>
      </c>
      <c r="CG82" s="45">
        <v>0</v>
      </c>
      <c r="CH82">
        <f t="shared" ref="CH82:CH83" si="126">IF(W82&gt;0,1,0)</f>
        <v>1</v>
      </c>
      <c r="CI82">
        <f t="shared" ref="CI82:CI83" si="127">IF(AE82&gt;0,1,0)</f>
        <v>1</v>
      </c>
      <c r="CJ82">
        <f t="shared" ref="CJ82:CJ83" si="128">IF(AM82&gt;0,1,0)</f>
        <v>1</v>
      </c>
      <c r="CK82">
        <f t="shared" ref="CK82:CK83" si="129">IF(AO82&gt;0,1,0)</f>
        <v>1</v>
      </c>
      <c r="CL82">
        <f t="shared" ref="CL82:CL83" si="130">CH82+CI82+CJ82+CK82</f>
        <v>4</v>
      </c>
    </row>
    <row r="83" spans="1:90" ht="18" customHeight="1">
      <c r="A83" s="260" t="s">
        <v>98</v>
      </c>
      <c r="B83" s="260" t="s">
        <v>99</v>
      </c>
      <c r="C83" s="260" t="s">
        <v>100</v>
      </c>
      <c r="D83" s="260" t="s">
        <v>508</v>
      </c>
      <c r="E83" s="260" t="s">
        <v>509</v>
      </c>
      <c r="F83" s="260" t="s">
        <v>581</v>
      </c>
      <c r="G83" s="260" t="s">
        <v>582</v>
      </c>
      <c r="H83" s="260" t="s">
        <v>591</v>
      </c>
      <c r="I83" s="260" t="s">
        <v>106</v>
      </c>
      <c r="J83" s="260" t="s">
        <v>298</v>
      </c>
      <c r="K83" s="260" t="s">
        <v>592</v>
      </c>
      <c r="L83" s="260" t="s">
        <v>593</v>
      </c>
      <c r="M83" s="260" t="s">
        <v>594</v>
      </c>
      <c r="N83" s="260" t="s">
        <v>111</v>
      </c>
      <c r="O83" s="260" t="s">
        <v>124</v>
      </c>
      <c r="P83" s="10">
        <v>116</v>
      </c>
      <c r="Q83" s="11">
        <v>116</v>
      </c>
      <c r="R83" s="11">
        <f t="shared" si="121"/>
        <v>55</v>
      </c>
      <c r="S83" s="9" t="str">
        <f>VLOOKUP(K83,'1197 Salud'!$K$13:$AK$54,9,0)</f>
        <v>Se logra el mantenimiento de la estrategia AIEPI (Atención de las Enfermedades Prevalentes de la Infancia) en el departamento con seguimiento a los sistemas de información para orientar y fortalecer las acciones dirigidas a la primera infancia; dentro de lo que se ha socializado bases de datos, generado lineamientos, establecido comunicación a traves de correos electronicos y la generación de grupo WhatsApp Departamental donde se dan tips necesarios para generación de actividades dirigidas a la población de primera infancia e infancia; se realizo jornada de capacitación en articulación con el ICBF logrando capacitar a 227 personas responsables de la atención en los CDI de las 14 regionales del ICBF para Cundinamarca; igualmente se realizaron 3 jornadas de capacitación en donde se abordaron 2 temas principales Generalidades de AIEPI con la participación de 544 personas y aplicación y valoración del menor mediante la ficha AIEPI Comunitaria con la participación de 447 personas  de 106 municipios del departamento, igualmente se realiza programación de capacitaciones para el año 2021 la cual esta hasta diciembre para el fortalecimiento de capacidades del talento humano en salud del departamento en temas relacionados a la primera infancia en infancia de las cuales se lleva a la fecha 1336 personas; se inicia proceso de ejecución en 15 municipios del departamento mediante la contratación con 9 ESE´S;  se inicio con las asistencias técnicas Instituciones Prestadoras de Servicios y Entidades territoriales en los municipios de Agua de Dios, Albán, Anapoima, Anolaima, Apulo, Arbeláez, Beltrán, Bituima, Bojaca, Cachipay, Cajica, Caparrapi, Caqueza, Carmen de Carupa, Chaguani, Chía, Chipaque, Choachi, Chocontá, Cogua, Cota, El Colegio, El Peñón, El Rosal , Facatativá, Fomeque, Fosca, Funza, Fúquene, Fusagasugá, Gachala, Gachancipa, Gacheta, Gama, Girardot, Granada, Guachetá, Guaduas, Guasca, Guatavita, Guayabal de Siquima, Guayabetal, Gutiérrez, Jerusalén, Junín, La Calera, La Mesa, La Palma, La Peña, La Vega, Lenguazaque, Macheta, Madrid, Manta, Medina, Mosquera, Nemocón, Nilo, Nimaima, Nocaima, Pacho, Paime, Paratebueno, Pasca, Puerto salgar, Pulí, Quebrada Negra, Quetame, Quipile, Ricaurte, San Bernardo, San Francisco, San Juan de Rio Seco, Sasaima, Sesquile, Sibate, Silvania, Simijaca, Soacha, Sopo, Subachoque, Suesca, Supata, Susa, Tabio, Tenjo, Tibirita, Tocaima, Tocancipa, Topaipi, Ubala, Ubaque, Une, Utica, Vergara, Viani, Ubaté, Villagomez, Villapinzón, Villeta, Viota, Yacopi, Zipacon, Zipaquirá para desarrollar capacidades y adoptar, adaptar e implementar RPMS a Primera mediante la estrategia AIEPI,  igualmente se continua en proceso de contratación de 2 profesionales para dar cumplimiento a las actividades programadas.</v>
      </c>
      <c r="T83" s="11">
        <v>0</v>
      </c>
      <c r="U83" s="11">
        <v>116</v>
      </c>
      <c r="V83" s="11">
        <v>0</v>
      </c>
      <c r="W83" s="11">
        <v>116</v>
      </c>
      <c r="X83" s="11" t="s">
        <v>115</v>
      </c>
      <c r="Y83" s="11">
        <v>116</v>
      </c>
      <c r="Z83" s="11">
        <v>116</v>
      </c>
      <c r="AA83" s="11" t="s">
        <v>594</v>
      </c>
      <c r="AB83" s="11" t="s">
        <v>595</v>
      </c>
      <c r="AC83" s="11">
        <v>0</v>
      </c>
      <c r="AD83" s="11">
        <v>0</v>
      </c>
      <c r="AE83" s="11">
        <v>116</v>
      </c>
      <c r="AF83" s="9">
        <f>VLOOKUP(K83,'1197 Salud'!$K$13:$AK$54,22,0)</f>
        <v>0</v>
      </c>
      <c r="AG83" s="9">
        <f>VLOOKUP(K83,'1197 Salud'!$K$13:$AK$54,23,0)</f>
        <v>104</v>
      </c>
      <c r="AH83" s="11">
        <f t="shared" si="122"/>
        <v>104</v>
      </c>
      <c r="AI83" s="9" t="str">
        <f>VLOOKUP(K83,'1197 Salud'!$K$13:$AK$54,25,0)</f>
        <v>Municipios con la estrategia AIEPI implementada</v>
      </c>
      <c r="AJ83" s="9" t="str">
        <f>VLOOKUP(K83,'1197 Salud'!$K$13:$AK$54,26,0)</f>
        <v xml:space="preserve">Se logra el mantenimiento de la estrategia AIEPI (Atención de las Enfermedades Prevalentes de la Infancia) en el departamento con seguimiento a los sistemas de información para orientar y fortalecer las acciones dirigidas a la primera infancia; dentro de lo que se ha socializado bases de datos, generado lineamientos, establecido comunicación a traves de correos electronicos y la generación de grupo WhatsApp Departamental donde se dan tips necesarios para generación de actividades dirigidas a la población de primera infancia e infancia; se realizo jornada de capacitación en articulación con el ICBF logrando capacitar a 227 personas responsables de la atención en los CDI de las 14 regionales del ICBF para Cundinamarca; igualmente se realizaron 3 jornadas de capacitación en donde se abordaron 2 temas principales Generalidades de AIEPI con la participación de 544 personas y aplicación y valoración del menor mediante la ficha AIEPI Comunitaria con la participación de 447 personas  de 106 municipios del departamento, igualmente se realiza programación de capacitaciones para el año 2021 la cual esta hasta diciembre para el fortalecimiento de capacidades del talento humano en salud del departamento en temas relacionados a la primera infancia en infancia de las cuales se lleva a la fecha 1336 personas; se inicia proceso de ejecución en 15 municipios del departamento mediante la contratación con 9 ESE´S;  se inicio con las asistencias técnicas Instituciones Prestadoras de Servicios y Entidades territoriales en los municipios de Agua de Dios, Albán, Anapoima, Anolaima, Apulo, Arbeláez, Beltrán, Bituima, Bojaca, Cachipay, Cajica, Caparrapi, Caqueza, Carmen de Carupa, Chaguani, Chía, Chipaque, Choachi, Chocontá, Cogua, Cota, El Colegio, El Peñón, El Rosal , Facatativá, Fomeque, Fosca, Funza, Fúquene, Fusagasugá, Gachala, Gachancipa, Gacheta, Gama, Girardot, Granada, Guachetá, Guaduas, Guasca, Guatavita, Guayabal de Siquima, Guayabetal, Gutiérrez, Jerusalén, Junín, La Calera, La Mesa, La Palma, La Peña, La Vega, Lenguazaque, Macheta, Madrid, Manta, Medina, Mosquera, Nemocón, Nilo, Nimaima, Nocaima, Pacho, Paime, Paratebueno, Pasca, Puerto salgar, Pulí, Quebrada Negra, Quetame, Quipile, Ricaurte, San Bernardo, San Francisco, San Juan de Rio Seco, Sasaima, Sesquile, Sibate, Silvania, Simijaca, Soacha, Sopo, Subachoque, Suesca, Supata, Susa, Tabio, Tenjo, Tibirita, Tocaima, Tocancipa, Topaipi, Ubala, Ubaque, Une, Utica, Vergara, Viani, Ubaté, Villagomez, Villapinzón, Villeta, Viota, Yacopi, Zipacon, Zipaquirá para desarrollar capacidades y adoptar, adaptar e implementar RPMS a Primera mediante la estrategia AIEPI,  igualmente se continua en proceso de contratación de 2 profesionales para dar cumplimiento a las actividades programadas. </v>
      </c>
      <c r="AK83" s="9" t="str">
        <f>VLOOKUP(K83,'1197 Salud'!$K$13:$AK$54,27,0)</f>
        <v>En la mayoria de municipios el talento humano como gestoras, promotoras y ejecutores de actividades dirigidas a la población de primera infancia e infancia, se encuentran dificultades de contratación (tardia o incompleta) y alta rotación de los profesionales. Igualmente se evidencia baja ejecución de las actividades incorparadas en los municipios dentro de los PAS (Planesd de acción en salud) para la población de primera infancia e infancia.</v>
      </c>
      <c r="AL83" s="11">
        <v>0</v>
      </c>
      <c r="AM83" s="11">
        <v>116</v>
      </c>
      <c r="AN83" s="11">
        <v>0</v>
      </c>
      <c r="AO83" s="11">
        <v>116</v>
      </c>
      <c r="AP83" s="11">
        <v>0</v>
      </c>
      <c r="AQ83" s="11">
        <v>0</v>
      </c>
      <c r="AR83" s="51">
        <v>124500000</v>
      </c>
      <c r="AS83" s="54">
        <v>0</v>
      </c>
      <c r="AT83" s="54">
        <f t="shared" si="101"/>
        <v>124500000</v>
      </c>
      <c r="AU83" s="51">
        <v>58759623</v>
      </c>
      <c r="AV83" s="89">
        <v>920491906</v>
      </c>
      <c r="AY83" s="89">
        <v>54629680</v>
      </c>
      <c r="AZ83" s="44" cm="1">
        <f t="array" ref="AZ83">_xlfn.IFS((BA83=0),(BD83/CL83),(BA83&gt;0),((BB83+BD83)/CL83),(BE83&gt;0),((BB83+BD83+BE83)/CL83),(BG83&gt;0),((BB83+BD83+BE83+G83)/CL83))</f>
        <v>0.47413793103448276</v>
      </c>
      <c r="BA83" s="44">
        <v>0.25</v>
      </c>
      <c r="BB83" s="44">
        <v>1</v>
      </c>
      <c r="BC83" s="44">
        <f t="shared" si="123"/>
        <v>0.25</v>
      </c>
      <c r="BD83" s="44" cm="1">
        <f t="array" ref="BD83">_xlfn.IFS(AE83=0,"NA",AE83&gt;0,AH83/AE83)</f>
        <v>0.89655172413793105</v>
      </c>
      <c r="BE83" s="44">
        <f t="shared" si="124"/>
        <v>0.25</v>
      </c>
      <c r="BF83" s="44">
        <v>0</v>
      </c>
      <c r="BG83" s="44">
        <f t="shared" si="125"/>
        <v>0.25</v>
      </c>
      <c r="BH83" s="44">
        <v>0</v>
      </c>
      <c r="BI83" s="44">
        <v>0</v>
      </c>
      <c r="BJ83" s="44" t="s">
        <v>115</v>
      </c>
      <c r="BK83" s="44">
        <f t="shared" si="102"/>
        <v>0.47413793103448276</v>
      </c>
      <c r="BL83" s="44">
        <v>1</v>
      </c>
      <c r="BM83" s="42" cm="1">
        <f t="array" ref="BM83">_xlfn.IFS(BD83="NA","NA",BD83&gt;100%,"100%",BD83&lt;100,BD83)</f>
        <v>0.89655172413793105</v>
      </c>
      <c r="BN83" s="44">
        <v>0</v>
      </c>
      <c r="BO83" s="44">
        <v>0</v>
      </c>
      <c r="BP83" s="44" t="s">
        <v>115</v>
      </c>
      <c r="BQ83" s="45">
        <v>0.22500000000000001</v>
      </c>
      <c r="BR83" s="43">
        <f t="shared" si="103"/>
        <v>0.10668103448275862</v>
      </c>
      <c r="BS83" s="45">
        <v>5.6300000000000003E-2</v>
      </c>
      <c r="BT83" s="45">
        <v>5.6300000000000003E-2</v>
      </c>
      <c r="BU83" s="45">
        <v>5.6300000000000003E-2</v>
      </c>
      <c r="BV83" s="45">
        <v>5.6300000000000003E-2</v>
      </c>
      <c r="BW83" s="43">
        <f t="shared" si="104"/>
        <v>5.0475862068965524E-2</v>
      </c>
      <c r="BX83" s="43">
        <f t="shared" si="105"/>
        <v>5.0381034482758616E-2</v>
      </c>
      <c r="BY83" s="45">
        <v>5.6300000000000003E-2</v>
      </c>
      <c r="BZ83" s="45">
        <v>0</v>
      </c>
      <c r="CA83" s="43">
        <f t="shared" si="106"/>
        <v>0</v>
      </c>
      <c r="CB83" s="45">
        <v>5.6300000000000003E-2</v>
      </c>
      <c r="CC83" s="45">
        <v>0</v>
      </c>
      <c r="CD83" s="45">
        <v>0</v>
      </c>
      <c r="CE83" s="45">
        <v>0</v>
      </c>
      <c r="CF83" s="45" t="s">
        <v>115</v>
      </c>
      <c r="CG83" s="45">
        <v>0</v>
      </c>
      <c r="CH83">
        <f t="shared" si="126"/>
        <v>1</v>
      </c>
      <c r="CI83">
        <f t="shared" si="127"/>
        <v>1</v>
      </c>
      <c r="CJ83">
        <f t="shared" si="128"/>
        <v>1</v>
      </c>
      <c r="CK83">
        <f t="shared" si="129"/>
        <v>1</v>
      </c>
      <c r="CL83">
        <f t="shared" si="130"/>
        <v>4</v>
      </c>
    </row>
    <row r="84" spans="1:90" ht="18" customHeight="1">
      <c r="A84" s="260" t="s">
        <v>98</v>
      </c>
      <c r="B84" s="260" t="s">
        <v>99</v>
      </c>
      <c r="C84" s="260" t="s">
        <v>100</v>
      </c>
      <c r="D84" s="260" t="s">
        <v>508</v>
      </c>
      <c r="E84" s="260" t="s">
        <v>509</v>
      </c>
      <c r="F84" s="260" t="s">
        <v>596</v>
      </c>
      <c r="G84" s="260" t="s">
        <v>597</v>
      </c>
      <c r="H84" s="260" t="s">
        <v>598</v>
      </c>
      <c r="I84" s="260" t="s">
        <v>165</v>
      </c>
      <c r="J84" s="260" t="s">
        <v>531</v>
      </c>
      <c r="K84" s="260" t="s">
        <v>599</v>
      </c>
      <c r="L84" s="260" t="s">
        <v>600</v>
      </c>
      <c r="M84" s="260" t="s">
        <v>601</v>
      </c>
      <c r="N84" s="260" t="s">
        <v>111</v>
      </c>
      <c r="O84" s="260" t="s">
        <v>112</v>
      </c>
      <c r="P84" s="10">
        <v>0</v>
      </c>
      <c r="Q84" s="11">
        <v>4</v>
      </c>
      <c r="R84" s="9">
        <f t="shared" ref="R84:R89" si="131">Z84+AH84</f>
        <v>0</v>
      </c>
      <c r="S84" s="9" t="str">
        <f>VLOOKUP(K84,'1197 Salud'!$K$13:$AK$54,9,0)</f>
        <v>Se logra consolidar la Mesa Departamental de seguimiento a la malnutrición de la gestante y el niño pequeño, intersectorial e interinstitucional. 
Se consolida el seguimiento semanal municipal a los menores de 5 años con desnutrición aguda y la gestión con las EAPB para la atención y tratamiento oportuno. 
Se consolida la mesa Departamental de trabajo con las EAPB para el seguimiento a la desnutrición. Se avanza en la capacitación en la Resolución 2350/20 dirigida a los profesionales de la salud que atienden menores de 5 años. 
Se genero recursos adicionales para el fortalecimiento del proceso de Centros de Manejo Integral de la DNT Aguda en los Hospitales Mario Gaitan Yanguas de Soacha y San Rafael de Fusagasuga</v>
      </c>
      <c r="T84" s="11">
        <v>1</v>
      </c>
      <c r="U84" s="11">
        <v>0</v>
      </c>
      <c r="V84" s="11">
        <v>1</v>
      </c>
      <c r="W84" s="11">
        <v>0</v>
      </c>
      <c r="X84" s="11">
        <v>0</v>
      </c>
      <c r="Y84" s="11">
        <v>0</v>
      </c>
      <c r="Z84" s="11">
        <v>0</v>
      </c>
      <c r="AA84" s="11" t="s">
        <v>601</v>
      </c>
      <c r="AB84" s="11" t="s">
        <v>602</v>
      </c>
      <c r="AC84" s="11" t="s">
        <v>603</v>
      </c>
      <c r="AD84" s="11">
        <v>2</v>
      </c>
      <c r="AE84" s="11">
        <v>0</v>
      </c>
      <c r="AF84" s="9">
        <f>VLOOKUP(K84,'1197 Salud'!$K$13:$AK$54,22,0)</f>
        <v>0</v>
      </c>
      <c r="AG84" s="9">
        <f>VLOOKUP(K84,'1197 Salud'!$K$13:$AK$54,23,0)</f>
        <v>0</v>
      </c>
      <c r="AH84" s="9">
        <f t="shared" ref="AH84:AH89" si="132">AF84</f>
        <v>0</v>
      </c>
      <c r="AI84" s="9" t="str">
        <f>VLOOKUP(K84,'1197 Salud'!$K$13:$AK$54,25,0)</f>
        <v>ESEs certificadas como Centros Regionales de atención integral a la Desnutrición aguda en menores de 5 años</v>
      </c>
      <c r="AJ84" s="9" t="str">
        <f>VLOOKUP(K84,'1197 Salud'!$K$13:$AK$54,26,0)</f>
        <v>Se logra consolidar la Mesa Departamental de seguimiento a la malnutrición de la gestante y el niño pequeño, intersectorial e interinstitucional. 
Se consolida el seguimiento semanal municipal a los menores de 5 años con desnutrición aguda y la gestión con las EAPB para la atención y tratamiento oportuno. 
Se consolida la mesa Departamental de trabajo con las EAPB para el seguimiento a la desnutrición. Se avanza en la capacitación en la Resolución 2350/20 dirigida a los profesionales de la salud que atienden menores de 5 años. 
Se genero recursos adicionales para el fortalecimiento del proceso de Centros de Manejo Integral de la DNT Aguda en los Hospitales Mario Gaitan Yanguas de Soacha y San Rafael de Fusagasuga</v>
      </c>
      <c r="AK84" s="9" t="str">
        <f>VLOOKUP(K84,'1197 Salud'!$K$13:$AK$54,27,0)</f>
        <v>La contingencia por COVID 19 ha afectado a los profesionales de la salud, disminuyendo la posibilidad de cobertura en la formación de capacidades y habilidades en el manejo de la DNT aguda. Algunas EAPB generar barreras al momento de entregar la fórmula terapeutica para manejo de la DNT.  La alta rotación de personal dificulta los procesos</v>
      </c>
      <c r="AL84" s="11">
        <v>1</v>
      </c>
      <c r="AM84" s="11">
        <v>0</v>
      </c>
      <c r="AN84" s="11">
        <v>1</v>
      </c>
      <c r="AO84" s="11">
        <v>0</v>
      </c>
      <c r="AP84" s="11">
        <v>0</v>
      </c>
      <c r="AQ84" s="11">
        <v>0</v>
      </c>
      <c r="AR84" s="51">
        <v>311565089</v>
      </c>
      <c r="AS84" s="54">
        <v>0</v>
      </c>
      <c r="AT84" s="54">
        <f t="shared" si="101"/>
        <v>311565089</v>
      </c>
      <c r="AU84" s="51">
        <v>311565089</v>
      </c>
      <c r="AV84" s="89">
        <v>555380524</v>
      </c>
      <c r="AY84" s="89">
        <v>0</v>
      </c>
      <c r="AZ84" s="42">
        <f t="shared" ref="AZ84:AZ89" si="133">R84/Q84</f>
        <v>0</v>
      </c>
      <c r="BA84" s="44">
        <v>0.25</v>
      </c>
      <c r="BB84" s="44">
        <v>0</v>
      </c>
      <c r="BC84" s="42">
        <f t="shared" ref="BC84:BC89" si="134">AD84/Q84</f>
        <v>0.5</v>
      </c>
      <c r="BD84" s="42" cm="1">
        <f t="array" ref="BD84">_xlfn.IFS(AD84=0,"NA",AD84&gt;0,AH84/AD84)</f>
        <v>0</v>
      </c>
      <c r="BE84" s="42">
        <f t="shared" ref="BE84:BE89" si="135">AL84/Q84</f>
        <v>0.25</v>
      </c>
      <c r="BF84" s="44">
        <v>0</v>
      </c>
      <c r="BG84" s="42">
        <f t="shared" ref="BG84:BG89" si="136">AN84/Q84</f>
        <v>0.25</v>
      </c>
      <c r="BH84" s="44">
        <v>0</v>
      </c>
      <c r="BI84" s="42">
        <f t="shared" ref="BI84:BI89" si="137">AP84/Q84</f>
        <v>0</v>
      </c>
      <c r="BJ84" s="44" t="s">
        <v>115</v>
      </c>
      <c r="BK84" s="42">
        <f t="shared" si="102"/>
        <v>0</v>
      </c>
      <c r="BL84" s="44">
        <v>0</v>
      </c>
      <c r="BM84" s="42" cm="1">
        <f t="array" ref="BM84">_xlfn.IFS(BD84="NA","NA",BD84&gt;100%,"100%",BD84&lt;100,BD84)</f>
        <v>0</v>
      </c>
      <c r="BN84" s="42" cm="1">
        <f t="array" ref="BN84">_xlfn.IFS(BF84="NA","NA",BF84&gt;100%,"100%",BF84&lt;100,BF84)</f>
        <v>0</v>
      </c>
      <c r="BO84" s="42" cm="1">
        <f t="array" ref="BO84">_xlfn.IFS(BH84="NA","NA",BH84&gt;100%,"100%",BH84&lt;100,BH84)</f>
        <v>0</v>
      </c>
      <c r="BP84" s="42" t="str" cm="1">
        <f t="array" ref="BP84">_xlfn.IFS(BJ84="NA","NA",BJ84&gt;100%,"100%",BJ84&lt;100,BJ84)</f>
        <v>NA</v>
      </c>
      <c r="BQ84" s="45">
        <v>0.22500000000000001</v>
      </c>
      <c r="BR84" s="43">
        <f t="shared" si="103"/>
        <v>0</v>
      </c>
      <c r="BS84" s="45">
        <v>5.6300000000000003E-2</v>
      </c>
      <c r="BT84" s="45">
        <v>0</v>
      </c>
      <c r="BU84" s="45">
        <v>0</v>
      </c>
      <c r="BV84" s="43">
        <f t="shared" ref="BV84:BV89" si="138">(AD84*BQ84)/Q84</f>
        <v>0.1125</v>
      </c>
      <c r="BW84" s="43">
        <f t="shared" si="104"/>
        <v>0</v>
      </c>
      <c r="BX84" s="43">
        <f t="shared" si="105"/>
        <v>0</v>
      </c>
      <c r="BY84" s="43">
        <f t="shared" ref="BY84:BY89" si="139">(AL84*BQ84)/Q84</f>
        <v>5.6250000000000001E-2</v>
      </c>
      <c r="BZ84" s="43">
        <f t="shared" ref="BZ84:BZ89" si="140">IF(BN84="NA","NA",BN84*BY84)</f>
        <v>0</v>
      </c>
      <c r="CA84" s="43">
        <f t="shared" si="106"/>
        <v>0</v>
      </c>
      <c r="CB84" s="43">
        <f t="shared" ref="CB84:CB89" si="141">(AN84*BQ84)/Q84</f>
        <v>5.6250000000000001E-2</v>
      </c>
      <c r="CC84" s="43">
        <f t="shared" ref="CC84:CC89" si="142">IF(BO84="NA","NA",BO84*CB84)</f>
        <v>0</v>
      </c>
      <c r="CD84" s="45">
        <v>0</v>
      </c>
      <c r="CE84" s="43">
        <f t="shared" ref="CE84:CE89" si="143">(AP84*BQ84)/Q84</f>
        <v>0</v>
      </c>
      <c r="CF84" s="43" t="str">
        <f t="shared" ref="CF84:CF89" si="144">IF(BP84="NA","NA",BP84*CE84)</f>
        <v>NA</v>
      </c>
      <c r="CG84" s="45">
        <v>0</v>
      </c>
    </row>
    <row r="85" spans="1:90" ht="18" customHeight="1">
      <c r="A85" s="260" t="s">
        <v>292</v>
      </c>
      <c r="B85" s="260" t="s">
        <v>293</v>
      </c>
      <c r="C85" s="260" t="s">
        <v>100</v>
      </c>
      <c r="D85" s="260" t="s">
        <v>508</v>
      </c>
      <c r="E85" s="260" t="s">
        <v>509</v>
      </c>
      <c r="F85" s="260" t="s">
        <v>604</v>
      </c>
      <c r="G85" s="260" t="s">
        <v>605</v>
      </c>
      <c r="H85" s="260" t="s">
        <v>606</v>
      </c>
      <c r="I85" s="260" t="s">
        <v>255</v>
      </c>
      <c r="J85" s="260" t="s">
        <v>607</v>
      </c>
      <c r="K85" s="260" t="s">
        <v>608</v>
      </c>
      <c r="L85" s="260" t="s">
        <v>2875</v>
      </c>
      <c r="M85" s="260" t="s">
        <v>2876</v>
      </c>
      <c r="N85" s="260" t="s">
        <v>123</v>
      </c>
      <c r="O85" s="260" t="s">
        <v>112</v>
      </c>
      <c r="P85" s="10">
        <v>0</v>
      </c>
      <c r="Q85" s="11">
        <v>100</v>
      </c>
      <c r="R85" s="9">
        <f t="shared" si="131"/>
        <v>68</v>
      </c>
      <c r="S85" s="11" t="str">
        <f>VLOOKUP(K85,'1108 Educación'!$K$13:$AK$40,9,0)</f>
        <v xml:space="preserve">Con el proyecto MIMI "Mi casa, Mi escuela" a través de los componentes Pedagógico y psicosocial, se trabajaron las acciones para el fortalecimiento de los Proyectos Educativos Institucionales del 68% de las IED programadas, correspondiente a 174 Instituciones Educativas del Departamento. 
A través de la Ruta de Acompañamiento Pedagógico se apoyan y fortalecen
los aspectos pedagógicos relacionados con la planeación educativa,
la flexibilización curricular y la práctica pedagógica articulado con
el proceso de formación y cualificación, esenciales en la Gestión académica y componente pedagógico del PEI. Para el mes de junio, se integro al equipo de la Dirección de Calidad una OPS para el acompañamiento a las IED en la revisión y retroalimentación de los proyectos Educativos Istitucionales.  Para el mes de junio, se integro al equipo de la Dirección de Calidad una OPS para el acompañamiento a las IED en la revisión y retroalimentación de los proyectos Educativos Istitucionales. </v>
      </c>
      <c r="T85" s="11">
        <v>5</v>
      </c>
      <c r="U85" s="11">
        <v>0</v>
      </c>
      <c r="V85" s="11">
        <v>5</v>
      </c>
      <c r="W85" s="11">
        <v>0</v>
      </c>
      <c r="X85" s="11">
        <v>5</v>
      </c>
      <c r="Y85" s="11">
        <v>0</v>
      </c>
      <c r="Z85" s="11">
        <v>5</v>
      </c>
      <c r="AA85" s="11" t="s">
        <v>611</v>
      </c>
      <c r="AB85" s="11" t="s">
        <v>612</v>
      </c>
      <c r="AC85" s="11">
        <v>0</v>
      </c>
      <c r="AD85" s="11">
        <v>60</v>
      </c>
      <c r="AE85" s="11">
        <v>0</v>
      </c>
      <c r="AF85" s="11">
        <f>VLOOKUP(K85,'1108 Educación'!$K$13:$AK$40,22,0)</f>
        <v>63</v>
      </c>
      <c r="AG85" s="11">
        <f>VLOOKUP(K85,'1108 Educación'!$K$13:$AK$40,23,0)</f>
        <v>0</v>
      </c>
      <c r="AH85" s="9">
        <f t="shared" si="132"/>
        <v>63</v>
      </c>
      <c r="AI85" s="9">
        <f>VLOOKUP(K85,'1108 Educación'!$K$13:$AK$40,25,0)</f>
        <v>0</v>
      </c>
      <c r="AJ85" s="9" t="str">
        <f>VLOOKUP(K85,'1108 Educación'!$K$13:$AK$40,26,0)</f>
        <v>Con el proyecto MIMI "Mi casa, Mi escuela" a través de los componentes Pedagógico y psicosocial, se trabajaron las acciones para el fortalecimiento de los Proyectos Educativos Institucionales del 63% de las IED programadas, correspondiente a 174 Instituciones Educativas del Departamento. 
A través de la Ruta de Acompañamiento Pedagógico se apoyan y fortalecen
los aspectos pedagógicos relacionados con la planeación educativa,
la flexibilización curricular y la práctica pedagógica articulado con
el proceso de formación y cualificación, esenciales en la Gestión académica y componente pedagógico del PEI. Para el mes de junio, se integro al equipo de la Dirección de Calidad una OPS para el acompañamiento a las IED en la revisión y retroalimentación de los proyectos Educativos Istitucionales.  Para el mes de junio, se integro al equipo de la Dirección de Calidad una OPS para el acompañamiento a las IED en la revisión y retroalimentación de los proyectos Educativos Istitucionales.  En el marco de la actualización de los Proyectos Educativos Institucionales, durante el mes deSeptiembre  se continua con la revisión de los PEI de las IED focalizadas para el año 2021 y remitiendo la retroalimentación a las IED (8 de las 174 focalizadas) , adicionalmente, se ha continuado apoyando, en la revisión y actualización de  los Proyectos Pedagógicos Transversales PEGR y PRAE, durante el mes de agosto se revisaron 15 Instituciones Educativas, de las 174 focalizadas. En el marco de la actualización de los Proyectos Educativos Institucionales, Durante el mes de Octubre  se continua con la revisión de los PEI de las IED focalizadas para el año 2021 y remitiendo la retroalimentación a las IED (9 de las 174 focalizadas) , adicionalmente, se ha continuado apoyando, en la revisión y actualización de  los Proyectos Pedagógicos Transversales PEGR y PRAE, Durante el mes de Octubre se revisaron 15 Instituciones Educativas, de las 174 focalizadas.</v>
      </c>
      <c r="AK85" s="9">
        <f>VLOOKUP(K85,'1108 Educación'!$K$13:$AK$40,27,0)</f>
        <v>0</v>
      </c>
      <c r="AL85" s="11">
        <v>20</v>
      </c>
      <c r="AM85" s="11">
        <v>0</v>
      </c>
      <c r="AN85" s="11">
        <v>15</v>
      </c>
      <c r="AO85" s="11">
        <v>0</v>
      </c>
      <c r="AP85" s="11">
        <v>0</v>
      </c>
      <c r="AQ85" s="11">
        <v>0</v>
      </c>
      <c r="AR85" s="52"/>
      <c r="AS85" s="54">
        <v>36000000</v>
      </c>
      <c r="AT85" s="54">
        <f t="shared" si="101"/>
        <v>36000000</v>
      </c>
      <c r="AU85" s="52"/>
      <c r="AV85" s="89">
        <v>377674318</v>
      </c>
      <c r="AY85" s="89">
        <v>0</v>
      </c>
      <c r="AZ85" s="42">
        <f t="shared" si="133"/>
        <v>0.68</v>
      </c>
      <c r="BA85" s="44">
        <v>0.05</v>
      </c>
      <c r="BB85" s="44">
        <v>1</v>
      </c>
      <c r="BC85" s="42">
        <f t="shared" si="134"/>
        <v>0.6</v>
      </c>
      <c r="BD85" s="42" cm="1">
        <f t="array" ref="BD85">_xlfn.IFS(AD85=0,"NA",AD85&gt;0,AH85/AD85)</f>
        <v>1.05</v>
      </c>
      <c r="BE85" s="42">
        <f t="shared" si="135"/>
        <v>0.2</v>
      </c>
      <c r="BF85" s="44">
        <v>0</v>
      </c>
      <c r="BG85" s="42">
        <f t="shared" si="136"/>
        <v>0.15</v>
      </c>
      <c r="BH85" s="44">
        <v>0</v>
      </c>
      <c r="BI85" s="42">
        <f t="shared" si="137"/>
        <v>0</v>
      </c>
      <c r="BJ85" s="44" t="s">
        <v>115</v>
      </c>
      <c r="BK85" s="42">
        <f t="shared" si="102"/>
        <v>0.68</v>
      </c>
      <c r="BL85" s="44">
        <v>1</v>
      </c>
      <c r="BM85" s="42" t="str" cm="1">
        <f t="array" ref="BM85">_xlfn.IFS(BD85="NA","NA",BD85&gt;100%,"100%",BD85&lt;100,BD85)</f>
        <v>100%</v>
      </c>
      <c r="BN85" s="42" cm="1">
        <f t="array" ref="BN85">_xlfn.IFS(BF85="NA","NA",BF85&gt;100%,"100%",BF85&lt;100,BF85)</f>
        <v>0</v>
      </c>
      <c r="BO85" s="42" cm="1">
        <f t="array" ref="BO85">_xlfn.IFS(BH85="NA","NA",BH85&gt;100%,"100%",BH85&lt;100,BH85)</f>
        <v>0</v>
      </c>
      <c r="BP85" s="42" t="str" cm="1">
        <f t="array" ref="BP85">_xlfn.IFS(BJ85="NA","NA",BJ85&gt;100%,"100%",BJ85&lt;100,BJ85)</f>
        <v>NA</v>
      </c>
      <c r="BQ85" s="45">
        <v>0.22500000000000001</v>
      </c>
      <c r="BR85" s="43">
        <f t="shared" si="103"/>
        <v>0.15300000000000002</v>
      </c>
      <c r="BS85" s="45">
        <v>1.1299999999999999E-2</v>
      </c>
      <c r="BT85" s="45">
        <v>1.1299999999999999E-2</v>
      </c>
      <c r="BU85" s="45">
        <v>1.1299999999999999E-2</v>
      </c>
      <c r="BV85" s="43">
        <f t="shared" si="138"/>
        <v>0.13500000000000001</v>
      </c>
      <c r="BW85" s="43">
        <f t="shared" si="104"/>
        <v>0.13500000000000001</v>
      </c>
      <c r="BX85" s="43">
        <f t="shared" si="105"/>
        <v>0.14170000000000002</v>
      </c>
      <c r="BY85" s="43">
        <f t="shared" si="139"/>
        <v>4.4999999999999998E-2</v>
      </c>
      <c r="BZ85" s="43">
        <f t="shared" si="140"/>
        <v>0</v>
      </c>
      <c r="CA85" s="43">
        <f t="shared" si="106"/>
        <v>0</v>
      </c>
      <c r="CB85" s="43">
        <f t="shared" si="141"/>
        <v>3.3750000000000002E-2</v>
      </c>
      <c r="CC85" s="43">
        <f t="shared" si="142"/>
        <v>0</v>
      </c>
      <c r="CD85" s="45">
        <v>0</v>
      </c>
      <c r="CE85" s="43">
        <f t="shared" si="143"/>
        <v>0</v>
      </c>
      <c r="CF85" s="43" t="str">
        <f t="shared" si="144"/>
        <v>NA</v>
      </c>
      <c r="CG85" s="45">
        <v>0</v>
      </c>
    </row>
    <row r="86" spans="1:90" ht="18" customHeight="1">
      <c r="A86" s="260" t="s">
        <v>292</v>
      </c>
      <c r="B86" s="260" t="s">
        <v>293</v>
      </c>
      <c r="C86" s="260" t="s">
        <v>100</v>
      </c>
      <c r="D86" s="260" t="s">
        <v>508</v>
      </c>
      <c r="E86" s="260" t="s">
        <v>509</v>
      </c>
      <c r="F86" s="260" t="s">
        <v>604</v>
      </c>
      <c r="G86" s="260" t="s">
        <v>605</v>
      </c>
      <c r="H86" s="260" t="s">
        <v>2877</v>
      </c>
      <c r="I86" s="260" t="s">
        <v>255</v>
      </c>
      <c r="J86" s="12" t="s">
        <v>2878</v>
      </c>
      <c r="K86" s="260" t="s">
        <v>2879</v>
      </c>
      <c r="L86" s="260" t="s">
        <v>2880</v>
      </c>
      <c r="M86" s="260" t="s">
        <v>2881</v>
      </c>
      <c r="N86" s="260" t="s">
        <v>123</v>
      </c>
      <c r="O86" s="260" t="s">
        <v>112</v>
      </c>
      <c r="P86" s="10">
        <v>29</v>
      </c>
      <c r="Q86" s="11">
        <v>100</v>
      </c>
      <c r="R86" s="9" t="e">
        <f t="shared" si="131"/>
        <v>#N/A</v>
      </c>
      <c r="S86" s="11" t="e">
        <f>VLOOKUP(K86,'1108 Educación'!$K$13:$AK$40,9,0)</f>
        <v>#N/A</v>
      </c>
      <c r="T86" s="11">
        <v>0</v>
      </c>
      <c r="U86" s="11">
        <v>0</v>
      </c>
      <c r="V86" s="11">
        <v>0</v>
      </c>
      <c r="W86" s="11">
        <v>0</v>
      </c>
      <c r="X86" s="11">
        <v>0</v>
      </c>
      <c r="Y86" s="11">
        <v>0</v>
      </c>
      <c r="Z86" s="11">
        <v>0</v>
      </c>
      <c r="AA86" s="11"/>
      <c r="AB86" s="11"/>
      <c r="AC86" s="11"/>
      <c r="AD86" s="11">
        <v>35</v>
      </c>
      <c r="AE86" s="11">
        <v>0</v>
      </c>
      <c r="AF86" s="11" t="e">
        <f>VLOOKUP(K86,'1108 Educación'!$K$13:$AK$40,22,0)</f>
        <v>#N/A</v>
      </c>
      <c r="AG86" s="11" t="e">
        <f>VLOOKUP(K86,'1108 Educación'!$K$13:$AK$40,23,0)</f>
        <v>#N/A</v>
      </c>
      <c r="AH86" s="9" t="e">
        <f t="shared" si="132"/>
        <v>#N/A</v>
      </c>
      <c r="AI86" s="9" t="e">
        <f>VLOOKUP(K86,'1108 Educación'!$K$13:$AK$40,25,0)</f>
        <v>#N/A</v>
      </c>
      <c r="AJ86" s="9" t="e">
        <f>VLOOKUP(K86,'1108 Educación'!$K$13:$AK$40,26,0)</f>
        <v>#N/A</v>
      </c>
      <c r="AK86" s="9" t="e">
        <f>VLOOKUP(K86,'1108 Educación'!$K$13:$AK$40,27,0)</f>
        <v>#N/A</v>
      </c>
      <c r="AL86" s="11">
        <v>35</v>
      </c>
      <c r="AM86" s="11">
        <v>0</v>
      </c>
      <c r="AN86" s="11">
        <v>30</v>
      </c>
      <c r="AO86" s="11">
        <v>0</v>
      </c>
      <c r="AP86" s="11">
        <v>0</v>
      </c>
      <c r="AQ86" s="11">
        <v>0</v>
      </c>
      <c r="AR86" s="52"/>
      <c r="AS86" s="54">
        <v>0</v>
      </c>
      <c r="AT86" s="54">
        <f t="shared" si="101"/>
        <v>0</v>
      </c>
      <c r="AU86" s="52"/>
      <c r="AV86" s="89">
        <v>0</v>
      </c>
      <c r="AY86" s="89">
        <v>0</v>
      </c>
      <c r="AZ86" s="42" t="e">
        <f t="shared" si="133"/>
        <v>#N/A</v>
      </c>
      <c r="BA86" s="44">
        <v>0</v>
      </c>
      <c r="BB86" s="44" t="s">
        <v>115</v>
      </c>
      <c r="BC86" s="42">
        <f t="shared" si="134"/>
        <v>0.35</v>
      </c>
      <c r="BD86" s="42" t="e" cm="1">
        <f t="array" ref="BD86">_xlfn.IFS(AD86=0,"NA",AD86&gt;0,AH86/AD86)</f>
        <v>#N/A</v>
      </c>
      <c r="BE86" s="42">
        <f t="shared" si="135"/>
        <v>0.35</v>
      </c>
      <c r="BF86" s="44">
        <v>0</v>
      </c>
      <c r="BG86" s="42">
        <f t="shared" si="136"/>
        <v>0.3</v>
      </c>
      <c r="BH86" s="44">
        <v>0</v>
      </c>
      <c r="BI86" s="42">
        <f t="shared" si="137"/>
        <v>0</v>
      </c>
      <c r="BJ86" s="44" t="s">
        <v>115</v>
      </c>
      <c r="BK86" s="42" t="e">
        <f t="shared" si="102"/>
        <v>#N/A</v>
      </c>
      <c r="BL86" s="44" t="s">
        <v>115</v>
      </c>
      <c r="BM86" s="42" t="e" cm="1">
        <f t="array" ref="BM86">_xlfn.IFS(BD86="NA","NA",BD86&gt;100%,"100%",BD86&lt;100,BD86)</f>
        <v>#N/A</v>
      </c>
      <c r="BN86" s="42" cm="1">
        <f t="array" ref="BN86">_xlfn.IFS(BF86="NA","NA",BF86&gt;100%,"100%",BF86&lt;100,BF86)</f>
        <v>0</v>
      </c>
      <c r="BO86" s="42" cm="1">
        <f t="array" ref="BO86">_xlfn.IFS(BH86="NA","NA",BH86&gt;100%,"100%",BH86&lt;100,BH86)</f>
        <v>0</v>
      </c>
      <c r="BP86" s="42" t="str" cm="1">
        <f t="array" ref="BP86">_xlfn.IFS(BJ86="NA","NA",BJ86&gt;100%,"100%",BJ86&lt;100,BJ86)</f>
        <v>NA</v>
      </c>
      <c r="BQ86" s="45">
        <v>0.22500000000000001</v>
      </c>
      <c r="BR86" s="43" t="e">
        <f t="shared" si="103"/>
        <v>#N/A</v>
      </c>
      <c r="BS86" s="45">
        <v>0</v>
      </c>
      <c r="BT86" s="45" t="s">
        <v>115</v>
      </c>
      <c r="BU86" s="45">
        <v>0</v>
      </c>
      <c r="BV86" s="43">
        <f t="shared" si="138"/>
        <v>7.8750000000000001E-2</v>
      </c>
      <c r="BW86" s="43" t="e">
        <f t="shared" si="104"/>
        <v>#N/A</v>
      </c>
      <c r="BX86" s="43" t="e">
        <f t="shared" si="105"/>
        <v>#N/A</v>
      </c>
      <c r="BY86" s="43">
        <f t="shared" si="139"/>
        <v>7.8750000000000001E-2</v>
      </c>
      <c r="BZ86" s="43">
        <f t="shared" si="140"/>
        <v>0</v>
      </c>
      <c r="CA86" s="43" t="e">
        <f t="shared" si="106"/>
        <v>#N/A</v>
      </c>
      <c r="CB86" s="43">
        <f t="shared" si="141"/>
        <v>6.7500000000000004E-2</v>
      </c>
      <c r="CC86" s="43">
        <f t="shared" si="142"/>
        <v>0</v>
      </c>
      <c r="CD86" s="45">
        <v>0</v>
      </c>
      <c r="CE86" s="43">
        <f t="shared" si="143"/>
        <v>0</v>
      </c>
      <c r="CF86" s="43" t="str">
        <f t="shared" si="144"/>
        <v>NA</v>
      </c>
      <c r="CG86" s="45">
        <v>0</v>
      </c>
    </row>
    <row r="87" spans="1:90" ht="18" customHeight="1">
      <c r="A87" s="260" t="s">
        <v>292</v>
      </c>
      <c r="B87" s="260" t="s">
        <v>293</v>
      </c>
      <c r="C87" s="260" t="s">
        <v>100</v>
      </c>
      <c r="D87" s="260" t="s">
        <v>508</v>
      </c>
      <c r="E87" s="260" t="s">
        <v>509</v>
      </c>
      <c r="F87" s="260" t="s">
        <v>604</v>
      </c>
      <c r="G87" s="260" t="s">
        <v>605</v>
      </c>
      <c r="H87" s="260" t="s">
        <v>613</v>
      </c>
      <c r="I87" s="260" t="s">
        <v>255</v>
      </c>
      <c r="J87" s="260" t="s">
        <v>298</v>
      </c>
      <c r="K87" s="260" t="s">
        <v>614</v>
      </c>
      <c r="L87" s="260" t="s">
        <v>2882</v>
      </c>
      <c r="M87" s="260" t="s">
        <v>616</v>
      </c>
      <c r="N87" s="260" t="s">
        <v>111</v>
      </c>
      <c r="O87" s="260" t="s">
        <v>112</v>
      </c>
      <c r="P87" s="10">
        <v>30000</v>
      </c>
      <c r="Q87" s="11">
        <v>40000</v>
      </c>
      <c r="R87" s="9">
        <f t="shared" si="131"/>
        <v>2885</v>
      </c>
      <c r="S87" s="11">
        <f>VLOOKUP(K87,'1108 Educación'!$K$13:$AK$40,9,0)</f>
        <v>0</v>
      </c>
      <c r="T87" s="11">
        <v>0</v>
      </c>
      <c r="U87" s="11">
        <v>0</v>
      </c>
      <c r="V87" s="11">
        <v>0</v>
      </c>
      <c r="W87" s="11">
        <v>0</v>
      </c>
      <c r="X87" s="11">
        <v>0</v>
      </c>
      <c r="Y87" s="11">
        <v>0</v>
      </c>
      <c r="Z87" s="11">
        <v>0</v>
      </c>
      <c r="AA87" s="11"/>
      <c r="AB87" s="11"/>
      <c r="AC87" s="11"/>
      <c r="AD87" s="11">
        <v>10000</v>
      </c>
      <c r="AE87" s="11">
        <v>0</v>
      </c>
      <c r="AF87" s="11">
        <f>VLOOKUP(K87,'1108 Educación'!$K$13:$AK$40,22,0)</f>
        <v>2885</v>
      </c>
      <c r="AG87" s="11">
        <f>VLOOKUP(K87,'1108 Educación'!$K$13:$AK$40,23,0)</f>
        <v>0</v>
      </c>
      <c r="AH87" s="9">
        <f t="shared" si="132"/>
        <v>2885</v>
      </c>
      <c r="AI87" s="9">
        <f>VLOOKUP(K87,'1108 Educación'!$K$13:$AK$40,25,0)</f>
        <v>0</v>
      </c>
      <c r="AJ87" s="9" t="str">
        <f>VLOOKUP(K87,'1108 Educación'!$K$13:$AK$40,26,0)</f>
        <v>Durante el mes de mayo, se realizó la firma del Convenio SE-CD-CASO-118-2021-COLSUBSIDIO-Jornada Esoclar Complementaria, entre la SEC de Educación, la Secretaria de Desarrollo Social y la Caja de compensación familiar, Colsubsidio,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En este momento se han adelantado las siguientes acciones:
1. Firma del convenio Marco 
2. Recepción carta de intención de los municipios
3. En este momento se estan realizando la firma de los convenios en los municipios y la focalización de los estudiantes.  Durante el mes de junio se ha avanzado a través de la Caja de Compensació familiar Colsubsidio, en la firma de los convenios con los municipios focalizados, con la finalidad de dar inicio en el mes de julio con este proceso en ejecución. 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Se continua desarrollando el programa de Colsubsidio CILAB, en los 19 municipios priorizados para dar inicio a la atención de los estudiantes, a través del cual se busca beneficiar a estudiantes de 19 municipios, con el desarrollo de actividades pedagógicas y culturales mediante la estrategia CILAB, la cual se desarrolla en espacios que integran diversas herramientas didácticas para fortalecer los conocimientos de los estudiantes a través de un refuerzo escolar y posibilitar la apropiación social de la ciencia, la tecnología y la innovación, a través de las modalidades de educación ambiental, ciencia y tecnología, plan de lectura y formación artística y cultural. 
El objetivo de este proyecto es beneficiar a cerca de 4.000 estudiantes de los municipios focalizados. en la vigenncia 2021 se han beneficiado 2.885 estudiantes.  Durante el mes de septiembre se ha avanzado con la firma de los Convenios municipales, que se encontraban pendientes para garantizar los procesos de atención a Nivel Municipal, en el marco del convenio de Colsubsidio. Durante el mes de octubre se continua con el desarrollo de los convenios con los municipios para la atencion de los estudiantes en el proyecto CILAB con la caja de compensacion colsubsidio.</v>
      </c>
      <c r="AK87" s="9">
        <f>VLOOKUP(K87,'1108 Educación'!$K$13:$AK$40,27,0)</f>
        <v>0</v>
      </c>
      <c r="AL87" s="11">
        <v>15000</v>
      </c>
      <c r="AM87" s="11">
        <v>0</v>
      </c>
      <c r="AN87" s="11">
        <v>15000</v>
      </c>
      <c r="AO87" s="11">
        <v>0</v>
      </c>
      <c r="AP87" s="11">
        <v>0</v>
      </c>
      <c r="AQ87" s="11">
        <v>0</v>
      </c>
      <c r="AR87" s="52"/>
      <c r="AS87" s="54">
        <v>0</v>
      </c>
      <c r="AT87" s="54">
        <f t="shared" si="101"/>
        <v>0</v>
      </c>
      <c r="AU87" s="52"/>
      <c r="AV87" s="89">
        <v>0</v>
      </c>
      <c r="AY87" s="89">
        <v>0</v>
      </c>
      <c r="AZ87" s="42">
        <f t="shared" si="133"/>
        <v>7.2124999999999995E-2</v>
      </c>
      <c r="BA87" s="44">
        <v>0</v>
      </c>
      <c r="BB87" s="44" t="s">
        <v>115</v>
      </c>
      <c r="BC87" s="42">
        <f t="shared" si="134"/>
        <v>0.25</v>
      </c>
      <c r="BD87" s="42" cm="1">
        <f t="array" ref="BD87">_xlfn.IFS(AD87=0,"NA",AD87&gt;0,AH87/AD87)</f>
        <v>0.28849999999999998</v>
      </c>
      <c r="BE87" s="42">
        <f t="shared" si="135"/>
        <v>0.375</v>
      </c>
      <c r="BF87" s="44">
        <v>0</v>
      </c>
      <c r="BG87" s="42">
        <f t="shared" si="136"/>
        <v>0.375</v>
      </c>
      <c r="BH87" s="44">
        <v>0</v>
      </c>
      <c r="BI87" s="42">
        <f t="shared" si="137"/>
        <v>0</v>
      </c>
      <c r="BJ87" s="44" t="s">
        <v>115</v>
      </c>
      <c r="BK87" s="42">
        <f t="shared" si="102"/>
        <v>7.2124999999999995E-2</v>
      </c>
      <c r="BL87" s="44" t="s">
        <v>115</v>
      </c>
      <c r="BM87" s="42" cm="1">
        <f t="array" ref="BM87">_xlfn.IFS(BD87="NA","NA",BD87&gt;100%,"100%",BD87&lt;100,BD87)</f>
        <v>0.28849999999999998</v>
      </c>
      <c r="BN87" s="42" cm="1">
        <f t="array" ref="BN87">_xlfn.IFS(BF87="NA","NA",BF87&gt;100%,"100%",BF87&lt;100,BF87)</f>
        <v>0</v>
      </c>
      <c r="BO87" s="42" cm="1">
        <f t="array" ref="BO87">_xlfn.IFS(BH87="NA","NA",BH87&gt;100%,"100%",BH87&lt;100,BH87)</f>
        <v>0</v>
      </c>
      <c r="BP87" s="42" t="str" cm="1">
        <f t="array" ref="BP87">_xlfn.IFS(BJ87="NA","NA",BJ87&gt;100%,"100%",BJ87&lt;100,BJ87)</f>
        <v>NA</v>
      </c>
      <c r="BQ87" s="45">
        <v>0.22500000000000001</v>
      </c>
      <c r="BR87" s="43">
        <f t="shared" si="103"/>
        <v>1.6228124999999999E-2</v>
      </c>
      <c r="BS87" s="45">
        <v>0</v>
      </c>
      <c r="BT87" s="45" t="s">
        <v>115</v>
      </c>
      <c r="BU87" s="45">
        <v>0</v>
      </c>
      <c r="BV87" s="43">
        <f t="shared" si="138"/>
        <v>5.6250000000000001E-2</v>
      </c>
      <c r="BW87" s="43">
        <f t="shared" si="104"/>
        <v>1.6228124999999999E-2</v>
      </c>
      <c r="BX87" s="43">
        <f t="shared" si="105"/>
        <v>1.6228124999999999E-2</v>
      </c>
      <c r="BY87" s="43">
        <f t="shared" si="139"/>
        <v>8.4375000000000006E-2</v>
      </c>
      <c r="BZ87" s="43">
        <f t="shared" si="140"/>
        <v>0</v>
      </c>
      <c r="CA87" s="43">
        <f t="shared" si="106"/>
        <v>0</v>
      </c>
      <c r="CB87" s="43">
        <f t="shared" si="141"/>
        <v>8.4375000000000006E-2</v>
      </c>
      <c r="CC87" s="43">
        <f t="shared" si="142"/>
        <v>0</v>
      </c>
      <c r="CD87" s="45">
        <v>0</v>
      </c>
      <c r="CE87" s="43">
        <f t="shared" si="143"/>
        <v>0</v>
      </c>
      <c r="CF87" s="43" t="str">
        <f t="shared" si="144"/>
        <v>NA</v>
      </c>
      <c r="CG87" s="45">
        <v>0</v>
      </c>
    </row>
    <row r="88" spans="1:90" ht="18" customHeight="1">
      <c r="A88" s="260" t="s">
        <v>292</v>
      </c>
      <c r="B88" s="260" t="s">
        <v>293</v>
      </c>
      <c r="C88" s="260" t="s">
        <v>100</v>
      </c>
      <c r="D88" s="260" t="s">
        <v>508</v>
      </c>
      <c r="E88" s="260" t="s">
        <v>509</v>
      </c>
      <c r="F88" s="260" t="s">
        <v>604</v>
      </c>
      <c r="G88" s="260" t="s">
        <v>605</v>
      </c>
      <c r="H88" s="260" t="s">
        <v>617</v>
      </c>
      <c r="I88" s="260" t="s">
        <v>255</v>
      </c>
      <c r="J88" s="260"/>
      <c r="K88" s="260" t="s">
        <v>618</v>
      </c>
      <c r="L88" s="260" t="s">
        <v>619</v>
      </c>
      <c r="M88" s="260" t="s">
        <v>620</v>
      </c>
      <c r="N88" s="260" t="s">
        <v>111</v>
      </c>
      <c r="O88" s="260" t="s">
        <v>112</v>
      </c>
      <c r="P88" s="10">
        <v>0</v>
      </c>
      <c r="Q88" s="11">
        <v>1</v>
      </c>
      <c r="R88" s="9">
        <f t="shared" si="131"/>
        <v>0.05</v>
      </c>
      <c r="S88" s="11" t="str">
        <f>VLOOKUP(K88,'1108 Educación'!$K$13:$AK$40,9,0)</f>
        <v xml:space="preserve">En la vigencia 2021, se  esta adelantando el proceso de contratación de una profesional, para apoyar en la Dirección, en la Construcción del Plan de Educación Rural, dentro de las acciones establecidas en su contrato se encuentran: 
1. Apoyar en la construcción del Plan de Educación Rural de la Secretaría de Educación - Dirección de Calidad          
2. Apoyar en la socialización del Plan de Educación Rural de la Secretaría de Educación - Dirección de Calidad . </v>
      </c>
      <c r="T88" s="11">
        <v>0</v>
      </c>
      <c r="U88" s="11">
        <v>0</v>
      </c>
      <c r="V88" s="11">
        <v>0</v>
      </c>
      <c r="W88" s="11">
        <v>0</v>
      </c>
      <c r="X88" s="11">
        <v>0</v>
      </c>
      <c r="Y88" s="11">
        <v>0</v>
      </c>
      <c r="Z88" s="11">
        <v>0</v>
      </c>
      <c r="AA88" s="11"/>
      <c r="AB88" s="11"/>
      <c r="AC88" s="11"/>
      <c r="AD88" s="11">
        <v>0.2</v>
      </c>
      <c r="AE88" s="11">
        <v>0</v>
      </c>
      <c r="AF88" s="11">
        <f>VLOOKUP(K88,'1108 Educación'!$K$13:$AK$40,22,0)</f>
        <v>0.05</v>
      </c>
      <c r="AG88" s="11">
        <f>VLOOKUP(K88,'1108 Educación'!$K$13:$AK$40,23,0)</f>
        <v>0</v>
      </c>
      <c r="AH88" s="9">
        <f t="shared" si="132"/>
        <v>0.05</v>
      </c>
      <c r="AI88" s="9">
        <f>VLOOKUP(K88,'1108 Educación'!$K$13:$AK$40,25,0)</f>
        <v>0</v>
      </c>
      <c r="AJ88" s="9" t="str">
        <f>VLOOKUP(K88,'1108 Educación'!$K$13:$AK$40,26,0)</f>
        <v>Se esta estructurando el Plan de Trabajo para la construcción del Plan de Educación Rural. Durante el mes de agosto, se realizó el proceso de contratación de una profesional, para apoyar en la Dirección, en la Construcción del Plan de Educación Rural, dentro de las acciones establecidas en su contrato se encuentran: 
1. Apoyar en la construcción del Plan de Educación Rural de la Secretaría de Educación - Dirección de Calidad          
2. Apoyar en la socialización del Plan de Educación Rural de la Secretaría de Educación - Dirección de Calidad . Durante el mes de septiembre se ha desarrollado el proceso de Caracterización Departamental, con el apoyo de la profesional OPS, que se encuentra a cargo de este proceso. Durante el  mes de octubre se continua con la estructuracion del plan de educacion rural.</v>
      </c>
      <c r="AK88" s="9">
        <f>VLOOKUP(K88,'1108 Educación'!$K$13:$AK$40,27,0)</f>
        <v>0</v>
      </c>
      <c r="AL88" s="11">
        <v>0.4</v>
      </c>
      <c r="AM88" s="11">
        <v>0</v>
      </c>
      <c r="AN88" s="11">
        <v>0.4</v>
      </c>
      <c r="AO88" s="11">
        <v>0</v>
      </c>
      <c r="AP88" s="11">
        <v>0</v>
      </c>
      <c r="AQ88" s="11">
        <v>0</v>
      </c>
      <c r="AR88" s="52"/>
      <c r="AS88" s="54">
        <v>0</v>
      </c>
      <c r="AT88" s="54">
        <f t="shared" si="101"/>
        <v>0</v>
      </c>
      <c r="AU88" s="52"/>
      <c r="AV88" s="89">
        <v>0</v>
      </c>
      <c r="AY88" s="89">
        <v>0</v>
      </c>
      <c r="AZ88" s="42">
        <f t="shared" si="133"/>
        <v>0.05</v>
      </c>
      <c r="BA88" s="44">
        <v>0</v>
      </c>
      <c r="BB88" s="44" t="s">
        <v>115</v>
      </c>
      <c r="BC88" s="42">
        <f t="shared" si="134"/>
        <v>0.2</v>
      </c>
      <c r="BD88" s="42" cm="1">
        <f t="array" ref="BD88">_xlfn.IFS(AD88=0,"NA",AD88&gt;0,AH88/AD88)</f>
        <v>0.25</v>
      </c>
      <c r="BE88" s="42">
        <f t="shared" si="135"/>
        <v>0.4</v>
      </c>
      <c r="BF88" s="44">
        <v>0</v>
      </c>
      <c r="BG88" s="42">
        <f t="shared" si="136"/>
        <v>0.4</v>
      </c>
      <c r="BH88" s="44">
        <v>0</v>
      </c>
      <c r="BI88" s="42">
        <f t="shared" si="137"/>
        <v>0</v>
      </c>
      <c r="BJ88" s="44" t="s">
        <v>115</v>
      </c>
      <c r="BK88" s="42">
        <f t="shared" si="102"/>
        <v>0.05</v>
      </c>
      <c r="BL88" s="44" t="s">
        <v>115</v>
      </c>
      <c r="BM88" s="42" cm="1">
        <f t="array" ref="BM88">_xlfn.IFS(BD88="NA","NA",BD88&gt;100%,"100%",BD88&lt;100,BD88)</f>
        <v>0.25</v>
      </c>
      <c r="BN88" s="42" cm="1">
        <f t="array" ref="BN88">_xlfn.IFS(BF88="NA","NA",BF88&gt;100%,"100%",BF88&lt;100,BF88)</f>
        <v>0</v>
      </c>
      <c r="BO88" s="42" cm="1">
        <f t="array" ref="BO88">_xlfn.IFS(BH88="NA","NA",BH88&gt;100%,"100%",BH88&lt;100,BH88)</f>
        <v>0</v>
      </c>
      <c r="BP88" s="42" t="str" cm="1">
        <f t="array" ref="BP88">_xlfn.IFS(BJ88="NA","NA",BJ88&gt;100%,"100%",BJ88&lt;100,BJ88)</f>
        <v>NA</v>
      </c>
      <c r="BQ88" s="45">
        <v>0.22500000000000001</v>
      </c>
      <c r="BR88" s="43">
        <f t="shared" si="103"/>
        <v>1.1250000000000001E-2</v>
      </c>
      <c r="BS88" s="45">
        <v>0</v>
      </c>
      <c r="BT88" s="45" t="s">
        <v>115</v>
      </c>
      <c r="BU88" s="45">
        <v>0</v>
      </c>
      <c r="BV88" s="43">
        <f t="shared" si="138"/>
        <v>4.5000000000000005E-2</v>
      </c>
      <c r="BW88" s="43">
        <f t="shared" si="104"/>
        <v>1.1250000000000001E-2</v>
      </c>
      <c r="BX88" s="43">
        <f t="shared" si="105"/>
        <v>1.1250000000000001E-2</v>
      </c>
      <c r="BY88" s="43">
        <f t="shared" si="139"/>
        <v>9.0000000000000011E-2</v>
      </c>
      <c r="BZ88" s="43">
        <f t="shared" si="140"/>
        <v>0</v>
      </c>
      <c r="CA88" s="43">
        <f t="shared" si="106"/>
        <v>0</v>
      </c>
      <c r="CB88" s="43">
        <f t="shared" si="141"/>
        <v>9.0000000000000011E-2</v>
      </c>
      <c r="CC88" s="43">
        <f t="shared" si="142"/>
        <v>0</v>
      </c>
      <c r="CD88" s="45">
        <v>0</v>
      </c>
      <c r="CE88" s="43">
        <f t="shared" si="143"/>
        <v>0</v>
      </c>
      <c r="CF88" s="43" t="str">
        <f t="shared" si="144"/>
        <v>NA</v>
      </c>
      <c r="CG88" s="45">
        <v>0</v>
      </c>
    </row>
    <row r="89" spans="1:90" ht="18" customHeight="1">
      <c r="A89" s="260" t="s">
        <v>292</v>
      </c>
      <c r="B89" s="260" t="s">
        <v>293</v>
      </c>
      <c r="C89" s="260" t="s">
        <v>100</v>
      </c>
      <c r="D89" s="260" t="s">
        <v>508</v>
      </c>
      <c r="E89" s="260" t="s">
        <v>509</v>
      </c>
      <c r="F89" s="260" t="s">
        <v>604</v>
      </c>
      <c r="G89" s="260" t="s">
        <v>605</v>
      </c>
      <c r="H89" s="260" t="s">
        <v>621</v>
      </c>
      <c r="I89" s="260" t="s">
        <v>255</v>
      </c>
      <c r="J89" s="260" t="s">
        <v>622</v>
      </c>
      <c r="K89" s="260" t="s">
        <v>623</v>
      </c>
      <c r="L89" s="260" t="s">
        <v>2883</v>
      </c>
      <c r="M89" s="260" t="s">
        <v>2884</v>
      </c>
      <c r="N89" s="260" t="s">
        <v>123</v>
      </c>
      <c r="O89" s="260" t="s">
        <v>112</v>
      </c>
      <c r="P89" s="10">
        <v>0</v>
      </c>
      <c r="Q89" s="11">
        <v>100</v>
      </c>
      <c r="R89" s="9">
        <f t="shared" si="131"/>
        <v>79</v>
      </c>
      <c r="S89" s="11">
        <f>VLOOKUP(K89,'1108 Educación'!$K$13:$AK$40,9,0)</f>
        <v>0</v>
      </c>
      <c r="T89" s="11">
        <v>0</v>
      </c>
      <c r="U89" s="11">
        <v>0</v>
      </c>
      <c r="V89" s="11">
        <v>0</v>
      </c>
      <c r="W89" s="11">
        <v>0</v>
      </c>
      <c r="X89" s="11">
        <v>0</v>
      </c>
      <c r="Y89" s="11">
        <v>0</v>
      </c>
      <c r="Z89" s="11">
        <v>0</v>
      </c>
      <c r="AA89" s="11"/>
      <c r="AB89" s="11"/>
      <c r="AC89" s="11"/>
      <c r="AD89" s="11">
        <v>40</v>
      </c>
      <c r="AE89" s="11">
        <v>0</v>
      </c>
      <c r="AF89" s="11">
        <f>VLOOKUP(K89,'1108 Educación'!$K$13:$AK$40,22,0)</f>
        <v>79</v>
      </c>
      <c r="AG89" s="11">
        <f>VLOOKUP(K89,'1108 Educación'!$K$13:$AK$40,23,0)</f>
        <v>0</v>
      </c>
      <c r="AH89" s="9">
        <f t="shared" si="132"/>
        <v>79</v>
      </c>
      <c r="AI89" s="9">
        <f>VLOOKUP(K89,'1108 Educación'!$K$13:$AK$40,25,0)</f>
        <v>0</v>
      </c>
      <c r="AJ89" s="9" t="str">
        <f>VLOOKUP(K89,'1108 Educación'!$K$13:$AK$40,26,0)</f>
        <v>Se estan vinculando dos psicologas al equipo de Calidad,  para crear la Red de convivencia escolar y fortalecer los procesos de acompañamiento para la actualización de los manuales de convivencia escolar.  Se logra estructurar la guía metodologica para la  actualizacion de los manuales de convivencia  en las IED. Se consolida la Guia de revisión de manuales de convivencia, se hace capacitación a los profesionales de apoyo frente a la revisión de manuales  de convivencia y se  logró la revisión 218 manuales de convivencia en el mismo número de IED correspondientes al 79%. Durante el mes de octubre se dio incio a la estructuracion de la red de convivencia escolar partiendo de la redaccion del documento tecnico donde se establece la justificacion, caracteristicas, objetivos , el alcance , los actores y los roles de todas la generalidades de la red.Se establecen soluciones de manera conjunta con el  Ministerio de Educación para la implementación del SIUCE en todas las IED, logrando nuevos procesos de capacitación virtuales.</v>
      </c>
      <c r="AK89" s="9" t="str">
        <f>VLOOKUP(K89,'1108 Educación'!$K$13:$AK$40,27,0)</f>
        <v xml:space="preserve"> la dificultad para el mes de octubre es que muchas de las IED por falta de conectividad no han  podido lograr accder a la capacitaciones del Ministerio de Educacion Nacional por lo cual no han podido acceder a la plataforma para reportar las situaciones a través de este mecanismo.</v>
      </c>
      <c r="AL89" s="11">
        <v>40</v>
      </c>
      <c r="AM89" s="11">
        <v>0</v>
      </c>
      <c r="AN89" s="11">
        <v>20</v>
      </c>
      <c r="AO89" s="11">
        <v>0</v>
      </c>
      <c r="AP89" s="11">
        <v>0</v>
      </c>
      <c r="AQ89" s="11">
        <v>0</v>
      </c>
      <c r="AR89" s="52"/>
      <c r="AS89" s="54">
        <v>0</v>
      </c>
      <c r="AT89" s="54">
        <f t="shared" si="101"/>
        <v>0</v>
      </c>
      <c r="AU89" s="52"/>
      <c r="AV89" s="89">
        <v>153083990</v>
      </c>
      <c r="AY89" s="89">
        <v>0</v>
      </c>
      <c r="AZ89" s="42">
        <f t="shared" si="133"/>
        <v>0.79</v>
      </c>
      <c r="BA89" s="44">
        <v>0</v>
      </c>
      <c r="BB89" s="44" t="s">
        <v>115</v>
      </c>
      <c r="BC89" s="42">
        <f t="shared" si="134"/>
        <v>0.4</v>
      </c>
      <c r="BD89" s="42" cm="1">
        <f t="array" ref="BD89">_xlfn.IFS(AD89=0,"NA",AD89&gt;0,AH89/AD89)</f>
        <v>1.9750000000000001</v>
      </c>
      <c r="BE89" s="42">
        <f t="shared" si="135"/>
        <v>0.4</v>
      </c>
      <c r="BF89" s="44">
        <v>0</v>
      </c>
      <c r="BG89" s="42">
        <f t="shared" si="136"/>
        <v>0.2</v>
      </c>
      <c r="BH89" s="44">
        <v>0</v>
      </c>
      <c r="BI89" s="42">
        <f t="shared" si="137"/>
        <v>0</v>
      </c>
      <c r="BJ89" s="44" t="s">
        <v>115</v>
      </c>
      <c r="BK89" s="42">
        <f t="shared" si="102"/>
        <v>0.79</v>
      </c>
      <c r="BL89" s="44" t="s">
        <v>115</v>
      </c>
      <c r="BM89" s="42" t="str" cm="1">
        <f t="array" ref="BM89">_xlfn.IFS(BD89="NA","NA",BD89&gt;100%,"100%",BD89&lt;100,BD89)</f>
        <v>100%</v>
      </c>
      <c r="BN89" s="42" cm="1">
        <f t="array" ref="BN89">_xlfn.IFS(BF89="NA","NA",BF89&gt;100%,"100%",BF89&lt;100,BF89)</f>
        <v>0</v>
      </c>
      <c r="BO89" s="42" cm="1">
        <f t="array" ref="BO89">_xlfn.IFS(BH89="NA","NA",BH89&gt;100%,"100%",BH89&lt;100,BH89)</f>
        <v>0</v>
      </c>
      <c r="BP89" s="42" t="str" cm="1">
        <f t="array" ref="BP89">_xlfn.IFS(BJ89="NA","NA",BJ89&gt;100%,"100%",BJ89&lt;100,BJ89)</f>
        <v>NA</v>
      </c>
      <c r="BQ89" s="45">
        <v>0.22500000000000001</v>
      </c>
      <c r="BR89" s="43">
        <f t="shared" si="103"/>
        <v>0.17775000000000002</v>
      </c>
      <c r="BS89" s="45">
        <v>0</v>
      </c>
      <c r="BT89" s="45" t="s">
        <v>115</v>
      </c>
      <c r="BU89" s="45">
        <v>0</v>
      </c>
      <c r="BV89" s="43">
        <f t="shared" si="138"/>
        <v>0.09</v>
      </c>
      <c r="BW89" s="43">
        <f t="shared" si="104"/>
        <v>0.09</v>
      </c>
      <c r="BX89" s="43">
        <f t="shared" si="105"/>
        <v>0.17775000000000002</v>
      </c>
      <c r="BY89" s="43">
        <f t="shared" si="139"/>
        <v>0.09</v>
      </c>
      <c r="BZ89" s="43">
        <f t="shared" si="140"/>
        <v>0</v>
      </c>
      <c r="CA89" s="43">
        <f t="shared" si="106"/>
        <v>0</v>
      </c>
      <c r="CB89" s="43">
        <f t="shared" si="141"/>
        <v>4.4999999999999998E-2</v>
      </c>
      <c r="CC89" s="43">
        <f t="shared" si="142"/>
        <v>0</v>
      </c>
      <c r="CD89" s="45">
        <v>0</v>
      </c>
      <c r="CE89" s="43">
        <f t="shared" si="143"/>
        <v>0</v>
      </c>
      <c r="CF89" s="43" t="str">
        <f t="shared" si="144"/>
        <v>NA</v>
      </c>
      <c r="CG89" s="45">
        <v>0</v>
      </c>
    </row>
    <row r="90" spans="1:90" ht="18" customHeight="1">
      <c r="A90" s="260" t="s">
        <v>292</v>
      </c>
      <c r="B90" s="260" t="s">
        <v>293</v>
      </c>
      <c r="C90" s="260" t="s">
        <v>100</v>
      </c>
      <c r="D90" s="260" t="s">
        <v>508</v>
      </c>
      <c r="E90" s="260" t="s">
        <v>509</v>
      </c>
      <c r="F90" s="260" t="s">
        <v>604</v>
      </c>
      <c r="G90" s="260" t="s">
        <v>605</v>
      </c>
      <c r="H90" s="260" t="s">
        <v>626</v>
      </c>
      <c r="I90" s="260" t="s">
        <v>255</v>
      </c>
      <c r="J90" s="260"/>
      <c r="K90" s="260" t="s">
        <v>627</v>
      </c>
      <c r="L90" s="260" t="s">
        <v>628</v>
      </c>
      <c r="M90" s="260" t="s">
        <v>629</v>
      </c>
      <c r="N90" s="260" t="s">
        <v>111</v>
      </c>
      <c r="O90" s="260" t="s">
        <v>124</v>
      </c>
      <c r="P90" s="10">
        <v>0</v>
      </c>
      <c r="Q90" s="11">
        <v>9</v>
      </c>
      <c r="R90" s="11">
        <f>(Z90+AH90)/CL90</f>
        <v>4.5</v>
      </c>
      <c r="S90" s="11">
        <f>VLOOKUP(K90,'1108 Educación'!$K$13:$AK$40,9,0)</f>
        <v>0</v>
      </c>
      <c r="T90" s="11">
        <v>0</v>
      </c>
      <c r="U90" s="11">
        <v>9</v>
      </c>
      <c r="V90" s="11">
        <v>0</v>
      </c>
      <c r="W90" s="11">
        <v>9</v>
      </c>
      <c r="X90" s="11" t="s">
        <v>115</v>
      </c>
      <c r="Y90" s="11">
        <v>9</v>
      </c>
      <c r="Z90" s="11">
        <v>9</v>
      </c>
      <c r="AA90" s="11">
        <v>0</v>
      </c>
      <c r="AB90" s="11" t="s">
        <v>630</v>
      </c>
      <c r="AC90" s="11">
        <v>0</v>
      </c>
      <c r="AD90" s="11">
        <v>0</v>
      </c>
      <c r="AE90" s="11">
        <v>9</v>
      </c>
      <c r="AF90" s="11">
        <f>VLOOKUP(K90,'1108 Educación'!$K$13:$AK$40,22,0)</f>
        <v>0</v>
      </c>
      <c r="AG90" s="11">
        <f>VLOOKUP(K90,'1108 Educación'!$K$13:$AK$40,23,0)</f>
        <v>9</v>
      </c>
      <c r="AH90" s="11">
        <f>AG90</f>
        <v>9</v>
      </c>
      <c r="AI90" s="9">
        <f>VLOOKUP(K90,'1108 Educación'!$K$13:$AK$40,25,0)</f>
        <v>0</v>
      </c>
      <c r="AJ90" s="9" t="str">
        <f>VLOOKUP(K90,'1108 Educación'!$K$13:$AK$40,26,0)</f>
        <v xml:space="preserve">En el mes de julio se realizó reunión con los Rectores de las IED Escuelas Normales. Durante el mes de septiembre, se llevo a cabo el comité de seguimiento a las Escuelas Normales Superiores. En este proceso participan las Nueve Escuelas Normales. Para el  mes de octubre se llevo a cabo la revisión de Planes de estudios y asignaciones academicas, para la verificación de perfiles, en el marco de la Gestión Academica. 
En el marco de las gestiones Directiva, academica y administrativa, se avanzo Rectores de las Nueve Escuelas Normales con el acompañamiento del Doctor Carlos Hipólito, asesor de la Secretaría de Educación sobre el alcance y contexto de la resolución 17614 de 16 de septiembre de 2021,  sobre el proceso de traslados preferentes de las escuelas normales superiores y las incidencias de estas en cada una de las gestiones de las Escuelas Normales Superiores. Se constituyo el comité de las Escuelas Normales para realizarse todos los jueves a las 10.00 am con la finalidad de continuar avanzando en los procesos de construcción colectiva. Durante la primera semana de octubre, se proyecto el avance en la revisión de Planes de estudios y asignaciones academicas, para la verificación de perfiles, en el marco de la Gestión Academica. </v>
      </c>
      <c r="AK90" s="9">
        <f>VLOOKUP(K90,'1108 Educación'!$K$13:$AK$40,27,0)</f>
        <v>0</v>
      </c>
      <c r="AL90" s="11">
        <v>0</v>
      </c>
      <c r="AM90" s="11">
        <v>9</v>
      </c>
      <c r="AN90" s="11">
        <v>0</v>
      </c>
      <c r="AO90" s="11">
        <v>9</v>
      </c>
      <c r="AP90" s="11">
        <v>0</v>
      </c>
      <c r="AQ90" s="11">
        <v>0</v>
      </c>
      <c r="AR90" s="52"/>
      <c r="AS90" s="54">
        <v>4000000</v>
      </c>
      <c r="AT90" s="54">
        <f t="shared" si="101"/>
        <v>4000000</v>
      </c>
      <c r="AU90" s="52"/>
      <c r="AV90" s="89">
        <v>0</v>
      </c>
      <c r="AY90" s="89">
        <v>0</v>
      </c>
      <c r="AZ90" s="44" cm="1">
        <f t="array" ref="AZ90">_xlfn.IFS((BA90=0),(BD90/CL90),(BA90&gt;0),((BB90+BD90)/CL90),(BE90&gt;0),((BB90+BD90+BE90)/CL90),(BG90&gt;0),((BB90+BD90+BE90+G90)/CL90))</f>
        <v>0.5</v>
      </c>
      <c r="BA90" s="44">
        <v>0.25</v>
      </c>
      <c r="BB90" s="44">
        <v>1</v>
      </c>
      <c r="BC90" s="44">
        <f>IF(AE90&gt;0,(1/CL90),0)</f>
        <v>0.25</v>
      </c>
      <c r="BD90" s="44" cm="1">
        <f t="array" ref="BD90">_xlfn.IFS(AE90=0,"NA",AE90&gt;0,AH90/AE90)</f>
        <v>1</v>
      </c>
      <c r="BE90" s="44">
        <f>IF(AM90&gt;0,(1/CL90),0)</f>
        <v>0.25</v>
      </c>
      <c r="BF90" s="44">
        <v>0</v>
      </c>
      <c r="BG90" s="44">
        <f>IF(AO90&gt;0,(1/CL90),0)</f>
        <v>0.25</v>
      </c>
      <c r="BH90" s="44">
        <v>0</v>
      </c>
      <c r="BI90" s="44">
        <v>0</v>
      </c>
      <c r="BJ90" s="44" t="s">
        <v>115</v>
      </c>
      <c r="BK90" s="44">
        <f t="shared" si="102"/>
        <v>0.5</v>
      </c>
      <c r="BL90" s="44">
        <v>1</v>
      </c>
      <c r="BM90" s="42" cm="1">
        <f t="array" ref="BM90">_xlfn.IFS(BD90="NA","NA",BD90&gt;100%,"100%",BD90&lt;100,BD90)</f>
        <v>1</v>
      </c>
      <c r="BN90" s="44">
        <v>0</v>
      </c>
      <c r="BO90" s="44">
        <v>0</v>
      </c>
      <c r="BP90" s="44" t="s">
        <v>115</v>
      </c>
      <c r="BQ90" s="45">
        <v>0.22500000000000001</v>
      </c>
      <c r="BR90" s="43">
        <f t="shared" si="103"/>
        <v>0.1125</v>
      </c>
      <c r="BS90" s="45">
        <v>5.6300000000000003E-2</v>
      </c>
      <c r="BT90" s="45">
        <v>5.6300000000000003E-2</v>
      </c>
      <c r="BU90" s="45">
        <v>5.6300000000000003E-2</v>
      </c>
      <c r="BV90" s="45">
        <v>5.6300000000000003E-2</v>
      </c>
      <c r="BW90" s="43">
        <f t="shared" si="104"/>
        <v>5.6300000000000003E-2</v>
      </c>
      <c r="BX90" s="43">
        <f t="shared" si="105"/>
        <v>5.62E-2</v>
      </c>
      <c r="BY90" s="45">
        <v>5.6300000000000003E-2</v>
      </c>
      <c r="BZ90" s="45">
        <v>0</v>
      </c>
      <c r="CA90" s="43">
        <f t="shared" si="106"/>
        <v>0</v>
      </c>
      <c r="CB90" s="45">
        <v>5.6300000000000003E-2</v>
      </c>
      <c r="CC90" s="45">
        <v>0</v>
      </c>
      <c r="CD90" s="45">
        <v>0</v>
      </c>
      <c r="CE90" s="45">
        <v>0</v>
      </c>
      <c r="CF90" s="45" t="s">
        <v>115</v>
      </c>
      <c r="CG90" s="45">
        <v>0</v>
      </c>
      <c r="CH90">
        <f>IF(W90&gt;0,1,0)</f>
        <v>1</v>
      </c>
      <c r="CI90">
        <f>IF(AE90&gt;0,1,0)</f>
        <v>1</v>
      </c>
      <c r="CJ90">
        <f>IF(AM90&gt;0,1,0)</f>
        <v>1</v>
      </c>
      <c r="CK90">
        <f>IF(AO90&gt;0,1,0)</f>
        <v>1</v>
      </c>
      <c r="CL90">
        <f>CH90+CI90+CJ90+CK90</f>
        <v>4</v>
      </c>
    </row>
    <row r="91" spans="1:90" ht="18" customHeight="1">
      <c r="A91" s="260" t="s">
        <v>292</v>
      </c>
      <c r="B91" s="260" t="s">
        <v>293</v>
      </c>
      <c r="C91" s="260" t="s">
        <v>100</v>
      </c>
      <c r="D91" s="260" t="s">
        <v>508</v>
      </c>
      <c r="E91" s="260" t="s">
        <v>509</v>
      </c>
      <c r="F91" s="260" t="s">
        <v>604</v>
      </c>
      <c r="G91" s="260" t="s">
        <v>605</v>
      </c>
      <c r="H91" s="260" t="s">
        <v>2885</v>
      </c>
      <c r="I91" s="260" t="s">
        <v>255</v>
      </c>
      <c r="J91" s="260" t="s">
        <v>622</v>
      </c>
      <c r="K91" s="260" t="s">
        <v>2886</v>
      </c>
      <c r="L91" s="260" t="s">
        <v>2887</v>
      </c>
      <c r="M91" s="260" t="s">
        <v>2888</v>
      </c>
      <c r="N91" s="260" t="s">
        <v>111</v>
      </c>
      <c r="O91" s="260" t="s">
        <v>112</v>
      </c>
      <c r="P91" s="10">
        <v>0</v>
      </c>
      <c r="Q91" s="11">
        <v>161</v>
      </c>
      <c r="R91" s="9" t="e">
        <f t="shared" ref="R91:R93" si="145">Z91+AH91</f>
        <v>#N/A</v>
      </c>
      <c r="S91" s="11" t="e">
        <f>VLOOKUP(K91,'1108 Educación'!$K$13:$AK$40,9,0)</f>
        <v>#N/A</v>
      </c>
      <c r="T91" s="11">
        <v>0</v>
      </c>
      <c r="U91" s="11">
        <v>0</v>
      </c>
      <c r="V91" s="11">
        <v>0</v>
      </c>
      <c r="W91" s="11">
        <v>0</v>
      </c>
      <c r="X91" s="11">
        <v>0</v>
      </c>
      <c r="Y91" s="11">
        <v>0</v>
      </c>
      <c r="Z91" s="11">
        <v>0</v>
      </c>
      <c r="AA91" s="11"/>
      <c r="AB91" s="11"/>
      <c r="AC91" s="11"/>
      <c r="AD91" s="11">
        <v>61</v>
      </c>
      <c r="AE91" s="11">
        <v>0</v>
      </c>
      <c r="AF91" s="11" t="e">
        <f>VLOOKUP(K91,'1108 Educación'!$K$13:$AK$40,22,0)</f>
        <v>#N/A</v>
      </c>
      <c r="AG91" s="11" t="e">
        <f>VLOOKUP(K91,'1108 Educación'!$K$13:$AK$40,23,0)</f>
        <v>#N/A</v>
      </c>
      <c r="AH91" s="9" t="e">
        <f t="shared" ref="AH91:AH93" si="146">AF91</f>
        <v>#N/A</v>
      </c>
      <c r="AI91" s="9" t="e">
        <f>VLOOKUP(K91,'1108 Educación'!$K$13:$AK$40,25,0)</f>
        <v>#N/A</v>
      </c>
      <c r="AJ91" s="9" t="e">
        <f>VLOOKUP(K91,'1108 Educación'!$K$13:$AK$40,26,0)</f>
        <v>#N/A</v>
      </c>
      <c r="AK91" s="9" t="e">
        <f>VLOOKUP(K91,'1108 Educación'!$K$13:$AK$40,27,0)</f>
        <v>#N/A</v>
      </c>
      <c r="AL91" s="11">
        <v>61</v>
      </c>
      <c r="AM91" s="11">
        <v>0</v>
      </c>
      <c r="AN91" s="11">
        <v>39</v>
      </c>
      <c r="AO91" s="11">
        <v>0</v>
      </c>
      <c r="AP91" s="11">
        <v>0</v>
      </c>
      <c r="AQ91" s="11">
        <v>0</v>
      </c>
      <c r="AR91" s="52"/>
      <c r="AS91" s="54">
        <v>0</v>
      </c>
      <c r="AT91" s="54">
        <f t="shared" si="101"/>
        <v>0</v>
      </c>
      <c r="AU91" s="52"/>
      <c r="AV91" s="89">
        <v>312446692</v>
      </c>
      <c r="AY91" s="89">
        <v>0</v>
      </c>
      <c r="AZ91" s="42" t="e">
        <f t="shared" ref="AZ91:AZ93" si="147">R91/Q91</f>
        <v>#N/A</v>
      </c>
      <c r="BA91" s="44">
        <v>0</v>
      </c>
      <c r="BB91" s="44" t="s">
        <v>115</v>
      </c>
      <c r="BC91" s="42">
        <f t="shared" ref="BC91:BC93" si="148">AD91/Q91</f>
        <v>0.37888198757763975</v>
      </c>
      <c r="BD91" s="42" t="e" cm="1">
        <f t="array" ref="BD91">_xlfn.IFS(AD91=0,"NA",AD91&gt;0,AH91/AD91)</f>
        <v>#N/A</v>
      </c>
      <c r="BE91" s="42">
        <f t="shared" ref="BE91:BE93" si="149">AL91/Q91</f>
        <v>0.37888198757763975</v>
      </c>
      <c r="BF91" s="44">
        <v>0</v>
      </c>
      <c r="BG91" s="42">
        <f t="shared" ref="BG91:BG93" si="150">AN91/Q91</f>
        <v>0.24223602484472051</v>
      </c>
      <c r="BH91" s="44">
        <v>0</v>
      </c>
      <c r="BI91" s="42">
        <f t="shared" ref="BI91:BI93" si="151">AP91/Q91</f>
        <v>0</v>
      </c>
      <c r="BJ91" s="44" t="s">
        <v>115</v>
      </c>
      <c r="BK91" s="42" t="e">
        <f t="shared" si="102"/>
        <v>#N/A</v>
      </c>
      <c r="BL91" s="44" t="s">
        <v>115</v>
      </c>
      <c r="BM91" s="42" t="e" cm="1">
        <f t="array" ref="BM91">_xlfn.IFS(BD91="NA","NA",BD91&gt;100%,"100%",BD91&lt;100,BD91)</f>
        <v>#N/A</v>
      </c>
      <c r="BN91" s="42" cm="1">
        <f t="array" ref="BN91">_xlfn.IFS(BF91="NA","NA",BF91&gt;100%,"100%",BF91&lt;100,BF91)</f>
        <v>0</v>
      </c>
      <c r="BO91" s="42" cm="1">
        <f t="array" ref="BO91">_xlfn.IFS(BH91="NA","NA",BH91&gt;100%,"100%",BH91&lt;100,BH91)</f>
        <v>0</v>
      </c>
      <c r="BP91" s="42" t="str" cm="1">
        <f t="array" ref="BP91">_xlfn.IFS(BJ91="NA","NA",BJ91&gt;100%,"100%",BJ91&lt;100,BJ91)</f>
        <v>NA</v>
      </c>
      <c r="BQ91" s="45">
        <v>0.22500000000000001</v>
      </c>
      <c r="BR91" s="43" t="e">
        <f t="shared" si="103"/>
        <v>#N/A</v>
      </c>
      <c r="BS91" s="45">
        <v>0</v>
      </c>
      <c r="BT91" s="45" t="s">
        <v>115</v>
      </c>
      <c r="BU91" s="45">
        <v>0</v>
      </c>
      <c r="BV91" s="43">
        <f t="shared" ref="BV91:BV93" si="152">(AD91*BQ91)/Q91</f>
        <v>8.5248447204968936E-2</v>
      </c>
      <c r="BW91" s="43" t="e">
        <f t="shared" si="104"/>
        <v>#N/A</v>
      </c>
      <c r="BX91" s="43" t="e">
        <f t="shared" si="105"/>
        <v>#N/A</v>
      </c>
      <c r="BY91" s="43">
        <f t="shared" ref="BY91:BY93" si="153">(AL91*BQ91)/Q91</f>
        <v>8.5248447204968936E-2</v>
      </c>
      <c r="BZ91" s="43">
        <f t="shared" ref="BZ91:BZ93" si="154">IF(BN91="NA","NA",BN91*BY91)</f>
        <v>0</v>
      </c>
      <c r="CA91" s="43" t="e">
        <f t="shared" si="106"/>
        <v>#N/A</v>
      </c>
      <c r="CB91" s="43">
        <f t="shared" ref="CB91:CB93" si="155">(AN91*BQ91)/Q91</f>
        <v>5.4503105590062113E-2</v>
      </c>
      <c r="CC91" s="43">
        <f t="shared" ref="CC91:CC93" si="156">IF(BO91="NA","NA",BO91*CB91)</f>
        <v>0</v>
      </c>
      <c r="CD91" s="45">
        <v>0</v>
      </c>
      <c r="CE91" s="43">
        <f t="shared" ref="CE91:CE93" si="157">(AP91*BQ91)/Q91</f>
        <v>0</v>
      </c>
      <c r="CF91" s="43" t="str">
        <f t="shared" ref="CF91:CF93" si="158">IF(BP91="NA","NA",BP91*CE91)</f>
        <v>NA</v>
      </c>
      <c r="CG91" s="45">
        <v>0</v>
      </c>
    </row>
    <row r="92" spans="1:90" ht="18" customHeight="1">
      <c r="A92" s="260" t="s">
        <v>292</v>
      </c>
      <c r="B92" s="260" t="s">
        <v>293</v>
      </c>
      <c r="C92" s="260" t="s">
        <v>100</v>
      </c>
      <c r="D92" s="260" t="s">
        <v>508</v>
      </c>
      <c r="E92" s="260" t="s">
        <v>509</v>
      </c>
      <c r="F92" s="260" t="s">
        <v>604</v>
      </c>
      <c r="G92" s="260" t="s">
        <v>605</v>
      </c>
      <c r="H92" s="260" t="s">
        <v>2889</v>
      </c>
      <c r="I92" s="260" t="s">
        <v>255</v>
      </c>
      <c r="J92" s="260"/>
      <c r="K92" s="260" t="s">
        <v>2890</v>
      </c>
      <c r="L92" s="260" t="s">
        <v>2891</v>
      </c>
      <c r="M92" s="260" t="s">
        <v>2892</v>
      </c>
      <c r="N92" s="260" t="s">
        <v>111</v>
      </c>
      <c r="O92" s="260" t="s">
        <v>112</v>
      </c>
      <c r="P92" s="10">
        <v>1</v>
      </c>
      <c r="Q92" s="11">
        <v>1</v>
      </c>
      <c r="R92" s="9" t="e">
        <f t="shared" si="145"/>
        <v>#N/A</v>
      </c>
      <c r="S92" s="11" t="e">
        <f>VLOOKUP(K92,'1108 Educación'!$K$13:$AK$40,9,0)</f>
        <v>#N/A</v>
      </c>
      <c r="T92" s="11">
        <v>0</v>
      </c>
      <c r="U92" s="11">
        <v>0</v>
      </c>
      <c r="V92" s="11">
        <v>0</v>
      </c>
      <c r="W92" s="11">
        <v>0</v>
      </c>
      <c r="X92" s="11">
        <v>0</v>
      </c>
      <c r="Y92" s="11">
        <v>0</v>
      </c>
      <c r="Z92" s="11">
        <v>0</v>
      </c>
      <c r="AA92" s="11"/>
      <c r="AB92" s="11"/>
      <c r="AC92" s="11"/>
      <c r="AD92" s="11">
        <v>0</v>
      </c>
      <c r="AE92" s="11">
        <v>0</v>
      </c>
      <c r="AF92" s="11" t="e">
        <f>VLOOKUP(K92,'1108 Educación'!$K$13:$AK$40,22,0)</f>
        <v>#N/A</v>
      </c>
      <c r="AG92" s="11" t="e">
        <f>VLOOKUP(K92,'1108 Educación'!$K$13:$AK$40,23,0)</f>
        <v>#N/A</v>
      </c>
      <c r="AH92" s="9" t="e">
        <f t="shared" si="146"/>
        <v>#N/A</v>
      </c>
      <c r="AI92" s="9" t="e">
        <f>VLOOKUP(K92,'1108 Educación'!$K$13:$AK$40,25,0)</f>
        <v>#N/A</v>
      </c>
      <c r="AJ92" s="9" t="e">
        <f>VLOOKUP(K92,'1108 Educación'!$K$13:$AK$40,26,0)</f>
        <v>#N/A</v>
      </c>
      <c r="AK92" s="9" t="e">
        <f>VLOOKUP(K92,'1108 Educación'!$K$13:$AK$40,27,0)</f>
        <v>#N/A</v>
      </c>
      <c r="AL92" s="11">
        <v>1</v>
      </c>
      <c r="AM92" s="11">
        <v>0</v>
      </c>
      <c r="AN92" s="11">
        <v>0</v>
      </c>
      <c r="AO92" s="11">
        <v>0</v>
      </c>
      <c r="AP92" s="11">
        <v>0</v>
      </c>
      <c r="AQ92" s="11">
        <v>0</v>
      </c>
      <c r="AR92" s="52"/>
      <c r="AS92" s="54">
        <v>0</v>
      </c>
      <c r="AT92" s="54">
        <f t="shared" si="101"/>
        <v>0</v>
      </c>
      <c r="AU92" s="52"/>
      <c r="AV92" s="89">
        <v>0</v>
      </c>
      <c r="AY92" s="89">
        <v>0</v>
      </c>
      <c r="AZ92" s="42" t="e">
        <f t="shared" si="147"/>
        <v>#N/A</v>
      </c>
      <c r="BA92" s="44">
        <v>0</v>
      </c>
      <c r="BB92" s="44" t="s">
        <v>115</v>
      </c>
      <c r="BC92" s="42">
        <f t="shared" si="148"/>
        <v>0</v>
      </c>
      <c r="BD92" s="42" t="str" cm="1">
        <f t="array" ref="BD92">_xlfn.IFS(AD92=0,"NA",AD92&gt;0,AH92/AD92)</f>
        <v>NA</v>
      </c>
      <c r="BE92" s="42">
        <f t="shared" si="149"/>
        <v>1</v>
      </c>
      <c r="BF92" s="44">
        <v>0</v>
      </c>
      <c r="BG92" s="42">
        <f t="shared" si="150"/>
        <v>0</v>
      </c>
      <c r="BH92" s="44" t="s">
        <v>115</v>
      </c>
      <c r="BI92" s="42">
        <f t="shared" si="151"/>
        <v>0</v>
      </c>
      <c r="BJ92" s="44" t="s">
        <v>115</v>
      </c>
      <c r="BK92" s="42" t="e">
        <f t="shared" si="102"/>
        <v>#N/A</v>
      </c>
      <c r="BL92" s="44" t="s">
        <v>115</v>
      </c>
      <c r="BM92" s="42" t="str" cm="1">
        <f t="array" ref="BM92">_xlfn.IFS(BD92="NA","NA",BD92&gt;100%,"100%",BD92&lt;100,BD92)</f>
        <v>NA</v>
      </c>
      <c r="BN92" s="42" cm="1">
        <f t="array" ref="BN92">_xlfn.IFS(BF92="NA","NA",BF92&gt;100%,"100%",BF92&lt;100,BF92)</f>
        <v>0</v>
      </c>
      <c r="BO92" s="42" t="str" cm="1">
        <f t="array" ref="BO92">_xlfn.IFS(BH92="NA","NA",BH92&gt;100%,"100%",BH92&lt;100,BH92)</f>
        <v>NA</v>
      </c>
      <c r="BP92" s="42" t="str" cm="1">
        <f t="array" ref="BP92">_xlfn.IFS(BJ92="NA","NA",BJ92&gt;100%,"100%",BJ92&lt;100,BJ92)</f>
        <v>NA</v>
      </c>
      <c r="BQ92" s="45">
        <v>0.22500000000000001</v>
      </c>
      <c r="BR92" s="43" t="e">
        <f t="shared" si="103"/>
        <v>#N/A</v>
      </c>
      <c r="BS92" s="45">
        <v>0</v>
      </c>
      <c r="BT92" s="45" t="s">
        <v>115</v>
      </c>
      <c r="BU92" s="45">
        <v>0</v>
      </c>
      <c r="BV92" s="43">
        <f t="shared" si="152"/>
        <v>0</v>
      </c>
      <c r="BW92" s="43" t="str">
        <f t="shared" si="104"/>
        <v>NA</v>
      </c>
      <c r="BX92" s="43" t="e">
        <f t="shared" si="105"/>
        <v>#N/A</v>
      </c>
      <c r="BY92" s="43">
        <f t="shared" si="153"/>
        <v>0.22500000000000001</v>
      </c>
      <c r="BZ92" s="43">
        <f t="shared" si="154"/>
        <v>0</v>
      </c>
      <c r="CA92" s="43" t="e">
        <f t="shared" si="106"/>
        <v>#N/A</v>
      </c>
      <c r="CB92" s="43">
        <f t="shared" si="155"/>
        <v>0</v>
      </c>
      <c r="CC92" s="43" t="str">
        <f t="shared" si="156"/>
        <v>NA</v>
      </c>
      <c r="CD92" s="45">
        <v>0</v>
      </c>
      <c r="CE92" s="43">
        <f t="shared" si="157"/>
        <v>0</v>
      </c>
      <c r="CF92" s="43" t="str">
        <f t="shared" si="158"/>
        <v>NA</v>
      </c>
      <c r="CG92" s="45">
        <v>0</v>
      </c>
    </row>
    <row r="93" spans="1:90" ht="18" customHeight="1">
      <c r="A93" s="260" t="s">
        <v>292</v>
      </c>
      <c r="B93" s="260" t="s">
        <v>293</v>
      </c>
      <c r="C93" s="260" t="s">
        <v>100</v>
      </c>
      <c r="D93" s="260" t="s">
        <v>508</v>
      </c>
      <c r="E93" s="260" t="s">
        <v>509</v>
      </c>
      <c r="F93" s="260" t="s">
        <v>604</v>
      </c>
      <c r="G93" s="260" t="s">
        <v>605</v>
      </c>
      <c r="H93" s="260" t="s">
        <v>2893</v>
      </c>
      <c r="I93" s="260" t="s">
        <v>255</v>
      </c>
      <c r="J93" s="260" t="s">
        <v>632</v>
      </c>
      <c r="K93" s="260" t="s">
        <v>2894</v>
      </c>
      <c r="L93" s="260" t="s">
        <v>2895</v>
      </c>
      <c r="M93" s="260" t="s">
        <v>2896</v>
      </c>
      <c r="N93" s="260" t="s">
        <v>111</v>
      </c>
      <c r="O93" s="260" t="s">
        <v>112</v>
      </c>
      <c r="P93" s="10">
        <v>1249</v>
      </c>
      <c r="Q93" s="11">
        <v>411</v>
      </c>
      <c r="R93" s="9" t="e">
        <f t="shared" si="145"/>
        <v>#N/A</v>
      </c>
      <c r="S93" s="11" t="e">
        <f>VLOOKUP(K93,'1108 Educación'!$K$13:$AK$40,9,0)</f>
        <v>#N/A</v>
      </c>
      <c r="T93" s="11">
        <v>0</v>
      </c>
      <c r="U93" s="11">
        <v>0</v>
      </c>
      <c r="V93" s="11">
        <v>19</v>
      </c>
      <c r="W93" s="11">
        <v>0</v>
      </c>
      <c r="X93" s="11">
        <v>19</v>
      </c>
      <c r="Y93" s="11">
        <v>0</v>
      </c>
      <c r="Z93" s="11">
        <v>19</v>
      </c>
      <c r="AA93" s="11">
        <v>0</v>
      </c>
      <c r="AB93" s="11" t="s">
        <v>2897</v>
      </c>
      <c r="AC93" s="11">
        <v>0</v>
      </c>
      <c r="AD93" s="11">
        <v>130</v>
      </c>
      <c r="AE93" s="11">
        <v>0</v>
      </c>
      <c r="AF93" s="11" t="e">
        <f>VLOOKUP(K93,'1108 Educación'!$K$13:$AK$40,22,0)</f>
        <v>#N/A</v>
      </c>
      <c r="AG93" s="11" t="e">
        <f>VLOOKUP(K93,'1108 Educación'!$K$13:$AK$40,23,0)</f>
        <v>#N/A</v>
      </c>
      <c r="AH93" s="9" t="e">
        <f t="shared" si="146"/>
        <v>#N/A</v>
      </c>
      <c r="AI93" s="9" t="e">
        <f>VLOOKUP(K93,'1108 Educación'!$K$13:$AK$40,25,0)</f>
        <v>#N/A</v>
      </c>
      <c r="AJ93" s="9" t="e">
        <f>VLOOKUP(K93,'1108 Educación'!$K$13:$AK$40,26,0)</f>
        <v>#N/A</v>
      </c>
      <c r="AK93" s="9" t="e">
        <f>VLOOKUP(K93,'1108 Educación'!$K$13:$AK$40,27,0)</f>
        <v>#N/A</v>
      </c>
      <c r="AL93" s="11">
        <v>130</v>
      </c>
      <c r="AM93" s="11">
        <v>0</v>
      </c>
      <c r="AN93" s="11">
        <v>132</v>
      </c>
      <c r="AO93" s="11">
        <v>0</v>
      </c>
      <c r="AP93" s="11">
        <v>0</v>
      </c>
      <c r="AQ93" s="11">
        <v>0</v>
      </c>
      <c r="AR93" s="51">
        <v>3544000000</v>
      </c>
      <c r="AS93" s="54">
        <v>1593475664</v>
      </c>
      <c r="AT93" s="54">
        <f t="shared" si="101"/>
        <v>5137475664</v>
      </c>
      <c r="AU93" s="51">
        <v>3544000000</v>
      </c>
      <c r="AV93" s="89">
        <v>0</v>
      </c>
      <c r="AY93" s="89">
        <v>0</v>
      </c>
      <c r="AZ93" s="42" t="e">
        <f t="shared" si="147"/>
        <v>#N/A</v>
      </c>
      <c r="BA93" s="44">
        <v>4.6199999999999998E-2</v>
      </c>
      <c r="BB93" s="44">
        <v>1</v>
      </c>
      <c r="BC93" s="42">
        <f t="shared" si="148"/>
        <v>0.31630170316301703</v>
      </c>
      <c r="BD93" s="42" t="e" cm="1">
        <f t="array" ref="BD93">_xlfn.IFS(AD93=0,"NA",AD93&gt;0,AH93/AD93)</f>
        <v>#N/A</v>
      </c>
      <c r="BE93" s="42">
        <f t="shared" si="149"/>
        <v>0.31630170316301703</v>
      </c>
      <c r="BF93" s="44">
        <v>0</v>
      </c>
      <c r="BG93" s="42">
        <f t="shared" si="150"/>
        <v>0.32116788321167883</v>
      </c>
      <c r="BH93" s="44">
        <v>0</v>
      </c>
      <c r="BI93" s="42">
        <f t="shared" si="151"/>
        <v>0</v>
      </c>
      <c r="BJ93" s="44" t="s">
        <v>115</v>
      </c>
      <c r="BK93" s="42" t="e">
        <f t="shared" si="102"/>
        <v>#N/A</v>
      </c>
      <c r="BL93" s="44">
        <v>1</v>
      </c>
      <c r="BM93" s="42" t="e" cm="1">
        <f t="array" ref="BM93">_xlfn.IFS(BD93="NA","NA",BD93&gt;100%,"100%",BD93&lt;100,BD93)</f>
        <v>#N/A</v>
      </c>
      <c r="BN93" s="42" cm="1">
        <f t="array" ref="BN93">_xlfn.IFS(BF93="NA","NA",BF93&gt;100%,"100%",BF93&lt;100,BF93)</f>
        <v>0</v>
      </c>
      <c r="BO93" s="42" cm="1">
        <f t="array" ref="BO93">_xlfn.IFS(BH93="NA","NA",BH93&gt;100%,"100%",BH93&lt;100,BH93)</f>
        <v>0</v>
      </c>
      <c r="BP93" s="42" t="str" cm="1">
        <f t="array" ref="BP93">_xlfn.IFS(BJ93="NA","NA",BJ93&gt;100%,"100%",BJ93&lt;100,BJ93)</f>
        <v>NA</v>
      </c>
      <c r="BQ93" s="45">
        <v>0.22500000000000001</v>
      </c>
      <c r="BR93" s="43" t="e">
        <f t="shared" si="103"/>
        <v>#N/A</v>
      </c>
      <c r="BS93" s="45">
        <v>1.04E-2</v>
      </c>
      <c r="BT93" s="45">
        <v>1.04E-2</v>
      </c>
      <c r="BU93" s="45">
        <v>1.04E-2</v>
      </c>
      <c r="BV93" s="43">
        <f t="shared" si="152"/>
        <v>7.1167883211678828E-2</v>
      </c>
      <c r="BW93" s="43" t="e">
        <f t="shared" si="104"/>
        <v>#N/A</v>
      </c>
      <c r="BX93" s="43" t="e">
        <f t="shared" si="105"/>
        <v>#N/A</v>
      </c>
      <c r="BY93" s="43">
        <f t="shared" si="153"/>
        <v>7.1167883211678828E-2</v>
      </c>
      <c r="BZ93" s="43">
        <f t="shared" si="154"/>
        <v>0</v>
      </c>
      <c r="CA93" s="43" t="e">
        <f t="shared" si="106"/>
        <v>#N/A</v>
      </c>
      <c r="CB93" s="43">
        <f t="shared" si="155"/>
        <v>7.2262773722627738E-2</v>
      </c>
      <c r="CC93" s="43">
        <f t="shared" si="156"/>
        <v>0</v>
      </c>
      <c r="CD93" s="45">
        <v>0</v>
      </c>
      <c r="CE93" s="43">
        <f t="shared" si="157"/>
        <v>0</v>
      </c>
      <c r="CF93" s="43" t="str">
        <f t="shared" si="158"/>
        <v>NA</v>
      </c>
      <c r="CG93" s="45">
        <v>0</v>
      </c>
    </row>
    <row r="94" spans="1:90" ht="18" customHeight="1">
      <c r="A94" s="260" t="s">
        <v>292</v>
      </c>
      <c r="B94" s="260" t="s">
        <v>293</v>
      </c>
      <c r="C94" s="260" t="s">
        <v>100</v>
      </c>
      <c r="D94" s="260" t="s">
        <v>508</v>
      </c>
      <c r="E94" s="260" t="s">
        <v>509</v>
      </c>
      <c r="F94" s="260" t="s">
        <v>604</v>
      </c>
      <c r="G94" s="260" t="s">
        <v>605</v>
      </c>
      <c r="H94" s="260" t="s">
        <v>631</v>
      </c>
      <c r="I94" s="260" t="s">
        <v>255</v>
      </c>
      <c r="J94" s="260" t="s">
        <v>632</v>
      </c>
      <c r="K94" s="260" t="s">
        <v>633</v>
      </c>
      <c r="L94" s="260" t="s">
        <v>2898</v>
      </c>
      <c r="M94" s="260" t="s">
        <v>635</v>
      </c>
      <c r="N94" s="260" t="s">
        <v>111</v>
      </c>
      <c r="O94" s="260" t="s">
        <v>124</v>
      </c>
      <c r="P94" s="10">
        <v>1245</v>
      </c>
      <c r="Q94" s="11">
        <v>1400</v>
      </c>
      <c r="R94" s="11">
        <f>(Z94+AH94)/CL94</f>
        <v>103</v>
      </c>
      <c r="S94" s="11" t="str">
        <f>VLOOKUP(K94,'1108 Educación'!$K$13:$AK$40,9,0)</f>
        <v>Se logró mantener el servicio de  conectividad a internet de 1294 sedes educativas, a través de la Autopista Digital de Cundinamarca, permitiendo mejor conectividad y apropiación de las Tic  estas sedes han podido cumplir con procesos administrativos y académicos exigidos  por la secretarìa de Educaciòn, por el MEN y otro procesos educativos en los que están vinculados.</v>
      </c>
      <c r="T94" s="11">
        <v>0</v>
      </c>
      <c r="U94" s="11">
        <v>1400</v>
      </c>
      <c r="V94" s="11">
        <v>0</v>
      </c>
      <c r="W94" s="11">
        <v>1400</v>
      </c>
      <c r="X94" s="11" t="s">
        <v>115</v>
      </c>
      <c r="Y94" s="11">
        <v>412</v>
      </c>
      <c r="Z94" s="11">
        <v>412</v>
      </c>
      <c r="AA94" s="11" t="s">
        <v>636</v>
      </c>
      <c r="AB94" s="11" t="s">
        <v>637</v>
      </c>
      <c r="AC94" s="11">
        <v>0</v>
      </c>
      <c r="AD94" s="11">
        <v>0</v>
      </c>
      <c r="AE94" s="11">
        <v>1400</v>
      </c>
      <c r="AF94" s="11">
        <f>VLOOKUP(K94,'1108 Educación'!$K$13:$AK$40,22,0)</f>
        <v>1038</v>
      </c>
      <c r="AG94" s="11">
        <f>VLOOKUP(K94,'1108 Educación'!$K$13:$AK$40,23,0)</f>
        <v>0</v>
      </c>
      <c r="AH94" s="11">
        <f>AG94</f>
        <v>0</v>
      </c>
      <c r="AI94" s="9" t="str">
        <f>VLOOKUP(K94,'1108 Educación'!$K$13:$AK$40,25,0)</f>
        <v xml:space="preserve">Conexión  Internet </v>
      </c>
      <c r="AJ94" s="9" t="str">
        <f>VLOOKUP(K94,'1108 Educación'!$K$13:$AK$40,26,0)</f>
        <v>Con  estrategias de conectividad como transferencias, autopista Digital, y estrategia de Mintic Cundinamarca se han conectado 985 sedes educativas donde el servicio de internet es vital para los estudiantes, de esta forma ir cerrando la brecha digital. Durante el mes de Octubre se realizaron transferencias con recursos SGP segun resolucion 3818 del 12 de octubre del 2021.</v>
      </c>
      <c r="AK94" s="9">
        <f>VLOOKUP(K94,'1108 Educación'!$K$13:$AK$40,27,0)</f>
        <v>0</v>
      </c>
      <c r="AL94" s="11">
        <v>0</v>
      </c>
      <c r="AM94" s="11">
        <v>1400</v>
      </c>
      <c r="AN94" s="11">
        <v>0</v>
      </c>
      <c r="AO94" s="11">
        <v>1400</v>
      </c>
      <c r="AP94" s="11">
        <v>0</v>
      </c>
      <c r="AQ94" s="11">
        <v>0</v>
      </c>
      <c r="AR94" s="52"/>
      <c r="AS94" s="54">
        <v>0</v>
      </c>
      <c r="AT94" s="54">
        <f t="shared" si="101"/>
        <v>0</v>
      </c>
      <c r="AU94" s="52"/>
      <c r="AV94" s="89">
        <v>2152944360</v>
      </c>
      <c r="AY94" s="89">
        <v>0</v>
      </c>
      <c r="AZ94" s="44" cm="1">
        <f t="array" ref="AZ94">_xlfn.IFS((BA94=0),(BD94/CL94),(BA94&gt;0),((BB94+BD94)/CL94),(BE94&gt;0),((BB94+BD94+BE94)/CL94),(BG94&gt;0),((BB94+BD94+BE94+G94)/CL94))</f>
        <v>7.3575000000000002E-2</v>
      </c>
      <c r="BA94" s="44">
        <v>0.25</v>
      </c>
      <c r="BB94" s="44">
        <v>0.29430000000000001</v>
      </c>
      <c r="BC94" s="44">
        <f>IF(AE94&gt;0,(1/CL94),0)</f>
        <v>0.25</v>
      </c>
      <c r="BD94" s="44" cm="1">
        <f t="array" ref="BD94">_xlfn.IFS(AE94=0,"NA",AE94&gt;0,AH94/AE94)</f>
        <v>0</v>
      </c>
      <c r="BE94" s="44">
        <f>IF(AM94&gt;0,(1/CL94),0)</f>
        <v>0.25</v>
      </c>
      <c r="BF94" s="44">
        <v>0</v>
      </c>
      <c r="BG94" s="44">
        <f>IF(AO94&gt;0,(1/CL94),0)</f>
        <v>0.25</v>
      </c>
      <c r="BH94" s="44">
        <v>0</v>
      </c>
      <c r="BI94" s="44">
        <v>0</v>
      </c>
      <c r="BJ94" s="44" t="s">
        <v>115</v>
      </c>
      <c r="BK94" s="44">
        <f t="shared" si="102"/>
        <v>7.3575000000000002E-2</v>
      </c>
      <c r="BL94" s="44">
        <v>0.29430000000000001</v>
      </c>
      <c r="BM94" s="42" cm="1">
        <f t="array" ref="BM94">_xlfn.IFS(BD94="NA","NA",BD94&gt;100%,"100%",BD94&lt;100,BD94)</f>
        <v>0</v>
      </c>
      <c r="BN94" s="44">
        <v>0</v>
      </c>
      <c r="BO94" s="44">
        <v>0</v>
      </c>
      <c r="BP94" s="44" t="s">
        <v>115</v>
      </c>
      <c r="BQ94" s="45">
        <v>0.22500000000000001</v>
      </c>
      <c r="BR94" s="43">
        <f t="shared" si="103"/>
        <v>1.6554375E-2</v>
      </c>
      <c r="BS94" s="45">
        <v>5.6300000000000003E-2</v>
      </c>
      <c r="BT94" s="45">
        <v>1.66E-2</v>
      </c>
      <c r="BU94" s="45">
        <v>1.66E-2</v>
      </c>
      <c r="BV94" s="45">
        <v>5.6300000000000003E-2</v>
      </c>
      <c r="BW94" s="43">
        <f t="shared" si="104"/>
        <v>0</v>
      </c>
      <c r="BX94" s="43">
        <f t="shared" si="105"/>
        <v>-4.5625000000000526E-5</v>
      </c>
      <c r="BY94" s="45">
        <v>5.6300000000000003E-2</v>
      </c>
      <c r="BZ94" s="45">
        <v>0</v>
      </c>
      <c r="CA94" s="43">
        <f t="shared" si="106"/>
        <v>0</v>
      </c>
      <c r="CB94" s="45">
        <v>5.6300000000000003E-2</v>
      </c>
      <c r="CC94" s="45">
        <v>0</v>
      </c>
      <c r="CD94" s="45">
        <v>0</v>
      </c>
      <c r="CE94" s="45">
        <v>0</v>
      </c>
      <c r="CF94" s="45" t="s">
        <v>115</v>
      </c>
      <c r="CG94" s="45">
        <v>0</v>
      </c>
      <c r="CH94">
        <f>IF(W94&gt;0,1,0)</f>
        <v>1</v>
      </c>
      <c r="CI94">
        <f>IF(AE94&gt;0,1,0)</f>
        <v>1</v>
      </c>
      <c r="CJ94">
        <f>IF(AM94&gt;0,1,0)</f>
        <v>1</v>
      </c>
      <c r="CK94">
        <f>IF(AO94&gt;0,1,0)</f>
        <v>1</v>
      </c>
      <c r="CL94">
        <f>CH94+CI94+CJ94+CK94</f>
        <v>4</v>
      </c>
    </row>
    <row r="95" spans="1:90" ht="18" customHeight="1">
      <c r="A95" s="260" t="s">
        <v>292</v>
      </c>
      <c r="B95" s="260" t="s">
        <v>293</v>
      </c>
      <c r="C95" s="260" t="s">
        <v>100</v>
      </c>
      <c r="D95" s="260" t="s">
        <v>508</v>
      </c>
      <c r="E95" s="260" t="s">
        <v>509</v>
      </c>
      <c r="F95" s="260" t="s">
        <v>604</v>
      </c>
      <c r="G95" s="260" t="s">
        <v>605</v>
      </c>
      <c r="H95" s="260" t="s">
        <v>2899</v>
      </c>
      <c r="I95" s="260" t="s">
        <v>255</v>
      </c>
      <c r="J95" s="260" t="s">
        <v>632</v>
      </c>
      <c r="K95" s="260" t="s">
        <v>2900</v>
      </c>
      <c r="L95" s="260" t="s">
        <v>2901</v>
      </c>
      <c r="M95" s="260" t="s">
        <v>2902</v>
      </c>
      <c r="N95" s="260" t="s">
        <v>111</v>
      </c>
      <c r="O95" s="260" t="s">
        <v>112</v>
      </c>
      <c r="P95" s="10">
        <v>60</v>
      </c>
      <c r="Q95" s="11">
        <v>120</v>
      </c>
      <c r="R95" s="9" t="e">
        <f>Z95+AH95</f>
        <v>#N/A</v>
      </c>
      <c r="S95" s="11" t="e">
        <f>VLOOKUP(K95,'1108 Educación'!$K$13:$AK$40,9,0)</f>
        <v>#N/A</v>
      </c>
      <c r="T95" s="11">
        <v>0</v>
      </c>
      <c r="U95" s="11">
        <v>0</v>
      </c>
      <c r="V95" s="11">
        <v>0</v>
      </c>
      <c r="W95" s="11">
        <v>0</v>
      </c>
      <c r="X95" s="11">
        <v>0</v>
      </c>
      <c r="Y95" s="11">
        <v>0</v>
      </c>
      <c r="Z95" s="11">
        <v>0</v>
      </c>
      <c r="AA95" s="11"/>
      <c r="AB95" s="11"/>
      <c r="AC95" s="11"/>
      <c r="AD95" s="11">
        <v>40</v>
      </c>
      <c r="AE95" s="11">
        <v>0</v>
      </c>
      <c r="AF95" s="11" t="e">
        <f>VLOOKUP(K95,'1108 Educación'!$K$13:$AK$40,22,0)</f>
        <v>#N/A</v>
      </c>
      <c r="AG95" s="11" t="e">
        <f>VLOOKUP(K95,'1108 Educación'!$K$13:$AK$40,23,0)</f>
        <v>#N/A</v>
      </c>
      <c r="AH95" s="9" t="e">
        <f>AF95</f>
        <v>#N/A</v>
      </c>
      <c r="AI95" s="9" t="e">
        <f>VLOOKUP(K95,'1108 Educación'!$K$13:$AK$40,25,0)</f>
        <v>#N/A</v>
      </c>
      <c r="AJ95" s="9" t="e">
        <f>VLOOKUP(K95,'1108 Educación'!$K$13:$AK$40,26,0)</f>
        <v>#N/A</v>
      </c>
      <c r="AK95" s="9" t="e">
        <f>VLOOKUP(K95,'1108 Educación'!$K$13:$AK$40,27,0)</f>
        <v>#N/A</v>
      </c>
      <c r="AL95" s="11">
        <v>40</v>
      </c>
      <c r="AM95" s="11">
        <v>0</v>
      </c>
      <c r="AN95" s="11">
        <v>40</v>
      </c>
      <c r="AO95" s="11">
        <v>0</v>
      </c>
      <c r="AP95" s="11">
        <v>0</v>
      </c>
      <c r="AQ95" s="11">
        <v>0</v>
      </c>
      <c r="AR95" s="52"/>
      <c r="AS95" s="54">
        <v>0</v>
      </c>
      <c r="AT95" s="54">
        <f t="shared" si="101"/>
        <v>0</v>
      </c>
      <c r="AU95" s="52"/>
      <c r="AV95" s="89">
        <v>0</v>
      </c>
      <c r="AY95" s="89">
        <v>0</v>
      </c>
      <c r="AZ95" s="42" t="e">
        <f t="shared" ref="AZ95" si="159">R95/Q95</f>
        <v>#N/A</v>
      </c>
      <c r="BA95" s="44">
        <v>0</v>
      </c>
      <c r="BB95" s="44" t="s">
        <v>115</v>
      </c>
      <c r="BC95" s="42">
        <f>AD95/Q95</f>
        <v>0.33333333333333331</v>
      </c>
      <c r="BD95" s="42" t="e" cm="1">
        <f t="array" ref="BD95">_xlfn.IFS(AD95=0,"NA",AD95&gt;0,AH95/AD95)</f>
        <v>#N/A</v>
      </c>
      <c r="BE95" s="42">
        <f>AL95/Q95</f>
        <v>0.33333333333333331</v>
      </c>
      <c r="BF95" s="44">
        <v>0</v>
      </c>
      <c r="BG95" s="42">
        <f>AN95/Q95</f>
        <v>0.33333333333333331</v>
      </c>
      <c r="BH95" s="44">
        <v>0</v>
      </c>
      <c r="BI95" s="42">
        <f>AP95/Q95</f>
        <v>0</v>
      </c>
      <c r="BJ95" s="44" t="s">
        <v>115</v>
      </c>
      <c r="BK95" s="42" t="e">
        <f t="shared" si="102"/>
        <v>#N/A</v>
      </c>
      <c r="BL95" s="44" t="s">
        <v>115</v>
      </c>
      <c r="BM95" s="42" t="e" cm="1">
        <f t="array" ref="BM95">_xlfn.IFS(BD95="NA","NA",BD95&gt;100%,"100%",BD95&lt;100,BD95)</f>
        <v>#N/A</v>
      </c>
      <c r="BN95" s="42" cm="1">
        <f t="array" ref="BN95">_xlfn.IFS(BF95="NA","NA",BF95&gt;100%,"100%",BF95&lt;100,BF95)</f>
        <v>0</v>
      </c>
      <c r="BO95" s="42" cm="1">
        <f t="array" ref="BO95">_xlfn.IFS(BH95="NA","NA",BH95&gt;100%,"100%",BH95&lt;100,BH95)</f>
        <v>0</v>
      </c>
      <c r="BP95" s="42" t="str" cm="1">
        <f t="array" ref="BP95">_xlfn.IFS(BJ95="NA","NA",BJ95&gt;100%,"100%",BJ95&lt;100,BJ95)</f>
        <v>NA</v>
      </c>
      <c r="BQ95" s="45">
        <v>0.22500000000000001</v>
      </c>
      <c r="BR95" s="43" t="e">
        <f t="shared" si="103"/>
        <v>#N/A</v>
      </c>
      <c r="BS95" s="45">
        <v>0</v>
      </c>
      <c r="BT95" s="45" t="s">
        <v>115</v>
      </c>
      <c r="BU95" s="45">
        <v>0</v>
      </c>
      <c r="BV95" s="43">
        <f>(AD95*BQ95)/Q95</f>
        <v>7.4999999999999997E-2</v>
      </c>
      <c r="BW95" s="43" t="e">
        <f t="shared" si="104"/>
        <v>#N/A</v>
      </c>
      <c r="BX95" s="43" t="e">
        <f t="shared" si="105"/>
        <v>#N/A</v>
      </c>
      <c r="BY95" s="43">
        <f>(AL95*BQ95)/Q95</f>
        <v>7.4999999999999997E-2</v>
      </c>
      <c r="BZ95" s="43">
        <f>IF(BN95="NA","NA",BN95*BY95)</f>
        <v>0</v>
      </c>
      <c r="CA95" s="43" t="e">
        <f t="shared" si="106"/>
        <v>#N/A</v>
      </c>
      <c r="CB95" s="43">
        <f>(AN95*BQ95)/Q95</f>
        <v>7.4999999999999997E-2</v>
      </c>
      <c r="CC95" s="43">
        <f>IF(BO95="NA","NA",BO95*CB95)</f>
        <v>0</v>
      </c>
      <c r="CD95" s="45">
        <v>0</v>
      </c>
      <c r="CE95" s="43">
        <f>(AP95*BQ95)/Q95</f>
        <v>0</v>
      </c>
      <c r="CF95" s="43" t="str">
        <f>IF(BP95="NA","NA",BP95*CE95)</f>
        <v>NA</v>
      </c>
      <c r="CG95" s="45">
        <v>0</v>
      </c>
    </row>
    <row r="96" spans="1:90" ht="18" customHeight="1">
      <c r="A96" s="260" t="s">
        <v>292</v>
      </c>
      <c r="B96" s="260" t="s">
        <v>293</v>
      </c>
      <c r="C96" s="260" t="s">
        <v>100</v>
      </c>
      <c r="D96" s="260" t="s">
        <v>508</v>
      </c>
      <c r="E96" s="260" t="s">
        <v>509</v>
      </c>
      <c r="F96" s="260" t="s">
        <v>604</v>
      </c>
      <c r="G96" s="260" t="s">
        <v>605</v>
      </c>
      <c r="H96" s="260" t="s">
        <v>638</v>
      </c>
      <c r="I96" s="260" t="s">
        <v>255</v>
      </c>
      <c r="J96" s="260" t="s">
        <v>298</v>
      </c>
      <c r="K96" s="260" t="s">
        <v>639</v>
      </c>
      <c r="L96" s="260" t="s">
        <v>640</v>
      </c>
      <c r="M96" s="260" t="s">
        <v>641</v>
      </c>
      <c r="N96" s="260" t="s">
        <v>111</v>
      </c>
      <c r="O96" s="260" t="s">
        <v>124</v>
      </c>
      <c r="P96" s="10">
        <v>230</v>
      </c>
      <c r="Q96" s="11">
        <v>230</v>
      </c>
      <c r="R96" s="11">
        <f>(Z96+AH96)/CL96</f>
        <v>112.25</v>
      </c>
      <c r="S96" s="11" t="str">
        <f>VLOOKUP(K96,'1108 Educación'!$K$13:$AK$40,9,0)</f>
        <v>223 Instituciones Educativas Departamentales avanzan en la implementación de la Jornada Única, desde la Secretaría de Educación se han brindado las condiciones necesarias para que su ejecución se desarrolle conforme a lo establecido en los lineamientos del Ministerio de Educación Nacional, se han priorizado los estudiantes de jornada unica en la focalización de PAE, de acuerdo a los criterios indicados en la resolución 24952 de 2017, así mismo, se han entregado a las instituciones educativas con jornada única 6.500 horas extras para su implementación, se cuenta igualmente con 21 docentes de jornada única, adicionalmente los rectores que tienen más del 60% de la matrícula en jornada única reciben el incentivo del 30% adicional en pago de sus honorarios; frente al componente pedagógico se esta verificando a través de entrevista con cada uno de los rectores el proceso de implementación del proyecto de jornada única, en su PEI, así como en su malla curricular.  De esta manera se estan beneficiando 67.873 estudiantes conforme al reporte de SIMAT.  El Ministerio de Educación Nacional ha continuado apoyando el proceso de formación, mediante los webinar dirijido a rectores y funcionarios dde la Secretaría de Educación encargados de jornada única.  En el mes de julio se mantiene porcentaje de Instituciones Educativas Departamentale en Jornada Única, se realiza publicación de resolución de las horas extras  por parte de la Dirección de personal,, PAE se mantiene sin contratiempo, el Ministerio de Educación apoya e incentiva mediante los webinar dirijido a rectores y funcionarios de la Secretaría de Educación encargados de jornada única, se crea drive para que las I.E.D que quieran ampliar y solicitar JU, suban allí la documentación requerida para la vigenca 2022</v>
      </c>
      <c r="T96" s="11">
        <v>0</v>
      </c>
      <c r="U96" s="11">
        <v>230</v>
      </c>
      <c r="V96" s="11">
        <v>0</v>
      </c>
      <c r="W96" s="11">
        <v>230</v>
      </c>
      <c r="X96" s="11" t="s">
        <v>115</v>
      </c>
      <c r="Y96" s="11">
        <v>224</v>
      </c>
      <c r="Z96" s="11">
        <v>224</v>
      </c>
      <c r="AA96" s="11" t="s">
        <v>642</v>
      </c>
      <c r="AB96" s="11" t="s">
        <v>643</v>
      </c>
      <c r="AC96" s="11">
        <v>0</v>
      </c>
      <c r="AD96" s="11">
        <v>0</v>
      </c>
      <c r="AE96" s="11">
        <v>230</v>
      </c>
      <c r="AF96" s="11">
        <f>VLOOKUP(K96,'1108 Educación'!$K$13:$AK$40,22,0)</f>
        <v>0</v>
      </c>
      <c r="AG96" s="11">
        <f>VLOOKUP(K96,'1108 Educación'!$K$13:$AK$40,23,0)</f>
        <v>225</v>
      </c>
      <c r="AH96" s="11">
        <f t="shared" ref="AH96:AH97" si="160">AG96</f>
        <v>225</v>
      </c>
      <c r="AI96" s="9">
        <f>VLOOKUP(K96,'1108 Educación'!$K$13:$AK$40,25,0)</f>
        <v>0</v>
      </c>
      <c r="AJ96" s="9" t="str">
        <f>VLOOKUP(K96,'1108 Educación'!$K$13:$AK$40,26,0)</f>
        <v>225 Instituciones Educativas Departamentale avanzan en la implementación de la Jornada Única, desde la Secretaría de Educación se han brindado las condiciones necesarias para que su ejecución se desarrolle conforme a lo establecido en los lineamientos del Ministerio de Educación Nacional, se han priorizado los estudiantes de jornada unica en la focalización de PAE, de acuerdo a los criterios indicados en la resolución 24952 de 2017, así mismo, se han entregado a las instituciones educativas con jornada única 6.500 horas extras para su implementación, se cuenta igualmente con 21 docentes de jornada única, adicionalmente los rectores que tienen más del 60% de la matrícula en jornada única reciben el incentivo del 30% adicional en pago de sus honorarios; frente al componente pedagógico se esta verificando a través de entrevista con cada uno de los rectores el proceso de implementación del proyecto de jornada única, en su PEI, así como en su malla curricular.  De esta manera se estan beneficiando 67.001 estudiantes conforme al reporte de SIMAT de 27 de septiembre de 2021 cabe resaltar que tomamos este mismo dato del informe pasado ya que la plataforma SIMAT no funciona en el momento. El Ministerio de Educación Nacional ha continuado apoyando el proceso de formación, mediante los webinar dirijido a rectores y funcionarios de la Secretaría de Educación encargados de jornada única.  se cuenta con el apoyo de en 26 instituciones educativas  de los facilidores  del Ministerio de Educacion Nacional  Andres pedraza, Julian Salazar , Eliana Mateus. La Dirección de Cobertura con el equipo lider de jornada unica ha conformado el comité tecnico de jornada única, atendiendo las directrices del Ministerio de Educación Nacional, dicho comité hace acompañamiento en los procesos de verificación de los componentes para el fortalecimiento de la implementación de la jornada única. Se reporta en el  plan de implementación de jornada única las I.E.D  intervenidas y construidas con recursos del FFIE amparadas por Ley 21, dichas instituciones ingresas a jornada única a partir de 2022 una vez se expidad el acto administrativo correspondiente.</v>
      </c>
      <c r="AK96" s="9">
        <f>VLOOKUP(K96,'1108 Educación'!$K$13:$AK$40,27,0)</f>
        <v>0</v>
      </c>
      <c r="AL96" s="11">
        <v>0</v>
      </c>
      <c r="AM96" s="11">
        <v>230</v>
      </c>
      <c r="AN96" s="11">
        <v>0</v>
      </c>
      <c r="AO96" s="11">
        <v>230</v>
      </c>
      <c r="AP96" s="11">
        <v>0</v>
      </c>
      <c r="AQ96" s="11">
        <v>0</v>
      </c>
      <c r="AR96" s="52"/>
      <c r="AS96" s="54">
        <v>24600600</v>
      </c>
      <c r="AT96" s="54">
        <f t="shared" si="101"/>
        <v>24600600</v>
      </c>
      <c r="AU96" s="52"/>
      <c r="AV96" s="89">
        <v>0</v>
      </c>
      <c r="AY96" s="89">
        <v>0</v>
      </c>
      <c r="AZ96" s="44" cm="1">
        <f t="array" ref="AZ96">_xlfn.IFS((BA96=0),(BD96/CL96),(BA96&gt;0),((BB96+BD96)/CL96),(BE96&gt;0),((BB96+BD96+BE96)/CL96),(BG96&gt;0),((BB96+BD96+BE96+G96)/CL96))</f>
        <v>0.48804021739130432</v>
      </c>
      <c r="BA96" s="44">
        <v>0.25</v>
      </c>
      <c r="BB96" s="44">
        <v>0.97389999999999999</v>
      </c>
      <c r="BC96" s="44">
        <f t="shared" ref="BC96:BC97" si="161">IF(AE96&gt;0,(1/CL96),0)</f>
        <v>0.25</v>
      </c>
      <c r="BD96" s="44" cm="1">
        <f t="array" ref="BD96">_xlfn.IFS(AE96=0,"NA",AE96&gt;0,AH96/AE96)</f>
        <v>0.97826086956521741</v>
      </c>
      <c r="BE96" s="44">
        <f t="shared" ref="BE96:BE97" si="162">IF(AM96&gt;0,(1/CL96),0)</f>
        <v>0.25</v>
      </c>
      <c r="BF96" s="44">
        <v>0</v>
      </c>
      <c r="BG96" s="44">
        <f t="shared" ref="BG96:BG97" si="163">IF(AO96&gt;0,(1/CL96),0)</f>
        <v>0.25</v>
      </c>
      <c r="BH96" s="44">
        <v>0</v>
      </c>
      <c r="BI96" s="44">
        <v>0</v>
      </c>
      <c r="BJ96" s="44" t="s">
        <v>115</v>
      </c>
      <c r="BK96" s="44">
        <f t="shared" si="102"/>
        <v>0.48804021739130432</v>
      </c>
      <c r="BL96" s="44">
        <v>0.97389999999999999</v>
      </c>
      <c r="BM96" s="42" cm="1">
        <f t="array" ref="BM96">_xlfn.IFS(BD96="NA","NA",BD96&gt;100%,"100%",BD96&lt;100,BD96)</f>
        <v>0.97826086956521741</v>
      </c>
      <c r="BN96" s="44">
        <v>0</v>
      </c>
      <c r="BO96" s="44">
        <v>0</v>
      </c>
      <c r="BP96" s="44" t="s">
        <v>115</v>
      </c>
      <c r="BQ96" s="45">
        <v>0.22500000000000001</v>
      </c>
      <c r="BR96" s="43">
        <f t="shared" si="103"/>
        <v>0.10980904891304348</v>
      </c>
      <c r="BS96" s="45">
        <v>5.6300000000000003E-2</v>
      </c>
      <c r="BT96" s="45">
        <v>5.4800000000000001E-2</v>
      </c>
      <c r="BU96" s="45">
        <v>5.4800000000000001E-2</v>
      </c>
      <c r="BV96" s="45">
        <v>5.6300000000000003E-2</v>
      </c>
      <c r="BW96" s="43">
        <f t="shared" si="104"/>
        <v>5.507608695652174E-2</v>
      </c>
      <c r="BX96" s="43">
        <f t="shared" si="105"/>
        <v>5.5009048913043479E-2</v>
      </c>
      <c r="BY96" s="45">
        <v>5.6300000000000003E-2</v>
      </c>
      <c r="BZ96" s="45">
        <v>0</v>
      </c>
      <c r="CA96" s="43">
        <f t="shared" si="106"/>
        <v>0</v>
      </c>
      <c r="CB96" s="45">
        <v>5.6300000000000003E-2</v>
      </c>
      <c r="CC96" s="45">
        <v>0</v>
      </c>
      <c r="CD96" s="45">
        <v>0</v>
      </c>
      <c r="CE96" s="45">
        <v>0</v>
      </c>
      <c r="CF96" s="45" t="s">
        <v>115</v>
      </c>
      <c r="CG96" s="45">
        <v>0</v>
      </c>
      <c r="CH96">
        <f t="shared" ref="CH96:CH97" si="164">IF(W96&gt;0,1,0)</f>
        <v>1</v>
      </c>
      <c r="CI96">
        <f t="shared" ref="CI96:CI97" si="165">IF(AE96&gt;0,1,0)</f>
        <v>1</v>
      </c>
      <c r="CJ96">
        <f t="shared" ref="CJ96:CJ97" si="166">IF(AM96&gt;0,1,0)</f>
        <v>1</v>
      </c>
      <c r="CK96">
        <f t="shared" ref="CK96:CK97" si="167">IF(AO96&gt;0,1,0)</f>
        <v>1</v>
      </c>
      <c r="CL96">
        <f t="shared" ref="CL96:CL97" si="168">CH96+CI96+CJ96+CK96</f>
        <v>4</v>
      </c>
    </row>
    <row r="97" spans="1:90" ht="18" customHeight="1">
      <c r="A97" s="260" t="s">
        <v>292</v>
      </c>
      <c r="B97" s="260" t="s">
        <v>293</v>
      </c>
      <c r="C97" s="260" t="s">
        <v>100</v>
      </c>
      <c r="D97" s="260" t="s">
        <v>508</v>
      </c>
      <c r="E97" s="260" t="s">
        <v>509</v>
      </c>
      <c r="F97" s="260" t="s">
        <v>604</v>
      </c>
      <c r="G97" s="260" t="s">
        <v>605</v>
      </c>
      <c r="H97" s="260" t="s">
        <v>644</v>
      </c>
      <c r="I97" s="260" t="s">
        <v>255</v>
      </c>
      <c r="J97" s="260"/>
      <c r="K97" s="260" t="s">
        <v>645</v>
      </c>
      <c r="L97" s="260" t="s">
        <v>646</v>
      </c>
      <c r="M97" s="260" t="s">
        <v>647</v>
      </c>
      <c r="N97" s="260" t="s">
        <v>123</v>
      </c>
      <c r="O97" s="260" t="s">
        <v>124</v>
      </c>
      <c r="P97" s="10">
        <v>50</v>
      </c>
      <c r="Q97" s="11">
        <v>100</v>
      </c>
      <c r="R97" s="11">
        <f t="shared" ref="R97" si="169">(Z97+AH97)/CL97</f>
        <v>50</v>
      </c>
      <c r="S97" s="11" t="str">
        <f>VLOOKUP(K97,'1108 Educación'!$K$13:$AK$40,9,0)</f>
        <v xml:space="preserve">Durante la vigencia 2020 y 2021 se ha entrenado al 100% de los estudiantes focalizados  de grado para la presentación de las pruebas de estado </v>
      </c>
      <c r="T97" s="11">
        <v>0</v>
      </c>
      <c r="U97" s="11">
        <v>100</v>
      </c>
      <c r="V97" s="11">
        <v>0</v>
      </c>
      <c r="W97" s="11">
        <v>100</v>
      </c>
      <c r="X97" s="11" t="s">
        <v>115</v>
      </c>
      <c r="Y97" s="11">
        <v>100</v>
      </c>
      <c r="Z97" s="11">
        <v>100</v>
      </c>
      <c r="AA97" s="11">
        <v>0</v>
      </c>
      <c r="AB97" s="11" t="s">
        <v>648</v>
      </c>
      <c r="AC97" s="11">
        <v>0</v>
      </c>
      <c r="AD97" s="11">
        <v>0</v>
      </c>
      <c r="AE97" s="11">
        <v>100</v>
      </c>
      <c r="AF97" s="11">
        <f>VLOOKUP(K97,'1108 Educación'!$K$13:$AK$40,22,0)</f>
        <v>0</v>
      </c>
      <c r="AG97" s="11">
        <f>VLOOKUP(K97,'1108 Educación'!$K$13:$AK$40,23,0)</f>
        <v>100</v>
      </c>
      <c r="AH97" s="11">
        <f t="shared" si="160"/>
        <v>100</v>
      </c>
      <c r="AI97" s="9">
        <f>VLOOKUP(K97,'1108 Educación'!$K$13:$AK$40,25,0)</f>
        <v>0</v>
      </c>
      <c r="AJ97" s="9" t="str">
        <f>VLOOKUP(K97,'1108 Educación'!$K$13:$AK$40,26,0)</f>
        <v>Se adelanta el proyecto "Mejoramiento de la calidad educativa", a través del cual se busca incluir el componente de  Entrenamiento en Pruebas SABER.  Durante el mes de mayo fue aprobado por la Unidad de Contratación del Departamento el Proyecto de Mejoramiento de la Calidad Educativa, a través de la cual se desarrollará un componente de Acompañamiento en pruebas SABER.  El 23 de junio de 2021,la Secretaría de Educación y la Fundación Alquería Cavelier socializaron ante alcaldes municipales, empresarios y aliados del sector educativo el proyecto de ‘Mejoramiento de la Calidad Educativa’ en el cual han aunado sus esfuerzos.
Una iniciativa cuyo objetivo es impactar y consolidar procesos a través del fortalecimiento de las competencias de liderazgo educativo, pedagógicas, socioemocionales y prácticas de aula con directivos docentes, docentes y familias, así como el entrenamiento y acompañamiento a los estudiantes del grado 11 para la presentación de las pruebas SABER, en las instituciones educativas oficiales (IED) de los municipios focalizados. Durante el mes de julio se realizo la focalización de las 82 IED (corresponden al 100% para el 2021) , para la proyección a aproximadamente  4.800 estudiantes. El entrenamiento de los estudiantes dará inicio en el mes de agosto. 
Se realizó el  entrenamiento en Pruebas SABER al100% de los estudiantes de los grados once de las IED priorizadas, correspondiente a un total de 4719 estudiantes, para la presentacion de las pruebas saber los dias 4 y 5 de septiembre del año en curso.
 El entrenamiento, se desarrollo en el marco del proyecto de mejormaiento de la Calidad Educativa,  a través de este aprendieron la estructura de la prueba, se les brindo clases sincronicas y asincronicas en las cuales se les apoyo en las areas donde encontraron dificultades las cuales fueron superadas, muestra de ellose refleja en el simulacro final del entrenamiento.</v>
      </c>
      <c r="AK97" s="9">
        <f>VLOOKUP(K97,'1108 Educación'!$K$13:$AK$40,27,0)</f>
        <v>0</v>
      </c>
      <c r="AL97" s="11">
        <v>0</v>
      </c>
      <c r="AM97" s="11">
        <v>100</v>
      </c>
      <c r="AN97" s="11">
        <v>0</v>
      </c>
      <c r="AO97" s="11">
        <v>100</v>
      </c>
      <c r="AP97" s="11">
        <v>0</v>
      </c>
      <c r="AQ97" s="11">
        <v>0</v>
      </c>
      <c r="AR97" s="52"/>
      <c r="AS97" s="54">
        <v>19792584</v>
      </c>
      <c r="AT97" s="54">
        <f t="shared" si="101"/>
        <v>19792584</v>
      </c>
      <c r="AU97" s="52"/>
      <c r="AV97" s="89">
        <v>0</v>
      </c>
      <c r="AY97" s="89">
        <v>0</v>
      </c>
      <c r="AZ97" s="44" cm="1">
        <f t="array" ref="AZ97">_xlfn.IFS((BA97=0),(BD97/CL97),(BA97&gt;0),((BB97+BD97)/CL97),(BE97&gt;0),((BB97+BD97+BE97)/CL97),(BG97&gt;0),((BB97+BD97+BE97+G97)/CL97))</f>
        <v>0.5</v>
      </c>
      <c r="BA97" s="44">
        <v>0.25</v>
      </c>
      <c r="BB97" s="44">
        <v>1</v>
      </c>
      <c r="BC97" s="44">
        <f t="shared" si="161"/>
        <v>0.25</v>
      </c>
      <c r="BD97" s="44" cm="1">
        <f t="array" ref="BD97">_xlfn.IFS(AE97=0,"NA",AE97&gt;0,AH97/AE97)</f>
        <v>1</v>
      </c>
      <c r="BE97" s="44">
        <f t="shared" si="162"/>
        <v>0.25</v>
      </c>
      <c r="BF97" s="44">
        <v>0</v>
      </c>
      <c r="BG97" s="44">
        <f t="shared" si="163"/>
        <v>0.25</v>
      </c>
      <c r="BH97" s="44">
        <v>0</v>
      </c>
      <c r="BI97" s="44">
        <v>0</v>
      </c>
      <c r="BJ97" s="44" t="s">
        <v>115</v>
      </c>
      <c r="BK97" s="44">
        <f t="shared" si="102"/>
        <v>0.5</v>
      </c>
      <c r="BL97" s="44">
        <v>1</v>
      </c>
      <c r="BM97" s="42" cm="1">
        <f t="array" ref="BM97">_xlfn.IFS(BD97="NA","NA",BD97&gt;100%,"100%",BD97&lt;100,BD97)</f>
        <v>1</v>
      </c>
      <c r="BN97" s="44">
        <v>0</v>
      </c>
      <c r="BO97" s="44">
        <v>0</v>
      </c>
      <c r="BP97" s="44" t="s">
        <v>115</v>
      </c>
      <c r="BQ97" s="45">
        <v>0.22500000000000001</v>
      </c>
      <c r="BR97" s="43">
        <f t="shared" si="103"/>
        <v>0.1125</v>
      </c>
      <c r="BS97" s="45">
        <v>5.6300000000000003E-2</v>
      </c>
      <c r="BT97" s="45">
        <v>5.6300000000000003E-2</v>
      </c>
      <c r="BU97" s="45">
        <v>5.6300000000000003E-2</v>
      </c>
      <c r="BV97" s="45">
        <v>5.6300000000000003E-2</v>
      </c>
      <c r="BW97" s="43">
        <f t="shared" si="104"/>
        <v>5.6300000000000003E-2</v>
      </c>
      <c r="BX97" s="43">
        <f t="shared" si="105"/>
        <v>5.62E-2</v>
      </c>
      <c r="BY97" s="45">
        <v>5.6300000000000003E-2</v>
      </c>
      <c r="BZ97" s="45">
        <v>0</v>
      </c>
      <c r="CA97" s="43">
        <f t="shared" si="106"/>
        <v>0</v>
      </c>
      <c r="CB97" s="45">
        <v>5.6300000000000003E-2</v>
      </c>
      <c r="CC97" s="45">
        <v>0</v>
      </c>
      <c r="CD97" s="45">
        <v>0</v>
      </c>
      <c r="CE97" s="45">
        <v>0</v>
      </c>
      <c r="CF97" s="45" t="s">
        <v>115</v>
      </c>
      <c r="CG97" s="45">
        <v>0</v>
      </c>
      <c r="CH97">
        <f t="shared" si="164"/>
        <v>1</v>
      </c>
      <c r="CI97">
        <f t="shared" si="165"/>
        <v>1</v>
      </c>
      <c r="CJ97">
        <f t="shared" si="166"/>
        <v>1</v>
      </c>
      <c r="CK97">
        <f t="shared" si="167"/>
        <v>1</v>
      </c>
      <c r="CL97">
        <f t="shared" si="168"/>
        <v>4</v>
      </c>
    </row>
    <row r="98" spans="1:90" ht="18" customHeight="1">
      <c r="A98" s="260" t="s">
        <v>292</v>
      </c>
      <c r="B98" s="260" t="s">
        <v>293</v>
      </c>
      <c r="C98" s="260" t="s">
        <v>100</v>
      </c>
      <c r="D98" s="260" t="s">
        <v>508</v>
      </c>
      <c r="E98" s="260" t="s">
        <v>509</v>
      </c>
      <c r="F98" s="260" t="s">
        <v>604</v>
      </c>
      <c r="G98" s="260" t="s">
        <v>605</v>
      </c>
      <c r="H98" s="260" t="s">
        <v>649</v>
      </c>
      <c r="I98" s="260" t="s">
        <v>255</v>
      </c>
      <c r="J98" s="12" t="s">
        <v>650</v>
      </c>
      <c r="K98" s="260" t="s">
        <v>651</v>
      </c>
      <c r="L98" s="260" t="s">
        <v>652</v>
      </c>
      <c r="M98" s="260" t="s">
        <v>653</v>
      </c>
      <c r="N98" s="260" t="s">
        <v>123</v>
      </c>
      <c r="O98" s="260" t="s">
        <v>112</v>
      </c>
      <c r="P98" s="10">
        <v>52</v>
      </c>
      <c r="Q98" s="11">
        <v>100</v>
      </c>
      <c r="R98" s="9">
        <f t="shared" ref="R98:R106" si="170">Z98+AH98</f>
        <v>84.78</v>
      </c>
      <c r="S98" s="11" t="str">
        <f>VLOOKUP(K98,'1108 Educación'!$K$13:$AK$40,9,0)</f>
        <v xml:space="preserve">Se ha implementado la estrategia de Bilingüismo en el 48.63% de las IED de los municipios no certificados del Departamento </v>
      </c>
      <c r="T98" s="11">
        <v>25</v>
      </c>
      <c r="U98" s="11">
        <v>0</v>
      </c>
      <c r="V98" s="11">
        <v>25</v>
      </c>
      <c r="W98" s="11">
        <v>0</v>
      </c>
      <c r="X98" s="11">
        <v>25</v>
      </c>
      <c r="Y98" s="11">
        <v>0</v>
      </c>
      <c r="Z98" s="11">
        <v>25</v>
      </c>
      <c r="AA98" s="11" t="s">
        <v>654</v>
      </c>
      <c r="AB98" s="11" t="s">
        <v>655</v>
      </c>
      <c r="AC98" s="11">
        <v>0</v>
      </c>
      <c r="AD98" s="11">
        <v>20</v>
      </c>
      <c r="AE98" s="11">
        <v>0</v>
      </c>
      <c r="AF98" s="11">
        <f>VLOOKUP(K98,'1108 Educación'!$K$13:$AK$40,22,0)</f>
        <v>59.78</v>
      </c>
      <c r="AG98" s="11">
        <f>VLOOKUP(K98,'1108 Educación'!$K$13:$AK$40,23,0)</f>
        <v>0</v>
      </c>
      <c r="AH98" s="9">
        <f t="shared" ref="AH98:AH106" si="171">AF98</f>
        <v>59.78</v>
      </c>
      <c r="AI98" s="9" t="str">
        <f>VLOOKUP(K98,'1108 Educación'!$K$13:$AK$40,25,0)</f>
        <v xml:space="preserve">Estrategias de Bilingüismo </v>
      </c>
      <c r="AJ98" s="9" t="str">
        <f>VLOOKUP(K98,'1108 Educación'!$K$13:$AK$40,26,0)</f>
        <v xml:space="preserve">La meta alcanzo el 59,78% de cumplimiento que corresponde a 167IED focalizadas, 67 IED a través acompañamiento del  Plan de Bilinguismo y el grupo de gestores y 100 IED focalizadas  del proyecto Cundinamarca Speaks English.
1. Se compartió material online y offline en inglés y francés con los  570 (quinientos setenta) docentes de estas asignaturas  por medio del Banco de recursos el cual fue diseñado y preparado por el Equipo Gestores de blingüismo de la Secretaría de Educación de Cundinamarca. 
2.  Se impactaron 65 estudiantes y 2 docentes del área de inglés de la IED Técnico Agrícola del municipio de Pacho por medio del desarrollo de actividades  por parte de los gestores de bilingüismo en la Inmersión de inglés.
3.  Se renovó la suscripción a Biblioteca Digital Culthurutheque de las IED Alfonso Lopez Pumarejo de Cachipay y Agustín Parra de Simijaca. 
4. Se participó en la construcción de Currículo en Francés para las 2 IED focalizadas por el proyecto franco del MEN en compañía de la Embajada Francesa y la Alianza Francesa. 
5- En el marco de acción del proyecto Cundinamarca Speaks English  se impactó a 106 docentes de inglés y de otras áreas mediante el desarrollo de inmersión lingüística de cinco días en el departamento del Quindío en cumplimiento de la quinta línea de acción del proyecto 
6. Se realizó acompañamiento en los encuentros de Mejoramiento Pedagógico del proyecto "Fortalecimiento de las competencias comunicativas en inglés de los estudiantes de los establecimientos educativos oficiales del departamento de Cundinamarca" de manera virtual e in situ en 100 instituciones educativas en Cundinamarca focalizadas por este proyecto.
7. Se beneficiaron 200 docentes de inglés y de otras asignaturas por medio del acompañamiento en los Talleres de Formación docente organizados por la "UT Bilingüismo para el progreso". 
8,   Se realizó acompañamiento al desarrollo de la cuarta línea de acción del proyecto Cundinamarca Speaks English “Dotación docente y estudiantil”  en 17 IED focalizadas en el proyecto.
</v>
      </c>
      <c r="AK98" s="9" t="str">
        <f>VLOOKUP(K98,'1108 Educación'!$K$13:$AK$40,27,0)</f>
        <v xml:space="preserve">Para el mes octubre se tuvieron als siguintes dificultades:1. Falta de compromiso y apropiación por parte de los docentes de las IED focalizadas con respecto a su participación en las propuestas dadas por el equipo de gestores de bilingüismo. 
2. Asusencia de servicio de internet en algunas IED que dificultan la implementacion de las TIC en los procesos de enseñanza y aprendizaje en el área de lengua extranjera. 
</v>
      </c>
      <c r="AL98" s="11">
        <v>25</v>
      </c>
      <c r="AM98" s="11">
        <v>0</v>
      </c>
      <c r="AN98" s="11">
        <v>30</v>
      </c>
      <c r="AO98" s="11">
        <v>0</v>
      </c>
      <c r="AP98" s="11">
        <v>0</v>
      </c>
      <c r="AQ98" s="11">
        <v>0</v>
      </c>
      <c r="AR98" s="52"/>
      <c r="AS98" s="54">
        <v>57564264</v>
      </c>
      <c r="AT98" s="54">
        <f t="shared" si="101"/>
        <v>57564264</v>
      </c>
      <c r="AU98" s="52"/>
      <c r="AV98" s="89">
        <v>0</v>
      </c>
      <c r="AY98" s="89">
        <v>0</v>
      </c>
      <c r="AZ98" s="42">
        <f t="shared" ref="AZ98:AZ106" si="172">R98/Q98</f>
        <v>0.8478</v>
      </c>
      <c r="BA98" s="44">
        <v>0.25</v>
      </c>
      <c r="BB98" s="44">
        <v>1</v>
      </c>
      <c r="BC98" s="42">
        <f t="shared" ref="BC98:BC106" si="173">AD98/Q98</f>
        <v>0.2</v>
      </c>
      <c r="BD98" s="42" cm="1">
        <f t="array" ref="BD98">_xlfn.IFS(AD98=0,"NA",AD98&gt;0,AH98/AD98)</f>
        <v>2.9889999999999999</v>
      </c>
      <c r="BE98" s="42">
        <f t="shared" ref="BE98:BE106" si="174">AL98/Q98</f>
        <v>0.25</v>
      </c>
      <c r="BF98" s="44">
        <v>0</v>
      </c>
      <c r="BG98" s="42">
        <f t="shared" ref="BG98:BG106" si="175">AN98/Q98</f>
        <v>0.3</v>
      </c>
      <c r="BH98" s="44">
        <v>0</v>
      </c>
      <c r="BI98" s="42">
        <f t="shared" ref="BI98:BI106" si="176">AP98/Q98</f>
        <v>0</v>
      </c>
      <c r="BJ98" s="44" t="s">
        <v>115</v>
      </c>
      <c r="BK98" s="42">
        <f t="shared" si="102"/>
        <v>0.8478</v>
      </c>
      <c r="BL98" s="44">
        <v>1</v>
      </c>
      <c r="BM98" s="42" t="str" cm="1">
        <f t="array" ref="BM98">_xlfn.IFS(BD98="NA","NA",BD98&gt;100%,"100%",BD98&lt;100,BD98)</f>
        <v>100%</v>
      </c>
      <c r="BN98" s="42" cm="1">
        <f t="array" ref="BN98">_xlfn.IFS(BF98="NA","NA",BF98&gt;100%,"100%",BF98&lt;100,BF98)</f>
        <v>0</v>
      </c>
      <c r="BO98" s="42" cm="1">
        <f t="array" ref="BO98">_xlfn.IFS(BH98="NA","NA",BH98&gt;100%,"100%",BH98&lt;100,BH98)</f>
        <v>0</v>
      </c>
      <c r="BP98" s="42" t="str" cm="1">
        <f t="array" ref="BP98">_xlfn.IFS(BJ98="NA","NA",BJ98&gt;100%,"100%",BJ98&lt;100,BJ98)</f>
        <v>NA</v>
      </c>
      <c r="BQ98" s="45">
        <v>0.22500000000000001</v>
      </c>
      <c r="BR98" s="43">
        <f t="shared" si="103"/>
        <v>0.19075500000000001</v>
      </c>
      <c r="BS98" s="45">
        <v>5.6300000000000003E-2</v>
      </c>
      <c r="BT98" s="45">
        <v>5.6300000000000003E-2</v>
      </c>
      <c r="BU98" s="45">
        <v>5.6300000000000003E-2</v>
      </c>
      <c r="BV98" s="43">
        <f t="shared" ref="BV98:BV106" si="177">(AD98*BQ98)/Q98</f>
        <v>4.4999999999999998E-2</v>
      </c>
      <c r="BW98" s="43">
        <f t="shared" si="104"/>
        <v>4.4999999999999998E-2</v>
      </c>
      <c r="BX98" s="9">
        <f t="shared" si="105"/>
        <v>0.13445499999999999</v>
      </c>
      <c r="BY98" s="43">
        <f t="shared" ref="BY98:BY106" si="178">(AL98*BQ98)/Q98</f>
        <v>5.6250000000000001E-2</v>
      </c>
      <c r="BZ98" s="43">
        <f t="shared" ref="BZ98:BZ106" si="179">IF(BN98="NA","NA",BN98*BY98)</f>
        <v>0</v>
      </c>
      <c r="CA98" s="43">
        <f t="shared" si="106"/>
        <v>0</v>
      </c>
      <c r="CB98" s="43">
        <f t="shared" ref="CB98:CB106" si="180">(AN98*BQ98)/Q98</f>
        <v>6.7500000000000004E-2</v>
      </c>
      <c r="CC98" s="43">
        <f t="shared" ref="CC98:CC106" si="181">IF(BO98="NA","NA",BO98*CB98)</f>
        <v>0</v>
      </c>
      <c r="CD98" s="45">
        <v>0</v>
      </c>
      <c r="CE98" s="43">
        <f t="shared" ref="CE98:CE106" si="182">(AP98*BQ98)/Q98</f>
        <v>0</v>
      </c>
      <c r="CF98" s="43" t="str">
        <f t="shared" ref="CF98:CF106" si="183">IF(BP98="NA","NA",BP98*CE98)</f>
        <v>NA</v>
      </c>
      <c r="CG98" s="45">
        <v>0</v>
      </c>
    </row>
    <row r="99" spans="1:90" ht="18" customHeight="1">
      <c r="A99" s="260" t="s">
        <v>144</v>
      </c>
      <c r="B99" s="260" t="s">
        <v>145</v>
      </c>
      <c r="C99" s="260" t="s">
        <v>100</v>
      </c>
      <c r="D99" s="260" t="s">
        <v>508</v>
      </c>
      <c r="E99" s="260" t="s">
        <v>509</v>
      </c>
      <c r="F99" s="260" t="s">
        <v>656</v>
      </c>
      <c r="G99" s="260" t="s">
        <v>657</v>
      </c>
      <c r="H99" s="260" t="s">
        <v>658</v>
      </c>
      <c r="I99" s="260" t="s">
        <v>106</v>
      </c>
      <c r="J99" s="260"/>
      <c r="K99" s="260" t="s">
        <v>659</v>
      </c>
      <c r="L99" s="260" t="s">
        <v>660</v>
      </c>
      <c r="M99" s="260" t="s">
        <v>661</v>
      </c>
      <c r="N99" s="260" t="s">
        <v>111</v>
      </c>
      <c r="O99" s="260" t="s">
        <v>112</v>
      </c>
      <c r="P99" s="10">
        <v>8</v>
      </c>
      <c r="Q99" s="11">
        <v>8</v>
      </c>
      <c r="R99" s="9">
        <f t="shared" si="170"/>
        <v>4</v>
      </c>
      <c r="S99" s="11" t="str">
        <f>VLOOKUP(K99,'1126 Desarrollo Social'!$K$13:$S$58,9,0)</f>
        <v>alianza entre el Municipito de Soacha y la Secretaria de desarrollo e inclusión Social para la atención integral de habitante en calle y de calle presente en el Municipio</v>
      </c>
      <c r="T99" s="11">
        <v>1</v>
      </c>
      <c r="U99" s="11">
        <v>0</v>
      </c>
      <c r="V99" s="11">
        <v>1</v>
      </c>
      <c r="W99" s="11">
        <v>0</v>
      </c>
      <c r="X99" s="11">
        <v>1</v>
      </c>
      <c r="Y99" s="11">
        <v>0</v>
      </c>
      <c r="Z99" s="11">
        <v>1</v>
      </c>
      <c r="AA99" s="11" t="s">
        <v>662</v>
      </c>
      <c r="AB99" s="11" t="s">
        <v>663</v>
      </c>
      <c r="AC99" s="11" t="s">
        <v>664</v>
      </c>
      <c r="AD99" s="11">
        <v>3</v>
      </c>
      <c r="AE99" s="11">
        <v>0</v>
      </c>
      <c r="AF99" s="11">
        <f>VLOOKUP(K99,'1126 Desarrollo Social'!$K$13:$AK$58,22,0)</f>
        <v>3</v>
      </c>
      <c r="AG99" s="11">
        <f>VLOOKUP(K99,'1126 Desarrollo Social'!$K$13:$AK$58,23,0)</f>
        <v>0</v>
      </c>
      <c r="AH99" s="9">
        <f t="shared" si="171"/>
        <v>3</v>
      </c>
      <c r="AI99" s="9" t="str">
        <f>VLOOKUP(K99,'1126 Desarrollo Social'!$K$13:$AK$58,25,0)</f>
        <v>convenio para atencion integral psicosocial habitante de calle</v>
      </c>
      <c r="AJ99" s="9" t="str">
        <f>VLOOKUP(K99,'1126 Desarrollo Social'!$K$13:$AK$58,26,0)</f>
        <v>1. firma de convenios con los 8 municipios, firma de actas de incios con 8 municipios  
2. Seguimiento plan de acción programas habitante de calle y en calle a Fusagasuga, Giradot, Funza, Madrid y La mesa.
3.Asistencia técnica municipios de Fusagasuga y Girardot</v>
      </c>
      <c r="AK99" s="9">
        <f>VLOOKUP(K99,'1126 Desarrollo Social'!$K$13:$AK$58,27,0)</f>
        <v>0</v>
      </c>
      <c r="AL99" s="11">
        <v>3</v>
      </c>
      <c r="AM99" s="11">
        <v>0</v>
      </c>
      <c r="AN99" s="11">
        <v>1</v>
      </c>
      <c r="AO99" s="11">
        <v>0</v>
      </c>
      <c r="AP99" s="11">
        <v>0</v>
      </c>
      <c r="AQ99" s="11">
        <v>0</v>
      </c>
      <c r="AR99" s="52"/>
      <c r="AS99" s="54">
        <v>0</v>
      </c>
      <c r="AT99" s="54">
        <f t="shared" si="101"/>
        <v>0</v>
      </c>
      <c r="AU99" s="52"/>
      <c r="AV99" s="89">
        <v>80000000</v>
      </c>
      <c r="AY99" s="89">
        <v>26700000</v>
      </c>
      <c r="AZ99" s="42">
        <f t="shared" si="172"/>
        <v>0.5</v>
      </c>
      <c r="BA99" s="44">
        <v>0.125</v>
      </c>
      <c r="BB99" s="44">
        <v>1</v>
      </c>
      <c r="BC99" s="42">
        <f t="shared" si="173"/>
        <v>0.375</v>
      </c>
      <c r="BD99" s="42" cm="1">
        <f t="array" ref="BD99">_xlfn.IFS(AD99=0,"NA",AD99&gt;0,AH99/AD99)</f>
        <v>1</v>
      </c>
      <c r="BE99" s="42">
        <f t="shared" si="174"/>
        <v>0.375</v>
      </c>
      <c r="BF99" s="44">
        <v>0</v>
      </c>
      <c r="BG99" s="42">
        <f t="shared" si="175"/>
        <v>0.125</v>
      </c>
      <c r="BH99" s="44">
        <v>0</v>
      </c>
      <c r="BI99" s="42">
        <f t="shared" si="176"/>
        <v>0</v>
      </c>
      <c r="BJ99" s="44" t="s">
        <v>115</v>
      </c>
      <c r="BK99" s="42">
        <f t="shared" si="102"/>
        <v>0.5</v>
      </c>
      <c r="BL99" s="44">
        <v>1</v>
      </c>
      <c r="BM99" s="42" cm="1">
        <f t="array" ref="BM99">_xlfn.IFS(BD99="NA","NA",BD99&gt;100%,"100%",BD99&lt;100,BD99)</f>
        <v>1</v>
      </c>
      <c r="BN99" s="42" cm="1">
        <f t="array" ref="BN99">_xlfn.IFS(BF99="NA","NA",BF99&gt;100%,"100%",BF99&lt;100,BF99)</f>
        <v>0</v>
      </c>
      <c r="BO99" s="42" cm="1">
        <f t="array" ref="BO99">_xlfn.IFS(BH99="NA","NA",BH99&gt;100%,"100%",BH99&lt;100,BH99)</f>
        <v>0</v>
      </c>
      <c r="BP99" s="42" t="str" cm="1">
        <f t="array" ref="BP99">_xlfn.IFS(BJ99="NA","NA",BJ99&gt;100%,"100%",BJ99&lt;100,BJ99)</f>
        <v>NA</v>
      </c>
      <c r="BQ99" s="45">
        <v>0.22500000000000001</v>
      </c>
      <c r="BR99" s="43">
        <f t="shared" si="103"/>
        <v>0.1125</v>
      </c>
      <c r="BS99" s="45">
        <v>2.81E-2</v>
      </c>
      <c r="BT99" s="45">
        <v>2.81E-2</v>
      </c>
      <c r="BU99" s="45">
        <v>2.81E-2</v>
      </c>
      <c r="BV99" s="43">
        <f t="shared" si="177"/>
        <v>8.4375000000000006E-2</v>
      </c>
      <c r="BW99" s="43">
        <f t="shared" si="104"/>
        <v>8.4375000000000006E-2</v>
      </c>
      <c r="BX99" s="43">
        <f t="shared" si="105"/>
        <v>8.4400000000000003E-2</v>
      </c>
      <c r="BY99" s="43">
        <f t="shared" si="178"/>
        <v>8.4375000000000006E-2</v>
      </c>
      <c r="BZ99" s="43">
        <f t="shared" si="179"/>
        <v>0</v>
      </c>
      <c r="CA99" s="43">
        <f t="shared" si="106"/>
        <v>0</v>
      </c>
      <c r="CB99" s="43">
        <f t="shared" si="180"/>
        <v>2.8125000000000001E-2</v>
      </c>
      <c r="CC99" s="43">
        <f t="shared" si="181"/>
        <v>0</v>
      </c>
      <c r="CD99" s="45">
        <v>0</v>
      </c>
      <c r="CE99" s="43">
        <f t="shared" si="182"/>
        <v>0</v>
      </c>
      <c r="CF99" s="43" t="str">
        <f t="shared" si="183"/>
        <v>NA</v>
      </c>
      <c r="CG99" s="45">
        <v>0</v>
      </c>
    </row>
    <row r="100" spans="1:90" ht="18" customHeight="1">
      <c r="A100" s="260" t="s">
        <v>144</v>
      </c>
      <c r="B100" s="260" t="s">
        <v>145</v>
      </c>
      <c r="C100" s="260" t="s">
        <v>100</v>
      </c>
      <c r="D100" s="260" t="s">
        <v>508</v>
      </c>
      <c r="E100" s="260" t="s">
        <v>509</v>
      </c>
      <c r="F100" s="260" t="s">
        <v>674</v>
      </c>
      <c r="G100" s="260" t="s">
        <v>675</v>
      </c>
      <c r="H100" s="260" t="s">
        <v>667</v>
      </c>
      <c r="I100" s="260" t="s">
        <v>106</v>
      </c>
      <c r="J100" s="260"/>
      <c r="K100" s="260" t="s">
        <v>668</v>
      </c>
      <c r="L100" s="260" t="s">
        <v>669</v>
      </c>
      <c r="M100" s="260" t="s">
        <v>670</v>
      </c>
      <c r="N100" s="260" t="s">
        <v>111</v>
      </c>
      <c r="O100" s="260" t="s">
        <v>112</v>
      </c>
      <c r="P100" s="10">
        <v>116</v>
      </c>
      <c r="Q100" s="11">
        <v>116</v>
      </c>
      <c r="R100" s="9">
        <f t="shared" si="170"/>
        <v>51</v>
      </c>
      <c r="S100" s="11" t="str">
        <f>VLOOKUP(K100,'1126 Desarrollo Social'!$K$13:$S$58,9,0)</f>
        <v>Articulación con el ministerio de trabajo para capacitación y sensibilización institucional  para la compresión de la problemática trabajo infantil.conmoración del día internacional contra la explotación sexual y trafico de mujeres niños niñas y adolescentesactivación del comité CIETI departamentalEl personal contratado para el desarrollo de las actividades de esta meta con vigencia del plan de desarrollo 2016-2020</v>
      </c>
      <c r="T100" s="11">
        <v>20</v>
      </c>
      <c r="U100" s="11">
        <v>0</v>
      </c>
      <c r="V100" s="11">
        <v>20</v>
      </c>
      <c r="W100" s="11">
        <v>0</v>
      </c>
      <c r="X100" s="11">
        <v>20</v>
      </c>
      <c r="Y100" s="11">
        <v>0</v>
      </c>
      <c r="Z100" s="11">
        <v>20</v>
      </c>
      <c r="AA100" s="11" t="s">
        <v>671</v>
      </c>
      <c r="AB100" s="11" t="s">
        <v>672</v>
      </c>
      <c r="AC100" s="11" t="s">
        <v>673</v>
      </c>
      <c r="AD100" s="11">
        <v>30</v>
      </c>
      <c r="AE100" s="11">
        <v>0</v>
      </c>
      <c r="AF100" s="11">
        <f>VLOOKUP(K100,'1126 Desarrollo Social'!$K$13:$AK$58,22,0)</f>
        <v>31</v>
      </c>
      <c r="AG100" s="11">
        <f>VLOOKUP(K100,'1126 Desarrollo Social'!$K$13:$AK$58,23,0)</f>
        <v>0</v>
      </c>
      <c r="AH100" s="9">
        <f t="shared" si="171"/>
        <v>31</v>
      </c>
      <c r="AI100" s="9">
        <f>VLOOKUP(K100,'1126 Desarrollo Social'!$K$13:$AK$58,25,0)</f>
        <v>0</v>
      </c>
      <c r="AJ100" s="9" t="str">
        <f>VLOOKUP(K100,'1126 Desarrollo Social'!$K$13:$AK$58,26,0)</f>
        <v xml:space="preserve">Se realizo la implementacion de la estrategia una familia que progresa es una familia cundinamarquesa, con el taller "roles de padres e hijos- comunicacion asertiva", taller pareja encuentro entre iguales", primer taller virtual con adolescentes del Sistema de Responsabilidad Penal Adolescentes </v>
      </c>
      <c r="AK100" s="9">
        <f>VLOOKUP(K100,'1126 Desarrollo Social'!$K$13:$AK$58,27,0)</f>
        <v>0</v>
      </c>
      <c r="AL100" s="11">
        <v>40</v>
      </c>
      <c r="AM100" s="11">
        <v>0</v>
      </c>
      <c r="AN100" s="11">
        <v>26</v>
      </c>
      <c r="AO100" s="11">
        <v>0</v>
      </c>
      <c r="AP100" s="11">
        <v>0</v>
      </c>
      <c r="AQ100" s="11">
        <v>0</v>
      </c>
      <c r="AR100" s="51">
        <v>8671667</v>
      </c>
      <c r="AS100" s="54">
        <v>0</v>
      </c>
      <c r="AT100" s="54">
        <f t="shared" si="101"/>
        <v>8671667</v>
      </c>
      <c r="AU100" s="51">
        <v>8671667</v>
      </c>
      <c r="AV100" s="89">
        <v>30000000</v>
      </c>
      <c r="AY100" s="89">
        <v>26700000</v>
      </c>
      <c r="AZ100" s="42">
        <f t="shared" si="172"/>
        <v>0.43965517241379309</v>
      </c>
      <c r="BA100" s="44">
        <v>0.1724</v>
      </c>
      <c r="BB100" s="44">
        <v>1</v>
      </c>
      <c r="BC100" s="42">
        <f t="shared" si="173"/>
        <v>0.25862068965517243</v>
      </c>
      <c r="BD100" s="42" cm="1">
        <f t="array" ref="BD100">_xlfn.IFS(AD100=0,"NA",AD100&gt;0,AH100/AD100)</f>
        <v>1.0333333333333334</v>
      </c>
      <c r="BE100" s="42">
        <f t="shared" si="174"/>
        <v>0.34482758620689657</v>
      </c>
      <c r="BF100" s="44">
        <v>0</v>
      </c>
      <c r="BG100" s="42">
        <f t="shared" si="175"/>
        <v>0.22413793103448276</v>
      </c>
      <c r="BH100" s="44">
        <v>0</v>
      </c>
      <c r="BI100" s="42">
        <f t="shared" si="176"/>
        <v>0</v>
      </c>
      <c r="BJ100" s="44" t="s">
        <v>115</v>
      </c>
      <c r="BK100" s="42">
        <f t="shared" si="102"/>
        <v>0.43965517241379309</v>
      </c>
      <c r="BL100" s="44">
        <v>1</v>
      </c>
      <c r="BM100" s="42" t="str" cm="1">
        <f t="array" ref="BM100">_xlfn.IFS(BD100="NA","NA",BD100&gt;100%,"100%",BD100&lt;100,BD100)</f>
        <v>100%</v>
      </c>
      <c r="BN100" s="42" cm="1">
        <f t="array" ref="BN100">_xlfn.IFS(BF100="NA","NA",BF100&gt;100%,"100%",BF100&lt;100,BF100)</f>
        <v>0</v>
      </c>
      <c r="BO100" s="42" cm="1">
        <f t="array" ref="BO100">_xlfn.IFS(BH100="NA","NA",BH100&gt;100%,"100%",BH100&lt;100,BH100)</f>
        <v>0</v>
      </c>
      <c r="BP100" s="42" t="str" cm="1">
        <f t="array" ref="BP100">_xlfn.IFS(BJ100="NA","NA",BJ100&gt;100%,"100%",BJ100&lt;100,BJ100)</f>
        <v>NA</v>
      </c>
      <c r="BQ100" s="45">
        <v>0.22500000000000001</v>
      </c>
      <c r="BR100" s="43">
        <f t="shared" si="103"/>
        <v>9.8922413793103445E-2</v>
      </c>
      <c r="BS100" s="45">
        <v>3.8800000000000001E-2</v>
      </c>
      <c r="BT100" s="45">
        <v>3.8800000000000001E-2</v>
      </c>
      <c r="BU100" s="45">
        <v>3.8800000000000001E-2</v>
      </c>
      <c r="BV100" s="43">
        <f t="shared" si="177"/>
        <v>5.8189655172413791E-2</v>
      </c>
      <c r="BW100" s="43">
        <f t="shared" si="104"/>
        <v>5.8189655172413791E-2</v>
      </c>
      <c r="BX100" s="43">
        <f t="shared" si="105"/>
        <v>6.0122413793103444E-2</v>
      </c>
      <c r="BY100" s="43">
        <f t="shared" si="178"/>
        <v>7.7586206896551727E-2</v>
      </c>
      <c r="BZ100" s="43">
        <f t="shared" si="179"/>
        <v>0</v>
      </c>
      <c r="CA100" s="43">
        <f t="shared" si="106"/>
        <v>0</v>
      </c>
      <c r="CB100" s="43">
        <f t="shared" si="180"/>
        <v>5.0431034482758624E-2</v>
      </c>
      <c r="CC100" s="43">
        <f t="shared" si="181"/>
        <v>0</v>
      </c>
      <c r="CD100" s="45">
        <v>0</v>
      </c>
      <c r="CE100" s="43">
        <f t="shared" si="182"/>
        <v>0</v>
      </c>
      <c r="CF100" s="43" t="str">
        <f t="shared" si="183"/>
        <v>NA</v>
      </c>
      <c r="CG100" s="45">
        <v>0</v>
      </c>
    </row>
    <row r="101" spans="1:90" ht="18" customHeight="1">
      <c r="A101" s="260" t="s">
        <v>144</v>
      </c>
      <c r="B101" s="260" t="s">
        <v>145</v>
      </c>
      <c r="C101" s="260" t="s">
        <v>100</v>
      </c>
      <c r="D101" s="260" t="s">
        <v>508</v>
      </c>
      <c r="E101" s="260" t="s">
        <v>509</v>
      </c>
      <c r="F101" s="260" t="s">
        <v>674</v>
      </c>
      <c r="G101" s="260" t="s">
        <v>675</v>
      </c>
      <c r="H101" s="260" t="s">
        <v>676</v>
      </c>
      <c r="I101" s="260" t="s">
        <v>677</v>
      </c>
      <c r="J101" s="260"/>
      <c r="K101" s="260" t="s">
        <v>678</v>
      </c>
      <c r="L101" s="260" t="s">
        <v>679</v>
      </c>
      <c r="M101" s="260" t="s">
        <v>680</v>
      </c>
      <c r="N101" s="260" t="s">
        <v>111</v>
      </c>
      <c r="O101" s="260" t="s">
        <v>112</v>
      </c>
      <c r="P101" s="10">
        <v>15</v>
      </c>
      <c r="Q101" s="11">
        <v>15</v>
      </c>
      <c r="R101" s="9">
        <f t="shared" si="170"/>
        <v>4</v>
      </c>
      <c r="S101" s="11">
        <f>VLOOKUP(K101,'1126 Desarrollo Social'!$K$13:$S$58,9,0)</f>
        <v>0</v>
      </c>
      <c r="T101" s="11">
        <v>3</v>
      </c>
      <c r="U101" s="11">
        <v>0</v>
      </c>
      <c r="V101" s="11">
        <v>3</v>
      </c>
      <c r="W101" s="11">
        <v>0</v>
      </c>
      <c r="X101" s="11">
        <v>3</v>
      </c>
      <c r="Y101" s="11">
        <v>0</v>
      </c>
      <c r="Z101" s="11">
        <v>3</v>
      </c>
      <c r="AA101" s="11" t="s">
        <v>681</v>
      </c>
      <c r="AB101" s="11" t="s">
        <v>682</v>
      </c>
      <c r="AC101" s="11" t="s">
        <v>683</v>
      </c>
      <c r="AD101" s="11">
        <v>4</v>
      </c>
      <c r="AE101" s="11">
        <v>0</v>
      </c>
      <c r="AF101" s="11">
        <f>VLOOKUP(K101,'1126 Desarrollo Social'!$K$13:$AK$58,22,0)</f>
        <v>1</v>
      </c>
      <c r="AG101" s="11">
        <f>VLOOKUP(K101,'1126 Desarrollo Social'!$K$13:$AK$58,23,0)</f>
        <v>0</v>
      </c>
      <c r="AH101" s="9">
        <f t="shared" si="171"/>
        <v>1</v>
      </c>
      <c r="AI101" s="9">
        <f>VLOOKUP(K101,'1126 Desarrollo Social'!$K$13:$AK$58,25,0)</f>
        <v>0</v>
      </c>
      <c r="AJ101" s="9" t="str">
        <f>VLOOKUP(K101,'1126 Desarrollo Social'!$K$13:$AK$58,26,0)</f>
        <v>En elaboración plan de trabajo y coordinación con Gerencia de Etnias</v>
      </c>
      <c r="AK101" s="9">
        <f>VLOOKUP(K101,'1126 Desarrollo Social'!$K$13:$AK$58,27,0)</f>
        <v>0</v>
      </c>
      <c r="AL101" s="11">
        <v>4</v>
      </c>
      <c r="AM101" s="11">
        <v>0</v>
      </c>
      <c r="AN101" s="11">
        <v>4</v>
      </c>
      <c r="AO101" s="11">
        <v>0</v>
      </c>
      <c r="AP101" s="11">
        <v>0</v>
      </c>
      <c r="AQ101" s="11">
        <v>0</v>
      </c>
      <c r="AR101" s="52"/>
      <c r="AS101" s="54">
        <v>0</v>
      </c>
      <c r="AT101" s="54">
        <f t="shared" si="101"/>
        <v>0</v>
      </c>
      <c r="AU101" s="52"/>
      <c r="AV101" s="89">
        <v>39309000</v>
      </c>
      <c r="AY101" s="89">
        <v>0</v>
      </c>
      <c r="AZ101" s="42">
        <f t="shared" si="172"/>
        <v>0.26666666666666666</v>
      </c>
      <c r="BA101" s="44">
        <v>0.2</v>
      </c>
      <c r="BB101" s="44">
        <v>1</v>
      </c>
      <c r="BC101" s="42">
        <f t="shared" si="173"/>
        <v>0.26666666666666666</v>
      </c>
      <c r="BD101" s="42" cm="1">
        <f t="array" ref="BD101">_xlfn.IFS(AD101=0,"NA",AD101&gt;0,AH101/AD101)</f>
        <v>0.25</v>
      </c>
      <c r="BE101" s="42">
        <f t="shared" si="174"/>
        <v>0.26666666666666666</v>
      </c>
      <c r="BF101" s="44">
        <v>0</v>
      </c>
      <c r="BG101" s="42">
        <f t="shared" si="175"/>
        <v>0.26666666666666666</v>
      </c>
      <c r="BH101" s="44">
        <v>0</v>
      </c>
      <c r="BI101" s="42">
        <f t="shared" si="176"/>
        <v>0</v>
      </c>
      <c r="BJ101" s="44" t="s">
        <v>115</v>
      </c>
      <c r="BK101" s="42">
        <f t="shared" si="102"/>
        <v>0.26666666666666666</v>
      </c>
      <c r="BL101" s="44">
        <v>1</v>
      </c>
      <c r="BM101" s="42" cm="1">
        <f t="array" ref="BM101">_xlfn.IFS(BD101="NA","NA",BD101&gt;100%,"100%",BD101&lt;100,BD101)</f>
        <v>0.25</v>
      </c>
      <c r="BN101" s="42" cm="1">
        <f t="array" ref="BN101">_xlfn.IFS(BF101="NA","NA",BF101&gt;100%,"100%",BF101&lt;100,BF101)</f>
        <v>0</v>
      </c>
      <c r="BO101" s="42" cm="1">
        <f t="array" ref="BO101">_xlfn.IFS(BH101="NA","NA",BH101&gt;100%,"100%",BH101&lt;100,BH101)</f>
        <v>0</v>
      </c>
      <c r="BP101" s="42" t="str" cm="1">
        <f t="array" ref="BP101">_xlfn.IFS(BJ101="NA","NA",BJ101&gt;100%,"100%",BJ101&lt;100,BJ101)</f>
        <v>NA</v>
      </c>
      <c r="BQ101" s="45">
        <v>0.22500000000000001</v>
      </c>
      <c r="BR101" s="43">
        <f t="shared" si="103"/>
        <v>0.06</v>
      </c>
      <c r="BS101" s="45">
        <v>4.4999999999999998E-2</v>
      </c>
      <c r="BT101" s="45">
        <v>4.4999999999999998E-2</v>
      </c>
      <c r="BU101" s="45">
        <v>4.4999999999999998E-2</v>
      </c>
      <c r="BV101" s="43">
        <f t="shared" si="177"/>
        <v>6.0000000000000005E-2</v>
      </c>
      <c r="BW101" s="43">
        <f t="shared" si="104"/>
        <v>1.5000000000000001E-2</v>
      </c>
      <c r="BX101" s="43">
        <f t="shared" si="105"/>
        <v>1.4999999999999999E-2</v>
      </c>
      <c r="BY101" s="43">
        <f t="shared" si="178"/>
        <v>6.0000000000000005E-2</v>
      </c>
      <c r="BZ101" s="43">
        <f t="shared" si="179"/>
        <v>0</v>
      </c>
      <c r="CA101" s="43">
        <f t="shared" si="106"/>
        <v>0</v>
      </c>
      <c r="CB101" s="43">
        <f t="shared" si="180"/>
        <v>6.0000000000000005E-2</v>
      </c>
      <c r="CC101" s="43">
        <f t="shared" si="181"/>
        <v>0</v>
      </c>
      <c r="CD101" s="45">
        <v>0</v>
      </c>
      <c r="CE101" s="43">
        <f t="shared" si="182"/>
        <v>0</v>
      </c>
      <c r="CF101" s="43" t="str">
        <f t="shared" si="183"/>
        <v>NA</v>
      </c>
      <c r="CG101" s="45">
        <v>0</v>
      </c>
    </row>
    <row r="102" spans="1:90" ht="18" customHeight="1">
      <c r="A102" s="260" t="s">
        <v>144</v>
      </c>
      <c r="B102" s="260" t="s">
        <v>145</v>
      </c>
      <c r="C102" s="260" t="s">
        <v>100</v>
      </c>
      <c r="D102" s="260" t="s">
        <v>508</v>
      </c>
      <c r="E102" s="260" t="s">
        <v>509</v>
      </c>
      <c r="F102" s="260" t="s">
        <v>674</v>
      </c>
      <c r="G102" s="260" t="s">
        <v>675</v>
      </c>
      <c r="H102" s="260" t="s">
        <v>684</v>
      </c>
      <c r="I102" s="260" t="s">
        <v>106</v>
      </c>
      <c r="J102" s="260"/>
      <c r="K102" s="260" t="s">
        <v>685</v>
      </c>
      <c r="L102" s="260" t="s">
        <v>686</v>
      </c>
      <c r="M102" s="260" t="s">
        <v>687</v>
      </c>
      <c r="N102" s="260" t="s">
        <v>111</v>
      </c>
      <c r="O102" s="260" t="s">
        <v>112</v>
      </c>
      <c r="P102" s="10">
        <v>70</v>
      </c>
      <c r="Q102" s="11">
        <v>70</v>
      </c>
      <c r="R102" s="9">
        <f t="shared" si="170"/>
        <v>27</v>
      </c>
      <c r="S102" s="11">
        <f>VLOOKUP(K102,'1126 Desarrollo Social'!$K$13:$S$58,9,0)</f>
        <v>0</v>
      </c>
      <c r="T102" s="11">
        <v>5</v>
      </c>
      <c r="U102" s="11">
        <v>0</v>
      </c>
      <c r="V102" s="11">
        <v>5</v>
      </c>
      <c r="W102" s="11">
        <v>0</v>
      </c>
      <c r="X102" s="11">
        <v>5</v>
      </c>
      <c r="Y102" s="11">
        <v>0</v>
      </c>
      <c r="Z102" s="11">
        <v>5</v>
      </c>
      <c r="AA102" s="11" t="s">
        <v>688</v>
      </c>
      <c r="AB102" s="11" t="s">
        <v>689</v>
      </c>
      <c r="AC102" s="11" t="s">
        <v>690</v>
      </c>
      <c r="AD102" s="11">
        <v>21</v>
      </c>
      <c r="AE102" s="11">
        <v>0</v>
      </c>
      <c r="AF102" s="11">
        <f>VLOOKUP(K102,'1126 Desarrollo Social'!$K$13:$AK$58,22,0)</f>
        <v>22</v>
      </c>
      <c r="AG102" s="11">
        <f>VLOOKUP(K102,'1126 Desarrollo Social'!$K$13:$AK$58,23,0)</f>
        <v>0</v>
      </c>
      <c r="AH102" s="9">
        <f t="shared" si="171"/>
        <v>22</v>
      </c>
      <c r="AI102" s="9" t="str">
        <f>VLOOKUP(K102,'1126 Desarrollo Social'!$K$13:$AK$58,25,0)</f>
        <v>DOTACIÓN  MATERIAL DIDÁCTICO PARA 17 ESPACIOS LÚDICO PEDAGÓGICOS Y 5 CDI</v>
      </c>
      <c r="AJ102" s="9" t="str">
        <f>VLOOKUP(K102,'1126 Desarrollo Social'!$K$13:$AK$58,26,0)</f>
        <v>Diagnóstico de espacios lúdico pedagógicos en 88 municipios</v>
      </c>
      <c r="AK102" s="9">
        <f>VLOOKUP(K102,'1126 Desarrollo Social'!$K$13:$AK$58,27,0)</f>
        <v>0</v>
      </c>
      <c r="AL102" s="11">
        <v>26</v>
      </c>
      <c r="AM102" s="11">
        <v>0</v>
      </c>
      <c r="AN102" s="11">
        <v>18</v>
      </c>
      <c r="AO102" s="11">
        <v>0</v>
      </c>
      <c r="AP102" s="11">
        <v>0</v>
      </c>
      <c r="AQ102" s="11">
        <v>0</v>
      </c>
      <c r="AR102" s="51">
        <v>58071413</v>
      </c>
      <c r="AS102" s="54">
        <v>562500000</v>
      </c>
      <c r="AT102" s="54">
        <f t="shared" si="101"/>
        <v>620571413</v>
      </c>
      <c r="AU102" s="51">
        <v>56589320</v>
      </c>
      <c r="AV102" s="89">
        <v>280000000</v>
      </c>
      <c r="AY102" s="89">
        <v>94530000</v>
      </c>
      <c r="AZ102" s="42">
        <f t="shared" si="172"/>
        <v>0.38571428571428573</v>
      </c>
      <c r="BA102" s="44">
        <v>7.1400000000000005E-2</v>
      </c>
      <c r="BB102" s="44">
        <v>1</v>
      </c>
      <c r="BC102" s="42">
        <f t="shared" si="173"/>
        <v>0.3</v>
      </c>
      <c r="BD102" s="42" cm="1">
        <f t="array" ref="BD102">_xlfn.IFS(AD102=0,"NA",AD102&gt;0,AH102/AD102)</f>
        <v>1.0476190476190477</v>
      </c>
      <c r="BE102" s="42">
        <f t="shared" si="174"/>
        <v>0.37142857142857144</v>
      </c>
      <c r="BF102" s="44">
        <v>0</v>
      </c>
      <c r="BG102" s="42">
        <f t="shared" si="175"/>
        <v>0.25714285714285712</v>
      </c>
      <c r="BH102" s="44">
        <v>0</v>
      </c>
      <c r="BI102" s="42">
        <f t="shared" si="176"/>
        <v>0</v>
      </c>
      <c r="BJ102" s="44" t="s">
        <v>115</v>
      </c>
      <c r="BK102" s="42">
        <f t="shared" si="102"/>
        <v>0.38571428571428573</v>
      </c>
      <c r="BL102" s="44">
        <v>1</v>
      </c>
      <c r="BM102" s="42" t="str" cm="1">
        <f t="array" ref="BM102">_xlfn.IFS(BD102="NA","NA",BD102&gt;100%,"100%",BD102&lt;100,BD102)</f>
        <v>100%</v>
      </c>
      <c r="BN102" s="42" cm="1">
        <f t="array" ref="BN102">_xlfn.IFS(BF102="NA","NA",BF102&gt;100%,"100%",BF102&lt;100,BF102)</f>
        <v>0</v>
      </c>
      <c r="BO102" s="42" cm="1">
        <f t="array" ref="BO102">_xlfn.IFS(BH102="NA","NA",BH102&gt;100%,"100%",BH102&lt;100,BH102)</f>
        <v>0</v>
      </c>
      <c r="BP102" s="42" t="str" cm="1">
        <f t="array" ref="BP102">_xlfn.IFS(BJ102="NA","NA",BJ102&gt;100%,"100%",BJ102&lt;100,BJ102)</f>
        <v>NA</v>
      </c>
      <c r="BQ102" s="45">
        <v>0.22500000000000001</v>
      </c>
      <c r="BR102" s="43">
        <f t="shared" si="103"/>
        <v>8.6785714285714285E-2</v>
      </c>
      <c r="BS102" s="45">
        <v>1.61E-2</v>
      </c>
      <c r="BT102" s="45">
        <v>1.61E-2</v>
      </c>
      <c r="BU102" s="45">
        <v>1.61E-2</v>
      </c>
      <c r="BV102" s="43">
        <f t="shared" si="177"/>
        <v>6.7500000000000004E-2</v>
      </c>
      <c r="BW102" s="43">
        <f t="shared" si="104"/>
        <v>6.7500000000000004E-2</v>
      </c>
      <c r="BX102" s="43">
        <f t="shared" si="105"/>
        <v>7.0685714285714282E-2</v>
      </c>
      <c r="BY102" s="43">
        <f t="shared" si="178"/>
        <v>8.3571428571428574E-2</v>
      </c>
      <c r="BZ102" s="43">
        <f t="shared" si="179"/>
        <v>0</v>
      </c>
      <c r="CA102" s="43">
        <f t="shared" si="106"/>
        <v>0</v>
      </c>
      <c r="CB102" s="43">
        <f t="shared" si="180"/>
        <v>5.7857142857142857E-2</v>
      </c>
      <c r="CC102" s="43">
        <f t="shared" si="181"/>
        <v>0</v>
      </c>
      <c r="CD102" s="45">
        <v>0</v>
      </c>
      <c r="CE102" s="43">
        <f t="shared" si="182"/>
        <v>0</v>
      </c>
      <c r="CF102" s="43" t="str">
        <f t="shared" si="183"/>
        <v>NA</v>
      </c>
      <c r="CG102" s="45">
        <v>0</v>
      </c>
    </row>
    <row r="103" spans="1:90" ht="18" customHeight="1">
      <c r="A103" s="260" t="s">
        <v>144</v>
      </c>
      <c r="B103" s="260" t="s">
        <v>145</v>
      </c>
      <c r="C103" s="260" t="s">
        <v>100</v>
      </c>
      <c r="D103" s="260" t="s">
        <v>508</v>
      </c>
      <c r="E103" s="260" t="s">
        <v>509</v>
      </c>
      <c r="F103" s="260" t="s">
        <v>674</v>
      </c>
      <c r="G103" s="260" t="s">
        <v>675</v>
      </c>
      <c r="H103" s="260" t="s">
        <v>691</v>
      </c>
      <c r="I103" s="260" t="s">
        <v>106</v>
      </c>
      <c r="J103" s="260"/>
      <c r="K103" s="260" t="s">
        <v>692</v>
      </c>
      <c r="L103" s="260" t="s">
        <v>693</v>
      </c>
      <c r="M103" s="260" t="s">
        <v>140</v>
      </c>
      <c r="N103" s="260" t="s">
        <v>111</v>
      </c>
      <c r="O103" s="260" t="s">
        <v>112</v>
      </c>
      <c r="P103" s="10">
        <v>116</v>
      </c>
      <c r="Q103" s="11">
        <v>116</v>
      </c>
      <c r="R103" s="9">
        <f t="shared" si="170"/>
        <v>50</v>
      </c>
      <c r="S103" s="11" t="str">
        <f>VLOOKUP(K103,'1126 Desarrollo Social'!$K$13:$S$58,9,0)</f>
        <v>activación y coordinación de la submesa de infancia y adolescenciaAsistencia técnica  a los municipios que no cuentan con política publica de de Niños niñas y adolescentesTrabajo coordinado con la fundación Juego y Niñez El personal contratado para el desarrollo de las actividades de esta meta con vigencia del plan de desarrollo 2016-2020</v>
      </c>
      <c r="T103" s="11">
        <v>10</v>
      </c>
      <c r="U103" s="11">
        <v>0</v>
      </c>
      <c r="V103" s="11">
        <v>10</v>
      </c>
      <c r="W103" s="11">
        <v>0</v>
      </c>
      <c r="X103" s="11">
        <v>10</v>
      </c>
      <c r="Y103" s="11">
        <v>0</v>
      </c>
      <c r="Z103" s="11">
        <v>10</v>
      </c>
      <c r="AA103" s="11" t="s">
        <v>694</v>
      </c>
      <c r="AB103" s="11" t="s">
        <v>695</v>
      </c>
      <c r="AC103" s="11" t="s">
        <v>696</v>
      </c>
      <c r="AD103" s="11">
        <v>40</v>
      </c>
      <c r="AE103" s="11">
        <v>0</v>
      </c>
      <c r="AF103" s="11">
        <f>VLOOKUP(K103,'1126 Desarrollo Social'!$K$13:$AK$58,22,0)</f>
        <v>40</v>
      </c>
      <c r="AG103" s="11">
        <f>VLOOKUP(K103,'1126 Desarrollo Social'!$K$13:$AK$58,23,0)</f>
        <v>0</v>
      </c>
      <c r="AH103" s="9">
        <f t="shared" si="171"/>
        <v>40</v>
      </c>
      <c r="AI103" s="9">
        <f>VLOOKUP(K103,'1126 Desarrollo Social'!$K$13:$AK$58,25,0)</f>
        <v>0</v>
      </c>
      <c r="AJ103" s="9" t="str">
        <f>VLOOKUP(K103,'1126 Desarrollo Social'!$K$13:$AK$58,26,0)</f>
        <v xml:space="preserve">Se realizo la implementacion de la estrategia una familia que progresa es una familia cundinamarquesa, con el taller "roles de padres e hijos- comunicacion asertiva", taller pareja encuentro entre iguales", primer taller virtual con adolescentes del Sistema de Responsabilidad Penal Adolescentes </v>
      </c>
      <c r="AK103" s="9">
        <f>VLOOKUP(K103,'1126 Desarrollo Social'!$K$13:$AK$58,27,0)</f>
        <v>0</v>
      </c>
      <c r="AL103" s="11">
        <v>40</v>
      </c>
      <c r="AM103" s="11">
        <v>0</v>
      </c>
      <c r="AN103" s="11">
        <v>26</v>
      </c>
      <c r="AO103" s="11">
        <v>0</v>
      </c>
      <c r="AP103" s="11">
        <v>0</v>
      </c>
      <c r="AQ103" s="11">
        <v>0</v>
      </c>
      <c r="AR103" s="51">
        <v>18500000</v>
      </c>
      <c r="AS103" s="54">
        <v>0</v>
      </c>
      <c r="AT103" s="54">
        <f t="shared" si="101"/>
        <v>18500000</v>
      </c>
      <c r="AU103" s="51">
        <v>16166660</v>
      </c>
      <c r="AV103" s="89">
        <v>80000000</v>
      </c>
      <c r="AY103" s="89">
        <v>47100500</v>
      </c>
      <c r="AZ103" s="42">
        <f t="shared" si="172"/>
        <v>0.43103448275862066</v>
      </c>
      <c r="BA103" s="44">
        <v>8.6199999999999999E-2</v>
      </c>
      <c r="BB103" s="44">
        <v>1</v>
      </c>
      <c r="BC103" s="42">
        <f t="shared" si="173"/>
        <v>0.34482758620689657</v>
      </c>
      <c r="BD103" s="42" cm="1">
        <f t="array" ref="BD103">_xlfn.IFS(AD103=0,"NA",AD103&gt;0,AH103/AD103)</f>
        <v>1</v>
      </c>
      <c r="BE103" s="42">
        <f t="shared" si="174"/>
        <v>0.34482758620689657</v>
      </c>
      <c r="BF103" s="44">
        <v>0</v>
      </c>
      <c r="BG103" s="42">
        <f t="shared" si="175"/>
        <v>0.22413793103448276</v>
      </c>
      <c r="BH103" s="44">
        <v>0</v>
      </c>
      <c r="BI103" s="42">
        <f t="shared" si="176"/>
        <v>0</v>
      </c>
      <c r="BJ103" s="44" t="s">
        <v>115</v>
      </c>
      <c r="BK103" s="42">
        <f t="shared" si="102"/>
        <v>0.43103448275862066</v>
      </c>
      <c r="BL103" s="44">
        <v>1</v>
      </c>
      <c r="BM103" s="42" cm="1">
        <f t="array" ref="BM103">_xlfn.IFS(BD103="NA","NA",BD103&gt;100%,"100%",BD103&lt;100,BD103)</f>
        <v>1</v>
      </c>
      <c r="BN103" s="42" cm="1">
        <f t="array" ref="BN103">_xlfn.IFS(BF103="NA","NA",BF103&gt;100%,"100%",BF103&lt;100,BF103)</f>
        <v>0</v>
      </c>
      <c r="BO103" s="42" cm="1">
        <f t="array" ref="BO103">_xlfn.IFS(BH103="NA","NA",BH103&gt;100%,"100%",BH103&lt;100,BH103)</f>
        <v>0</v>
      </c>
      <c r="BP103" s="42" t="str" cm="1">
        <f t="array" ref="BP103">_xlfn.IFS(BJ103="NA","NA",BJ103&gt;100%,"100%",BJ103&lt;100,BJ103)</f>
        <v>NA</v>
      </c>
      <c r="BQ103" s="45">
        <v>0.22500000000000001</v>
      </c>
      <c r="BR103" s="43">
        <f t="shared" si="103"/>
        <v>9.6982758620689655E-2</v>
      </c>
      <c r="BS103" s="45">
        <v>1.9400000000000001E-2</v>
      </c>
      <c r="BT103" s="45">
        <v>1.9400000000000001E-2</v>
      </c>
      <c r="BU103" s="45">
        <v>1.9400000000000001E-2</v>
      </c>
      <c r="BV103" s="43">
        <f t="shared" si="177"/>
        <v>7.7586206896551727E-2</v>
      </c>
      <c r="BW103" s="43">
        <f t="shared" si="104"/>
        <v>7.7586206896551727E-2</v>
      </c>
      <c r="BX103" s="43">
        <f t="shared" si="105"/>
        <v>7.7582758620689654E-2</v>
      </c>
      <c r="BY103" s="43">
        <f t="shared" si="178"/>
        <v>7.7586206896551727E-2</v>
      </c>
      <c r="BZ103" s="43">
        <f t="shared" si="179"/>
        <v>0</v>
      </c>
      <c r="CA103" s="43">
        <f t="shared" si="106"/>
        <v>0</v>
      </c>
      <c r="CB103" s="43">
        <f t="shared" si="180"/>
        <v>5.0431034482758624E-2</v>
      </c>
      <c r="CC103" s="43">
        <f t="shared" si="181"/>
        <v>0</v>
      </c>
      <c r="CD103" s="45">
        <v>0</v>
      </c>
      <c r="CE103" s="43">
        <f t="shared" si="182"/>
        <v>0</v>
      </c>
      <c r="CF103" s="43" t="str">
        <f t="shared" si="183"/>
        <v>NA</v>
      </c>
      <c r="CG103" s="45">
        <v>0</v>
      </c>
    </row>
    <row r="104" spans="1:90" ht="18" customHeight="1">
      <c r="A104" s="260" t="s">
        <v>292</v>
      </c>
      <c r="B104" s="260" t="s">
        <v>293</v>
      </c>
      <c r="C104" s="260" t="s">
        <v>100</v>
      </c>
      <c r="D104" s="260" t="s">
        <v>508</v>
      </c>
      <c r="E104" s="260" t="s">
        <v>509</v>
      </c>
      <c r="F104" s="260" t="s">
        <v>697</v>
      </c>
      <c r="G104" s="260" t="s">
        <v>698</v>
      </c>
      <c r="H104" s="260" t="s">
        <v>2903</v>
      </c>
      <c r="I104" s="260" t="s">
        <v>255</v>
      </c>
      <c r="J104" s="260" t="s">
        <v>298</v>
      </c>
      <c r="K104" s="260" t="s">
        <v>2904</v>
      </c>
      <c r="L104" s="260" t="s">
        <v>2905</v>
      </c>
      <c r="M104" s="260" t="s">
        <v>2906</v>
      </c>
      <c r="N104" s="260" t="s">
        <v>111</v>
      </c>
      <c r="O104" s="260" t="s">
        <v>112</v>
      </c>
      <c r="P104" s="10">
        <v>3300</v>
      </c>
      <c r="Q104" s="11">
        <v>5000</v>
      </c>
      <c r="R104" s="9" t="e">
        <f t="shared" si="170"/>
        <v>#N/A</v>
      </c>
      <c r="S104" s="11" t="e">
        <f>VLOOKUP(K104,'1108 Educación'!$K$13:$AK$40,9,0)</f>
        <v>#N/A</v>
      </c>
      <c r="T104" s="11">
        <v>0</v>
      </c>
      <c r="U104" s="11">
        <v>0</v>
      </c>
      <c r="V104" s="11">
        <v>0</v>
      </c>
      <c r="W104" s="11">
        <v>0</v>
      </c>
      <c r="X104" s="11">
        <v>0</v>
      </c>
      <c r="Y104" s="11">
        <v>0</v>
      </c>
      <c r="Z104" s="11">
        <v>0</v>
      </c>
      <c r="AA104" s="11"/>
      <c r="AB104" s="11"/>
      <c r="AC104" s="11"/>
      <c r="AD104" s="11">
        <v>2000</v>
      </c>
      <c r="AE104" s="11">
        <v>0</v>
      </c>
      <c r="AF104" s="11" t="e">
        <f>VLOOKUP(K104,'1108 Educación'!$K$13:$AK$40,22,0)</f>
        <v>#N/A</v>
      </c>
      <c r="AG104" s="11" t="e">
        <f>VLOOKUP(K104,'1108 Educación'!$K$13:$AK$40,23,0)</f>
        <v>#N/A</v>
      </c>
      <c r="AH104" s="9" t="e">
        <f t="shared" si="171"/>
        <v>#N/A</v>
      </c>
      <c r="AI104" s="9" t="e">
        <f>VLOOKUP(K104,'1108 Educación'!$K$13:$AK$40,25,0)</f>
        <v>#N/A</v>
      </c>
      <c r="AJ104" s="9" t="e">
        <f>VLOOKUP(K104,'1108 Educación'!$K$13:$AK$40,26,0)</f>
        <v>#N/A</v>
      </c>
      <c r="AK104" s="9" t="e">
        <f>VLOOKUP(K104,'1108 Educación'!$K$13:$AK$40,27,0)</f>
        <v>#N/A</v>
      </c>
      <c r="AL104" s="11">
        <v>1500</v>
      </c>
      <c r="AM104" s="11">
        <v>0</v>
      </c>
      <c r="AN104" s="11">
        <v>1500</v>
      </c>
      <c r="AO104" s="11">
        <v>0</v>
      </c>
      <c r="AP104" s="11">
        <v>0</v>
      </c>
      <c r="AQ104" s="11">
        <v>0</v>
      </c>
      <c r="AR104" s="52"/>
      <c r="AS104" s="54">
        <v>0</v>
      </c>
      <c r="AT104" s="54">
        <f t="shared" si="101"/>
        <v>0</v>
      </c>
      <c r="AU104" s="52"/>
      <c r="AV104" s="89">
        <v>0</v>
      </c>
      <c r="AY104" s="89">
        <v>0</v>
      </c>
      <c r="AZ104" s="42" t="e">
        <f t="shared" si="172"/>
        <v>#N/A</v>
      </c>
      <c r="BA104" s="44">
        <v>0</v>
      </c>
      <c r="BB104" s="44" t="s">
        <v>115</v>
      </c>
      <c r="BC104" s="42">
        <f t="shared" si="173"/>
        <v>0.4</v>
      </c>
      <c r="BD104" s="42" t="e" cm="1">
        <f t="array" ref="BD104">_xlfn.IFS(AD104=0,"NA",AD104&gt;0,AH104/AD104)</f>
        <v>#N/A</v>
      </c>
      <c r="BE104" s="42">
        <f t="shared" si="174"/>
        <v>0.3</v>
      </c>
      <c r="BF104" s="44">
        <v>0</v>
      </c>
      <c r="BG104" s="42">
        <f t="shared" si="175"/>
        <v>0.3</v>
      </c>
      <c r="BH104" s="44">
        <v>0</v>
      </c>
      <c r="BI104" s="42">
        <f t="shared" si="176"/>
        <v>0</v>
      </c>
      <c r="BJ104" s="44" t="s">
        <v>115</v>
      </c>
      <c r="BK104" s="42" t="e">
        <f t="shared" si="102"/>
        <v>#N/A</v>
      </c>
      <c r="BL104" s="44" t="s">
        <v>115</v>
      </c>
      <c r="BM104" s="42" t="e" cm="1">
        <f t="array" ref="BM104">_xlfn.IFS(BD104="NA","NA",BD104&gt;100%,"100%",BD104&lt;100,BD104)</f>
        <v>#N/A</v>
      </c>
      <c r="BN104" s="42" cm="1">
        <f t="array" ref="BN104">_xlfn.IFS(BF104="NA","NA",BF104&gt;100%,"100%",BF104&lt;100,BF104)</f>
        <v>0</v>
      </c>
      <c r="BO104" s="42" cm="1">
        <f t="array" ref="BO104">_xlfn.IFS(BH104="NA","NA",BH104&gt;100%,"100%",BH104&lt;100,BH104)</f>
        <v>0</v>
      </c>
      <c r="BP104" s="42" t="str" cm="1">
        <f t="array" ref="BP104">_xlfn.IFS(BJ104="NA","NA",BJ104&gt;100%,"100%",BJ104&lt;100,BJ104)</f>
        <v>NA</v>
      </c>
      <c r="BQ104" s="45">
        <v>0.22500000000000001</v>
      </c>
      <c r="BR104" s="43" t="e">
        <f t="shared" si="103"/>
        <v>#N/A</v>
      </c>
      <c r="BS104" s="45">
        <v>0</v>
      </c>
      <c r="BT104" s="45" t="s">
        <v>115</v>
      </c>
      <c r="BU104" s="45">
        <v>0</v>
      </c>
      <c r="BV104" s="43">
        <f t="shared" si="177"/>
        <v>0.09</v>
      </c>
      <c r="BW104" s="43" t="e">
        <f t="shared" si="104"/>
        <v>#N/A</v>
      </c>
      <c r="BX104" s="43" t="e">
        <f t="shared" si="105"/>
        <v>#N/A</v>
      </c>
      <c r="BY104" s="43">
        <f t="shared" si="178"/>
        <v>6.7500000000000004E-2</v>
      </c>
      <c r="BZ104" s="43">
        <f t="shared" si="179"/>
        <v>0</v>
      </c>
      <c r="CA104" s="43" t="e">
        <f t="shared" si="106"/>
        <v>#N/A</v>
      </c>
      <c r="CB104" s="43">
        <f t="shared" si="180"/>
        <v>6.7500000000000004E-2</v>
      </c>
      <c r="CC104" s="43">
        <f t="shared" si="181"/>
        <v>0</v>
      </c>
      <c r="CD104" s="45">
        <v>0</v>
      </c>
      <c r="CE104" s="43">
        <f t="shared" si="182"/>
        <v>0</v>
      </c>
      <c r="CF104" s="43" t="str">
        <f t="shared" si="183"/>
        <v>NA</v>
      </c>
      <c r="CG104" s="45">
        <v>0</v>
      </c>
    </row>
    <row r="105" spans="1:90" ht="18" customHeight="1">
      <c r="A105" s="260" t="s">
        <v>292</v>
      </c>
      <c r="B105" s="260" t="s">
        <v>293</v>
      </c>
      <c r="C105" s="260" t="s">
        <v>100</v>
      </c>
      <c r="D105" s="260" t="s">
        <v>508</v>
      </c>
      <c r="E105" s="260" t="s">
        <v>509</v>
      </c>
      <c r="F105" s="260" t="s">
        <v>697</v>
      </c>
      <c r="G105" s="260" t="s">
        <v>698</v>
      </c>
      <c r="H105" s="260" t="s">
        <v>699</v>
      </c>
      <c r="I105" s="260" t="s">
        <v>255</v>
      </c>
      <c r="J105" s="260" t="s">
        <v>298</v>
      </c>
      <c r="K105" s="260" t="s">
        <v>700</v>
      </c>
      <c r="L105" s="260" t="s">
        <v>2907</v>
      </c>
      <c r="M105" s="260" t="s">
        <v>702</v>
      </c>
      <c r="N105" s="260" t="s">
        <v>111</v>
      </c>
      <c r="O105" s="260" t="s">
        <v>112</v>
      </c>
      <c r="P105" s="10">
        <v>2200</v>
      </c>
      <c r="Q105" s="11">
        <v>4000</v>
      </c>
      <c r="R105" s="9">
        <f t="shared" si="170"/>
        <v>1689</v>
      </c>
      <c r="S105" s="11" t="str">
        <f>VLOOKUP(K105,'1108 Educación'!$K$13:$AK$40,9,0)</f>
        <v>El proceso de atención integral en educación inicial a  menores de 5 años, se  continuó desarrollando para una cobertura total de 871 niños y niñas. Con la ejecución del proyecto se desarrollaron las siguientes actividades:    1. Acompañamiento pedagógico a los niños y niñas  mediado por las familias: el ejercicio es liderado por las maestras y acompañado por el equipo pedagógico del proyecto . 2. Diseño y desarrollo de material impreso para familias con dificultades en la conexión virtual. 3. Entrega de pieza de literatura infantil cada martes.  4.Reestructuración  y aplicación del formato de caracterización definiendo la pertinencia de la información de las familias pertenecientes a cada Unidad de Atención. 5. Socialización  del pacto de corresponsabilidad, canales de comunicación y directorio institucional de servicios. 6. Avance de la estrategia.  “De la mano con san, mi cuerpo vamos a cuidar” 7. Entrega de apoyos nutricionales, kits pedagógicos, de aseo y detalle día dulce 8. Proceso de formación de manera virtual a las docentes de primera infancia. Los temas abordados fueron: Planeación Diseño de ambientes e interacciones en el hogar. Premisas de la modalidad y la virtualidad.</v>
      </c>
      <c r="T105" s="11">
        <v>960</v>
      </c>
      <c r="U105" s="11">
        <v>0</v>
      </c>
      <c r="V105" s="11">
        <v>858</v>
      </c>
      <c r="W105" s="11">
        <v>0</v>
      </c>
      <c r="X105" s="11">
        <v>871</v>
      </c>
      <c r="Y105" s="11">
        <v>0</v>
      </c>
      <c r="Z105" s="11">
        <v>871</v>
      </c>
      <c r="AA105" s="11" t="s">
        <v>703</v>
      </c>
      <c r="AB105" s="11" t="s">
        <v>704</v>
      </c>
      <c r="AC105" s="11" t="s">
        <v>705</v>
      </c>
      <c r="AD105" s="11">
        <v>1080</v>
      </c>
      <c r="AE105" s="11">
        <v>0</v>
      </c>
      <c r="AF105" s="11">
        <f>VLOOKUP(K105,'1108 Educación'!$K$13:$AK$40,22,0)</f>
        <v>818</v>
      </c>
      <c r="AG105" s="11">
        <f>VLOOKUP(K105,'1108 Educación'!$K$13:$AK$40,23,0)</f>
        <v>0</v>
      </c>
      <c r="AH105" s="9">
        <f t="shared" si="171"/>
        <v>818</v>
      </c>
      <c r="AI105" s="9" t="str">
        <f>VLOOKUP(K105,'1108 Educación'!$K$13:$AK$40,25,0)</f>
        <v xml:space="preserve">Atención Integral de Primera Infancia </v>
      </c>
      <c r="AJ105" s="9" t="str">
        <f>VLOOKUP(K105,'1108 Educación'!$K$13:$AK$40,26,0)</f>
        <v>En el marco de la atención integral a los niños de 0a 5 años, durante el mes de septiembre: De los 33 municipios focalizados se ha realizado matrícula de 30 munipios, en esta semana se llevara a cabo la matrícula de 3 municipios como son: FOSCA, NEMOCON, SAN BERNARDO. Para el mes de octubre se continuo con el proceso de atención integral en educación inicial a  menores de 5 años, se  continua desarrollando durante el mes de octubre con una cobertura de 818 niños y niñas.
En el desarrollo del proyecto se ha avanzando  en las siguientes acciones:   Desarrollo de los componentes pedagógico, familia cimunidad y redes, salud alimemtación y nutrición.</v>
      </c>
      <c r="AK105" s="9" t="str">
        <f>VLOOKUP(K105,'1108 Educación'!$K$13:$AK$40,27,0)</f>
        <v xml:space="preserve">Por problemas en el sistema SECOP II con el BPIN del contrato  se ha retrasado el inicio de la ejecución </v>
      </c>
      <c r="AL105" s="11">
        <v>1019</v>
      </c>
      <c r="AM105" s="11">
        <v>0</v>
      </c>
      <c r="AN105" s="11">
        <v>1030</v>
      </c>
      <c r="AO105" s="11">
        <v>0</v>
      </c>
      <c r="AP105" s="11">
        <v>0</v>
      </c>
      <c r="AQ105" s="11">
        <v>0</v>
      </c>
      <c r="AR105" s="52"/>
      <c r="AS105" s="54">
        <v>716000000</v>
      </c>
      <c r="AT105" s="54">
        <f t="shared" si="101"/>
        <v>716000000</v>
      </c>
      <c r="AU105" s="52"/>
      <c r="AV105" s="89">
        <v>0</v>
      </c>
      <c r="AY105" s="89">
        <v>0</v>
      </c>
      <c r="AZ105" s="42">
        <f t="shared" si="172"/>
        <v>0.42225000000000001</v>
      </c>
      <c r="BA105" s="44">
        <v>0.2145</v>
      </c>
      <c r="BB105" s="44">
        <v>1.0152000000000001</v>
      </c>
      <c r="BC105" s="42">
        <f t="shared" si="173"/>
        <v>0.27</v>
      </c>
      <c r="BD105" s="42" cm="1">
        <f t="array" ref="BD105">_xlfn.IFS(AD105=0,"NA",AD105&gt;0,AH105/AD105)</f>
        <v>0.75740740740740742</v>
      </c>
      <c r="BE105" s="42">
        <f t="shared" si="174"/>
        <v>0.25474999999999998</v>
      </c>
      <c r="BF105" s="44">
        <v>0</v>
      </c>
      <c r="BG105" s="42">
        <f t="shared" si="175"/>
        <v>0.25750000000000001</v>
      </c>
      <c r="BH105" s="44">
        <v>0</v>
      </c>
      <c r="BI105" s="42">
        <f t="shared" si="176"/>
        <v>0</v>
      </c>
      <c r="BJ105" s="44" t="s">
        <v>115</v>
      </c>
      <c r="BK105" s="42">
        <f t="shared" si="102"/>
        <v>0.42225000000000001</v>
      </c>
      <c r="BL105" s="44">
        <v>1</v>
      </c>
      <c r="BM105" s="42" cm="1">
        <f t="array" ref="BM105">_xlfn.IFS(BD105="NA","NA",BD105&gt;100%,"100%",BD105&lt;100,BD105)</f>
        <v>0.75740740740740742</v>
      </c>
      <c r="BN105" s="42" cm="1">
        <f t="array" ref="BN105">_xlfn.IFS(BF105="NA","NA",BF105&gt;100%,"100%",BF105&lt;100,BF105)</f>
        <v>0</v>
      </c>
      <c r="BO105" s="42" cm="1">
        <f t="array" ref="BO105">_xlfn.IFS(BH105="NA","NA",BH105&gt;100%,"100%",BH105&lt;100,BH105)</f>
        <v>0</v>
      </c>
      <c r="BP105" s="42" t="str" cm="1">
        <f t="array" ref="BP105">_xlfn.IFS(BJ105="NA","NA",BJ105&gt;100%,"100%",BJ105&lt;100,BJ105)</f>
        <v>NA</v>
      </c>
      <c r="BQ105" s="45">
        <v>0.22500000000000001</v>
      </c>
      <c r="BR105" s="43">
        <f t="shared" si="103"/>
        <v>9.500625E-2</v>
      </c>
      <c r="BS105" s="45">
        <v>4.8300000000000003E-2</v>
      </c>
      <c r="BT105" s="45">
        <v>4.8300000000000003E-2</v>
      </c>
      <c r="BU105" s="45">
        <v>4.9000000000000002E-2</v>
      </c>
      <c r="BV105" s="43">
        <f t="shared" si="177"/>
        <v>6.0749999999999998E-2</v>
      </c>
      <c r="BW105" s="43">
        <f t="shared" si="104"/>
        <v>4.6012499999999998E-2</v>
      </c>
      <c r="BX105" s="43">
        <f t="shared" si="105"/>
        <v>4.6006249999999999E-2</v>
      </c>
      <c r="BY105" s="43">
        <f t="shared" si="178"/>
        <v>5.7318750000000002E-2</v>
      </c>
      <c r="BZ105" s="43">
        <f t="shared" si="179"/>
        <v>0</v>
      </c>
      <c r="CA105" s="43">
        <f t="shared" si="106"/>
        <v>0</v>
      </c>
      <c r="CB105" s="43">
        <f t="shared" si="180"/>
        <v>5.7937500000000003E-2</v>
      </c>
      <c r="CC105" s="43">
        <f t="shared" si="181"/>
        <v>0</v>
      </c>
      <c r="CD105" s="45">
        <v>0</v>
      </c>
      <c r="CE105" s="43">
        <f t="shared" si="182"/>
        <v>0</v>
      </c>
      <c r="CF105" s="43" t="str">
        <f t="shared" si="183"/>
        <v>NA</v>
      </c>
      <c r="CG105" s="45">
        <v>0</v>
      </c>
    </row>
    <row r="106" spans="1:90" ht="18" customHeight="1">
      <c r="A106" s="260" t="s">
        <v>248</v>
      </c>
      <c r="B106" s="260" t="s">
        <v>249</v>
      </c>
      <c r="C106" s="260" t="s">
        <v>100</v>
      </c>
      <c r="D106" s="260" t="s">
        <v>508</v>
      </c>
      <c r="E106" s="260" t="s">
        <v>509</v>
      </c>
      <c r="F106" s="260" t="s">
        <v>706</v>
      </c>
      <c r="G106" s="260" t="s">
        <v>707</v>
      </c>
      <c r="H106" s="260" t="s">
        <v>708</v>
      </c>
      <c r="I106" s="260" t="s">
        <v>106</v>
      </c>
      <c r="J106" s="260"/>
      <c r="K106" s="260" t="s">
        <v>709</v>
      </c>
      <c r="L106" s="260" t="s">
        <v>710</v>
      </c>
      <c r="M106" s="260" t="s">
        <v>711</v>
      </c>
      <c r="N106" s="260" t="s">
        <v>111</v>
      </c>
      <c r="O106" s="260" t="s">
        <v>112</v>
      </c>
      <c r="P106" s="10">
        <v>3</v>
      </c>
      <c r="Q106" s="11">
        <v>3</v>
      </c>
      <c r="R106" s="9">
        <f t="shared" si="170"/>
        <v>1</v>
      </c>
      <c r="S106" s="11" t="str">
        <f>VLOOKUP(K106,'1208 Indeportes'!$K$13:$AK$39,9,0)</f>
        <v>La meta se encuentra en ejecución, sin embargo, se han realizado las siguientes actividades y contrataciones: COFINANCIACIÓN CONVENIO PARA EL DESARROLLO DEL PROYECTO DE DEPORTE ESCOLAR -ESCUELAS DEPORTIVAS- , CON EL MINISTERIO DEL DEPORTE.GERENCIA INTEGRAL DE PROYECTOS PARA LA PLANEACIÓN, ADMINISTRACIÓN Y EJECUCIÓN DE ACCIONES TENDIENTES A MEJORAR LA CALIDAD, LA COMPETITIVIDAD Y LA PROMOCIÓN DEL DEPORTE EN CUNDINAMARCA, DE ACUERDO CON LOS LINEAMIENTOS DEL PLAN DE DESARROLLO “CUNDINAMARCA REGIÓN QUE PROGRESA.Adicionalmente, a través del convenio No. 257 celebrado con FONDECUN se contrató la realización de este evento que se llevará a cabo del 5 al 30 de octubre de 2020.</v>
      </c>
      <c r="T106" s="11">
        <v>1</v>
      </c>
      <c r="U106" s="11">
        <v>0</v>
      </c>
      <c r="V106" s="11">
        <v>1</v>
      </c>
      <c r="W106" s="11">
        <v>0</v>
      </c>
      <c r="X106" s="11">
        <v>1</v>
      </c>
      <c r="Y106" s="11">
        <v>0</v>
      </c>
      <c r="Z106" s="11">
        <v>1</v>
      </c>
      <c r="AA106" s="11">
        <v>0</v>
      </c>
      <c r="AB106" s="11" t="s">
        <v>712</v>
      </c>
      <c r="AC106" s="11">
        <v>0</v>
      </c>
      <c r="AD106" s="11">
        <v>1</v>
      </c>
      <c r="AE106" s="11">
        <v>0</v>
      </c>
      <c r="AF106" s="11">
        <f>VLOOKUP(K106,'1208 Indeportes'!$K$13:$AH$39,22,0)</f>
        <v>0</v>
      </c>
      <c r="AG106" s="11">
        <f>VLOOKUP(K106,'1208 Indeportes'!$K$13:$AH$39,23,0)</f>
        <v>0</v>
      </c>
      <c r="AH106" s="9">
        <f t="shared" si="171"/>
        <v>0</v>
      </c>
      <c r="AI106" s="9">
        <f>VLOOKUP(K106,'1208 Indeportes'!$K$13:$AK$39,25,0)</f>
        <v>0</v>
      </c>
      <c r="AJ106" s="9" t="str">
        <f>VLOOKUP(K106,'1208 Indeportes'!$K$13:$AK$39,26,0)</f>
        <v>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v>
      </c>
      <c r="AK106" s="9">
        <f>VLOOKUP(K106,'1208 Indeportes'!$K$13:$AK$39,27,0)</f>
        <v>0</v>
      </c>
      <c r="AL106" s="11">
        <v>1</v>
      </c>
      <c r="AM106" s="11">
        <v>0</v>
      </c>
      <c r="AN106" s="11">
        <v>0</v>
      </c>
      <c r="AO106" s="11">
        <v>0</v>
      </c>
      <c r="AP106" s="11">
        <v>0</v>
      </c>
      <c r="AQ106" s="11">
        <v>0</v>
      </c>
      <c r="AR106" s="51">
        <v>83669750</v>
      </c>
      <c r="AS106" s="54">
        <v>0</v>
      </c>
      <c r="AT106" s="54">
        <f t="shared" si="101"/>
        <v>83669750</v>
      </c>
      <c r="AU106" s="51">
        <v>48564360</v>
      </c>
      <c r="AV106" s="89">
        <v>130000000</v>
      </c>
      <c r="AY106" s="89">
        <v>0</v>
      </c>
      <c r="AZ106" s="42">
        <f t="shared" si="172"/>
        <v>0.33333333333333331</v>
      </c>
      <c r="BA106" s="44">
        <v>0.33329999999999999</v>
      </c>
      <c r="BB106" s="44">
        <v>1</v>
      </c>
      <c r="BC106" s="42">
        <f t="shared" si="173"/>
        <v>0.33333333333333331</v>
      </c>
      <c r="BD106" s="42" cm="1">
        <f t="array" ref="BD106">_xlfn.IFS(AD106=0,"NA",AD106&gt;0,AH106/AD106)</f>
        <v>0</v>
      </c>
      <c r="BE106" s="42">
        <f t="shared" si="174"/>
        <v>0.33333333333333331</v>
      </c>
      <c r="BF106" s="44">
        <v>0</v>
      </c>
      <c r="BG106" s="42">
        <f t="shared" si="175"/>
        <v>0</v>
      </c>
      <c r="BH106" s="44" t="s">
        <v>115</v>
      </c>
      <c r="BI106" s="42">
        <f t="shared" si="176"/>
        <v>0</v>
      </c>
      <c r="BJ106" s="44" t="s">
        <v>115</v>
      </c>
      <c r="BK106" s="42">
        <f t="shared" si="102"/>
        <v>0.33333333333333331</v>
      </c>
      <c r="BL106" s="44">
        <v>1</v>
      </c>
      <c r="BM106" s="42" cm="1">
        <f t="array" ref="BM106">_xlfn.IFS(BD106="NA","NA",BD106&gt;100%,"100%",BD106&lt;100,BD106)</f>
        <v>0</v>
      </c>
      <c r="BN106" s="42" cm="1">
        <f t="array" ref="BN106">_xlfn.IFS(BF106="NA","NA",BF106&gt;100%,"100%",BF106&lt;100,BF106)</f>
        <v>0</v>
      </c>
      <c r="BO106" s="42" t="str" cm="1">
        <f t="array" ref="BO106">_xlfn.IFS(BH106="NA","NA",BH106&gt;100%,"100%",BH106&lt;100,BH106)</f>
        <v>NA</v>
      </c>
      <c r="BP106" s="42" t="str" cm="1">
        <f t="array" ref="BP106">_xlfn.IFS(BJ106="NA","NA",BJ106&gt;100%,"100%",BJ106&lt;100,BJ106)</f>
        <v>NA</v>
      </c>
      <c r="BQ106" s="45">
        <v>0.22500000000000001</v>
      </c>
      <c r="BR106" s="43">
        <f t="shared" si="103"/>
        <v>7.4999999999999997E-2</v>
      </c>
      <c r="BS106" s="45">
        <v>7.4999999999999997E-2</v>
      </c>
      <c r="BT106" s="45">
        <v>7.4999999999999997E-2</v>
      </c>
      <c r="BU106" s="45">
        <v>7.4999999999999997E-2</v>
      </c>
      <c r="BV106" s="43">
        <f t="shared" si="177"/>
        <v>7.4999999999999997E-2</v>
      </c>
      <c r="BW106" s="43">
        <f t="shared" si="104"/>
        <v>0</v>
      </c>
      <c r="BX106" s="43">
        <f t="shared" si="105"/>
        <v>0</v>
      </c>
      <c r="BY106" s="43">
        <f t="shared" si="178"/>
        <v>7.4999999999999997E-2</v>
      </c>
      <c r="BZ106" s="43">
        <f t="shared" si="179"/>
        <v>0</v>
      </c>
      <c r="CA106" s="43">
        <f t="shared" si="106"/>
        <v>0</v>
      </c>
      <c r="CB106" s="43">
        <f t="shared" si="180"/>
        <v>0</v>
      </c>
      <c r="CC106" s="43" t="str">
        <f t="shared" si="181"/>
        <v>NA</v>
      </c>
      <c r="CD106" s="45">
        <v>0</v>
      </c>
      <c r="CE106" s="43">
        <f t="shared" si="182"/>
        <v>0</v>
      </c>
      <c r="CF106" s="43" t="str">
        <f t="shared" si="183"/>
        <v>NA</v>
      </c>
      <c r="CG106" s="45">
        <v>0</v>
      </c>
    </row>
    <row r="107" spans="1:90" ht="18" customHeight="1">
      <c r="A107" s="260" t="s">
        <v>292</v>
      </c>
      <c r="B107" s="260" t="s">
        <v>293</v>
      </c>
      <c r="C107" s="260" t="s">
        <v>100</v>
      </c>
      <c r="D107" s="260" t="s">
        <v>508</v>
      </c>
      <c r="E107" s="260" t="s">
        <v>509</v>
      </c>
      <c r="F107" s="260" t="s">
        <v>713</v>
      </c>
      <c r="G107" s="260" t="s">
        <v>714</v>
      </c>
      <c r="H107" s="260" t="s">
        <v>715</v>
      </c>
      <c r="I107" s="260" t="s">
        <v>255</v>
      </c>
      <c r="J107" s="260" t="s">
        <v>531</v>
      </c>
      <c r="K107" s="260" t="s">
        <v>716</v>
      </c>
      <c r="L107" s="260" t="s">
        <v>717</v>
      </c>
      <c r="M107" s="260" t="s">
        <v>718</v>
      </c>
      <c r="N107" s="260" t="s">
        <v>111</v>
      </c>
      <c r="O107" s="260" t="s">
        <v>302</v>
      </c>
      <c r="P107" s="10">
        <v>185000</v>
      </c>
      <c r="Q107" s="11">
        <v>200000</v>
      </c>
      <c r="R107" s="11">
        <f>AVERAGE(Z107,AH107)</f>
        <v>199037.5</v>
      </c>
      <c r="S107" s="11" t="str">
        <f>VLOOKUP(K107,'1108 Educación'!$K$13:$AK$40,9,0)</f>
        <v xml:space="preserve">Se ha logrado la atención anualmente de   200.000 niños niñas y adolescentes con complemento alimentario dentro de la estrategia de permanencia del Programa de alimentación Escolar </v>
      </c>
      <c r="T107" s="11">
        <v>0</v>
      </c>
      <c r="U107" s="11">
        <v>200000</v>
      </c>
      <c r="V107" s="11">
        <v>0</v>
      </c>
      <c r="W107" s="11">
        <v>200000</v>
      </c>
      <c r="X107" s="11" t="s">
        <v>115</v>
      </c>
      <c r="Y107" s="11">
        <v>199221.5</v>
      </c>
      <c r="Z107" s="11">
        <v>199221.5</v>
      </c>
      <c r="AA107" s="11" t="s">
        <v>719</v>
      </c>
      <c r="AB107" s="11" t="s">
        <v>720</v>
      </c>
      <c r="AC107" s="11">
        <v>0</v>
      </c>
      <c r="AD107" s="11">
        <v>0</v>
      </c>
      <c r="AE107" s="11">
        <v>200000</v>
      </c>
      <c r="AF107" s="11">
        <f>VLOOKUP(K107,'1108 Educación'!$K$13:$AK$40,22,0)</f>
        <v>0</v>
      </c>
      <c r="AG107" s="11">
        <f>VLOOKUP(K107,'1108 Educación'!$K$13:$AK$40,23,0)</f>
        <v>198853.5</v>
      </c>
      <c r="AH107" s="11">
        <f t="shared" ref="AH107:AH108" si="184">AG107</f>
        <v>198853.5</v>
      </c>
      <c r="AI107" s="9" t="str">
        <f>VLOOKUP(K107,'1108 Educación'!$K$13:$AK$40,25,0)</f>
        <v xml:space="preserve">Complemento Alimentario </v>
      </c>
      <c r="AJ107" s="9" t="str">
        <f>VLOOKUP(K107,'1108 Educación'!$K$13:$AK$40,26,0)</f>
        <v>Se desarrolló el Programa de Alimentación Escolar PAE conforme los lineamientos establecidos atendiendo los niños, niñas y adolescentes de los municipios no certificados del departamento de cundinamarca que se encuentran registrados en el SIMAT y focalizados según lo establecido en la Resolución 29452 de 2017. En la actualidad se está atendiendo el  programa a través de la ejecución de los contratos SE-LP-417 de 2021 y SE-LP-418 de 2021 con el suministro de Ración Industrializada – RI y para los casos con las excepciones contempladas en la directiva 05 de 2021 se está suministrando Ración Para Preparar en casa – RPC, esto de conformidad con las directrices de retorno a la presencialidad establecidas en la Resolución 777 del 2 de junio de  2021 expedida por el Ministerio de Salud y Protección Social, Circular Externa N° 009 de 15 junio 2021 expedida por la Unidad Administrativa Especial De Alimentación Escolar – UApA y la Directiva 5 del 17 de junio de 2021 del Ministerio de Educación Nacional.​</v>
      </c>
      <c r="AK107" s="9" t="str">
        <f>VLOOKUP(K107,'1108 Educación'!$K$13:$AK$40,27,0)</f>
        <v>Para abril se sigue evidenciando errores en el cargue de la informacion en el SIMAT encontrandose duplicidad de información.Dadas las directrices del Gobierno Nacional frente a la presencialidad educativa,  plasmadas en la Resolución 777 de 2021,  para el mes de agosto fue necesario implementar acciones encaminadas al cambio de modalidad del complemento entregado en el Programa de Alimentación Escolar, En el mes de octubre se siguen  realizando la entrega de Ración industrializada - RI para los estudiantes con presencialidad y Ración para preparar en casa - RPC para los casos excepcionales contemplados en la Directiva 005 de 2021 expedida por el Ministerior de Educación Nacional, es de aclarar que la racion industrializada es de poca aceptación por parte de los niños sin embargo se estan revisando otras alternativas para el suministro en la siguiente vigencia atendiendo el retorno a la presencialidad de los estudiantes.</v>
      </c>
      <c r="AL107" s="11">
        <v>0</v>
      </c>
      <c r="AM107" s="11">
        <v>200000</v>
      </c>
      <c r="AN107" s="11">
        <v>0</v>
      </c>
      <c r="AO107" s="11">
        <v>200000</v>
      </c>
      <c r="AP107" s="11">
        <v>0</v>
      </c>
      <c r="AQ107" s="11">
        <v>0</v>
      </c>
      <c r="AR107" s="51">
        <v>29877662978</v>
      </c>
      <c r="AS107" s="54">
        <v>5331029100</v>
      </c>
      <c r="AT107" s="54">
        <f t="shared" si="101"/>
        <v>35208692078</v>
      </c>
      <c r="AU107" s="51">
        <v>27304203565</v>
      </c>
      <c r="AV107" s="89">
        <v>47000000000</v>
      </c>
      <c r="AY107" s="89">
        <v>46526875607</v>
      </c>
      <c r="AZ107" s="44" cm="1">
        <f t="array" ref="AZ107">_xlfn.IFS((BA107=0),(BD107/CL107),(BA107&gt;0),((BB107+BD107)/CL107),(BE107&gt;0),((BB107+BD107+BE107)/CL107),(BG107&gt;0),((BB107+BD107+BE107+G107)/CL107))</f>
        <v>0.30934171874999999</v>
      </c>
      <c r="BA107" s="44">
        <v>0.25</v>
      </c>
      <c r="BB107" s="44">
        <v>0.98880000000000001</v>
      </c>
      <c r="BC107" s="44">
        <v>0.25</v>
      </c>
      <c r="BD107" s="44" cm="1">
        <f t="array" ref="BD107">_xlfn.IFS(AE107=0,"NA",AE107&gt;0,((AH107/AE107)/4))</f>
        <v>0.24856687499999999</v>
      </c>
      <c r="BE107" s="44">
        <v>0.25</v>
      </c>
      <c r="BF107" s="44">
        <v>0</v>
      </c>
      <c r="BG107" s="44">
        <v>0.25</v>
      </c>
      <c r="BH107" s="44">
        <v>0</v>
      </c>
      <c r="BI107" s="44">
        <v>0</v>
      </c>
      <c r="BJ107" s="44" t="s">
        <v>115</v>
      </c>
      <c r="BK107" s="44">
        <f t="shared" si="102"/>
        <v>0.30934171874999999</v>
      </c>
      <c r="BL107" s="44">
        <v>0.98880000000000001</v>
      </c>
      <c r="BM107" s="42" cm="1">
        <f t="array" ref="BM107">_xlfn.IFS(BD107="NA","NA",BD107&gt;100%,"100%",BD107&lt;100,BD107)</f>
        <v>0.24856687499999999</v>
      </c>
      <c r="BN107" s="44">
        <v>0</v>
      </c>
      <c r="BO107" s="44">
        <v>0</v>
      </c>
      <c r="BP107" s="44" t="s">
        <v>115</v>
      </c>
      <c r="BQ107" s="45">
        <v>0.22500000000000001</v>
      </c>
      <c r="BR107" s="43">
        <f t="shared" si="103"/>
        <v>6.9601886718750006E-2</v>
      </c>
      <c r="BS107" s="45">
        <v>5.6300000000000003E-2</v>
      </c>
      <c r="BT107" s="45">
        <v>5.57E-2</v>
      </c>
      <c r="BU107" s="45">
        <v>5.5599999999999997E-2</v>
      </c>
      <c r="BV107" s="45">
        <v>5.6300000000000003E-2</v>
      </c>
      <c r="BW107" s="43">
        <f t="shared" si="104"/>
        <v>1.39943150625E-2</v>
      </c>
      <c r="BX107" s="43">
        <f t="shared" si="105"/>
        <v>1.4001886718750009E-2</v>
      </c>
      <c r="BY107" s="45">
        <v>5.6300000000000003E-2</v>
      </c>
      <c r="BZ107" s="45">
        <v>0</v>
      </c>
      <c r="CA107" s="43">
        <f t="shared" si="106"/>
        <v>0</v>
      </c>
      <c r="CB107" s="45">
        <v>5.6300000000000003E-2</v>
      </c>
      <c r="CC107" s="45">
        <v>0</v>
      </c>
      <c r="CD107" s="45">
        <v>0</v>
      </c>
      <c r="CE107" s="45">
        <v>0</v>
      </c>
      <c r="CF107" s="45" t="s">
        <v>115</v>
      </c>
      <c r="CG107" s="45">
        <v>0</v>
      </c>
      <c r="CH107">
        <f>IF(W107&gt;0,1,0)</f>
        <v>1</v>
      </c>
      <c r="CI107">
        <f>IF(AE107&gt;0,1,0)</f>
        <v>1</v>
      </c>
      <c r="CJ107">
        <f>IF(AM107&gt;0,1,0)</f>
        <v>1</v>
      </c>
      <c r="CK107">
        <f>IF(AO107&gt;0,1,0)</f>
        <v>1</v>
      </c>
      <c r="CL107">
        <f>CH107+CI107+CJ107+CK107</f>
        <v>4</v>
      </c>
    </row>
    <row r="108" spans="1:90" ht="18" customHeight="1">
      <c r="A108" s="260" t="s">
        <v>292</v>
      </c>
      <c r="B108" s="260" t="s">
        <v>293</v>
      </c>
      <c r="C108" s="260" t="s">
        <v>100</v>
      </c>
      <c r="D108" s="260" t="s">
        <v>508</v>
      </c>
      <c r="E108" s="260" t="s">
        <v>509</v>
      </c>
      <c r="F108" s="260" t="s">
        <v>713</v>
      </c>
      <c r="G108" s="260" t="s">
        <v>714</v>
      </c>
      <c r="H108" s="260" t="s">
        <v>721</v>
      </c>
      <c r="I108" s="260" t="s">
        <v>255</v>
      </c>
      <c r="J108" s="260" t="s">
        <v>316</v>
      </c>
      <c r="K108" s="260" t="s">
        <v>722</v>
      </c>
      <c r="L108" s="260" t="s">
        <v>2908</v>
      </c>
      <c r="M108" s="260" t="s">
        <v>724</v>
      </c>
      <c r="N108" s="260" t="s">
        <v>111</v>
      </c>
      <c r="O108" s="260" t="s">
        <v>124</v>
      </c>
      <c r="P108" s="10">
        <v>51449</v>
      </c>
      <c r="Q108" s="11">
        <v>52000</v>
      </c>
      <c r="R108" s="11">
        <f>(Z108+AH108)/CL108</f>
        <v>0</v>
      </c>
      <c r="S108" s="11" t="str">
        <f>VLOOKUP(K108,'1108 Educación'!$K$13:$AK$40,9,0)</f>
        <v>Se  adelantó el proceso precontactual para iniciar las firmas de los convenios con 101 municipios no certificados, para beneficiar 45234 estudiantes de las IED ofciales del departamento</v>
      </c>
      <c r="T108" s="11">
        <v>0</v>
      </c>
      <c r="U108" s="11">
        <v>0</v>
      </c>
      <c r="V108" s="11">
        <v>0</v>
      </c>
      <c r="W108" s="11">
        <v>0</v>
      </c>
      <c r="X108" s="11" t="s">
        <v>115</v>
      </c>
      <c r="Y108" s="11">
        <v>0</v>
      </c>
      <c r="Z108" s="11">
        <v>0</v>
      </c>
      <c r="AA108" s="11"/>
      <c r="AB108" s="11"/>
      <c r="AC108" s="11"/>
      <c r="AD108" s="11">
        <v>0</v>
      </c>
      <c r="AE108" s="11">
        <v>52000</v>
      </c>
      <c r="AF108" s="11">
        <f>VLOOKUP(K108,'1108 Educación'!$K$13:$AK$40,22,0)</f>
        <v>41593</v>
      </c>
      <c r="AG108" s="11">
        <f>VLOOKUP(K108,'1108 Educación'!$K$13:$AK$40,23,0)</f>
        <v>0</v>
      </c>
      <c r="AH108" s="11">
        <f t="shared" si="184"/>
        <v>0</v>
      </c>
      <c r="AI108" s="9" t="str">
        <f>VLOOKUP(K108,'1108 Educación'!$K$13:$AK$40,25,0)</f>
        <v xml:space="preserve">Subsidio de transporte escolar </v>
      </c>
      <c r="AJ108" s="9" t="str">
        <f>VLOOKUP(K108,'1108 Educación'!$K$13:$AK$40,26,0)</f>
        <v xml:space="preserve"> para el mes de octubre Se firmaron los 99 convenios para brindar la cobertura en la estrategia de transporte escolar a igual numero de municipios  para un total de 42.500 estudiantes de la instituciones educativas ofiacilaes del departamento, de la misma manera se implemento cronograma de visitas de supervision en sitio para verificar la ejecucion de la estrategia de cobertura de transporte escolar , se  consolidaron y radicaron  las carpetas en fisico de todos los convenios a la oficina juridica para tener la trazabilidad en el archivo de cada convenio con sus respectivos anexos. Todos los municipios se encuetran en ejecucion de los convenios de trasnporte escolar garantizando la presencialdiad en las IED.</v>
      </c>
      <c r="AK108" s="9" t="str">
        <f>VLOOKUP(K108,'1108 Educación'!$K$13:$AK$40,27,0)</f>
        <v xml:space="preserve"> La convocatorias para entrega de documentos ya que algunos municipios no tienen las directrices claras para avanzar en la estructuracion de los convenios.</v>
      </c>
      <c r="AL108" s="11">
        <v>0</v>
      </c>
      <c r="AM108" s="11">
        <v>52000</v>
      </c>
      <c r="AN108" s="11">
        <v>0</v>
      </c>
      <c r="AO108" s="11">
        <v>52000</v>
      </c>
      <c r="AP108" s="11">
        <v>0</v>
      </c>
      <c r="AQ108" s="11">
        <v>0</v>
      </c>
      <c r="AR108" s="52"/>
      <c r="AS108" s="54">
        <v>0</v>
      </c>
      <c r="AT108" s="54">
        <f t="shared" si="101"/>
        <v>0</v>
      </c>
      <c r="AU108" s="52"/>
      <c r="AV108" s="89">
        <v>0</v>
      </c>
      <c r="AY108" s="89">
        <v>0</v>
      </c>
      <c r="AZ108" s="44" cm="1">
        <f t="array" ref="AZ108">_xlfn.IFS((BA108=0),(BD108/CL108),(BA108&gt;0),((BB108+BD108)/CL108),(BE108&gt;0),((BB108+BD108+BE108)/CL108),(BG108&gt;0),((BB108+BD108+BE108+G108)/CL108))</f>
        <v>0</v>
      </c>
      <c r="BA108" s="44">
        <v>0</v>
      </c>
      <c r="BB108" s="44" t="s">
        <v>115</v>
      </c>
      <c r="BC108" s="44">
        <f>IF(AE108&gt;0,(1/CL108),0)</f>
        <v>0.33333333333333331</v>
      </c>
      <c r="BD108" s="44" cm="1">
        <f t="array" ref="BD108">_xlfn.IFS(AE108=0,"NA",AE108&gt;0,AH108/AE108)</f>
        <v>0</v>
      </c>
      <c r="BE108" s="44">
        <f>IF(AM108&gt;0,(1/CL108),0)</f>
        <v>0.33333333333333331</v>
      </c>
      <c r="BF108" s="44">
        <v>0</v>
      </c>
      <c r="BG108" s="44">
        <f>IF(AO108&gt;0,(1/CL108),0)</f>
        <v>0.33333333333333331</v>
      </c>
      <c r="BH108" s="44">
        <v>0</v>
      </c>
      <c r="BI108" s="44">
        <v>0</v>
      </c>
      <c r="BJ108" s="44" t="s">
        <v>115</v>
      </c>
      <c r="BK108" s="44">
        <f t="shared" si="102"/>
        <v>0</v>
      </c>
      <c r="BL108" s="44" t="s">
        <v>115</v>
      </c>
      <c r="BM108" s="42" cm="1">
        <f t="array" ref="BM108">_xlfn.IFS(BD108="NA","NA",BD108&gt;100%,"100%",BD108&lt;100,BD108)</f>
        <v>0</v>
      </c>
      <c r="BN108" s="44">
        <v>0</v>
      </c>
      <c r="BO108" s="44">
        <v>0</v>
      </c>
      <c r="BP108" s="44" t="s">
        <v>115</v>
      </c>
      <c r="BQ108" s="45">
        <v>0.22500000000000001</v>
      </c>
      <c r="BR108" s="43">
        <f t="shared" si="103"/>
        <v>0</v>
      </c>
      <c r="BS108" s="45">
        <v>0</v>
      </c>
      <c r="BT108" s="45" t="s">
        <v>115</v>
      </c>
      <c r="BU108" s="45">
        <v>0</v>
      </c>
      <c r="BV108" s="45">
        <v>7.4999999999999997E-2</v>
      </c>
      <c r="BW108" s="43">
        <f t="shared" si="104"/>
        <v>0</v>
      </c>
      <c r="BX108" s="43">
        <f t="shared" si="105"/>
        <v>0</v>
      </c>
      <c r="BY108" s="45">
        <v>7.4999999999999997E-2</v>
      </c>
      <c r="BZ108" s="45">
        <v>0</v>
      </c>
      <c r="CA108" s="43">
        <f t="shared" si="106"/>
        <v>0</v>
      </c>
      <c r="CB108" s="45">
        <v>7.4999999999999997E-2</v>
      </c>
      <c r="CC108" s="45">
        <v>0</v>
      </c>
      <c r="CD108" s="45">
        <v>0</v>
      </c>
      <c r="CE108" s="45">
        <v>0</v>
      </c>
      <c r="CF108" s="45" t="s">
        <v>115</v>
      </c>
      <c r="CG108" s="45">
        <v>0</v>
      </c>
      <c r="CH108">
        <f>IF(W108&gt;0,1,0)</f>
        <v>0</v>
      </c>
      <c r="CI108">
        <f>IF(AE108&gt;0,1,0)</f>
        <v>1</v>
      </c>
      <c r="CJ108">
        <f>IF(AM108&gt;0,1,0)</f>
        <v>1</v>
      </c>
      <c r="CK108">
        <f>IF(AO108&gt;0,1,0)</f>
        <v>1</v>
      </c>
      <c r="CL108">
        <f>CH108+CI108+CJ108+CK108</f>
        <v>3</v>
      </c>
    </row>
    <row r="109" spans="1:90" ht="18" customHeight="1">
      <c r="A109" s="260" t="s">
        <v>292</v>
      </c>
      <c r="B109" s="260" t="s">
        <v>293</v>
      </c>
      <c r="C109" s="260" t="s">
        <v>100</v>
      </c>
      <c r="D109" s="260" t="s">
        <v>508</v>
      </c>
      <c r="E109" s="260" t="s">
        <v>509</v>
      </c>
      <c r="F109" s="260" t="s">
        <v>713</v>
      </c>
      <c r="G109" s="260" t="s">
        <v>714</v>
      </c>
      <c r="H109" s="260" t="s">
        <v>725</v>
      </c>
      <c r="I109" s="260" t="s">
        <v>255</v>
      </c>
      <c r="J109" s="260" t="s">
        <v>316</v>
      </c>
      <c r="K109" s="260" t="s">
        <v>726</v>
      </c>
      <c r="L109" s="260" t="s">
        <v>2909</v>
      </c>
      <c r="M109" s="260" t="s">
        <v>728</v>
      </c>
      <c r="N109" s="260" t="s">
        <v>111</v>
      </c>
      <c r="O109" s="260" t="s">
        <v>112</v>
      </c>
      <c r="P109" s="10">
        <v>2534</v>
      </c>
      <c r="Q109" s="11">
        <v>1097</v>
      </c>
      <c r="R109" s="9">
        <f t="shared" ref="R109:R114" si="185">Z109+AH109</f>
        <v>668</v>
      </c>
      <c r="S109" s="11">
        <f>VLOOKUP(K109,'1108 Educación'!$K$13:$AK$40,9,0)</f>
        <v>0</v>
      </c>
      <c r="T109" s="11">
        <v>350</v>
      </c>
      <c r="U109" s="11">
        <v>0</v>
      </c>
      <c r="V109" s="11">
        <v>275</v>
      </c>
      <c r="W109" s="11">
        <v>0</v>
      </c>
      <c r="X109" s="11">
        <v>275</v>
      </c>
      <c r="Y109" s="11">
        <v>0</v>
      </c>
      <c r="Z109" s="11">
        <v>275</v>
      </c>
      <c r="AA109" s="11" t="s">
        <v>729</v>
      </c>
      <c r="AB109" s="11"/>
      <c r="AC109" s="11">
        <v>0</v>
      </c>
      <c r="AD109" s="11">
        <v>500</v>
      </c>
      <c r="AE109" s="11">
        <v>0</v>
      </c>
      <c r="AF109" s="11">
        <f>VLOOKUP(K109,'1108 Educación'!$K$13:$AK$40,22,0)</f>
        <v>393</v>
      </c>
      <c r="AG109" s="11">
        <f>VLOOKUP(K109,'1108 Educación'!$K$13:$AK$40,23,0)</f>
        <v>0</v>
      </c>
      <c r="AH109" s="9">
        <f t="shared" ref="AH109:AH114" si="186">AF109</f>
        <v>393</v>
      </c>
      <c r="AI109" s="9">
        <f>VLOOKUP(K109,'1108 Educación'!$K$13:$AK$40,25,0)</f>
        <v>0</v>
      </c>
      <c r="AJ109" s="9" t="str">
        <f>VLOOKUP(K109,'1108 Educación'!$K$13:$AK$40,26,0)</f>
        <v>Se realizó la incorporación de los recursos de regalias, con el que se pretende llegar a 394 sedes educativas en el segundo semestre del año, para dar así cumplimiento de la meta en la presente vigencia. EN el mes de julio se firmaron las ordenes de compra para la Adquisición del mobiliario escolar. Se firmaron seis (6) contratos de compraventa. Con la distribución del mobiliario escolar se benefician 32.678 estudiantes de 393 sedes e Instituciones Oficiales en 39 municipios, con muebles de aula, laboratorios de Física y Química, Bibibliotecas, Aulas de tecnología, Mobiliario de restaurante y cocina y Áreas Administrativas. para el mes octubre se realizó la entrega de mobiliario de Comedor - Cocina en los municipios de Puerto Salgar, Silvania, Ricaurte, La Mesa, Tena, La Vega, Ubaté, Fómeque, Medina, Ubalá, Paratebueno, Subachoque, Guayabal de Síquima, Quebradanegra, Villapinzón, La Peña, Lenguazaque, Caparrapí y Yacopí.</v>
      </c>
      <c r="AK109" s="9" t="str">
        <f>VLOOKUP(K109,'1108 Educación'!$K$13:$AK$40,27,0)</f>
        <v>Demora en el pago de facturas a proveedores del proceso de Dotaciones de las instituciones educativas oficiales.</v>
      </c>
      <c r="AL109" s="11">
        <v>161</v>
      </c>
      <c r="AM109" s="11">
        <v>0</v>
      </c>
      <c r="AN109" s="11">
        <v>161</v>
      </c>
      <c r="AO109" s="11">
        <v>0</v>
      </c>
      <c r="AP109" s="11">
        <v>0</v>
      </c>
      <c r="AQ109" s="11">
        <v>0</v>
      </c>
      <c r="AR109" s="51">
        <v>1244863262</v>
      </c>
      <c r="AS109" s="54">
        <v>0</v>
      </c>
      <c r="AT109" s="54">
        <f t="shared" si="101"/>
        <v>1244863262</v>
      </c>
      <c r="AU109" s="51">
        <v>0</v>
      </c>
      <c r="AV109" s="89">
        <v>5928751752</v>
      </c>
      <c r="AY109" s="89">
        <v>0</v>
      </c>
      <c r="AZ109" s="42">
        <f t="shared" ref="AZ109:AZ114" si="187">R109/Q109</f>
        <v>0.60893345487693706</v>
      </c>
      <c r="BA109" s="44">
        <v>0.25069999999999998</v>
      </c>
      <c r="BB109" s="44">
        <v>1</v>
      </c>
      <c r="BC109" s="42">
        <f t="shared" ref="BC109:BC114" si="188">AD109/Q109</f>
        <v>0.45578851412944393</v>
      </c>
      <c r="BD109" s="42" cm="1">
        <f t="array" ref="BD109">_xlfn.IFS(AD109=0,"NA",AD109&gt;0,AH109/AD109)</f>
        <v>0.78600000000000003</v>
      </c>
      <c r="BE109" s="42">
        <f t="shared" ref="BE109:BE114" si="189">AL109/Q109</f>
        <v>0.14676390154968094</v>
      </c>
      <c r="BF109" s="44">
        <v>0</v>
      </c>
      <c r="BG109" s="42">
        <f t="shared" ref="BG109:BG114" si="190">AN109/Q109</f>
        <v>0.14676390154968094</v>
      </c>
      <c r="BH109" s="44">
        <v>0</v>
      </c>
      <c r="BI109" s="42">
        <f t="shared" ref="BI109:BI114" si="191">AP109/Q109</f>
        <v>0</v>
      </c>
      <c r="BJ109" s="44" t="s">
        <v>115</v>
      </c>
      <c r="BK109" s="42">
        <f t="shared" si="102"/>
        <v>0.60893345487693706</v>
      </c>
      <c r="BL109" s="44">
        <v>1</v>
      </c>
      <c r="BM109" s="42" cm="1">
        <f t="array" ref="BM109">_xlfn.IFS(BD109="NA","NA",BD109&gt;100%,"100%",BD109&lt;100,BD109)</f>
        <v>0.78600000000000003</v>
      </c>
      <c r="BN109" s="42" cm="1">
        <f t="array" ref="BN109">_xlfn.IFS(BF109="NA","NA",BF109&gt;100%,"100%",BF109&lt;100,BF109)</f>
        <v>0</v>
      </c>
      <c r="BO109" s="42" cm="1">
        <f t="array" ref="BO109">_xlfn.IFS(BH109="NA","NA",BH109&gt;100%,"100%",BH109&lt;100,BH109)</f>
        <v>0</v>
      </c>
      <c r="BP109" s="42" t="str" cm="1">
        <f t="array" ref="BP109">_xlfn.IFS(BJ109="NA","NA",BJ109&gt;100%,"100%",BJ109&lt;100,BJ109)</f>
        <v>NA</v>
      </c>
      <c r="BQ109" s="45">
        <v>0.22500000000000001</v>
      </c>
      <c r="BR109" s="43">
        <f t="shared" si="103"/>
        <v>0.13701002734731085</v>
      </c>
      <c r="BS109" s="45">
        <v>5.6399999999999999E-2</v>
      </c>
      <c r="BT109" s="45">
        <v>5.6399999999999999E-2</v>
      </c>
      <c r="BU109" s="45">
        <v>5.6399999999999999E-2</v>
      </c>
      <c r="BV109" s="43">
        <f t="shared" ref="BV109:BV114" si="192">(AD109*BQ109)/Q109</f>
        <v>0.10255241567912489</v>
      </c>
      <c r="BW109" s="43">
        <f t="shared" si="104"/>
        <v>8.0606198723792169E-2</v>
      </c>
      <c r="BX109" s="43">
        <f t="shared" si="105"/>
        <v>8.0610027347310848E-2</v>
      </c>
      <c r="BY109" s="43">
        <f t="shared" ref="BY109:BY114" si="193">(AL109*BQ109)/Q109</f>
        <v>3.3021877848678216E-2</v>
      </c>
      <c r="BZ109" s="43">
        <f t="shared" ref="BZ109:BZ114" si="194">IF(BN109="NA","NA",BN109*BY109)</f>
        <v>0</v>
      </c>
      <c r="CA109" s="43">
        <f t="shared" si="106"/>
        <v>0</v>
      </c>
      <c r="CB109" s="43">
        <f t="shared" ref="CB109:CB114" si="195">(AN109*BQ109)/Q109</f>
        <v>3.3021877848678216E-2</v>
      </c>
      <c r="CC109" s="43">
        <f t="shared" ref="CC109:CC114" si="196">IF(BO109="NA","NA",BO109*CB109)</f>
        <v>0</v>
      </c>
      <c r="CD109" s="45">
        <v>0</v>
      </c>
      <c r="CE109" s="43">
        <f t="shared" ref="CE109:CE114" si="197">(AP109*BQ109)/Q109</f>
        <v>0</v>
      </c>
      <c r="CF109" s="43" t="str">
        <f t="shared" ref="CF109:CF114" si="198">IF(BP109="NA","NA",BP109*CE109)</f>
        <v>NA</v>
      </c>
      <c r="CG109" s="45">
        <v>0</v>
      </c>
    </row>
    <row r="110" spans="1:90" ht="18" customHeight="1">
      <c r="A110" s="260" t="s">
        <v>292</v>
      </c>
      <c r="B110" s="260" t="s">
        <v>293</v>
      </c>
      <c r="C110" s="260" t="s">
        <v>100</v>
      </c>
      <c r="D110" s="260" t="s">
        <v>508</v>
      </c>
      <c r="E110" s="260" t="s">
        <v>509</v>
      </c>
      <c r="F110" s="260" t="s">
        <v>713</v>
      </c>
      <c r="G110" s="260" t="s">
        <v>714</v>
      </c>
      <c r="H110" s="260" t="s">
        <v>730</v>
      </c>
      <c r="I110" s="260" t="s">
        <v>255</v>
      </c>
      <c r="J110" s="260"/>
      <c r="K110" s="260" t="s">
        <v>731</v>
      </c>
      <c r="L110" s="260" t="s">
        <v>732</v>
      </c>
      <c r="M110" s="260" t="s">
        <v>733</v>
      </c>
      <c r="N110" s="260" t="s">
        <v>111</v>
      </c>
      <c r="O110" s="260" t="s">
        <v>112</v>
      </c>
      <c r="P110" s="10">
        <v>26</v>
      </c>
      <c r="Q110" s="11">
        <v>14</v>
      </c>
      <c r="R110" s="9">
        <f t="shared" si="185"/>
        <v>2</v>
      </c>
      <c r="S110" s="11" t="str">
        <f>VLOOKUP(K110,'1108 Educación'!$K$13:$AK$40,9,0)</f>
        <v xml:space="preserve">Se logró la construcción  del colegio IED NORMAL SUPERIOR - sede PRINCIPAL, municipio de  UBATÉ y  de la IED Fidel Cano del municipio de TEna Cundinamarca </v>
      </c>
      <c r="T110" s="11">
        <v>1</v>
      </c>
      <c r="U110" s="11">
        <v>0</v>
      </c>
      <c r="V110" s="11">
        <v>1</v>
      </c>
      <c r="W110" s="11">
        <v>0</v>
      </c>
      <c r="X110" s="11">
        <v>1</v>
      </c>
      <c r="Y110" s="11">
        <v>0</v>
      </c>
      <c r="Z110" s="11">
        <v>1</v>
      </c>
      <c r="AA110" s="11" t="s">
        <v>734</v>
      </c>
      <c r="AB110" s="11" t="s">
        <v>735</v>
      </c>
      <c r="AC110" s="11">
        <v>0</v>
      </c>
      <c r="AD110" s="11">
        <v>2</v>
      </c>
      <c r="AE110" s="11">
        <v>0</v>
      </c>
      <c r="AF110" s="11">
        <f>VLOOKUP(K110,'1108 Educación'!$K$13:$AK$40,22,0)</f>
        <v>1</v>
      </c>
      <c r="AG110" s="11">
        <f>VLOOKUP(K110,'1108 Educación'!$K$13:$AK$40,23,0)</f>
        <v>0</v>
      </c>
      <c r="AH110" s="9">
        <f t="shared" si="186"/>
        <v>1</v>
      </c>
      <c r="AI110" s="9">
        <f>VLOOKUP(K110,'1108 Educación'!$K$13:$AK$40,25,0)</f>
        <v>0</v>
      </c>
      <c r="AJ110" s="9" t="str">
        <f>VLOOKUP(K110,'1108 Educación'!$K$13:$AK$40,26,0)</f>
        <v>Se realizó entrega de la IED Fidel Cano del municipio de Tena  se avanza en la ejecución de infraestructura  en el municipio de  Silvania (IED Santa Inés 84% de ejecución).Para el mes de octubre se continua con la ejecucion del proyecto programado para reporte en 2021,  IED Santa Inés del municipio de Silvania, la cual se encuentra con un avance de obra del 91%  y se tiene programada su finalización para el mes de diciembre de 2021.</v>
      </c>
      <c r="AK110" s="9">
        <f>VLOOKUP(K110,'1108 Educación'!$K$13:$AK$40,27,0)</f>
        <v>0</v>
      </c>
      <c r="AL110" s="11">
        <v>6</v>
      </c>
      <c r="AM110" s="11">
        <v>0</v>
      </c>
      <c r="AN110" s="11">
        <v>5</v>
      </c>
      <c r="AO110" s="11">
        <v>0</v>
      </c>
      <c r="AP110" s="11">
        <v>0</v>
      </c>
      <c r="AQ110" s="11">
        <v>0</v>
      </c>
      <c r="AR110" s="52"/>
      <c r="AS110" s="54">
        <v>5487725160</v>
      </c>
      <c r="AT110" s="54">
        <f t="shared" si="101"/>
        <v>5487725160</v>
      </c>
      <c r="AU110" s="52"/>
      <c r="AV110" s="89">
        <v>0</v>
      </c>
      <c r="AY110" s="89">
        <v>0</v>
      </c>
      <c r="AZ110" s="42">
        <f t="shared" si="187"/>
        <v>0.14285714285714285</v>
      </c>
      <c r="BA110" s="44">
        <v>7.1400000000000005E-2</v>
      </c>
      <c r="BB110" s="44">
        <v>1</v>
      </c>
      <c r="BC110" s="42">
        <f t="shared" si="188"/>
        <v>0.14285714285714285</v>
      </c>
      <c r="BD110" s="42" cm="1">
        <f t="array" ref="BD110">_xlfn.IFS(AD110=0,"NA",AD110&gt;0,AH110/AD110)</f>
        <v>0.5</v>
      </c>
      <c r="BE110" s="42">
        <f t="shared" si="189"/>
        <v>0.42857142857142855</v>
      </c>
      <c r="BF110" s="44">
        <v>0</v>
      </c>
      <c r="BG110" s="42">
        <f t="shared" si="190"/>
        <v>0.35714285714285715</v>
      </c>
      <c r="BH110" s="44">
        <v>0</v>
      </c>
      <c r="BI110" s="42">
        <f t="shared" si="191"/>
        <v>0</v>
      </c>
      <c r="BJ110" s="44" t="s">
        <v>115</v>
      </c>
      <c r="BK110" s="42">
        <f t="shared" si="102"/>
        <v>0.14285714285714285</v>
      </c>
      <c r="BL110" s="44">
        <v>1</v>
      </c>
      <c r="BM110" s="42" cm="1">
        <f t="array" ref="BM110">_xlfn.IFS(BD110="NA","NA",BD110&gt;100%,"100%",BD110&lt;100,BD110)</f>
        <v>0.5</v>
      </c>
      <c r="BN110" s="42" cm="1">
        <f t="array" ref="BN110">_xlfn.IFS(BF110="NA","NA",BF110&gt;100%,"100%",BF110&lt;100,BF110)</f>
        <v>0</v>
      </c>
      <c r="BO110" s="42" cm="1">
        <f t="array" ref="BO110">_xlfn.IFS(BH110="NA","NA",BH110&gt;100%,"100%",BH110&lt;100,BH110)</f>
        <v>0</v>
      </c>
      <c r="BP110" s="42" t="str" cm="1">
        <f t="array" ref="BP110">_xlfn.IFS(BJ110="NA","NA",BJ110&gt;100%,"100%",BJ110&lt;100,BJ110)</f>
        <v>NA</v>
      </c>
      <c r="BQ110" s="45">
        <v>0.22500000000000001</v>
      </c>
      <c r="BR110" s="43">
        <f t="shared" si="103"/>
        <v>3.214285714285714E-2</v>
      </c>
      <c r="BS110" s="45">
        <v>1.61E-2</v>
      </c>
      <c r="BT110" s="45">
        <v>1.61E-2</v>
      </c>
      <c r="BU110" s="45">
        <v>1.61E-2</v>
      </c>
      <c r="BV110" s="43">
        <f t="shared" si="192"/>
        <v>3.2142857142857147E-2</v>
      </c>
      <c r="BW110" s="43">
        <f t="shared" si="104"/>
        <v>1.6071428571428573E-2</v>
      </c>
      <c r="BX110" s="43">
        <f t="shared" si="105"/>
        <v>1.604285714285714E-2</v>
      </c>
      <c r="BY110" s="43">
        <f t="shared" si="193"/>
        <v>9.6428571428571433E-2</v>
      </c>
      <c r="BZ110" s="43">
        <f t="shared" si="194"/>
        <v>0</v>
      </c>
      <c r="CA110" s="43">
        <f t="shared" si="106"/>
        <v>0</v>
      </c>
      <c r="CB110" s="43">
        <f t="shared" si="195"/>
        <v>8.0357142857142863E-2</v>
      </c>
      <c r="CC110" s="43">
        <f t="shared" si="196"/>
        <v>0</v>
      </c>
      <c r="CD110" s="45">
        <v>0</v>
      </c>
      <c r="CE110" s="43">
        <f t="shared" si="197"/>
        <v>0</v>
      </c>
      <c r="CF110" s="43" t="str">
        <f t="shared" si="198"/>
        <v>NA</v>
      </c>
      <c r="CG110" s="45">
        <v>0</v>
      </c>
    </row>
    <row r="111" spans="1:90" ht="18" customHeight="1">
      <c r="A111" s="260" t="s">
        <v>292</v>
      </c>
      <c r="B111" s="260" t="s">
        <v>293</v>
      </c>
      <c r="C111" s="260" t="s">
        <v>100</v>
      </c>
      <c r="D111" s="260" t="s">
        <v>508</v>
      </c>
      <c r="E111" s="260" t="s">
        <v>509</v>
      </c>
      <c r="F111" s="260" t="s">
        <v>713</v>
      </c>
      <c r="G111" s="260" t="s">
        <v>714</v>
      </c>
      <c r="H111" s="260" t="s">
        <v>736</v>
      </c>
      <c r="I111" s="260" t="s">
        <v>255</v>
      </c>
      <c r="J111" s="260"/>
      <c r="K111" s="260" t="s">
        <v>737</v>
      </c>
      <c r="L111" s="260" t="s">
        <v>738</v>
      </c>
      <c r="M111" s="260" t="s">
        <v>739</v>
      </c>
      <c r="N111" s="260" t="s">
        <v>111</v>
      </c>
      <c r="O111" s="260" t="s">
        <v>112</v>
      </c>
      <c r="P111" s="10">
        <v>0</v>
      </c>
      <c r="Q111" s="11">
        <v>400</v>
      </c>
      <c r="R111" s="9">
        <f t="shared" si="185"/>
        <v>177</v>
      </c>
      <c r="S111" s="11" t="str">
        <f>VLOOKUP(K111,'1108 Educación'!$K$13:$AK$40,9,0)</f>
        <v>Se ha logrado la intervención y entrega a la comunidad de   120  ambientes educativos  priorizando la infraestructura rural y las instituciones de jornada única, a través del mejoramiento de  aulas,  comedores, cocinas y baterías sanitarias con lo cual, se mejoran las condiciones de  infraestructura de las IED.</v>
      </c>
      <c r="T111" s="11">
        <v>20</v>
      </c>
      <c r="U111" s="11">
        <v>0</v>
      </c>
      <c r="V111" s="11">
        <v>42</v>
      </c>
      <c r="W111" s="11">
        <v>0</v>
      </c>
      <c r="X111" s="11">
        <v>42</v>
      </c>
      <c r="Y111" s="11">
        <v>0</v>
      </c>
      <c r="Z111" s="11">
        <v>42</v>
      </c>
      <c r="AA111" s="11" t="s">
        <v>740</v>
      </c>
      <c r="AB111" s="11" t="s">
        <v>741</v>
      </c>
      <c r="AC111" s="11">
        <v>0</v>
      </c>
      <c r="AD111" s="11">
        <v>118</v>
      </c>
      <c r="AE111" s="11">
        <v>0</v>
      </c>
      <c r="AF111" s="11">
        <f>VLOOKUP(K111,'1108 Educación'!$K$13:$AK$40,22,0)</f>
        <v>135</v>
      </c>
      <c r="AG111" s="11">
        <f>VLOOKUP(K111,'1108 Educación'!$K$13:$AK$40,23,0)</f>
        <v>0</v>
      </c>
      <c r="AH111" s="9">
        <f t="shared" si="186"/>
        <v>135</v>
      </c>
      <c r="AI111" s="9" t="str">
        <f>VLOOKUP(K111,'1108 Educación'!$K$13:$AK$40,25,0)</f>
        <v xml:space="preserve">Ambientes  Educativos intervenidos </v>
      </c>
      <c r="AJ111" s="9" t="str">
        <f>VLOOKUP(K111,'1108 Educación'!$K$13:$AK$40,26,0)</f>
        <v>Se realizó la intervención de 129  ambientes educativos en conjunto con el Ministerio de Educación Nacional con el mejoramiento de baterias de baño, mejoramiento de aulas, cambio de cubiertas, cambio de pisos entre otros. Para el mes de octubre se continua con la ejecucion de las obras de los convenios interadministrativos ICCU y los mejoramientos rurales del MEN para la intervencion de ambientes en la infraestructura educativa del Departamento.</v>
      </c>
      <c r="AK111" s="9">
        <f>VLOOKUP(K111,'1108 Educación'!$K$13:$AK$40,27,0)</f>
        <v>0</v>
      </c>
      <c r="AL111" s="11">
        <v>120</v>
      </c>
      <c r="AM111" s="11">
        <v>0</v>
      </c>
      <c r="AN111" s="11">
        <v>120</v>
      </c>
      <c r="AO111" s="11">
        <v>0</v>
      </c>
      <c r="AP111" s="11">
        <v>0</v>
      </c>
      <c r="AQ111" s="11">
        <v>0</v>
      </c>
      <c r="AR111" s="51">
        <v>2310429958</v>
      </c>
      <c r="AS111" s="54">
        <v>750000000</v>
      </c>
      <c r="AT111" s="54">
        <f t="shared" si="101"/>
        <v>3060429958</v>
      </c>
      <c r="AU111" s="51">
        <v>2310429958</v>
      </c>
      <c r="AV111" s="89">
        <f>10307847200</f>
        <v>10307847200</v>
      </c>
      <c r="AY111" s="89">
        <f>31200000+2607051500</f>
        <v>2638251500</v>
      </c>
      <c r="AZ111" s="42">
        <f t="shared" si="187"/>
        <v>0.4425</v>
      </c>
      <c r="BA111" s="44">
        <v>0.105</v>
      </c>
      <c r="BB111" s="44">
        <v>1</v>
      </c>
      <c r="BC111" s="42">
        <f t="shared" si="188"/>
        <v>0.29499999999999998</v>
      </c>
      <c r="BD111" s="42" cm="1">
        <f t="array" ref="BD111">_xlfn.IFS(AD111=0,"NA",AD111&gt;0,AH111/AD111)</f>
        <v>1.1440677966101696</v>
      </c>
      <c r="BE111" s="42">
        <f t="shared" si="189"/>
        <v>0.3</v>
      </c>
      <c r="BF111" s="44">
        <v>0</v>
      </c>
      <c r="BG111" s="42">
        <f t="shared" si="190"/>
        <v>0.3</v>
      </c>
      <c r="BH111" s="44">
        <v>0</v>
      </c>
      <c r="BI111" s="42">
        <f t="shared" si="191"/>
        <v>0</v>
      </c>
      <c r="BJ111" s="44" t="s">
        <v>115</v>
      </c>
      <c r="BK111" s="42">
        <f t="shared" si="102"/>
        <v>0.4425</v>
      </c>
      <c r="BL111" s="44">
        <v>1</v>
      </c>
      <c r="BM111" s="42" t="str" cm="1">
        <f t="array" ref="BM111">_xlfn.IFS(BD111="NA","NA",BD111&gt;100%,"100%",BD111&lt;100,BD111)</f>
        <v>100%</v>
      </c>
      <c r="BN111" s="42" cm="1">
        <f t="array" ref="BN111">_xlfn.IFS(BF111="NA","NA",BF111&gt;100%,"100%",BF111&lt;100,BF111)</f>
        <v>0</v>
      </c>
      <c r="BO111" s="42" cm="1">
        <f t="array" ref="BO111">_xlfn.IFS(BH111="NA","NA",BH111&gt;100%,"100%",BH111&lt;100,BH111)</f>
        <v>0</v>
      </c>
      <c r="BP111" s="42" t="str" cm="1">
        <f t="array" ref="BP111">_xlfn.IFS(BJ111="NA","NA",BJ111&gt;100%,"100%",BJ111&lt;100,BJ111)</f>
        <v>NA</v>
      </c>
      <c r="BQ111" s="45">
        <v>0.22500000000000001</v>
      </c>
      <c r="BR111" s="43">
        <f t="shared" si="103"/>
        <v>9.9562499999999998E-2</v>
      </c>
      <c r="BS111" s="45">
        <v>2.3599999999999999E-2</v>
      </c>
      <c r="BT111" s="45">
        <v>2.3599999999999999E-2</v>
      </c>
      <c r="BU111" s="45">
        <v>2.3599999999999999E-2</v>
      </c>
      <c r="BV111" s="43">
        <f t="shared" si="192"/>
        <v>6.6375000000000003E-2</v>
      </c>
      <c r="BW111" s="43">
        <f t="shared" si="104"/>
        <v>6.6375000000000003E-2</v>
      </c>
      <c r="BX111" s="43">
        <f t="shared" si="105"/>
        <v>7.5962500000000002E-2</v>
      </c>
      <c r="BY111" s="43">
        <f t="shared" si="193"/>
        <v>6.7500000000000004E-2</v>
      </c>
      <c r="BZ111" s="43">
        <f t="shared" si="194"/>
        <v>0</v>
      </c>
      <c r="CA111" s="43">
        <f t="shared" si="106"/>
        <v>0</v>
      </c>
      <c r="CB111" s="43">
        <f t="shared" si="195"/>
        <v>6.7500000000000004E-2</v>
      </c>
      <c r="CC111" s="43">
        <f t="shared" si="196"/>
        <v>0</v>
      </c>
      <c r="CD111" s="45">
        <v>0</v>
      </c>
      <c r="CE111" s="43">
        <f t="shared" si="197"/>
        <v>0</v>
      </c>
      <c r="CF111" s="43" t="str">
        <f t="shared" si="198"/>
        <v>NA</v>
      </c>
      <c r="CG111" s="45">
        <v>0</v>
      </c>
    </row>
    <row r="112" spans="1:90" ht="18" customHeight="1">
      <c r="A112" s="260" t="s">
        <v>292</v>
      </c>
      <c r="B112" s="260" t="s">
        <v>293</v>
      </c>
      <c r="C112" s="260" t="s">
        <v>100</v>
      </c>
      <c r="D112" s="260" t="s">
        <v>508</v>
      </c>
      <c r="E112" s="260" t="s">
        <v>509</v>
      </c>
      <c r="F112" s="260" t="s">
        <v>713</v>
      </c>
      <c r="G112" s="260" t="s">
        <v>714</v>
      </c>
      <c r="H112" s="260" t="s">
        <v>2910</v>
      </c>
      <c r="I112" s="260" t="s">
        <v>255</v>
      </c>
      <c r="J112" s="260"/>
      <c r="K112" s="260" t="s">
        <v>2911</v>
      </c>
      <c r="L112" s="260" t="s">
        <v>2912</v>
      </c>
      <c r="M112" s="260" t="s">
        <v>2913</v>
      </c>
      <c r="N112" s="260" t="s">
        <v>111</v>
      </c>
      <c r="O112" s="260" t="s">
        <v>112</v>
      </c>
      <c r="P112" s="10">
        <v>146</v>
      </c>
      <c r="Q112" s="11">
        <v>176</v>
      </c>
      <c r="R112" s="9" t="e">
        <f t="shared" si="185"/>
        <v>#N/A</v>
      </c>
      <c r="S112" s="11" t="e">
        <f>VLOOKUP(K112,'1108 Educación'!$K$13:$AK$40,9,0)</f>
        <v>#N/A</v>
      </c>
      <c r="T112" s="11">
        <v>10</v>
      </c>
      <c r="U112" s="11">
        <v>0</v>
      </c>
      <c r="V112" s="11">
        <v>4</v>
      </c>
      <c r="W112" s="11">
        <v>0</v>
      </c>
      <c r="X112" s="11">
        <v>4</v>
      </c>
      <c r="Y112" s="11">
        <v>0</v>
      </c>
      <c r="Z112" s="11">
        <v>4</v>
      </c>
      <c r="AA112" s="11" t="s">
        <v>2914</v>
      </c>
      <c r="AB112" s="11" t="s">
        <v>2915</v>
      </c>
      <c r="AC112" s="11">
        <v>0</v>
      </c>
      <c r="AD112" s="11">
        <v>10</v>
      </c>
      <c r="AE112" s="11">
        <v>0</v>
      </c>
      <c r="AF112" s="11" t="e">
        <f>VLOOKUP(K112,'1108 Educación'!$K$13:$AK$40,22,0)</f>
        <v>#N/A</v>
      </c>
      <c r="AG112" s="11" t="e">
        <f>VLOOKUP(K112,'1108 Educación'!$K$13:$AK$40,23,0)</f>
        <v>#N/A</v>
      </c>
      <c r="AH112" s="9" t="e">
        <f t="shared" si="186"/>
        <v>#N/A</v>
      </c>
      <c r="AI112" s="9" t="e">
        <f>VLOOKUP(K112,'1108 Educación'!$K$13:$AK$40,25,0)</f>
        <v>#N/A</v>
      </c>
      <c r="AJ112" s="9" t="e">
        <f>VLOOKUP(K112,'1108 Educación'!$K$13:$AK$40,26,0)</f>
        <v>#N/A</v>
      </c>
      <c r="AK112" s="9" t="e">
        <f>VLOOKUP(K112,'1108 Educación'!$K$13:$AK$40,27,0)</f>
        <v>#N/A</v>
      </c>
      <c r="AL112" s="11">
        <v>60</v>
      </c>
      <c r="AM112" s="11">
        <v>0</v>
      </c>
      <c r="AN112" s="11">
        <v>102</v>
      </c>
      <c r="AO112" s="11">
        <v>0</v>
      </c>
      <c r="AP112" s="11">
        <v>0</v>
      </c>
      <c r="AQ112" s="11">
        <v>0</v>
      </c>
      <c r="AR112" s="52"/>
      <c r="AS112" s="54">
        <v>1500000000</v>
      </c>
      <c r="AT112" s="54">
        <f t="shared" si="101"/>
        <v>1500000000</v>
      </c>
      <c r="AU112" s="52"/>
      <c r="AV112" s="89">
        <v>913089228</v>
      </c>
      <c r="AY112" s="89">
        <v>0</v>
      </c>
      <c r="AZ112" s="42" t="e">
        <f t="shared" si="187"/>
        <v>#N/A</v>
      </c>
      <c r="BA112" s="44">
        <v>2.2700000000000001E-2</v>
      </c>
      <c r="BB112" s="44">
        <v>1</v>
      </c>
      <c r="BC112" s="42">
        <f t="shared" si="188"/>
        <v>5.6818181818181816E-2</v>
      </c>
      <c r="BD112" s="42" t="e" cm="1">
        <f t="array" ref="BD112">_xlfn.IFS(AD112=0,"NA",AD112&gt;0,AH112/AD112)</f>
        <v>#N/A</v>
      </c>
      <c r="BE112" s="42">
        <f t="shared" si="189"/>
        <v>0.34090909090909088</v>
      </c>
      <c r="BF112" s="44">
        <v>0</v>
      </c>
      <c r="BG112" s="42">
        <f t="shared" si="190"/>
        <v>0.57954545454545459</v>
      </c>
      <c r="BH112" s="44">
        <v>0</v>
      </c>
      <c r="BI112" s="42">
        <f t="shared" si="191"/>
        <v>0</v>
      </c>
      <c r="BJ112" s="44" t="s">
        <v>115</v>
      </c>
      <c r="BK112" s="42" t="e">
        <f t="shared" si="102"/>
        <v>#N/A</v>
      </c>
      <c r="BL112" s="44">
        <v>1</v>
      </c>
      <c r="BM112" s="42" t="e" cm="1">
        <f t="array" ref="BM112">_xlfn.IFS(BD112="NA","NA",BD112&gt;100%,"100%",BD112&lt;100,BD112)</f>
        <v>#N/A</v>
      </c>
      <c r="BN112" s="42" cm="1">
        <f t="array" ref="BN112">_xlfn.IFS(BF112="NA","NA",BF112&gt;100%,"100%",BF112&lt;100,BF112)</f>
        <v>0</v>
      </c>
      <c r="BO112" s="42" cm="1">
        <f t="array" ref="BO112">_xlfn.IFS(BH112="NA","NA",BH112&gt;100%,"100%",BH112&lt;100,BH112)</f>
        <v>0</v>
      </c>
      <c r="BP112" s="42" t="str" cm="1">
        <f t="array" ref="BP112">_xlfn.IFS(BJ112="NA","NA",BJ112&gt;100%,"100%",BJ112&lt;100,BJ112)</f>
        <v>NA</v>
      </c>
      <c r="BQ112" s="45">
        <v>0.22500000000000001</v>
      </c>
      <c r="BR112" s="43" t="e">
        <f t="shared" si="103"/>
        <v>#N/A</v>
      </c>
      <c r="BS112" s="45">
        <v>5.1000000000000004E-3</v>
      </c>
      <c r="BT112" s="45">
        <v>5.1000000000000004E-3</v>
      </c>
      <c r="BU112" s="45">
        <v>5.1000000000000004E-3</v>
      </c>
      <c r="BV112" s="43">
        <f t="shared" si="192"/>
        <v>1.278409090909091E-2</v>
      </c>
      <c r="BW112" s="43" t="e">
        <f t="shared" si="104"/>
        <v>#N/A</v>
      </c>
      <c r="BX112" s="43" t="e">
        <f t="shared" si="105"/>
        <v>#N/A</v>
      </c>
      <c r="BY112" s="43">
        <f t="shared" si="193"/>
        <v>7.6704545454545456E-2</v>
      </c>
      <c r="BZ112" s="43">
        <f t="shared" si="194"/>
        <v>0</v>
      </c>
      <c r="CA112" s="43" t="e">
        <f t="shared" si="106"/>
        <v>#N/A</v>
      </c>
      <c r="CB112" s="43">
        <f t="shared" si="195"/>
        <v>0.13039772727272728</v>
      </c>
      <c r="CC112" s="43">
        <f t="shared" si="196"/>
        <v>0</v>
      </c>
      <c r="CD112" s="45">
        <v>0</v>
      </c>
      <c r="CE112" s="43">
        <f t="shared" si="197"/>
        <v>0</v>
      </c>
      <c r="CF112" s="43" t="str">
        <f t="shared" si="198"/>
        <v>NA</v>
      </c>
      <c r="CG112" s="45">
        <v>0</v>
      </c>
    </row>
    <row r="113" spans="1:90" ht="18" customHeight="1">
      <c r="A113" s="260" t="s">
        <v>292</v>
      </c>
      <c r="B113" s="260" t="s">
        <v>293</v>
      </c>
      <c r="C113" s="260" t="s">
        <v>100</v>
      </c>
      <c r="D113" s="260" t="s">
        <v>508</v>
      </c>
      <c r="E113" s="260" t="s">
        <v>509</v>
      </c>
      <c r="F113" s="260" t="s">
        <v>713</v>
      </c>
      <c r="G113" s="260" t="s">
        <v>714</v>
      </c>
      <c r="H113" s="260" t="s">
        <v>742</v>
      </c>
      <c r="I113" s="260" t="s">
        <v>255</v>
      </c>
      <c r="J113" s="260"/>
      <c r="K113" s="260" t="s">
        <v>743</v>
      </c>
      <c r="L113" s="260" t="s">
        <v>744</v>
      </c>
      <c r="M113" s="260" t="s">
        <v>745</v>
      </c>
      <c r="N113" s="260" t="s">
        <v>111</v>
      </c>
      <c r="O113" s="260" t="s">
        <v>112</v>
      </c>
      <c r="P113" s="10">
        <v>1035</v>
      </c>
      <c r="Q113" s="11">
        <v>900</v>
      </c>
      <c r="R113" s="9">
        <f t="shared" si="185"/>
        <v>0</v>
      </c>
      <c r="S113" s="11">
        <f>VLOOKUP(K113,'1108 Educación'!$K$13:$AK$40,9,0)</f>
        <v>0</v>
      </c>
      <c r="T113" s="11">
        <v>45</v>
      </c>
      <c r="U113" s="11">
        <v>0</v>
      </c>
      <c r="V113" s="11">
        <v>0</v>
      </c>
      <c r="W113" s="11">
        <v>0</v>
      </c>
      <c r="X113" s="11">
        <v>0</v>
      </c>
      <c r="Y113" s="11">
        <v>0</v>
      </c>
      <c r="Z113" s="11">
        <v>0</v>
      </c>
      <c r="AA113" s="11"/>
      <c r="AB113" s="11"/>
      <c r="AC113" s="11"/>
      <c r="AD113" s="11">
        <v>0</v>
      </c>
      <c r="AE113" s="11">
        <v>0</v>
      </c>
      <c r="AF113" s="11">
        <f>VLOOKUP(K113,'1108 Educación'!$K$13:$AK$40,22,0)</f>
        <v>0</v>
      </c>
      <c r="AG113" s="11">
        <f>VLOOKUP(K113,'1108 Educación'!$K$13:$AK$40,23,0)</f>
        <v>0</v>
      </c>
      <c r="AH113" s="9">
        <f t="shared" si="186"/>
        <v>0</v>
      </c>
      <c r="AI113" s="9">
        <f>VLOOKUP(K113,'1108 Educación'!$K$13:$AK$40,25,0)</f>
        <v>0</v>
      </c>
      <c r="AJ113" s="9">
        <f>VLOOKUP(K113,'1108 Educación'!$K$13:$AK$40,26,0)</f>
        <v>0</v>
      </c>
      <c r="AK113" s="9">
        <f>VLOOKUP(K113,'1108 Educación'!$K$13:$AK$40,27,0)</f>
        <v>0</v>
      </c>
      <c r="AL113" s="11">
        <v>495</v>
      </c>
      <c r="AM113" s="11">
        <v>0</v>
      </c>
      <c r="AN113" s="11">
        <v>405</v>
      </c>
      <c r="AO113" s="11">
        <v>0</v>
      </c>
      <c r="AP113" s="11">
        <v>0</v>
      </c>
      <c r="AQ113" s="11">
        <v>0</v>
      </c>
      <c r="AR113" s="52"/>
      <c r="AS113" s="54">
        <v>0</v>
      </c>
      <c r="AT113" s="54">
        <f t="shared" si="101"/>
        <v>0</v>
      </c>
      <c r="AU113" s="52"/>
      <c r="AV113" s="89">
        <v>365235691</v>
      </c>
      <c r="AY113" s="89">
        <v>0</v>
      </c>
      <c r="AZ113" s="42">
        <f t="shared" si="187"/>
        <v>0</v>
      </c>
      <c r="BA113" s="44">
        <v>0</v>
      </c>
      <c r="BB113" s="44" t="s">
        <v>115</v>
      </c>
      <c r="BC113" s="42">
        <f t="shared" si="188"/>
        <v>0</v>
      </c>
      <c r="BD113" s="42" t="str" cm="1">
        <f t="array" ref="BD113">_xlfn.IFS(AD113=0,"NA",AD113&gt;0,AH113/AD113)</f>
        <v>NA</v>
      </c>
      <c r="BE113" s="42">
        <f t="shared" si="189"/>
        <v>0.55000000000000004</v>
      </c>
      <c r="BF113" s="44">
        <v>0</v>
      </c>
      <c r="BG113" s="42">
        <f t="shared" si="190"/>
        <v>0.45</v>
      </c>
      <c r="BH113" s="44">
        <v>0</v>
      </c>
      <c r="BI113" s="42">
        <f t="shared" si="191"/>
        <v>0</v>
      </c>
      <c r="BJ113" s="44" t="s">
        <v>115</v>
      </c>
      <c r="BK113" s="42">
        <f t="shared" si="102"/>
        <v>0</v>
      </c>
      <c r="BL113" s="44" t="s">
        <v>115</v>
      </c>
      <c r="BM113" s="42" t="str" cm="1">
        <f t="array" ref="BM113">_xlfn.IFS(BD113="NA","NA",BD113&gt;100%,"100%",BD113&lt;100,BD113)</f>
        <v>NA</v>
      </c>
      <c r="BN113" s="42" cm="1">
        <f t="array" ref="BN113">_xlfn.IFS(BF113="NA","NA",BF113&gt;100%,"100%",BF113&lt;100,BF113)</f>
        <v>0</v>
      </c>
      <c r="BO113" s="42" cm="1">
        <f t="array" ref="BO113">_xlfn.IFS(BH113="NA","NA",BH113&gt;100%,"100%",BH113&lt;100,BH113)</f>
        <v>0</v>
      </c>
      <c r="BP113" s="42" t="str" cm="1">
        <f t="array" ref="BP113">_xlfn.IFS(BJ113="NA","NA",BJ113&gt;100%,"100%",BJ113&lt;100,BJ113)</f>
        <v>NA</v>
      </c>
      <c r="BQ113" s="45">
        <v>0.22500000000000001</v>
      </c>
      <c r="BR113" s="43">
        <f t="shared" si="103"/>
        <v>0</v>
      </c>
      <c r="BS113" s="45">
        <v>0</v>
      </c>
      <c r="BT113" s="45" t="s">
        <v>115</v>
      </c>
      <c r="BU113" s="45">
        <v>0</v>
      </c>
      <c r="BV113" s="43">
        <f t="shared" si="192"/>
        <v>0</v>
      </c>
      <c r="BW113" s="43" t="str">
        <f t="shared" si="104"/>
        <v>NA</v>
      </c>
      <c r="BX113" s="43">
        <f t="shared" si="105"/>
        <v>0</v>
      </c>
      <c r="BY113" s="43">
        <f t="shared" si="193"/>
        <v>0.12375</v>
      </c>
      <c r="BZ113" s="43">
        <f t="shared" si="194"/>
        <v>0</v>
      </c>
      <c r="CA113" s="43">
        <f t="shared" si="106"/>
        <v>0</v>
      </c>
      <c r="CB113" s="43">
        <f t="shared" si="195"/>
        <v>0.10125000000000001</v>
      </c>
      <c r="CC113" s="43">
        <f t="shared" si="196"/>
        <v>0</v>
      </c>
      <c r="CD113" s="45">
        <v>0</v>
      </c>
      <c r="CE113" s="43">
        <f t="shared" si="197"/>
        <v>0</v>
      </c>
      <c r="CF113" s="43" t="str">
        <f t="shared" si="198"/>
        <v>NA</v>
      </c>
      <c r="CG113" s="45">
        <v>0</v>
      </c>
    </row>
    <row r="114" spans="1:90" ht="18" customHeight="1">
      <c r="A114" s="260" t="s">
        <v>292</v>
      </c>
      <c r="B114" s="260" t="s">
        <v>293</v>
      </c>
      <c r="C114" s="260" t="s">
        <v>100</v>
      </c>
      <c r="D114" s="260" t="s">
        <v>508</v>
      </c>
      <c r="E114" s="260" t="s">
        <v>509</v>
      </c>
      <c r="F114" s="260" t="s">
        <v>713</v>
      </c>
      <c r="G114" s="260" t="s">
        <v>714</v>
      </c>
      <c r="H114" s="260" t="s">
        <v>746</v>
      </c>
      <c r="I114" s="260" t="s">
        <v>255</v>
      </c>
      <c r="J114" s="260" t="s">
        <v>622</v>
      </c>
      <c r="K114" s="260" t="s">
        <v>747</v>
      </c>
      <c r="L114" s="260" t="s">
        <v>748</v>
      </c>
      <c r="M114" s="260" t="s">
        <v>749</v>
      </c>
      <c r="N114" s="260" t="s">
        <v>111</v>
      </c>
      <c r="O114" s="260" t="s">
        <v>112</v>
      </c>
      <c r="P114" s="10">
        <v>1</v>
      </c>
      <c r="Q114" s="11">
        <v>1</v>
      </c>
      <c r="R114" s="9">
        <f t="shared" si="185"/>
        <v>0</v>
      </c>
      <c r="S114" s="11">
        <f>VLOOKUP(K114,'1108 Educación'!$K$13:$AK$40,9,0)</f>
        <v>0</v>
      </c>
      <c r="T114" s="11">
        <v>0.05</v>
      </c>
      <c r="U114" s="11">
        <v>0</v>
      </c>
      <c r="V114" s="11">
        <v>0</v>
      </c>
      <c r="W114" s="11">
        <v>0</v>
      </c>
      <c r="X114" s="11">
        <v>0</v>
      </c>
      <c r="Y114" s="11">
        <v>0</v>
      </c>
      <c r="Z114" s="11">
        <v>0</v>
      </c>
      <c r="AA114" s="11"/>
      <c r="AB114" s="11"/>
      <c r="AC114" s="11"/>
      <c r="AD114" s="11">
        <v>0</v>
      </c>
      <c r="AE114" s="11">
        <v>0</v>
      </c>
      <c r="AF114" s="11">
        <f>VLOOKUP(K114,'1108 Educación'!$K$13:$AK$40,22,0)</f>
        <v>0</v>
      </c>
      <c r="AG114" s="11">
        <f>VLOOKUP(K114,'1108 Educación'!$K$13:$AK$40,23,0)</f>
        <v>0</v>
      </c>
      <c r="AH114" s="9">
        <f t="shared" si="186"/>
        <v>0</v>
      </c>
      <c r="AI114" s="9">
        <f>VLOOKUP(K114,'1108 Educación'!$K$13:$AK$40,25,0)</f>
        <v>0</v>
      </c>
      <c r="AJ114" s="9">
        <f>VLOOKUP(K114,'1108 Educación'!$K$13:$AK$40,26,0)</f>
        <v>0</v>
      </c>
      <c r="AK114" s="9">
        <f>VLOOKUP(K114,'1108 Educación'!$K$13:$AK$40,27,0)</f>
        <v>0</v>
      </c>
      <c r="AL114" s="11">
        <v>0.45</v>
      </c>
      <c r="AM114" s="11">
        <v>0</v>
      </c>
      <c r="AN114" s="11">
        <v>0.55000000000000004</v>
      </c>
      <c r="AO114" s="11">
        <v>0</v>
      </c>
      <c r="AP114" s="11">
        <v>0</v>
      </c>
      <c r="AQ114" s="11">
        <v>0</v>
      </c>
      <c r="AR114" s="52"/>
      <c r="AS114" s="54">
        <v>0</v>
      </c>
      <c r="AT114" s="54">
        <f t="shared" si="101"/>
        <v>0</v>
      </c>
      <c r="AU114" s="52"/>
      <c r="AV114" s="89">
        <v>0</v>
      </c>
      <c r="AY114" s="89">
        <v>0</v>
      </c>
      <c r="AZ114" s="42">
        <f t="shared" si="187"/>
        <v>0</v>
      </c>
      <c r="BA114" s="44">
        <v>0</v>
      </c>
      <c r="BB114" s="44" t="s">
        <v>115</v>
      </c>
      <c r="BC114" s="42">
        <f t="shared" si="188"/>
        <v>0</v>
      </c>
      <c r="BD114" s="42" t="str" cm="1">
        <f t="array" ref="BD114">_xlfn.IFS(AD114=0,"NA",AD114&gt;0,AH114/AD114)</f>
        <v>NA</v>
      </c>
      <c r="BE114" s="42">
        <f t="shared" si="189"/>
        <v>0.45</v>
      </c>
      <c r="BF114" s="44">
        <v>0</v>
      </c>
      <c r="BG114" s="42">
        <f t="shared" si="190"/>
        <v>0.55000000000000004</v>
      </c>
      <c r="BH114" s="44">
        <v>0</v>
      </c>
      <c r="BI114" s="42">
        <f t="shared" si="191"/>
        <v>0</v>
      </c>
      <c r="BJ114" s="44" t="s">
        <v>115</v>
      </c>
      <c r="BK114" s="42">
        <f t="shared" si="102"/>
        <v>0</v>
      </c>
      <c r="BL114" s="44" t="s">
        <v>115</v>
      </c>
      <c r="BM114" s="42" t="str" cm="1">
        <f t="array" ref="BM114">_xlfn.IFS(BD114="NA","NA",BD114&gt;100%,"100%",BD114&lt;100,BD114)</f>
        <v>NA</v>
      </c>
      <c r="BN114" s="42" cm="1">
        <f t="array" ref="BN114">_xlfn.IFS(BF114="NA","NA",BF114&gt;100%,"100%",BF114&lt;100,BF114)</f>
        <v>0</v>
      </c>
      <c r="BO114" s="42" cm="1">
        <f t="array" ref="BO114">_xlfn.IFS(BH114="NA","NA",BH114&gt;100%,"100%",BH114&lt;100,BH114)</f>
        <v>0</v>
      </c>
      <c r="BP114" s="42" t="str" cm="1">
        <f t="array" ref="BP114">_xlfn.IFS(BJ114="NA","NA",BJ114&gt;100%,"100%",BJ114&lt;100,BJ114)</f>
        <v>NA</v>
      </c>
      <c r="BQ114" s="45">
        <v>0.22500000000000001</v>
      </c>
      <c r="BR114" s="43">
        <f t="shared" si="103"/>
        <v>0</v>
      </c>
      <c r="BS114" s="45">
        <v>0</v>
      </c>
      <c r="BT114" s="45" t="s">
        <v>115</v>
      </c>
      <c r="BU114" s="45">
        <v>0</v>
      </c>
      <c r="BV114" s="43">
        <f t="shared" si="192"/>
        <v>0</v>
      </c>
      <c r="BW114" s="43" t="str">
        <f t="shared" si="104"/>
        <v>NA</v>
      </c>
      <c r="BX114" s="43">
        <f t="shared" si="105"/>
        <v>0</v>
      </c>
      <c r="BY114" s="43">
        <f t="shared" si="193"/>
        <v>0.10125000000000001</v>
      </c>
      <c r="BZ114" s="43">
        <f t="shared" si="194"/>
        <v>0</v>
      </c>
      <c r="CA114" s="43">
        <f t="shared" si="106"/>
        <v>0</v>
      </c>
      <c r="CB114" s="43">
        <f t="shared" si="195"/>
        <v>0.12375000000000001</v>
      </c>
      <c r="CC114" s="43">
        <f t="shared" si="196"/>
        <v>0</v>
      </c>
      <c r="CD114" s="45">
        <v>0</v>
      </c>
      <c r="CE114" s="43">
        <f t="shared" si="197"/>
        <v>0</v>
      </c>
      <c r="CF114" s="43" t="str">
        <f t="shared" si="198"/>
        <v>NA</v>
      </c>
      <c r="CG114" s="45">
        <v>0</v>
      </c>
    </row>
    <row r="115" spans="1:90" ht="18" customHeight="1">
      <c r="A115" s="260" t="s">
        <v>292</v>
      </c>
      <c r="B115" s="260" t="s">
        <v>293</v>
      </c>
      <c r="C115" s="260" t="s">
        <v>100</v>
      </c>
      <c r="D115" s="260" t="s">
        <v>508</v>
      </c>
      <c r="E115" s="260" t="s">
        <v>509</v>
      </c>
      <c r="F115" s="260" t="s">
        <v>713</v>
      </c>
      <c r="G115" s="260" t="s">
        <v>714</v>
      </c>
      <c r="H115" s="260" t="s">
        <v>750</v>
      </c>
      <c r="I115" s="260" t="s">
        <v>255</v>
      </c>
      <c r="J115" s="260"/>
      <c r="K115" s="260" t="s">
        <v>751</v>
      </c>
      <c r="L115" s="260" t="s">
        <v>752</v>
      </c>
      <c r="M115" s="260" t="s">
        <v>753</v>
      </c>
      <c r="N115" s="260" t="s">
        <v>123</v>
      </c>
      <c r="O115" s="260" t="s">
        <v>302</v>
      </c>
      <c r="P115" s="10">
        <v>100</v>
      </c>
      <c r="Q115" s="11">
        <v>100</v>
      </c>
      <c r="R115" s="11">
        <f>AVERAGE(Z115,AH115)</f>
        <v>100</v>
      </c>
      <c r="S115" s="11" t="str">
        <f>VLOOKUP(K115,'1108 Educación'!$K$13:$AK$40,9,0)</f>
        <v xml:space="preserve">Se ha garantizado la prestación del servicio educativo en el 100% de las IED de los municipios no certificados del Departamento. </v>
      </c>
      <c r="T115" s="11">
        <v>0</v>
      </c>
      <c r="U115" s="11">
        <v>100</v>
      </c>
      <c r="V115" s="11">
        <v>0</v>
      </c>
      <c r="W115" s="11">
        <v>100</v>
      </c>
      <c r="X115" s="11" t="s">
        <v>115</v>
      </c>
      <c r="Y115" s="11">
        <v>100</v>
      </c>
      <c r="Z115" s="11">
        <v>100</v>
      </c>
      <c r="AA115" s="11" t="s">
        <v>754</v>
      </c>
      <c r="AB115" s="11" t="s">
        <v>755</v>
      </c>
      <c r="AC115" s="11">
        <v>0</v>
      </c>
      <c r="AD115" s="11">
        <v>0</v>
      </c>
      <c r="AE115" s="11">
        <v>100</v>
      </c>
      <c r="AF115" s="11">
        <f>VLOOKUP(K115,'1108 Educación'!$K$13:$AK$40,22,0)</f>
        <v>0</v>
      </c>
      <c r="AG115" s="11">
        <f>VLOOKUP(K115,'1108 Educación'!$K$13:$AK$40,23,0)</f>
        <v>100</v>
      </c>
      <c r="AH115" s="11">
        <f>AG115</f>
        <v>100</v>
      </c>
      <c r="AI115" s="9" t="str">
        <f>VLOOKUP(K115,'1108 Educación'!$K$13:$AK$40,25,0)</f>
        <v xml:space="preserve">Prestación del servicio Educativo </v>
      </c>
      <c r="AJ115" s="9" t="str">
        <f>VLOOKUP(K115,'1108 Educación'!$K$13:$AK$40,26,0)</f>
        <v>Se ha garantizado la prestación del servicio educativo en el 100% de las IED de los municipios no certificados del Departamento. en el mes de octubre se logro la prestación del servicio educativo, la liquidación de la nómina  del personal docente, directivo docente, administrativo y el pago del retroactivo salarial de los meses de enero a agosto a los docentes y directivos docentes   de las  instituciones Educativas Departamentales de los municipios no certificados de Cundinamarca. tambien se logra hacer el pago de arriendos para la efectiva prestacion del servicio.</v>
      </c>
      <c r="AK115" s="9">
        <f>VLOOKUP(K115,'1108 Educación'!$K$13:$AK$40,27,0)</f>
        <v>0</v>
      </c>
      <c r="AL115" s="11">
        <v>0</v>
      </c>
      <c r="AM115" s="11">
        <v>100</v>
      </c>
      <c r="AN115" s="11">
        <v>0</v>
      </c>
      <c r="AO115" s="11">
        <v>100</v>
      </c>
      <c r="AP115" s="11">
        <v>0</v>
      </c>
      <c r="AQ115" s="11">
        <v>0</v>
      </c>
      <c r="AR115" s="51">
        <v>400422528593</v>
      </c>
      <c r="AS115" s="54">
        <v>0</v>
      </c>
      <c r="AT115" s="54">
        <f t="shared" si="101"/>
        <v>400422528593</v>
      </c>
      <c r="AU115" s="51">
        <v>398960576939</v>
      </c>
      <c r="AV115" s="89">
        <v>781718150719</v>
      </c>
      <c r="AY115" s="89">
        <v>180255243053</v>
      </c>
      <c r="AZ115" s="44" cm="1">
        <f t="array" ref="AZ115">_xlfn.IFS((BA115=0),(BD115/CL115),(BA115&gt;0),((BB115+BD115)/CL115),(BE115&gt;0),((BB115+BD115+BE115)/CL115),(BG115&gt;0),((BB115+BD115+BE115+G115)/CL115))</f>
        <v>0.3125</v>
      </c>
      <c r="BA115" s="44">
        <v>0.25</v>
      </c>
      <c r="BB115" s="44">
        <v>1</v>
      </c>
      <c r="BC115" s="44">
        <v>0.25</v>
      </c>
      <c r="BD115" s="44" cm="1">
        <f t="array" ref="BD115">_xlfn.IFS(AE115=0,"NA",AE115&gt;0,((AH115/AE115)/4))</f>
        <v>0.25</v>
      </c>
      <c r="BE115" s="44">
        <v>0.25</v>
      </c>
      <c r="BF115" s="44">
        <v>0</v>
      </c>
      <c r="BG115" s="44">
        <v>0.25</v>
      </c>
      <c r="BH115" s="44">
        <v>0</v>
      </c>
      <c r="BI115" s="44">
        <v>0</v>
      </c>
      <c r="BJ115" s="44" t="s">
        <v>115</v>
      </c>
      <c r="BK115" s="44">
        <f t="shared" si="102"/>
        <v>0.3125</v>
      </c>
      <c r="BL115" s="44">
        <v>1</v>
      </c>
      <c r="BM115" s="42" cm="1">
        <f t="array" ref="BM115">_xlfn.IFS(BD115="NA","NA",BD115&gt;100%,"100%",BD115&lt;100,BD115)</f>
        <v>0.25</v>
      </c>
      <c r="BN115" s="44">
        <v>0</v>
      </c>
      <c r="BO115" s="44">
        <v>0</v>
      </c>
      <c r="BP115" s="44" t="s">
        <v>115</v>
      </c>
      <c r="BQ115" s="45">
        <v>0.22500000000000001</v>
      </c>
      <c r="BR115" s="43">
        <f t="shared" si="103"/>
        <v>7.03125E-2</v>
      </c>
      <c r="BS115" s="45">
        <v>5.6300000000000003E-2</v>
      </c>
      <c r="BT115" s="45">
        <v>5.6300000000000003E-2</v>
      </c>
      <c r="BU115" s="45">
        <v>5.6300000000000003E-2</v>
      </c>
      <c r="BV115" s="45">
        <v>5.6300000000000003E-2</v>
      </c>
      <c r="BW115" s="43">
        <f t="shared" si="104"/>
        <v>1.4075000000000001E-2</v>
      </c>
      <c r="BX115" s="43">
        <f t="shared" si="105"/>
        <v>1.4012499999999997E-2</v>
      </c>
      <c r="BY115" s="45">
        <v>5.6300000000000003E-2</v>
      </c>
      <c r="BZ115" s="45">
        <v>0</v>
      </c>
      <c r="CA115" s="43">
        <f t="shared" si="106"/>
        <v>0</v>
      </c>
      <c r="CB115" s="45">
        <v>5.6300000000000003E-2</v>
      </c>
      <c r="CC115" s="45">
        <v>0</v>
      </c>
      <c r="CD115" s="45">
        <v>0</v>
      </c>
      <c r="CE115" s="45">
        <v>0</v>
      </c>
      <c r="CF115" s="45" t="s">
        <v>115</v>
      </c>
      <c r="CG115" s="45">
        <v>0</v>
      </c>
      <c r="CH115">
        <f>IF(W115&gt;0,1,0)</f>
        <v>1</v>
      </c>
      <c r="CI115">
        <f>IF(AE115&gt;0,1,0)</f>
        <v>1</v>
      </c>
      <c r="CJ115">
        <f>IF(AM115&gt;0,1,0)</f>
        <v>1</v>
      </c>
      <c r="CK115">
        <f>IF(AO115&gt;0,1,0)</f>
        <v>1</v>
      </c>
      <c r="CL115">
        <f>CH115+CI115+CJ115+CK115</f>
        <v>4</v>
      </c>
    </row>
    <row r="116" spans="1:90" ht="18" customHeight="1">
      <c r="A116" s="260" t="s">
        <v>144</v>
      </c>
      <c r="B116" s="260" t="s">
        <v>145</v>
      </c>
      <c r="C116" s="260" t="s">
        <v>100</v>
      </c>
      <c r="D116" s="260" t="s">
        <v>508</v>
      </c>
      <c r="E116" s="260" t="s">
        <v>509</v>
      </c>
      <c r="F116" s="260" t="s">
        <v>756</v>
      </c>
      <c r="G116" s="260" t="s">
        <v>757</v>
      </c>
      <c r="H116" s="260" t="s">
        <v>758</v>
      </c>
      <c r="I116" s="260" t="s">
        <v>106</v>
      </c>
      <c r="J116" s="260"/>
      <c r="K116" s="260" t="s">
        <v>759</v>
      </c>
      <c r="L116" s="260" t="s">
        <v>760</v>
      </c>
      <c r="M116" s="260" t="s">
        <v>140</v>
      </c>
      <c r="N116" s="260" t="s">
        <v>111</v>
      </c>
      <c r="O116" s="260" t="s">
        <v>112</v>
      </c>
      <c r="P116" s="10">
        <v>116</v>
      </c>
      <c r="Q116" s="11">
        <v>116</v>
      </c>
      <c r="R116" s="9">
        <f t="shared" ref="R116:R128" si="199">Z116+AH116</f>
        <v>57</v>
      </c>
      <c r="S116" s="11" t="str">
        <f>VLOOKUP(K116,'1126 Desarrollo Social'!$K$13:$S$58,9,0)</f>
        <v>Socialización de la estrategia de Pienso pienso en progreso todo tiene su tiempo en los municipioCelebración semana andina (semana de prevención del embarazo en adolescentes) activación y coordinación de la submesa de infancia y adolescenciaAsistencia  técnica en promoción de los derechos sexualesEl personal contratado para el desarrollo de las actividades de esta meta con vigencia del plan de desarrollo 2016-2020</v>
      </c>
      <c r="T116" s="11">
        <v>20</v>
      </c>
      <c r="U116" s="11">
        <v>0</v>
      </c>
      <c r="V116" s="11">
        <v>20</v>
      </c>
      <c r="W116" s="11">
        <v>0</v>
      </c>
      <c r="X116" s="11">
        <v>20</v>
      </c>
      <c r="Y116" s="11">
        <v>0</v>
      </c>
      <c r="Z116" s="11">
        <v>20</v>
      </c>
      <c r="AA116" s="11" t="s">
        <v>761</v>
      </c>
      <c r="AB116" s="11" t="s">
        <v>762</v>
      </c>
      <c r="AC116" s="11">
        <v>0</v>
      </c>
      <c r="AD116" s="11">
        <v>16</v>
      </c>
      <c r="AE116" s="11">
        <v>0</v>
      </c>
      <c r="AF116" s="11">
        <f>VLOOKUP(K116,'1126 Desarrollo Social'!$K$13:$AK$58,22,0)</f>
        <v>37</v>
      </c>
      <c r="AG116" s="11">
        <f>VLOOKUP(K116,'1126 Desarrollo Social'!$K$13:$AK$58,23,0)</f>
        <v>0</v>
      </c>
      <c r="AH116" s="9">
        <f t="shared" ref="AH116:AH128" si="200">AF116</f>
        <v>37</v>
      </c>
      <c r="AI116" s="9" t="str">
        <f>VLOOKUP(K116,'1126 Desarrollo Social'!$K$13:$AK$58,25,0)</f>
        <v>NTREGABLE: UNA CARTILLA DIGITAL "PIENSO EN MI, PIENSO EN PROGRESO" a la cual se accede a través de la página web de la SDIS.</v>
      </c>
      <c r="AJ116" s="9" t="str">
        <f>VLOOKUP(K116,'1126 Desarrollo Social'!$K$13:$AK$58,26,0)</f>
        <v xml:space="preserve">Se realizo encuesta de caraterizacion aplicada a 30 municipios, 66  talleres ludicopedagogicos en 37 municipios. Activación comite departamental de prevencion de embarazo en adolescentes.                                                                                                                          Se realizo actividad en la SEMANA ANDINA </v>
      </c>
      <c r="AK116" s="9">
        <f>VLOOKUP(K116,'1126 Desarrollo Social'!$K$13:$AK$58,27,0)</f>
        <v>0</v>
      </c>
      <c r="AL116" s="11">
        <v>40</v>
      </c>
      <c r="AM116" s="11">
        <v>0</v>
      </c>
      <c r="AN116" s="11">
        <v>40</v>
      </c>
      <c r="AO116" s="11">
        <v>0</v>
      </c>
      <c r="AP116" s="11">
        <v>0</v>
      </c>
      <c r="AQ116" s="11">
        <v>0</v>
      </c>
      <c r="AR116" s="51">
        <v>44557500</v>
      </c>
      <c r="AS116" s="54">
        <v>0</v>
      </c>
      <c r="AT116" s="54">
        <f t="shared" si="101"/>
        <v>44557500</v>
      </c>
      <c r="AU116" s="51">
        <v>38110831</v>
      </c>
      <c r="AV116" s="89">
        <v>354000000</v>
      </c>
      <c r="AY116" s="89">
        <v>92025000</v>
      </c>
      <c r="AZ116" s="42">
        <f t="shared" ref="AZ116:AZ128" si="201">R116/Q116</f>
        <v>0.49137931034482757</v>
      </c>
      <c r="BA116" s="44">
        <v>0.1724</v>
      </c>
      <c r="BB116" s="44">
        <v>1</v>
      </c>
      <c r="BC116" s="42">
        <f t="shared" ref="BC116:BC128" si="202">AD116/Q116</f>
        <v>0.13793103448275862</v>
      </c>
      <c r="BD116" s="42" cm="1">
        <f t="array" ref="BD116">_xlfn.IFS(AD116=0,"NA",AD116&gt;0,AH116/AD116)</f>
        <v>2.3125</v>
      </c>
      <c r="BE116" s="42">
        <f t="shared" ref="BE116:BE128" si="203">AL116/Q116</f>
        <v>0.34482758620689657</v>
      </c>
      <c r="BF116" s="44">
        <v>0</v>
      </c>
      <c r="BG116" s="42">
        <f t="shared" ref="BG116:BG128" si="204">AN116/Q116</f>
        <v>0.34482758620689657</v>
      </c>
      <c r="BH116" s="44">
        <v>0</v>
      </c>
      <c r="BI116" s="42">
        <f t="shared" ref="BI116:BI128" si="205">AP116/Q116</f>
        <v>0</v>
      </c>
      <c r="BJ116" s="44" t="s">
        <v>115</v>
      </c>
      <c r="BK116" s="42">
        <f t="shared" si="102"/>
        <v>0.49137931034482757</v>
      </c>
      <c r="BL116" s="44">
        <v>1</v>
      </c>
      <c r="BM116" s="42" t="str" cm="1">
        <f t="array" ref="BM116">_xlfn.IFS(BD116="NA","NA",BD116&gt;100%,"100%",BD116&lt;100,BD116)</f>
        <v>100%</v>
      </c>
      <c r="BN116" s="42" cm="1">
        <f t="array" ref="BN116">_xlfn.IFS(BF116="NA","NA",BF116&gt;100%,"100%",BF116&lt;100,BF116)</f>
        <v>0</v>
      </c>
      <c r="BO116" s="42" cm="1">
        <f t="array" ref="BO116">_xlfn.IFS(BH116="NA","NA",BH116&gt;100%,"100%",BH116&lt;100,BH116)</f>
        <v>0</v>
      </c>
      <c r="BP116" s="42" t="str" cm="1">
        <f t="array" ref="BP116">_xlfn.IFS(BJ116="NA","NA",BJ116&gt;100%,"100%",BJ116&lt;100,BJ116)</f>
        <v>NA</v>
      </c>
      <c r="BQ116" s="45">
        <v>0.22500000000000001</v>
      </c>
      <c r="BR116" s="43">
        <f t="shared" si="103"/>
        <v>0.1105603448275862</v>
      </c>
      <c r="BS116" s="45">
        <v>3.8800000000000001E-2</v>
      </c>
      <c r="BT116" s="45">
        <v>3.8800000000000001E-2</v>
      </c>
      <c r="BU116" s="45">
        <v>3.8800000000000001E-2</v>
      </c>
      <c r="BV116" s="43">
        <f t="shared" ref="BV116:BV128" si="206">(AD116*BQ116)/Q116</f>
        <v>3.1034482758620689E-2</v>
      </c>
      <c r="BW116" s="43">
        <f t="shared" si="104"/>
        <v>3.1034482758620689E-2</v>
      </c>
      <c r="BX116" s="43">
        <f t="shared" si="105"/>
        <v>7.1760344827586198E-2</v>
      </c>
      <c r="BY116" s="43">
        <f t="shared" ref="BY116:BY128" si="207">(AL116*BQ116)/Q116</f>
        <v>7.7586206896551727E-2</v>
      </c>
      <c r="BZ116" s="43">
        <f t="shared" ref="BZ116:BZ128" si="208">IF(BN116="NA","NA",BN116*BY116)</f>
        <v>0</v>
      </c>
      <c r="CA116" s="43">
        <f t="shared" si="106"/>
        <v>0</v>
      </c>
      <c r="CB116" s="43">
        <f t="shared" ref="CB116:CB128" si="209">(AN116*BQ116)/Q116</f>
        <v>7.7586206896551727E-2</v>
      </c>
      <c r="CC116" s="43">
        <f t="shared" ref="CC116:CC128" si="210">IF(BO116="NA","NA",BO116*CB116)</f>
        <v>0</v>
      </c>
      <c r="CD116" s="45">
        <v>0</v>
      </c>
      <c r="CE116" s="43">
        <f t="shared" ref="CE116:CE128" si="211">(AP116*BQ116)/Q116</f>
        <v>0</v>
      </c>
      <c r="CF116" s="43" t="str">
        <f t="shared" ref="CF116:CF128" si="212">IF(BP116="NA","NA",BP116*CE116)</f>
        <v>NA</v>
      </c>
      <c r="CG116" s="45">
        <v>0</v>
      </c>
    </row>
    <row r="117" spans="1:90" ht="18" customHeight="1">
      <c r="A117" s="260" t="s">
        <v>221</v>
      </c>
      <c r="B117" s="260" t="s">
        <v>222</v>
      </c>
      <c r="C117" s="260" t="s">
        <v>100</v>
      </c>
      <c r="D117" s="260" t="s">
        <v>508</v>
      </c>
      <c r="E117" s="260" t="s">
        <v>509</v>
      </c>
      <c r="F117" s="260" t="s">
        <v>763</v>
      </c>
      <c r="G117" s="260" t="s">
        <v>764</v>
      </c>
      <c r="H117" s="260" t="s">
        <v>765</v>
      </c>
      <c r="I117" s="260"/>
      <c r="J117" s="260"/>
      <c r="K117" s="260" t="s">
        <v>766</v>
      </c>
      <c r="L117" s="260" t="s">
        <v>767</v>
      </c>
      <c r="M117" s="260" t="s">
        <v>768</v>
      </c>
      <c r="N117" s="260" t="s">
        <v>111</v>
      </c>
      <c r="O117" s="260" t="s">
        <v>112</v>
      </c>
      <c r="P117" s="10">
        <v>4</v>
      </c>
      <c r="Q117" s="11">
        <v>4</v>
      </c>
      <c r="R117" s="9">
        <f t="shared" ca="1" si="199"/>
        <v>1</v>
      </c>
      <c r="S117" s="11" t="str">
        <f ca="1">VLOOKUP(K117,'1220 IDECUT'!$K$13:$AK$48,9,0)</f>
        <v>Durante la vigencia 2021. Se realizo capacitación para los informadores de los puntos de información turístico de los Pits de la Red Nacional Fontur y la red departamental sobre el programa de Escnna por parte del Viceministerio, beneficiando a 33 PITS en los municipios de Agua de Dios, Anapoima, Arbeláez, Bojacá, Cajicá, Chía, Cachipay, Cota, Fusagasugá, Girardot, Guaduas, Guasca, Guatavita, La Mesa, La Vega, Mesitas del Colegio, Nemocón, Nimaima-Tobia, Nocaima, Soacha-Salto del Tequendama , San Antonio del Tequendama, Sesquilé, Sopó, Subachoque, Suesca, Tabio, Tenjo, Tocaima, Tocancipa, Ubaté, Vergara, Villeta y Zipaquirá.
*participa activamente en cada comité departamental con los temas que tienen relación a la Explotación Sexual Comercial de Niños, Niñas y Adolescentes ESCNNA, Lucha Contra la Trata de Personas y de Derechos Humanos.</v>
      </c>
      <c r="T117" s="11">
        <v>0</v>
      </c>
      <c r="U117" s="11">
        <v>0</v>
      </c>
      <c r="V117" s="11">
        <v>0</v>
      </c>
      <c r="W117" s="11">
        <v>0</v>
      </c>
      <c r="X117" s="11">
        <v>0</v>
      </c>
      <c r="Y117" s="11">
        <v>0</v>
      </c>
      <c r="Z117" s="11">
        <v>0</v>
      </c>
      <c r="AA117" s="11"/>
      <c r="AB117" s="11"/>
      <c r="AC117" s="11"/>
      <c r="AD117" s="11">
        <v>2</v>
      </c>
      <c r="AE117" s="11">
        <v>0</v>
      </c>
      <c r="AF117" s="11">
        <f ca="1">VLOOKUP(K117,'1220 IDECUT'!$K$13:$AK$48,22,0)</f>
        <v>1</v>
      </c>
      <c r="AG117" s="11">
        <f ca="1">VLOOKUP(K117,'1220 IDECUT'!$K$13:$AK$48,23,0)</f>
        <v>0</v>
      </c>
      <c r="AH117" s="9">
        <f t="shared" ca="1" si="200"/>
        <v>1</v>
      </c>
      <c r="AI117" s="9" t="str">
        <f ca="1">VLOOKUP(K117,'1220 IDECUT'!$K$13:$AK$48,25,0)</f>
        <v>Convenio</v>
      </c>
      <c r="AJ117" s="9" t="str">
        <f ca="1">VLOOKUP(K117,'1220 IDECUT'!$K$13:$AK$48,26,0)</f>
        <v>Se realizo capacitación para los informadores de los puntos de información turístico de los Pits de la Red Nacional Fontur y la red departamental sobre el programa de Escnna por parte del Viceministerio, beneficiando a 33 PITS en los municipios de Agua de Dios, Anapoima, Arbeláez, Bojacá, Cajicá, Chía, Cachipay, Cota, Fusagasugá, Girardot, Guaduas, Guasca, Guatavita, La Mesa, La Vega, Mesitas del Colegio, Nemocón, Nimaima-Tobia, Nocaima, Soacha-Salto del Tequendama , San Antonio del Tequendama, Sesquilé, Sopó, Subachoque, Suesca, Tabio, Tenjo, Tocaima, Tocancipa, Ubaté, Vergara, Villeta y Zipaquirá.</v>
      </c>
      <c r="AK117" s="9">
        <f ca="1">VLOOKUP(K117,'1220 IDECUT'!$K$13:$AK$48,27,0)</f>
        <v>0</v>
      </c>
      <c r="AL117" s="11">
        <v>1</v>
      </c>
      <c r="AM117" s="11">
        <v>0</v>
      </c>
      <c r="AN117" s="11">
        <v>1</v>
      </c>
      <c r="AO117" s="11">
        <v>0</v>
      </c>
      <c r="AP117" s="11">
        <v>0</v>
      </c>
      <c r="AQ117" s="11">
        <v>0</v>
      </c>
      <c r="AR117" s="52"/>
      <c r="AS117" s="54">
        <v>0</v>
      </c>
      <c r="AT117" s="54">
        <f t="shared" si="101"/>
        <v>0</v>
      </c>
      <c r="AU117" s="52"/>
      <c r="AV117" s="89">
        <v>40000000</v>
      </c>
      <c r="AY117" s="89">
        <v>10000000</v>
      </c>
      <c r="AZ117" s="42">
        <f t="shared" ca="1" si="201"/>
        <v>0.25</v>
      </c>
      <c r="BA117" s="44">
        <v>0</v>
      </c>
      <c r="BB117" s="44" t="s">
        <v>115</v>
      </c>
      <c r="BC117" s="42">
        <f t="shared" si="202"/>
        <v>0.5</v>
      </c>
      <c r="BD117" s="42" cm="1">
        <f t="array" aca="1" ref="BD117" ca="1">_xlfn.IFS(AD117=0,"NA",AD117&gt;0,AH117/AD117)</f>
        <v>0.5</v>
      </c>
      <c r="BE117" s="42">
        <f t="shared" si="203"/>
        <v>0.25</v>
      </c>
      <c r="BF117" s="44">
        <v>0</v>
      </c>
      <c r="BG117" s="42">
        <f t="shared" si="204"/>
        <v>0.25</v>
      </c>
      <c r="BH117" s="44">
        <v>0</v>
      </c>
      <c r="BI117" s="42">
        <f t="shared" si="205"/>
        <v>0</v>
      </c>
      <c r="BJ117" s="44" t="s">
        <v>115</v>
      </c>
      <c r="BK117" s="42">
        <f t="shared" ca="1" si="102"/>
        <v>0.25</v>
      </c>
      <c r="BL117" s="44" t="s">
        <v>115</v>
      </c>
      <c r="BM117" s="42" cm="1">
        <f t="array" aca="1" ref="BM117" ca="1">_xlfn.IFS(BD117="NA","NA",BD117&gt;100%,"100%",BD117&lt;100,BD117)</f>
        <v>0.5</v>
      </c>
      <c r="BN117" s="42" cm="1">
        <f t="array" ref="BN117">_xlfn.IFS(BF117="NA","NA",BF117&gt;100%,"100%",BF117&lt;100,BF117)</f>
        <v>0</v>
      </c>
      <c r="BO117" s="42" cm="1">
        <f t="array" ref="BO117">_xlfn.IFS(BH117="NA","NA",BH117&gt;100%,"100%",BH117&lt;100,BH117)</f>
        <v>0</v>
      </c>
      <c r="BP117" s="42" t="str" cm="1">
        <f t="array" ref="BP117">_xlfn.IFS(BJ117="NA","NA",BJ117&gt;100%,"100%",BJ117&lt;100,BJ117)</f>
        <v>NA</v>
      </c>
      <c r="BQ117" s="45">
        <v>0.22500000000000001</v>
      </c>
      <c r="BR117" s="43">
        <f t="shared" ca="1" si="103"/>
        <v>5.6250000000000001E-2</v>
      </c>
      <c r="BS117" s="45">
        <v>0</v>
      </c>
      <c r="BT117" s="45" t="s">
        <v>115</v>
      </c>
      <c r="BU117" s="45">
        <v>0</v>
      </c>
      <c r="BV117" s="43">
        <f t="shared" si="206"/>
        <v>0.1125</v>
      </c>
      <c r="BW117" s="43">
        <f t="shared" ca="1" si="104"/>
        <v>5.6250000000000001E-2</v>
      </c>
      <c r="BX117" s="43">
        <f t="shared" ca="1" si="105"/>
        <v>5.6250000000000001E-2</v>
      </c>
      <c r="BY117" s="43">
        <f t="shared" si="207"/>
        <v>5.6250000000000001E-2</v>
      </c>
      <c r="BZ117" s="43">
        <f t="shared" si="208"/>
        <v>0</v>
      </c>
      <c r="CA117" s="43">
        <f t="shared" ca="1" si="106"/>
        <v>0</v>
      </c>
      <c r="CB117" s="43">
        <f t="shared" si="209"/>
        <v>5.6250000000000001E-2</v>
      </c>
      <c r="CC117" s="43">
        <f t="shared" si="210"/>
        <v>0</v>
      </c>
      <c r="CD117" s="45">
        <v>0</v>
      </c>
      <c r="CE117" s="43">
        <f t="shared" si="211"/>
        <v>0</v>
      </c>
      <c r="CF117" s="43" t="str">
        <f t="shared" si="212"/>
        <v>NA</v>
      </c>
      <c r="CG117" s="45">
        <v>0</v>
      </c>
    </row>
    <row r="118" spans="1:90" ht="18" customHeight="1">
      <c r="A118" s="260" t="s">
        <v>248</v>
      </c>
      <c r="B118" s="260" t="s">
        <v>249</v>
      </c>
      <c r="C118" s="260" t="s">
        <v>100</v>
      </c>
      <c r="D118" s="260" t="s">
        <v>508</v>
      </c>
      <c r="E118" s="260" t="s">
        <v>769</v>
      </c>
      <c r="F118" s="260" t="s">
        <v>770</v>
      </c>
      <c r="G118" s="260" t="s">
        <v>771</v>
      </c>
      <c r="H118" s="260" t="s">
        <v>772</v>
      </c>
      <c r="I118" s="260"/>
      <c r="J118" s="260"/>
      <c r="K118" s="260" t="s">
        <v>773</v>
      </c>
      <c r="L118" s="260" t="s">
        <v>774</v>
      </c>
      <c r="M118" s="260" t="s">
        <v>775</v>
      </c>
      <c r="N118" s="260" t="s">
        <v>111</v>
      </c>
      <c r="O118" s="260" t="s">
        <v>112</v>
      </c>
      <c r="P118" s="10">
        <v>0</v>
      </c>
      <c r="Q118" s="11">
        <v>4</v>
      </c>
      <c r="R118" s="9">
        <f t="shared" si="199"/>
        <v>1</v>
      </c>
      <c r="S118" s="11">
        <f>VLOOKUP(K118,'1208 Indeportes'!$K$13:$AK$39,9,0)</f>
        <v>0</v>
      </c>
      <c r="T118" s="11">
        <v>1</v>
      </c>
      <c r="U118" s="11">
        <v>0</v>
      </c>
      <c r="V118" s="11">
        <v>1</v>
      </c>
      <c r="W118" s="11">
        <v>0</v>
      </c>
      <c r="X118" s="11">
        <v>1</v>
      </c>
      <c r="Y118" s="11">
        <v>0</v>
      </c>
      <c r="Z118" s="11">
        <v>1</v>
      </c>
      <c r="AA118" s="11">
        <v>0</v>
      </c>
      <c r="AB118" s="11" t="s">
        <v>776</v>
      </c>
      <c r="AC118" s="11">
        <v>0</v>
      </c>
      <c r="AD118" s="11">
        <v>1</v>
      </c>
      <c r="AE118" s="11">
        <v>0</v>
      </c>
      <c r="AF118" s="11">
        <f>VLOOKUP(K118,'1208 Indeportes'!$K$13:$AH$39,22,0)</f>
        <v>0</v>
      </c>
      <c r="AG118" s="11">
        <f>VLOOKUP(K118,'1208 Indeportes'!$K$13:$AH$39,23,0)</f>
        <v>0</v>
      </c>
      <c r="AH118" s="9">
        <f t="shared" si="200"/>
        <v>0</v>
      </c>
      <c r="AI118" s="9">
        <f>VLOOKUP(K118,'1208 Indeportes'!$K$13:$AK$39,25,0)</f>
        <v>0</v>
      </c>
      <c r="AJ118" s="9" t="str">
        <f>VLOOKUP(K118,'1208 Indeportes'!$K$13:$AK$39,26,0)</f>
        <v>Se adelanto el proceso contractual para el apoyo logístico y suministro de elementos publicitarios, premiación, alimentación, hospedaje y transporte y demás necesarios para la realización de las actividades propias de la meta de producto programada para la presente vigencia</v>
      </c>
      <c r="AK118" s="9">
        <f>VLOOKUP(K118,'1208 Indeportes'!$K$13:$AK$39,27,0)</f>
        <v>0</v>
      </c>
      <c r="AL118" s="11">
        <v>1</v>
      </c>
      <c r="AM118" s="11">
        <v>0</v>
      </c>
      <c r="AN118" s="11">
        <v>1</v>
      </c>
      <c r="AO118" s="11">
        <v>0</v>
      </c>
      <c r="AP118" s="11">
        <v>0</v>
      </c>
      <c r="AQ118" s="11">
        <v>0</v>
      </c>
      <c r="AR118" s="51">
        <v>200000000</v>
      </c>
      <c r="AS118" s="54">
        <v>0</v>
      </c>
      <c r="AT118" s="54">
        <f t="shared" si="101"/>
        <v>200000000</v>
      </c>
      <c r="AU118" s="51">
        <v>0</v>
      </c>
      <c r="AV118" s="89">
        <v>120000000</v>
      </c>
      <c r="AY118" s="89">
        <v>0</v>
      </c>
      <c r="AZ118" s="42">
        <f t="shared" si="201"/>
        <v>0.25</v>
      </c>
      <c r="BA118" s="44">
        <v>0.25</v>
      </c>
      <c r="BB118" s="44">
        <v>1</v>
      </c>
      <c r="BC118" s="42">
        <f t="shared" si="202"/>
        <v>0.25</v>
      </c>
      <c r="BD118" s="42" cm="1">
        <f t="array" ref="BD118">_xlfn.IFS(AD118=0,"NA",AD118&gt;0,AH118/AD118)</f>
        <v>0</v>
      </c>
      <c r="BE118" s="42">
        <f t="shared" si="203"/>
        <v>0.25</v>
      </c>
      <c r="BF118" s="44">
        <v>0</v>
      </c>
      <c r="BG118" s="42">
        <f t="shared" si="204"/>
        <v>0.25</v>
      </c>
      <c r="BH118" s="44">
        <v>0</v>
      </c>
      <c r="BI118" s="42">
        <f t="shared" si="205"/>
        <v>0</v>
      </c>
      <c r="BJ118" s="44" t="s">
        <v>115</v>
      </c>
      <c r="BK118" s="42">
        <f t="shared" si="102"/>
        <v>0.25</v>
      </c>
      <c r="BL118" s="44">
        <v>1</v>
      </c>
      <c r="BM118" s="42" cm="1">
        <f t="array" ref="BM118">_xlfn.IFS(BD118="NA","NA",BD118&gt;100%,"100%",BD118&lt;100,BD118)</f>
        <v>0</v>
      </c>
      <c r="BN118" s="42" cm="1">
        <f t="array" ref="BN118">_xlfn.IFS(BF118="NA","NA",BF118&gt;100%,"100%",BF118&lt;100,BF118)</f>
        <v>0</v>
      </c>
      <c r="BO118" s="42" cm="1">
        <f t="array" ref="BO118">_xlfn.IFS(BH118="NA","NA",BH118&gt;100%,"100%",BH118&lt;100,BH118)</f>
        <v>0</v>
      </c>
      <c r="BP118" s="42" t="str" cm="1">
        <f t="array" ref="BP118">_xlfn.IFS(BJ118="NA","NA",BJ118&gt;100%,"100%",BJ118&lt;100,BJ118)</f>
        <v>NA</v>
      </c>
      <c r="BQ118" s="45">
        <v>0.22500000000000001</v>
      </c>
      <c r="BR118" s="43">
        <f t="shared" si="103"/>
        <v>5.6250000000000001E-2</v>
      </c>
      <c r="BS118" s="45">
        <v>5.6300000000000003E-2</v>
      </c>
      <c r="BT118" s="45">
        <v>5.6300000000000003E-2</v>
      </c>
      <c r="BU118" s="45">
        <v>5.6300000000000003E-2</v>
      </c>
      <c r="BV118" s="43">
        <f t="shared" si="206"/>
        <v>5.6250000000000001E-2</v>
      </c>
      <c r="BW118" s="43">
        <f t="shared" si="104"/>
        <v>0</v>
      </c>
      <c r="BX118" s="9">
        <f t="shared" si="105"/>
        <v>-5.0000000000001432E-5</v>
      </c>
      <c r="BY118" s="43">
        <f t="shared" si="207"/>
        <v>5.6250000000000001E-2</v>
      </c>
      <c r="BZ118" s="43">
        <f t="shared" si="208"/>
        <v>0</v>
      </c>
      <c r="CA118" s="43">
        <f t="shared" si="106"/>
        <v>0</v>
      </c>
      <c r="CB118" s="43">
        <f t="shared" si="209"/>
        <v>5.6250000000000001E-2</v>
      </c>
      <c r="CC118" s="43">
        <f t="shared" si="210"/>
        <v>0</v>
      </c>
      <c r="CD118" s="45">
        <v>0</v>
      </c>
      <c r="CE118" s="43">
        <f t="shared" si="211"/>
        <v>0</v>
      </c>
      <c r="CF118" s="43" t="str">
        <f t="shared" si="212"/>
        <v>NA</v>
      </c>
      <c r="CG118" s="45">
        <v>0</v>
      </c>
    </row>
    <row r="119" spans="1:90" ht="18" customHeight="1">
      <c r="A119" s="260" t="s">
        <v>248</v>
      </c>
      <c r="B119" s="260" t="s">
        <v>249</v>
      </c>
      <c r="C119" s="260" t="s">
        <v>100</v>
      </c>
      <c r="D119" s="260" t="s">
        <v>508</v>
      </c>
      <c r="E119" s="260" t="s">
        <v>769</v>
      </c>
      <c r="F119" s="260" t="s">
        <v>770</v>
      </c>
      <c r="G119" s="260" t="s">
        <v>771</v>
      </c>
      <c r="H119" s="260" t="s">
        <v>777</v>
      </c>
      <c r="I119" s="260"/>
      <c r="J119" s="260"/>
      <c r="K119" s="260" t="s">
        <v>778</v>
      </c>
      <c r="L119" s="260" t="s">
        <v>779</v>
      </c>
      <c r="M119" s="260" t="s">
        <v>780</v>
      </c>
      <c r="N119" s="260" t="s">
        <v>111</v>
      </c>
      <c r="O119" s="260" t="s">
        <v>112</v>
      </c>
      <c r="P119" s="10">
        <v>104</v>
      </c>
      <c r="Q119" s="11">
        <v>105</v>
      </c>
      <c r="R119" s="9">
        <f t="shared" si="199"/>
        <v>45</v>
      </c>
      <c r="S119" s="11" t="str">
        <f>VLOOKUP(K119,'1208 Indeportes'!$K$13:$AK$39,9,0)</f>
        <v>Se apoyó a un deportista de la Liga de Squash de Cundinamarca para participar en Barcelona, para ello se realizó un apoyo económico: COOPERAR CON LA LIGA DE SQUASH DE CUNDINAMARCA PARA LA PARTICIPACION DEL ATLETA EDGAR ALEXANDER RAMIREZ BAUTISTA, EN EL ENTRENAMIENTO CONVOCADO POR LA ACADEMIA GLOBAL SQUASH DE BARCELONA.En el marco del convenio No. 257 celebrado con FONDECUN se realizó la contratación de indumentaria deportiva para las ligas existentes en el departamento. Se incluye camisetas de presentación, sudaderas, tanto para deportistas como entrenadores y metodólogos.</v>
      </c>
      <c r="T119" s="11">
        <v>15</v>
      </c>
      <c r="U119" s="11">
        <v>0</v>
      </c>
      <c r="V119" s="11">
        <v>15</v>
      </c>
      <c r="W119" s="11">
        <v>0</v>
      </c>
      <c r="X119" s="11">
        <v>15</v>
      </c>
      <c r="Y119" s="11">
        <v>0</v>
      </c>
      <c r="Z119" s="11">
        <v>15</v>
      </c>
      <c r="AA119" s="11">
        <v>0</v>
      </c>
      <c r="AB119" s="11" t="s">
        <v>781</v>
      </c>
      <c r="AC119" s="11">
        <v>0</v>
      </c>
      <c r="AD119" s="11">
        <v>30</v>
      </c>
      <c r="AE119" s="11">
        <v>0</v>
      </c>
      <c r="AF119" s="11">
        <f>VLOOKUP(K119,'1208 Indeportes'!$K$13:$AH$39,22,0)</f>
        <v>30</v>
      </c>
      <c r="AG119" s="11">
        <f>VLOOKUP(K119,'1208 Indeportes'!$K$13:$AH$39,23,0)</f>
        <v>0</v>
      </c>
      <c r="AH119" s="9">
        <f t="shared" si="200"/>
        <v>30</v>
      </c>
      <c r="AI119" s="9">
        <f>VLOOKUP(K119,'1208 Indeportes'!$K$13:$AK$39,25,0)</f>
        <v>0</v>
      </c>
      <c r="AJ119" s="9" t="str">
        <f>VLOOKUP(K119,'1208 Indeportes'!$K$13:$AK$39,26,0)</f>
        <v>Durante el año 2021, hemos invertido cerca de mil ciento sesenta millones de pesos ($1.160.000.000) para brindar apoyo a nuestros deportistas de alto rendimiento, quienes nos representan a través de las diferentes ligas y federaciones con presencia en el departamento, para garantizar su participación en eventos nacionales e internacionales. En total hemos realizado 34 apoyos distribuidos en 25 disciplinas deportivas.</v>
      </c>
      <c r="AK119" s="9">
        <f>VLOOKUP(K119,'1208 Indeportes'!$K$13:$AK$39,27,0)</f>
        <v>0</v>
      </c>
      <c r="AL119" s="11">
        <v>30</v>
      </c>
      <c r="AM119" s="11">
        <v>0</v>
      </c>
      <c r="AN119" s="11">
        <v>30</v>
      </c>
      <c r="AO119" s="11">
        <v>0</v>
      </c>
      <c r="AP119" s="11">
        <v>0</v>
      </c>
      <c r="AQ119" s="11">
        <v>0</v>
      </c>
      <c r="AR119" s="51">
        <v>1388815643</v>
      </c>
      <c r="AS119" s="54">
        <v>0</v>
      </c>
      <c r="AT119" s="54">
        <f t="shared" si="101"/>
        <v>1388815643</v>
      </c>
      <c r="AU119" s="51">
        <v>795748054</v>
      </c>
      <c r="AV119" s="89">
        <v>1440000000</v>
      </c>
      <c r="AY119" s="89">
        <v>427361828</v>
      </c>
      <c r="AZ119" s="42">
        <f t="shared" si="201"/>
        <v>0.42857142857142855</v>
      </c>
      <c r="BA119" s="44">
        <v>0.1429</v>
      </c>
      <c r="BB119" s="44">
        <v>1</v>
      </c>
      <c r="BC119" s="42">
        <f t="shared" si="202"/>
        <v>0.2857142857142857</v>
      </c>
      <c r="BD119" s="42" cm="1">
        <f t="array" ref="BD119">_xlfn.IFS(AD119=0,"NA",AD119&gt;0,AH119/AD119)</f>
        <v>1</v>
      </c>
      <c r="BE119" s="42">
        <f t="shared" si="203"/>
        <v>0.2857142857142857</v>
      </c>
      <c r="BF119" s="44">
        <v>0</v>
      </c>
      <c r="BG119" s="42">
        <f t="shared" si="204"/>
        <v>0.2857142857142857</v>
      </c>
      <c r="BH119" s="44">
        <v>0</v>
      </c>
      <c r="BI119" s="42">
        <f t="shared" si="205"/>
        <v>0</v>
      </c>
      <c r="BJ119" s="44" t="s">
        <v>115</v>
      </c>
      <c r="BK119" s="42">
        <f t="shared" si="102"/>
        <v>0.42857142857142855</v>
      </c>
      <c r="BL119" s="44">
        <v>1</v>
      </c>
      <c r="BM119" s="42" cm="1">
        <f t="array" ref="BM119">_xlfn.IFS(BD119="NA","NA",BD119&gt;100%,"100%",BD119&lt;100,BD119)</f>
        <v>1</v>
      </c>
      <c r="BN119" s="42" cm="1">
        <f t="array" ref="BN119">_xlfn.IFS(BF119="NA","NA",BF119&gt;100%,"100%",BF119&lt;100,BF119)</f>
        <v>0</v>
      </c>
      <c r="BO119" s="42" cm="1">
        <f t="array" ref="BO119">_xlfn.IFS(BH119="NA","NA",BH119&gt;100%,"100%",BH119&lt;100,BH119)</f>
        <v>0</v>
      </c>
      <c r="BP119" s="42" t="str" cm="1">
        <f t="array" ref="BP119">_xlfn.IFS(BJ119="NA","NA",BJ119&gt;100%,"100%",BJ119&lt;100,BJ119)</f>
        <v>NA</v>
      </c>
      <c r="BQ119" s="45">
        <v>0.22500000000000001</v>
      </c>
      <c r="BR119" s="43">
        <f t="shared" si="103"/>
        <v>9.6428571428571419E-2</v>
      </c>
      <c r="BS119" s="45">
        <v>3.2199999999999999E-2</v>
      </c>
      <c r="BT119" s="45">
        <v>3.2199999999999999E-2</v>
      </c>
      <c r="BU119" s="45">
        <v>3.2199999999999999E-2</v>
      </c>
      <c r="BV119" s="43">
        <f t="shared" si="206"/>
        <v>6.4285714285714279E-2</v>
      </c>
      <c r="BW119" s="43">
        <f t="shared" si="104"/>
        <v>6.4285714285714279E-2</v>
      </c>
      <c r="BX119" s="43">
        <f t="shared" si="105"/>
        <v>6.4228571428571413E-2</v>
      </c>
      <c r="BY119" s="43">
        <f t="shared" si="207"/>
        <v>6.4285714285714279E-2</v>
      </c>
      <c r="BZ119" s="43">
        <f t="shared" si="208"/>
        <v>0</v>
      </c>
      <c r="CA119" s="43">
        <f t="shared" si="106"/>
        <v>0</v>
      </c>
      <c r="CB119" s="43">
        <f t="shared" si="209"/>
        <v>6.4285714285714279E-2</v>
      </c>
      <c r="CC119" s="43">
        <f t="shared" si="210"/>
        <v>0</v>
      </c>
      <c r="CD119" s="45">
        <v>0</v>
      </c>
      <c r="CE119" s="43">
        <f t="shared" si="211"/>
        <v>0</v>
      </c>
      <c r="CF119" s="43" t="str">
        <f t="shared" si="212"/>
        <v>NA</v>
      </c>
      <c r="CG119" s="45">
        <v>0</v>
      </c>
    </row>
    <row r="120" spans="1:90" ht="18" customHeight="1">
      <c r="A120" s="260" t="s">
        <v>248</v>
      </c>
      <c r="B120" s="260" t="s">
        <v>249</v>
      </c>
      <c r="C120" s="260" t="s">
        <v>100</v>
      </c>
      <c r="D120" s="260" t="s">
        <v>508</v>
      </c>
      <c r="E120" s="260" t="s">
        <v>769</v>
      </c>
      <c r="F120" s="260" t="s">
        <v>770</v>
      </c>
      <c r="G120" s="260" t="s">
        <v>771</v>
      </c>
      <c r="H120" s="260" t="s">
        <v>782</v>
      </c>
      <c r="I120" s="260"/>
      <c r="J120" s="260"/>
      <c r="K120" s="260" t="s">
        <v>783</v>
      </c>
      <c r="L120" s="260" t="s">
        <v>2916</v>
      </c>
      <c r="M120" s="260" t="s">
        <v>785</v>
      </c>
      <c r="N120" s="260" t="s">
        <v>111</v>
      </c>
      <c r="O120" s="260" t="s">
        <v>112</v>
      </c>
      <c r="P120" s="10">
        <v>600</v>
      </c>
      <c r="Q120" s="11">
        <v>650</v>
      </c>
      <c r="R120" s="9">
        <f t="shared" si="199"/>
        <v>531</v>
      </c>
      <c r="S120" s="11" t="str">
        <f>VLOOKUP(K120,'1208 Indeportes'!$K$13:$AK$39,9,0)</f>
        <v>Pago  del estímulo o beneficio económico para los atletas, entrenadores, atletas guía y asistentes incluidos en el plan estrellas de Cundinamarca 2020, durante los meses de agosto y septiembre. Se han beneficiado 242 deportistas del alto rendimiento del departamento.</v>
      </c>
      <c r="T120" s="11">
        <v>150</v>
      </c>
      <c r="U120" s="11">
        <v>0</v>
      </c>
      <c r="V120" s="11">
        <v>242</v>
      </c>
      <c r="W120" s="11">
        <v>0</v>
      </c>
      <c r="X120" s="11">
        <v>250</v>
      </c>
      <c r="Y120" s="11">
        <v>0</v>
      </c>
      <c r="Z120" s="11">
        <v>250</v>
      </c>
      <c r="AA120" s="11">
        <v>0</v>
      </c>
      <c r="AB120" s="11" t="s">
        <v>786</v>
      </c>
      <c r="AC120" s="11">
        <v>0</v>
      </c>
      <c r="AD120" s="11">
        <v>136</v>
      </c>
      <c r="AE120" s="11">
        <v>0</v>
      </c>
      <c r="AF120" s="11">
        <f>VLOOKUP(K120,'1208 Indeportes'!$K$13:$AH$39,22,0)</f>
        <v>281</v>
      </c>
      <c r="AG120" s="11">
        <f>VLOOKUP(K120,'1208 Indeportes'!$K$13:$AH$39,23,0)</f>
        <v>0</v>
      </c>
      <c r="AH120" s="9">
        <f t="shared" si="200"/>
        <v>281</v>
      </c>
      <c r="AI120" s="9">
        <f>VLOOKUP(K120,'1208 Indeportes'!$K$13:$AK$39,25,0)</f>
        <v>0</v>
      </c>
      <c r="AJ120" s="9" t="str">
        <f>VLOOKUP(K120,'1208 Indeportes'!$K$13:$AK$39,26,0)</f>
        <v>Se tramitó el pago del estimulo o beneficio económico para los atletas, entrenadores, atletas guía y asistentes incluidos en el Plan Estrellas de Cundinamarca 2021 hasta el mes de julio de 2021</v>
      </c>
      <c r="AK120" s="9">
        <f>VLOOKUP(K120,'1208 Indeportes'!$K$13:$AK$39,27,0)</f>
        <v>0</v>
      </c>
      <c r="AL120" s="11">
        <v>128</v>
      </c>
      <c r="AM120" s="11">
        <v>0</v>
      </c>
      <c r="AN120" s="11">
        <v>136</v>
      </c>
      <c r="AO120" s="11">
        <v>0</v>
      </c>
      <c r="AP120" s="11">
        <v>0</v>
      </c>
      <c r="AQ120" s="11">
        <v>0</v>
      </c>
      <c r="AR120" s="51">
        <v>1300000000</v>
      </c>
      <c r="AS120" s="54">
        <v>0</v>
      </c>
      <c r="AT120" s="54">
        <f t="shared" si="101"/>
        <v>1300000000</v>
      </c>
      <c r="AU120" s="51">
        <v>1147664595</v>
      </c>
      <c r="AV120" s="89">
        <v>3070000000</v>
      </c>
      <c r="AY120" s="89">
        <v>222952282</v>
      </c>
      <c r="AZ120" s="42">
        <f t="shared" si="201"/>
        <v>0.81692307692307697</v>
      </c>
      <c r="BA120" s="44">
        <v>0.37230000000000002</v>
      </c>
      <c r="BB120" s="44">
        <v>1.0330999999999999</v>
      </c>
      <c r="BC120" s="42">
        <f t="shared" si="202"/>
        <v>0.20923076923076922</v>
      </c>
      <c r="BD120" s="42" cm="1">
        <f t="array" ref="BD120">_xlfn.IFS(AD120=0,"NA",AD120&gt;0,AH120/AD120)</f>
        <v>2.0661764705882355</v>
      </c>
      <c r="BE120" s="42">
        <f t="shared" si="203"/>
        <v>0.19692307692307692</v>
      </c>
      <c r="BF120" s="44">
        <v>0</v>
      </c>
      <c r="BG120" s="42">
        <f t="shared" si="204"/>
        <v>0.20923076923076922</v>
      </c>
      <c r="BH120" s="44">
        <v>0</v>
      </c>
      <c r="BI120" s="42">
        <f t="shared" si="205"/>
        <v>0</v>
      </c>
      <c r="BJ120" s="44" t="s">
        <v>115</v>
      </c>
      <c r="BK120" s="42">
        <f t="shared" si="102"/>
        <v>0.81692307692307697</v>
      </c>
      <c r="BL120" s="44">
        <v>1</v>
      </c>
      <c r="BM120" s="42" t="str" cm="1">
        <f t="array" ref="BM120">_xlfn.IFS(BD120="NA","NA",BD120&gt;100%,"100%",BD120&lt;100,BD120)</f>
        <v>100%</v>
      </c>
      <c r="BN120" s="42" cm="1">
        <f t="array" ref="BN120">_xlfn.IFS(BF120="NA","NA",BF120&gt;100%,"100%",BF120&lt;100,BF120)</f>
        <v>0</v>
      </c>
      <c r="BO120" s="42" cm="1">
        <f t="array" ref="BO120">_xlfn.IFS(BH120="NA","NA",BH120&gt;100%,"100%",BH120&lt;100,BH120)</f>
        <v>0</v>
      </c>
      <c r="BP120" s="42" t="str" cm="1">
        <f t="array" ref="BP120">_xlfn.IFS(BJ120="NA","NA",BJ120&gt;100%,"100%",BJ120&lt;100,BJ120)</f>
        <v>NA</v>
      </c>
      <c r="BQ120" s="45">
        <v>0.22500000000000001</v>
      </c>
      <c r="BR120" s="43">
        <f t="shared" si="103"/>
        <v>0.18380769230769231</v>
      </c>
      <c r="BS120" s="45">
        <v>8.3799999999999999E-2</v>
      </c>
      <c r="BT120" s="45">
        <v>8.3799999999999999E-2</v>
      </c>
      <c r="BU120" s="45">
        <v>8.6499999999999994E-2</v>
      </c>
      <c r="BV120" s="43">
        <f t="shared" si="206"/>
        <v>4.7076923076923079E-2</v>
      </c>
      <c r="BW120" s="43">
        <f t="shared" si="104"/>
        <v>4.7076923076923079E-2</v>
      </c>
      <c r="BX120" s="43">
        <f t="shared" si="105"/>
        <v>9.7307692307692317E-2</v>
      </c>
      <c r="BY120" s="43">
        <f t="shared" si="207"/>
        <v>4.4307692307692312E-2</v>
      </c>
      <c r="BZ120" s="43">
        <f t="shared" si="208"/>
        <v>0</v>
      </c>
      <c r="CA120" s="43">
        <f t="shared" si="106"/>
        <v>0</v>
      </c>
      <c r="CB120" s="43">
        <f t="shared" si="209"/>
        <v>4.7076923076923079E-2</v>
      </c>
      <c r="CC120" s="43">
        <f t="shared" si="210"/>
        <v>0</v>
      </c>
      <c r="CD120" s="45">
        <v>0</v>
      </c>
      <c r="CE120" s="43">
        <f t="shared" si="211"/>
        <v>0</v>
      </c>
      <c r="CF120" s="43" t="str">
        <f t="shared" si="212"/>
        <v>NA</v>
      </c>
      <c r="CG120" s="45">
        <v>0</v>
      </c>
    </row>
    <row r="121" spans="1:90" ht="18" customHeight="1">
      <c r="A121" s="260" t="s">
        <v>248</v>
      </c>
      <c r="B121" s="260" t="s">
        <v>249</v>
      </c>
      <c r="C121" s="260" t="s">
        <v>100</v>
      </c>
      <c r="D121" s="260" t="s">
        <v>508</v>
      </c>
      <c r="E121" s="260" t="s">
        <v>769</v>
      </c>
      <c r="F121" s="260" t="s">
        <v>770</v>
      </c>
      <c r="G121" s="260" t="s">
        <v>771</v>
      </c>
      <c r="H121" s="260" t="s">
        <v>787</v>
      </c>
      <c r="I121" s="260"/>
      <c r="J121" s="260"/>
      <c r="K121" s="260" t="s">
        <v>788</v>
      </c>
      <c r="L121" s="260" t="s">
        <v>789</v>
      </c>
      <c r="M121" s="260" t="s">
        <v>790</v>
      </c>
      <c r="N121" s="260" t="s">
        <v>111</v>
      </c>
      <c r="O121" s="260" t="s">
        <v>112</v>
      </c>
      <c r="P121" s="10">
        <v>4</v>
      </c>
      <c r="Q121" s="11">
        <v>3</v>
      </c>
      <c r="R121" s="9">
        <f t="shared" si="199"/>
        <v>1</v>
      </c>
      <c r="S121" s="11" t="str">
        <f>VLOOKUP(K121,'1208 Indeportes'!$K$13:$AK$39,9,0)</f>
        <v>La meta está en ejecución y se ha realizado la COFINANCIACIÓN CONVENIO PARA EL DESARROLLO DEL PROYECTO DE JUEGOS INTERCOLEGIADOS CON EL MINISTERIO DEL DEPORTE.</v>
      </c>
      <c r="T121" s="11">
        <v>1</v>
      </c>
      <c r="U121" s="11">
        <v>0</v>
      </c>
      <c r="V121" s="11">
        <v>1</v>
      </c>
      <c r="W121" s="11">
        <v>0</v>
      </c>
      <c r="X121" s="11">
        <v>0</v>
      </c>
      <c r="Y121" s="11">
        <v>0</v>
      </c>
      <c r="Z121" s="11">
        <v>0</v>
      </c>
      <c r="AA121" s="11">
        <v>0</v>
      </c>
      <c r="AB121" s="11" t="s">
        <v>791</v>
      </c>
      <c r="AC121" s="11">
        <v>0</v>
      </c>
      <c r="AD121" s="11">
        <v>1</v>
      </c>
      <c r="AE121" s="11">
        <v>0</v>
      </c>
      <c r="AF121" s="11">
        <f>VLOOKUP(K121,'1208 Indeportes'!$K$13:$AH$39,22,0)</f>
        <v>1</v>
      </c>
      <c r="AG121" s="11">
        <f>VLOOKUP(K121,'1208 Indeportes'!$K$13:$AH$39,23,0)</f>
        <v>0</v>
      </c>
      <c r="AH121" s="9">
        <f t="shared" si="200"/>
        <v>1</v>
      </c>
      <c r="AI121" s="9">
        <f>VLOOKUP(K121,'1208 Indeportes'!$K$13:$AK$39,25,0)</f>
        <v>0</v>
      </c>
      <c r="AJ121" s="9" t="str">
        <f>VLOOKUP(K121,'1208 Indeportes'!$K$13:$AK$39,26,0)</f>
        <v>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 Se adelanto el proceso contractual para realizar las actividades de juzgamiento de las actividades del programa Juegos Intercolegiados Virtuales. De igual manera se destinaron los recursos económicos para suscribir el convenio interadministrativo con el Ministerio del Deporte para realizar el programa de juegos intercolegiados para la presente vigencia.</v>
      </c>
      <c r="AK121" s="9">
        <f>VLOOKUP(K121,'1208 Indeportes'!$K$13:$AK$39,27,0)</f>
        <v>0</v>
      </c>
      <c r="AL121" s="11">
        <v>1</v>
      </c>
      <c r="AM121" s="11">
        <v>0</v>
      </c>
      <c r="AN121" s="11">
        <v>0</v>
      </c>
      <c r="AO121" s="11">
        <v>0</v>
      </c>
      <c r="AP121" s="11">
        <v>0</v>
      </c>
      <c r="AQ121" s="11">
        <v>0</v>
      </c>
      <c r="AR121" s="51">
        <v>151549720</v>
      </c>
      <c r="AS121" s="54">
        <v>0</v>
      </c>
      <c r="AT121" s="54">
        <f t="shared" si="101"/>
        <v>151549720</v>
      </c>
      <c r="AU121" s="51">
        <v>13200000</v>
      </c>
      <c r="AV121" s="89">
        <v>1060000000</v>
      </c>
      <c r="AY121" s="89">
        <v>24970000</v>
      </c>
      <c r="AZ121" s="42">
        <f t="shared" si="201"/>
        <v>0.33333333333333331</v>
      </c>
      <c r="BA121" s="44">
        <v>0.33329999999999999</v>
      </c>
      <c r="BB121" s="44">
        <v>0</v>
      </c>
      <c r="BC121" s="42">
        <f t="shared" si="202"/>
        <v>0.33333333333333331</v>
      </c>
      <c r="BD121" s="42" cm="1">
        <f t="array" ref="BD121">_xlfn.IFS(AD121=0,"NA",AD121&gt;0,AH121/AD121)</f>
        <v>1</v>
      </c>
      <c r="BE121" s="42">
        <f t="shared" si="203"/>
        <v>0.33333333333333331</v>
      </c>
      <c r="BF121" s="44">
        <v>0</v>
      </c>
      <c r="BG121" s="42">
        <f t="shared" si="204"/>
        <v>0</v>
      </c>
      <c r="BH121" s="44" t="s">
        <v>115</v>
      </c>
      <c r="BI121" s="42">
        <f t="shared" si="205"/>
        <v>0</v>
      </c>
      <c r="BJ121" s="44" t="s">
        <v>115</v>
      </c>
      <c r="BK121" s="42">
        <f t="shared" si="102"/>
        <v>0.33333333333333331</v>
      </c>
      <c r="BL121" s="44">
        <v>0</v>
      </c>
      <c r="BM121" s="42" cm="1">
        <f t="array" ref="BM121">_xlfn.IFS(BD121="NA","NA",BD121&gt;100%,"100%",BD121&lt;100,BD121)</f>
        <v>1</v>
      </c>
      <c r="BN121" s="42" cm="1">
        <f t="array" ref="BN121">_xlfn.IFS(BF121="NA","NA",BF121&gt;100%,"100%",BF121&lt;100,BF121)</f>
        <v>0</v>
      </c>
      <c r="BO121" s="42" t="str" cm="1">
        <f t="array" ref="BO121">_xlfn.IFS(BH121="NA","NA",BH121&gt;100%,"100%",BH121&lt;100,BH121)</f>
        <v>NA</v>
      </c>
      <c r="BP121" s="42" t="str" cm="1">
        <f t="array" ref="BP121">_xlfn.IFS(BJ121="NA","NA",BJ121&gt;100%,"100%",BJ121&lt;100,BJ121)</f>
        <v>NA</v>
      </c>
      <c r="BQ121" s="45">
        <v>0.22500000000000001</v>
      </c>
      <c r="BR121" s="43">
        <f t="shared" si="103"/>
        <v>7.4999999999999997E-2</v>
      </c>
      <c r="BS121" s="45">
        <v>7.4999999999999997E-2</v>
      </c>
      <c r="BT121" s="45">
        <v>0</v>
      </c>
      <c r="BU121" s="45">
        <v>0</v>
      </c>
      <c r="BV121" s="43">
        <f t="shared" si="206"/>
        <v>7.4999999999999997E-2</v>
      </c>
      <c r="BW121" s="43">
        <f t="shared" si="104"/>
        <v>7.4999999999999997E-2</v>
      </c>
      <c r="BX121" s="43">
        <f t="shared" si="105"/>
        <v>7.4999999999999997E-2</v>
      </c>
      <c r="BY121" s="43">
        <f t="shared" si="207"/>
        <v>7.4999999999999997E-2</v>
      </c>
      <c r="BZ121" s="43">
        <f t="shared" si="208"/>
        <v>0</v>
      </c>
      <c r="CA121" s="43">
        <f t="shared" si="106"/>
        <v>0</v>
      </c>
      <c r="CB121" s="43">
        <f t="shared" si="209"/>
        <v>0</v>
      </c>
      <c r="CC121" s="43" t="str">
        <f t="shared" si="210"/>
        <v>NA</v>
      </c>
      <c r="CD121" s="45">
        <v>0</v>
      </c>
      <c r="CE121" s="43">
        <f t="shared" si="211"/>
        <v>0</v>
      </c>
      <c r="CF121" s="43" t="str">
        <f t="shared" si="212"/>
        <v>NA</v>
      </c>
      <c r="CG121" s="45">
        <v>0</v>
      </c>
    </row>
    <row r="122" spans="1:90" ht="18" customHeight="1">
      <c r="A122" s="260" t="s">
        <v>248</v>
      </c>
      <c r="B122" s="260" t="s">
        <v>249</v>
      </c>
      <c r="C122" s="260" t="s">
        <v>100</v>
      </c>
      <c r="D122" s="260" t="s">
        <v>508</v>
      </c>
      <c r="E122" s="260" t="s">
        <v>769</v>
      </c>
      <c r="F122" s="260" t="s">
        <v>770</v>
      </c>
      <c r="G122" s="260" t="s">
        <v>771</v>
      </c>
      <c r="H122" s="260" t="s">
        <v>792</v>
      </c>
      <c r="I122" s="260"/>
      <c r="J122" s="260"/>
      <c r="K122" s="260" t="s">
        <v>793</v>
      </c>
      <c r="L122" s="260" t="s">
        <v>794</v>
      </c>
      <c r="M122" s="260" t="s">
        <v>795</v>
      </c>
      <c r="N122" s="260" t="s">
        <v>111</v>
      </c>
      <c r="O122" s="260" t="s">
        <v>112</v>
      </c>
      <c r="P122" s="10">
        <v>580</v>
      </c>
      <c r="Q122" s="11">
        <v>600</v>
      </c>
      <c r="R122" s="9">
        <f t="shared" si="199"/>
        <v>316</v>
      </c>
      <c r="S122" s="11" t="str">
        <f>VLOOKUP(K122,'1208 Indeportes'!$K$13:$AK$39,9,0)</f>
        <v>Se han contratado 93 personas para el apoyo técnico, administrativo y deportivo del Instituto, que permitan fortalecer el desarrollo de todas las actividades contempladas en el plan de desarrollo. Estas personas apoyan las áreas administrativa y financiera y área técnica.</v>
      </c>
      <c r="T122" s="11">
        <v>100</v>
      </c>
      <c r="U122" s="11">
        <v>0</v>
      </c>
      <c r="V122" s="11">
        <v>100</v>
      </c>
      <c r="W122" s="11">
        <v>0</v>
      </c>
      <c r="X122" s="11">
        <v>151</v>
      </c>
      <c r="Y122" s="11">
        <v>0</v>
      </c>
      <c r="Z122" s="11">
        <v>151</v>
      </c>
      <c r="AA122" s="11">
        <v>0</v>
      </c>
      <c r="AB122" s="11" t="s">
        <v>796</v>
      </c>
      <c r="AC122" s="11">
        <v>0</v>
      </c>
      <c r="AD122" s="11">
        <v>150</v>
      </c>
      <c r="AE122" s="11">
        <v>0</v>
      </c>
      <c r="AF122" s="11">
        <f>VLOOKUP(K122,'1208 Indeportes'!$K$13:$AH$39,22,0)</f>
        <v>165</v>
      </c>
      <c r="AG122" s="11">
        <f>VLOOKUP(K122,'1208 Indeportes'!$K$13:$AH$39,23,0)</f>
        <v>0</v>
      </c>
      <c r="AH122" s="9">
        <f t="shared" si="200"/>
        <v>165</v>
      </c>
      <c r="AI122" s="9">
        <f>VLOOKUP(K122,'1208 Indeportes'!$K$13:$AK$39,25,0)</f>
        <v>0</v>
      </c>
      <c r="AJ122" s="9" t="str">
        <f>VLOOKUP(K122,'1208 Indeportes'!$K$13:$AK$39,26,0)</f>
        <v xml:space="preserve">En el componente de alto rendimiento se ha realizado la contratación de 114 personas, con una inversión de $2.753.000.000 distribuido de la siguiente manera: 
94 entrenadores para el deporte de alto rendimiento del departamento, 18 en el sistema paralímpico y 76 en el deporte convencional.
10 profesionales del área metodológica
8 profesionales del área biomédica.
6 profesionales de apoyo administrativo y técnico.
En el componente administrativo y técnico para el desarrollo de los diferentes programas a cargo del instituto se realizó la contratación de 51 personas.
</v>
      </c>
      <c r="AK122" s="9">
        <f>VLOOKUP(K122,'1208 Indeportes'!$K$13:$AK$39,27,0)</f>
        <v>0</v>
      </c>
      <c r="AL122" s="11">
        <v>99</v>
      </c>
      <c r="AM122" s="11">
        <v>0</v>
      </c>
      <c r="AN122" s="11">
        <v>200</v>
      </c>
      <c r="AO122" s="11">
        <v>0</v>
      </c>
      <c r="AP122" s="11">
        <v>0</v>
      </c>
      <c r="AQ122" s="11">
        <v>0</v>
      </c>
      <c r="AR122" s="51">
        <v>1800000000</v>
      </c>
      <c r="AS122" s="54">
        <v>0</v>
      </c>
      <c r="AT122" s="54">
        <f t="shared" si="101"/>
        <v>1800000000</v>
      </c>
      <c r="AU122" s="51">
        <v>1225444539</v>
      </c>
      <c r="AV122" s="89">
        <v>5800000000</v>
      </c>
      <c r="AY122" s="89">
        <v>1120899697</v>
      </c>
      <c r="AZ122" s="42">
        <f t="shared" si="201"/>
        <v>0.52666666666666662</v>
      </c>
      <c r="BA122" s="44">
        <v>0.16669999999999999</v>
      </c>
      <c r="BB122" s="44">
        <v>1.51</v>
      </c>
      <c r="BC122" s="42">
        <f t="shared" si="202"/>
        <v>0.25</v>
      </c>
      <c r="BD122" s="42" cm="1">
        <f t="array" ref="BD122">_xlfn.IFS(AD122=0,"NA",AD122&gt;0,AH122/AD122)</f>
        <v>1.1000000000000001</v>
      </c>
      <c r="BE122" s="42">
        <f t="shared" si="203"/>
        <v>0.16500000000000001</v>
      </c>
      <c r="BF122" s="44">
        <v>0</v>
      </c>
      <c r="BG122" s="42">
        <f t="shared" si="204"/>
        <v>0.33333333333333331</v>
      </c>
      <c r="BH122" s="44">
        <v>0</v>
      </c>
      <c r="BI122" s="42">
        <f t="shared" si="205"/>
        <v>0</v>
      </c>
      <c r="BJ122" s="44" t="s">
        <v>115</v>
      </c>
      <c r="BK122" s="42">
        <f t="shared" si="102"/>
        <v>0.52666666666666662</v>
      </c>
      <c r="BL122" s="44">
        <v>1</v>
      </c>
      <c r="BM122" s="42" t="str" cm="1">
        <f t="array" ref="BM122">_xlfn.IFS(BD122="NA","NA",BD122&gt;100%,"100%",BD122&lt;100,BD122)</f>
        <v>100%</v>
      </c>
      <c r="BN122" s="42" cm="1">
        <f t="array" ref="BN122">_xlfn.IFS(BF122="NA","NA",BF122&gt;100%,"100%",BF122&lt;100,BF122)</f>
        <v>0</v>
      </c>
      <c r="BO122" s="42" cm="1">
        <f t="array" ref="BO122">_xlfn.IFS(BH122="NA","NA",BH122&gt;100%,"100%",BH122&lt;100,BH122)</f>
        <v>0</v>
      </c>
      <c r="BP122" s="42" t="str" cm="1">
        <f t="array" ref="BP122">_xlfn.IFS(BJ122="NA","NA",BJ122&gt;100%,"100%",BJ122&lt;100,BJ122)</f>
        <v>NA</v>
      </c>
      <c r="BQ122" s="45">
        <v>0.22500000000000001</v>
      </c>
      <c r="BR122" s="43">
        <f t="shared" si="103"/>
        <v>0.11849999999999999</v>
      </c>
      <c r="BS122" s="45">
        <v>3.7499999999999999E-2</v>
      </c>
      <c r="BT122" s="45">
        <v>3.7499999999999999E-2</v>
      </c>
      <c r="BU122" s="45">
        <v>5.6599999999999998E-2</v>
      </c>
      <c r="BV122" s="43">
        <f t="shared" si="206"/>
        <v>5.6250000000000001E-2</v>
      </c>
      <c r="BW122" s="43">
        <f t="shared" si="104"/>
        <v>5.6250000000000001E-2</v>
      </c>
      <c r="BX122" s="43">
        <f t="shared" si="105"/>
        <v>6.1899999999999997E-2</v>
      </c>
      <c r="BY122" s="43">
        <f t="shared" si="207"/>
        <v>3.7125000000000005E-2</v>
      </c>
      <c r="BZ122" s="43">
        <f t="shared" si="208"/>
        <v>0</v>
      </c>
      <c r="CA122" s="43">
        <f t="shared" si="106"/>
        <v>0</v>
      </c>
      <c r="CB122" s="43">
        <f t="shared" si="209"/>
        <v>7.4999999999999997E-2</v>
      </c>
      <c r="CC122" s="43">
        <f t="shared" si="210"/>
        <v>0</v>
      </c>
      <c r="CD122" s="45">
        <v>0</v>
      </c>
      <c r="CE122" s="43">
        <f t="shared" si="211"/>
        <v>0</v>
      </c>
      <c r="CF122" s="43" t="str">
        <f t="shared" si="212"/>
        <v>NA</v>
      </c>
      <c r="CG122" s="45">
        <v>0</v>
      </c>
    </row>
    <row r="123" spans="1:90" ht="18" customHeight="1">
      <c r="A123" s="260" t="s">
        <v>292</v>
      </c>
      <c r="B123" s="260" t="s">
        <v>293</v>
      </c>
      <c r="C123" s="260" t="s">
        <v>100</v>
      </c>
      <c r="D123" s="260" t="s">
        <v>508</v>
      </c>
      <c r="E123" s="260" t="s">
        <v>769</v>
      </c>
      <c r="F123" s="260" t="s">
        <v>797</v>
      </c>
      <c r="G123" s="260" t="s">
        <v>798</v>
      </c>
      <c r="H123" s="260" t="s">
        <v>799</v>
      </c>
      <c r="I123" s="260"/>
      <c r="J123" s="260" t="s">
        <v>366</v>
      </c>
      <c r="K123" s="260" t="s">
        <v>800</v>
      </c>
      <c r="L123" s="260" t="s">
        <v>2917</v>
      </c>
      <c r="M123" s="260" t="s">
        <v>802</v>
      </c>
      <c r="N123" s="260" t="s">
        <v>111</v>
      </c>
      <c r="O123" s="260" t="s">
        <v>112</v>
      </c>
      <c r="P123" s="10">
        <v>125</v>
      </c>
      <c r="Q123" s="11">
        <v>200</v>
      </c>
      <c r="R123" s="9">
        <f t="shared" si="199"/>
        <v>199</v>
      </c>
      <c r="S123" s="11" t="str">
        <f>VLOOKUP(K123,'1108 Educación'!$K$13:$AK$40,9,0)</f>
        <v>Se llevó a cabo reuniones con los rectores de las Instituciones Educativas Departamentales articuladas con el SENA, con el ánimo de socializar las condiciones y lineamientos para la vigencia 2021 al igual que el cronograma de matrículas. Se logro apoyar a las IED articuladas con el SENA  que tenian dificultades con la afiliación de los estudiantes.   Se logró dar cobertura con  Administradora de Riesgos Laborales a 6.037 estudiantes de grado 11 de 145 Instituciones Educativas Oficiales  de 60 Municipios del Departamento no certificados en Educacion  con una inversión de $ 194.889.600, permitiendo así que  nuestro aliado el SENA aporte en formación pertinente que haga que los jóvenes tengan un tránsito adecuado a la Educacion Superior o tomar esta formación como herramienta para la Vida productiva, cabe mencionar que de las 145 IED 135 se mentienen y  a 10 se les amplia la cobertura.</v>
      </c>
      <c r="T123" s="11">
        <v>151</v>
      </c>
      <c r="U123" s="11">
        <v>0</v>
      </c>
      <c r="V123" s="11">
        <v>161</v>
      </c>
      <c r="W123" s="11">
        <v>0</v>
      </c>
      <c r="X123" s="11">
        <v>161</v>
      </c>
      <c r="Y123" s="11">
        <v>0</v>
      </c>
      <c r="Z123" s="11">
        <v>161</v>
      </c>
      <c r="AA123" s="11">
        <v>0</v>
      </c>
      <c r="AB123" s="11" t="s">
        <v>803</v>
      </c>
      <c r="AC123" s="11">
        <v>0</v>
      </c>
      <c r="AD123" s="11">
        <v>39</v>
      </c>
      <c r="AE123" s="11">
        <v>0</v>
      </c>
      <c r="AF123" s="11">
        <f>VLOOKUP(K123,'1108 Educación'!$K$13:$AK$40,22,0)</f>
        <v>38</v>
      </c>
      <c r="AG123" s="11">
        <f>VLOOKUP(K123,'1108 Educación'!$K$13:$AK$40,23,0)</f>
        <v>0</v>
      </c>
      <c r="AH123" s="9">
        <f t="shared" si="200"/>
        <v>38</v>
      </c>
      <c r="AI123" s="9">
        <f>VLOOKUP(K123,'1108 Educación'!$K$13:$AK$40,25,0)</f>
        <v>0</v>
      </c>
      <c r="AJ123" s="9" t="str">
        <f>VLOOKUP(K123,'1108 Educación'!$K$13:$AK$40,26,0)</f>
        <v>Se llevó a cabo reuniones con los rectores de las Instituciones Educativas Departamentales articuladas con el SENA, con el ánimo de socializar las condiciones y lineamientos para la vigencia 2021 al igual que el cronograma de matrículas. Se logro apoyar a las IED articuladas con el SENA  que tenian dificultades con la afiliación de los estudiantes. Se logró dar cobertura con  Administradora de Riesgos Laborales a 6.037 estudiantes de grado 11 de 145 Instituciones Educativas Oficiales  de 60 Municipios del Departamento no certificados en Educacion  con una inversión de $ 194.889.600, permitiendo así que  nuestro aliado el SENA aporte en formación pertinente que haga que los jóvenes tengan un tránsito adecuado a la Educacion Superior o tomar esta formación como herramienta para la Vida productiva, cabe mencionar que de las 145 IED 135 se mentienen y  a 10 se les amplia la cobertura.</v>
      </c>
      <c r="AK123" s="9">
        <f>VLOOKUP(K123,'1108 Educación'!$K$13:$AK$40,27,0)</f>
        <v>0</v>
      </c>
      <c r="AL123" s="11">
        <v>99</v>
      </c>
      <c r="AM123" s="11">
        <v>0</v>
      </c>
      <c r="AN123" s="11">
        <v>200</v>
      </c>
      <c r="AO123" s="11">
        <v>0</v>
      </c>
      <c r="AP123" s="11">
        <v>0</v>
      </c>
      <c r="AQ123" s="11">
        <v>0</v>
      </c>
      <c r="AR123" s="52"/>
      <c r="AS123" s="54">
        <v>19000000</v>
      </c>
      <c r="AT123" s="54">
        <f t="shared" si="101"/>
        <v>19000000</v>
      </c>
      <c r="AU123" s="52"/>
      <c r="AV123" s="89">
        <v>0</v>
      </c>
      <c r="AY123" s="89">
        <v>0</v>
      </c>
      <c r="AZ123" s="42">
        <f t="shared" si="201"/>
        <v>0.995</v>
      </c>
      <c r="BA123" s="44">
        <v>0.80500000000000005</v>
      </c>
      <c r="BB123" s="44">
        <v>1</v>
      </c>
      <c r="BC123" s="42">
        <f t="shared" si="202"/>
        <v>0.19500000000000001</v>
      </c>
      <c r="BD123" s="42" cm="1">
        <f t="array" ref="BD123">_xlfn.IFS(AD123=0,"NA",AD123&gt;0,AH123/AD123)</f>
        <v>0.97435897435897434</v>
      </c>
      <c r="BE123" s="42">
        <f t="shared" si="203"/>
        <v>0.495</v>
      </c>
      <c r="BF123" s="44" t="s">
        <v>115</v>
      </c>
      <c r="BG123" s="42">
        <f t="shared" si="204"/>
        <v>1</v>
      </c>
      <c r="BH123" s="44" t="s">
        <v>115</v>
      </c>
      <c r="BI123" s="42">
        <f t="shared" si="205"/>
        <v>0</v>
      </c>
      <c r="BJ123" s="44" t="s">
        <v>115</v>
      </c>
      <c r="BK123" s="42">
        <f t="shared" si="102"/>
        <v>0.995</v>
      </c>
      <c r="BL123" s="44">
        <v>1</v>
      </c>
      <c r="BM123" s="42" cm="1">
        <f t="array" ref="BM123">_xlfn.IFS(BD123="NA","NA",BD123&gt;100%,"100%",BD123&lt;100,BD123)</f>
        <v>0.97435897435897434</v>
      </c>
      <c r="BN123" s="42" t="str" cm="1">
        <f t="array" ref="BN123">_xlfn.IFS(BF123="NA","NA",BF123&gt;100%,"100%",BF123&lt;100,BF123)</f>
        <v>NA</v>
      </c>
      <c r="BO123" s="42" t="str" cm="1">
        <f t="array" ref="BO123">_xlfn.IFS(BH123="NA","NA",BH123&gt;100%,"100%",BH123&lt;100,BH123)</f>
        <v>NA</v>
      </c>
      <c r="BP123" s="42" t="str" cm="1">
        <f t="array" ref="BP123">_xlfn.IFS(BJ123="NA","NA",BJ123&gt;100%,"100%",BJ123&lt;100,BJ123)</f>
        <v>NA</v>
      </c>
      <c r="BQ123" s="45">
        <v>0.22500000000000001</v>
      </c>
      <c r="BR123" s="43">
        <f t="shared" si="103"/>
        <v>0.22387499999999999</v>
      </c>
      <c r="BS123" s="45">
        <v>0.18110000000000001</v>
      </c>
      <c r="BT123" s="45">
        <v>0.18110000000000001</v>
      </c>
      <c r="BU123" s="45">
        <v>0.18110000000000001</v>
      </c>
      <c r="BV123" s="43">
        <f t="shared" si="206"/>
        <v>4.3875000000000004E-2</v>
      </c>
      <c r="BW123" s="43">
        <f t="shared" si="104"/>
        <v>4.2750000000000003E-2</v>
      </c>
      <c r="BX123" s="43">
        <f t="shared" si="105"/>
        <v>4.277499999999998E-2</v>
      </c>
      <c r="BY123" s="43">
        <f t="shared" si="207"/>
        <v>0.11137500000000002</v>
      </c>
      <c r="BZ123" s="43" t="str">
        <f t="shared" si="208"/>
        <v>NA</v>
      </c>
      <c r="CA123" s="43">
        <f t="shared" si="106"/>
        <v>0</v>
      </c>
      <c r="CB123" s="43">
        <f t="shared" si="209"/>
        <v>0.22500000000000001</v>
      </c>
      <c r="CC123" s="43" t="str">
        <f t="shared" si="210"/>
        <v>NA</v>
      </c>
      <c r="CD123" s="45">
        <v>0</v>
      </c>
      <c r="CE123" s="43">
        <f t="shared" si="211"/>
        <v>0</v>
      </c>
      <c r="CF123" s="43" t="str">
        <f t="shared" si="212"/>
        <v>NA</v>
      </c>
      <c r="CG123" s="45">
        <v>0</v>
      </c>
    </row>
    <row r="124" spans="1:90" ht="18" customHeight="1">
      <c r="A124" s="260" t="s">
        <v>292</v>
      </c>
      <c r="B124" s="260" t="s">
        <v>293</v>
      </c>
      <c r="C124" s="260" t="s">
        <v>100</v>
      </c>
      <c r="D124" s="260" t="s">
        <v>508</v>
      </c>
      <c r="E124" s="260" t="s">
        <v>769</v>
      </c>
      <c r="F124" s="260" t="s">
        <v>797</v>
      </c>
      <c r="G124" s="260" t="s">
        <v>798</v>
      </c>
      <c r="H124" s="260" t="s">
        <v>2918</v>
      </c>
      <c r="I124" s="260"/>
      <c r="J124" s="260" t="s">
        <v>366</v>
      </c>
      <c r="K124" s="260" t="s">
        <v>2919</v>
      </c>
      <c r="L124" s="260" t="s">
        <v>2920</v>
      </c>
      <c r="M124" s="260" t="s">
        <v>802</v>
      </c>
      <c r="N124" s="260" t="s">
        <v>111</v>
      </c>
      <c r="O124" s="260" t="s">
        <v>112</v>
      </c>
      <c r="P124" s="10">
        <v>25</v>
      </c>
      <c r="Q124" s="11">
        <v>40</v>
      </c>
      <c r="R124" s="9" t="e">
        <f t="shared" si="199"/>
        <v>#N/A</v>
      </c>
      <c r="S124" s="11" t="e">
        <f>VLOOKUP(K124,'1108 Educación'!$K$13:$AK$40,9,0)</f>
        <v>#N/A</v>
      </c>
      <c r="T124" s="11">
        <v>0</v>
      </c>
      <c r="U124" s="11">
        <v>0</v>
      </c>
      <c r="V124" s="11">
        <v>0</v>
      </c>
      <c r="W124" s="11">
        <v>0</v>
      </c>
      <c r="X124" s="11">
        <v>0</v>
      </c>
      <c r="Y124" s="11">
        <v>0</v>
      </c>
      <c r="Z124" s="11">
        <v>0</v>
      </c>
      <c r="AA124" s="11"/>
      <c r="AB124" s="11"/>
      <c r="AC124" s="11"/>
      <c r="AD124" s="11">
        <v>20</v>
      </c>
      <c r="AE124" s="11">
        <v>0</v>
      </c>
      <c r="AF124" s="11" t="e">
        <f>VLOOKUP(K124,'1108 Educación'!$K$13:$AK$40,22,0)</f>
        <v>#N/A</v>
      </c>
      <c r="AG124" s="11" t="e">
        <f>VLOOKUP(K124,'1108 Educación'!$K$13:$AK$40,23,0)</f>
        <v>#N/A</v>
      </c>
      <c r="AH124" s="9" t="e">
        <f t="shared" si="200"/>
        <v>#N/A</v>
      </c>
      <c r="AI124" s="9" t="e">
        <f>VLOOKUP(K124,'1108 Educación'!$K$13:$AK$40,25,0)</f>
        <v>#N/A</v>
      </c>
      <c r="AJ124" s="9" t="e">
        <f>VLOOKUP(K124,'1108 Educación'!$K$13:$AK$40,26,0)</f>
        <v>#N/A</v>
      </c>
      <c r="AK124" s="9" t="e">
        <f>VLOOKUP(K124,'1108 Educación'!$K$13:$AK$40,27,0)</f>
        <v>#N/A</v>
      </c>
      <c r="AL124" s="11">
        <v>20</v>
      </c>
      <c r="AM124" s="11">
        <v>0</v>
      </c>
      <c r="AN124" s="11">
        <v>0</v>
      </c>
      <c r="AO124" s="11">
        <v>0</v>
      </c>
      <c r="AP124" s="11">
        <v>0</v>
      </c>
      <c r="AQ124" s="11">
        <v>0</v>
      </c>
      <c r="AR124" s="52"/>
      <c r="AS124" s="54">
        <v>0</v>
      </c>
      <c r="AT124" s="54">
        <f t="shared" si="101"/>
        <v>0</v>
      </c>
      <c r="AU124" s="52"/>
      <c r="AV124" s="89">
        <v>0</v>
      </c>
      <c r="AY124" s="89">
        <v>0</v>
      </c>
      <c r="AZ124" s="42" t="e">
        <f t="shared" si="201"/>
        <v>#N/A</v>
      </c>
      <c r="BA124" s="44">
        <v>0</v>
      </c>
      <c r="BB124" s="44" t="s">
        <v>115</v>
      </c>
      <c r="BC124" s="42">
        <f t="shared" si="202"/>
        <v>0.5</v>
      </c>
      <c r="BD124" s="42" t="e" cm="1">
        <f t="array" ref="BD124">_xlfn.IFS(AD124=0,"NA",AD124&gt;0,AH124/AD124)</f>
        <v>#N/A</v>
      </c>
      <c r="BE124" s="42">
        <f t="shared" si="203"/>
        <v>0.5</v>
      </c>
      <c r="BF124" s="44">
        <v>0</v>
      </c>
      <c r="BG124" s="42">
        <f t="shared" si="204"/>
        <v>0</v>
      </c>
      <c r="BH124" s="44" t="s">
        <v>115</v>
      </c>
      <c r="BI124" s="42">
        <f t="shared" si="205"/>
        <v>0</v>
      </c>
      <c r="BJ124" s="44" t="s">
        <v>115</v>
      </c>
      <c r="BK124" s="42" t="e">
        <f t="shared" si="102"/>
        <v>#N/A</v>
      </c>
      <c r="BL124" s="44" t="s">
        <v>115</v>
      </c>
      <c r="BM124" s="42" t="e" cm="1">
        <f t="array" ref="BM124">_xlfn.IFS(BD124="NA","NA",BD124&gt;100%,"100%",BD124&lt;100,BD124)</f>
        <v>#N/A</v>
      </c>
      <c r="BN124" s="42" cm="1">
        <f t="array" ref="BN124">_xlfn.IFS(BF124="NA","NA",BF124&gt;100%,"100%",BF124&lt;100,BF124)</f>
        <v>0</v>
      </c>
      <c r="BO124" s="42" t="str" cm="1">
        <f t="array" ref="BO124">_xlfn.IFS(BH124="NA","NA",BH124&gt;100%,"100%",BH124&lt;100,BH124)</f>
        <v>NA</v>
      </c>
      <c r="BP124" s="42" t="str" cm="1">
        <f t="array" ref="BP124">_xlfn.IFS(BJ124="NA","NA",BJ124&gt;100%,"100%",BJ124&lt;100,BJ124)</f>
        <v>NA</v>
      </c>
      <c r="BQ124" s="45">
        <v>0.22500000000000001</v>
      </c>
      <c r="BR124" s="43" t="e">
        <f t="shared" si="103"/>
        <v>#N/A</v>
      </c>
      <c r="BS124" s="45">
        <v>0</v>
      </c>
      <c r="BT124" s="45" t="s">
        <v>115</v>
      </c>
      <c r="BU124" s="45">
        <v>0</v>
      </c>
      <c r="BV124" s="43">
        <f t="shared" si="206"/>
        <v>0.1125</v>
      </c>
      <c r="BW124" s="43" t="e">
        <f t="shared" si="104"/>
        <v>#N/A</v>
      </c>
      <c r="BX124" s="43" t="e">
        <f t="shared" si="105"/>
        <v>#N/A</v>
      </c>
      <c r="BY124" s="43">
        <f t="shared" si="207"/>
        <v>0.1125</v>
      </c>
      <c r="BZ124" s="43">
        <f t="shared" si="208"/>
        <v>0</v>
      </c>
      <c r="CA124" s="43" t="e">
        <f t="shared" si="106"/>
        <v>#N/A</v>
      </c>
      <c r="CB124" s="43">
        <f t="shared" si="209"/>
        <v>0</v>
      </c>
      <c r="CC124" s="43" t="str">
        <f t="shared" si="210"/>
        <v>NA</v>
      </c>
      <c r="CD124" s="45">
        <v>0</v>
      </c>
      <c r="CE124" s="43">
        <f t="shared" si="211"/>
        <v>0</v>
      </c>
      <c r="CF124" s="43" t="str">
        <f t="shared" si="212"/>
        <v>NA</v>
      </c>
      <c r="CG124" s="45">
        <v>0</v>
      </c>
    </row>
    <row r="125" spans="1:90" ht="18" customHeight="1">
      <c r="A125" s="260" t="s">
        <v>292</v>
      </c>
      <c r="B125" s="260" t="s">
        <v>293</v>
      </c>
      <c r="C125" s="260" t="s">
        <v>100</v>
      </c>
      <c r="D125" s="260" t="s">
        <v>508</v>
      </c>
      <c r="E125" s="260" t="s">
        <v>769</v>
      </c>
      <c r="F125" s="260" t="s">
        <v>797</v>
      </c>
      <c r="G125" s="260" t="s">
        <v>798</v>
      </c>
      <c r="H125" s="260" t="s">
        <v>804</v>
      </c>
      <c r="I125" s="260"/>
      <c r="J125" s="260" t="s">
        <v>366</v>
      </c>
      <c r="K125" s="260" t="s">
        <v>805</v>
      </c>
      <c r="L125" s="260" t="s">
        <v>806</v>
      </c>
      <c r="M125" s="260" t="s">
        <v>807</v>
      </c>
      <c r="N125" s="260" t="s">
        <v>111</v>
      </c>
      <c r="O125" s="260" t="s">
        <v>112</v>
      </c>
      <c r="P125" s="10">
        <v>5662</v>
      </c>
      <c r="Q125" s="11">
        <v>20000</v>
      </c>
      <c r="R125" s="9">
        <f t="shared" si="199"/>
        <v>16000</v>
      </c>
      <c r="S125" s="11" t="str">
        <f>VLOOKUP(K125,'1108 Educación'!$K$13:$AK$40,9,0)</f>
        <v xml:space="preserve">Se ha  logrado entregar 13.592 beneficios a jóvenes  de los municipios de Cundinamarca que han permitido el acceso y la permanencia a la educación superior </v>
      </c>
      <c r="T125" s="11">
        <v>11000</v>
      </c>
      <c r="U125" s="11">
        <v>0</v>
      </c>
      <c r="V125" s="11">
        <v>11442</v>
      </c>
      <c r="W125" s="11">
        <v>0</v>
      </c>
      <c r="X125" s="11">
        <v>11442</v>
      </c>
      <c r="Y125" s="11">
        <v>0</v>
      </c>
      <c r="Z125" s="11">
        <v>11442</v>
      </c>
      <c r="AA125" s="11" t="s">
        <v>808</v>
      </c>
      <c r="AB125" s="11" t="s">
        <v>809</v>
      </c>
      <c r="AC125" s="11">
        <v>0</v>
      </c>
      <c r="AD125" s="11">
        <v>7958</v>
      </c>
      <c r="AE125" s="11">
        <v>0</v>
      </c>
      <c r="AF125" s="11">
        <f>VLOOKUP(K125,'1108 Educación'!$K$13:$AK$40,22,0)</f>
        <v>4558</v>
      </c>
      <c r="AG125" s="11">
        <f>VLOOKUP(K125,'1108 Educación'!$K$13:$AK$40,23,0)</f>
        <v>4206</v>
      </c>
      <c r="AH125" s="9">
        <f t="shared" si="200"/>
        <v>4558</v>
      </c>
      <c r="AI125" s="9">
        <f>VLOOKUP(K125,'1108 Educación'!$K$13:$AK$40,25,0)</f>
        <v>0</v>
      </c>
      <c r="AJ125" s="9" t="str">
        <f>VLOOKUP(K125,'1108 Educación'!$K$13:$AK$40,26,0)</f>
        <v>Con los programas de acceso y permanencia en la educación superior se ha logrado la asignación de 7658 beneficios. 604 beneficios a través del Fondo Transformando Vidas, 46 beneficios a través de la alianza 4x1 y 7008 a través del convenio 098 de 2021 de gratuidad con la Universidad de Cundinamarca para el mes de octubre se dio Inicio a una nueva convocatoria de la Alianza 4x1 opcion de Vida la cual se aperturo desde el 30 de septiembre y cierra el  31 de marzo de 2022 o hasta agotar recursos, igualmente se estan realizando los tramites administrativos correspondiente para realizar otro SI de la adicion al convenio por valor de $2.000.000.000.Se publico el Listado Final de posibles beneficiarios de la convocatoria 2021-2 del Fondo Transformando Vidas, quedando pendiente el informe de los jovenes que perfeccionaron el beneficio quienes son los que finalmente se denominan como beneficiarios del Fondo.</v>
      </c>
      <c r="AK125" s="9">
        <f>VLOOKUP(K125,'1108 Educación'!$K$13:$AK$40,27,0)</f>
        <v>0</v>
      </c>
      <c r="AL125" s="11">
        <v>300</v>
      </c>
      <c r="AM125" s="11">
        <v>0</v>
      </c>
      <c r="AN125" s="11">
        <v>300</v>
      </c>
      <c r="AO125" s="11">
        <v>0</v>
      </c>
      <c r="AP125" s="11">
        <v>0</v>
      </c>
      <c r="AQ125" s="11">
        <v>0</v>
      </c>
      <c r="AR125" s="52"/>
      <c r="AS125" s="54">
        <v>3964489300</v>
      </c>
      <c r="AT125" s="54">
        <f t="shared" si="101"/>
        <v>3964489300</v>
      </c>
      <c r="AU125" s="52"/>
      <c r="AV125" s="89">
        <v>6157558155</v>
      </c>
      <c r="AY125" s="89">
        <v>0</v>
      </c>
      <c r="AZ125" s="42">
        <f t="shared" si="201"/>
        <v>0.8</v>
      </c>
      <c r="BA125" s="44">
        <v>0.57210000000000005</v>
      </c>
      <c r="BB125" s="44">
        <v>1</v>
      </c>
      <c r="BC125" s="42">
        <f t="shared" si="202"/>
        <v>0.39789999999999998</v>
      </c>
      <c r="BD125" s="42" cm="1">
        <f t="array" ref="BD125">_xlfn.IFS(AD125=0,"NA",AD125&gt;0,AH125/AD125)</f>
        <v>0.57275697411409898</v>
      </c>
      <c r="BE125" s="42">
        <f t="shared" si="203"/>
        <v>1.4999999999999999E-2</v>
      </c>
      <c r="BF125" s="44">
        <v>0</v>
      </c>
      <c r="BG125" s="42">
        <f t="shared" si="204"/>
        <v>1.4999999999999999E-2</v>
      </c>
      <c r="BH125" s="44">
        <v>0</v>
      </c>
      <c r="BI125" s="42">
        <f t="shared" si="205"/>
        <v>0</v>
      </c>
      <c r="BJ125" s="44" t="s">
        <v>115</v>
      </c>
      <c r="BK125" s="42">
        <f t="shared" si="102"/>
        <v>0.8</v>
      </c>
      <c r="BL125" s="44">
        <v>1</v>
      </c>
      <c r="BM125" s="42" cm="1">
        <f t="array" ref="BM125">_xlfn.IFS(BD125="NA","NA",BD125&gt;100%,"100%",BD125&lt;100,BD125)</f>
        <v>0.57275697411409898</v>
      </c>
      <c r="BN125" s="42" cm="1">
        <f t="array" ref="BN125">_xlfn.IFS(BF125="NA","NA",BF125&gt;100%,"100%",BF125&lt;100,BF125)</f>
        <v>0</v>
      </c>
      <c r="BO125" s="42" cm="1">
        <f t="array" ref="BO125">_xlfn.IFS(BH125="NA","NA",BH125&gt;100%,"100%",BH125&lt;100,BH125)</f>
        <v>0</v>
      </c>
      <c r="BP125" s="42" t="str" cm="1">
        <f t="array" ref="BP125">_xlfn.IFS(BJ125="NA","NA",BJ125&gt;100%,"100%",BJ125&lt;100,BJ125)</f>
        <v>NA</v>
      </c>
      <c r="BQ125" s="45">
        <v>0.22500000000000001</v>
      </c>
      <c r="BR125" s="43">
        <f t="shared" si="103"/>
        <v>0.18000000000000002</v>
      </c>
      <c r="BS125" s="45">
        <v>0.12870000000000001</v>
      </c>
      <c r="BT125" s="45">
        <v>0.12870000000000001</v>
      </c>
      <c r="BU125" s="45">
        <v>0.12870000000000001</v>
      </c>
      <c r="BV125" s="43">
        <f t="shared" si="206"/>
        <v>8.9527499999999996E-2</v>
      </c>
      <c r="BW125" s="43">
        <f t="shared" si="104"/>
        <v>5.1277499999999997E-2</v>
      </c>
      <c r="BX125" s="43">
        <f t="shared" si="105"/>
        <v>5.1300000000000012E-2</v>
      </c>
      <c r="BY125" s="43">
        <f t="shared" si="207"/>
        <v>3.375E-3</v>
      </c>
      <c r="BZ125" s="43">
        <f t="shared" si="208"/>
        <v>0</v>
      </c>
      <c r="CA125" s="43">
        <f t="shared" si="106"/>
        <v>0</v>
      </c>
      <c r="CB125" s="43">
        <f t="shared" si="209"/>
        <v>3.375E-3</v>
      </c>
      <c r="CC125" s="43">
        <f t="shared" si="210"/>
        <v>0</v>
      </c>
      <c r="CD125" s="45">
        <v>0</v>
      </c>
      <c r="CE125" s="43">
        <f t="shared" si="211"/>
        <v>0</v>
      </c>
      <c r="CF125" s="43" t="str">
        <f t="shared" si="212"/>
        <v>NA</v>
      </c>
      <c r="CG125" s="45">
        <v>0</v>
      </c>
    </row>
    <row r="126" spans="1:90" ht="18" customHeight="1">
      <c r="A126" s="260" t="s">
        <v>292</v>
      </c>
      <c r="B126" s="260" t="s">
        <v>293</v>
      </c>
      <c r="C126" s="260" t="s">
        <v>100</v>
      </c>
      <c r="D126" s="260" t="s">
        <v>508</v>
      </c>
      <c r="E126" s="260" t="s">
        <v>769</v>
      </c>
      <c r="F126" s="260" t="s">
        <v>797</v>
      </c>
      <c r="G126" s="260" t="s">
        <v>798</v>
      </c>
      <c r="H126" s="260" t="s">
        <v>2921</v>
      </c>
      <c r="I126" s="260"/>
      <c r="J126" s="260" t="s">
        <v>366</v>
      </c>
      <c r="K126" s="260" t="s">
        <v>2922</v>
      </c>
      <c r="L126" s="260" t="s">
        <v>2923</v>
      </c>
      <c r="M126" s="260" t="s">
        <v>2924</v>
      </c>
      <c r="N126" s="260" t="s">
        <v>111</v>
      </c>
      <c r="O126" s="260" t="s">
        <v>112</v>
      </c>
      <c r="P126" s="10">
        <v>3120</v>
      </c>
      <c r="Q126" s="11">
        <v>4000</v>
      </c>
      <c r="R126" s="9" t="e">
        <f t="shared" si="199"/>
        <v>#N/A</v>
      </c>
      <c r="S126" s="11" t="e">
        <f>VLOOKUP(K126,'1108 Educación'!$K$13:$AK$40,9,0)</f>
        <v>#N/A</v>
      </c>
      <c r="T126" s="11">
        <v>0</v>
      </c>
      <c r="U126" s="11">
        <v>0</v>
      </c>
      <c r="V126" s="11">
        <v>0</v>
      </c>
      <c r="W126" s="11">
        <v>0</v>
      </c>
      <c r="X126" s="11">
        <v>0</v>
      </c>
      <c r="Y126" s="11">
        <v>0</v>
      </c>
      <c r="Z126" s="11">
        <v>0</v>
      </c>
      <c r="AA126" s="11"/>
      <c r="AB126" s="11"/>
      <c r="AC126" s="11"/>
      <c r="AD126" s="11">
        <v>0</v>
      </c>
      <c r="AE126" s="11">
        <v>0</v>
      </c>
      <c r="AF126" s="11" t="e">
        <f>VLOOKUP(K126,'1108 Educación'!$K$13:$AK$40,22,0)</f>
        <v>#N/A</v>
      </c>
      <c r="AG126" s="11" t="e">
        <f>VLOOKUP(K126,'1108 Educación'!$K$13:$AK$40,23,0)</f>
        <v>#N/A</v>
      </c>
      <c r="AH126" s="9" t="e">
        <f t="shared" si="200"/>
        <v>#N/A</v>
      </c>
      <c r="AI126" s="9" t="e">
        <f>VLOOKUP(K126,'1108 Educación'!$K$13:$AK$40,25,0)</f>
        <v>#N/A</v>
      </c>
      <c r="AJ126" s="9" t="e">
        <f>VLOOKUP(K126,'1108 Educación'!$K$13:$AK$40,26,0)</f>
        <v>#N/A</v>
      </c>
      <c r="AK126" s="9" t="e">
        <f>VLOOKUP(K126,'1108 Educación'!$K$13:$AK$40,27,0)</f>
        <v>#N/A</v>
      </c>
      <c r="AL126" s="11">
        <v>2500</v>
      </c>
      <c r="AM126" s="11">
        <v>0</v>
      </c>
      <c r="AN126" s="11">
        <v>1500</v>
      </c>
      <c r="AO126" s="11">
        <v>0</v>
      </c>
      <c r="AP126" s="11">
        <v>0</v>
      </c>
      <c r="AQ126" s="11">
        <v>0</v>
      </c>
      <c r="AR126" s="52"/>
      <c r="AS126" s="54">
        <v>0</v>
      </c>
      <c r="AT126" s="54">
        <f t="shared" si="101"/>
        <v>0</v>
      </c>
      <c r="AU126" s="52"/>
      <c r="AV126" s="89">
        <v>0</v>
      </c>
      <c r="AY126" s="89">
        <v>0</v>
      </c>
      <c r="AZ126" s="42" t="e">
        <f t="shared" si="201"/>
        <v>#N/A</v>
      </c>
      <c r="BA126" s="44">
        <v>0</v>
      </c>
      <c r="BB126" s="44" t="s">
        <v>115</v>
      </c>
      <c r="BC126" s="42">
        <f t="shared" si="202"/>
        <v>0</v>
      </c>
      <c r="BD126" s="42" t="str" cm="1">
        <f t="array" ref="BD126">_xlfn.IFS(AD126=0,"NA",AD126&gt;0,AH126/AD126)</f>
        <v>NA</v>
      </c>
      <c r="BE126" s="42">
        <f t="shared" si="203"/>
        <v>0.625</v>
      </c>
      <c r="BF126" s="44">
        <v>0</v>
      </c>
      <c r="BG126" s="42">
        <f t="shared" si="204"/>
        <v>0.375</v>
      </c>
      <c r="BH126" s="44">
        <v>0</v>
      </c>
      <c r="BI126" s="42">
        <f t="shared" si="205"/>
        <v>0</v>
      </c>
      <c r="BJ126" s="44" t="s">
        <v>115</v>
      </c>
      <c r="BK126" s="42" t="e">
        <f t="shared" si="102"/>
        <v>#N/A</v>
      </c>
      <c r="BL126" s="44" t="s">
        <v>115</v>
      </c>
      <c r="BM126" s="42" t="str" cm="1">
        <f t="array" ref="BM126">_xlfn.IFS(BD126="NA","NA",BD126&gt;100%,"100%",BD126&lt;100,BD126)</f>
        <v>NA</v>
      </c>
      <c r="BN126" s="42" cm="1">
        <f t="array" ref="BN126">_xlfn.IFS(BF126="NA","NA",BF126&gt;100%,"100%",BF126&lt;100,BF126)</f>
        <v>0</v>
      </c>
      <c r="BO126" s="42" cm="1">
        <f t="array" ref="BO126">_xlfn.IFS(BH126="NA","NA",BH126&gt;100%,"100%",BH126&lt;100,BH126)</f>
        <v>0</v>
      </c>
      <c r="BP126" s="42" t="str" cm="1">
        <f t="array" ref="BP126">_xlfn.IFS(BJ126="NA","NA",BJ126&gt;100%,"100%",BJ126&lt;100,BJ126)</f>
        <v>NA</v>
      </c>
      <c r="BQ126" s="45">
        <v>0.22500000000000001</v>
      </c>
      <c r="BR126" s="43" t="e">
        <f t="shared" si="103"/>
        <v>#N/A</v>
      </c>
      <c r="BS126" s="45">
        <v>0</v>
      </c>
      <c r="BT126" s="45" t="s">
        <v>115</v>
      </c>
      <c r="BU126" s="45">
        <v>0</v>
      </c>
      <c r="BV126" s="43">
        <f t="shared" si="206"/>
        <v>0</v>
      </c>
      <c r="BW126" s="43" t="str">
        <f t="shared" si="104"/>
        <v>NA</v>
      </c>
      <c r="BX126" s="43" t="e">
        <f t="shared" si="105"/>
        <v>#N/A</v>
      </c>
      <c r="BY126" s="43">
        <f t="shared" si="207"/>
        <v>0.140625</v>
      </c>
      <c r="BZ126" s="43">
        <f t="shared" si="208"/>
        <v>0</v>
      </c>
      <c r="CA126" s="43" t="e">
        <f t="shared" si="106"/>
        <v>#N/A</v>
      </c>
      <c r="CB126" s="43">
        <f t="shared" si="209"/>
        <v>8.4375000000000006E-2</v>
      </c>
      <c r="CC126" s="43">
        <f t="shared" si="210"/>
        <v>0</v>
      </c>
      <c r="CD126" s="45">
        <v>0</v>
      </c>
      <c r="CE126" s="43">
        <f t="shared" si="211"/>
        <v>0</v>
      </c>
      <c r="CF126" s="43" t="str">
        <f t="shared" si="212"/>
        <v>NA</v>
      </c>
      <c r="CG126" s="45">
        <v>0</v>
      </c>
    </row>
    <row r="127" spans="1:90" ht="18" customHeight="1">
      <c r="A127" s="260" t="s">
        <v>98</v>
      </c>
      <c r="B127" s="260" t="s">
        <v>99</v>
      </c>
      <c r="C127" s="260" t="s">
        <v>100</v>
      </c>
      <c r="D127" s="260" t="s">
        <v>508</v>
      </c>
      <c r="E127" s="260" t="s">
        <v>769</v>
      </c>
      <c r="F127" s="260" t="s">
        <v>810</v>
      </c>
      <c r="G127" s="260" t="s">
        <v>811</v>
      </c>
      <c r="H127" s="260" t="s">
        <v>812</v>
      </c>
      <c r="I127" s="260"/>
      <c r="J127" s="260" t="s">
        <v>298</v>
      </c>
      <c r="K127" s="260" t="s">
        <v>813</v>
      </c>
      <c r="L127" s="260" t="s">
        <v>814</v>
      </c>
      <c r="M127" s="260" t="s">
        <v>815</v>
      </c>
      <c r="N127" s="260" t="s">
        <v>111</v>
      </c>
      <c r="O127" s="260" t="s">
        <v>112</v>
      </c>
      <c r="P127" s="10">
        <v>37</v>
      </c>
      <c r="Q127" s="11">
        <v>16</v>
      </c>
      <c r="R127" s="9">
        <f t="shared" si="199"/>
        <v>8</v>
      </c>
      <c r="S127" s="9" t="str">
        <f>VLOOKUP(K127,'1197 Salud'!$K$13:$AK$54,9,0)</f>
        <v>Se realiza la implementación de servicios amigables en el municipio de La Palma  y se realizá seguimiento a  25 ESE Departamentales en SSAAJ.  
Se realiza proceso de asistencia tecnica y verificacion del funcionamiento de los servicios amigables para adolescentes y jovenes en los 7 municipios priorizados para el 2021: Suesca, Guatavita, Une, Nemocon, Sopo, Carmen de Carupa, Tausa</v>
      </c>
      <c r="T127" s="11">
        <v>1</v>
      </c>
      <c r="U127" s="11">
        <v>0</v>
      </c>
      <c r="V127" s="11">
        <v>1</v>
      </c>
      <c r="W127" s="11">
        <v>0</v>
      </c>
      <c r="X127" s="11">
        <v>1</v>
      </c>
      <c r="Y127" s="11">
        <v>0</v>
      </c>
      <c r="Z127" s="11">
        <v>1</v>
      </c>
      <c r="AA127" s="11" t="s">
        <v>816</v>
      </c>
      <c r="AB127" s="11" t="s">
        <v>817</v>
      </c>
      <c r="AC127" s="11" t="s">
        <v>818</v>
      </c>
      <c r="AD127" s="11">
        <v>7</v>
      </c>
      <c r="AE127" s="11">
        <v>0</v>
      </c>
      <c r="AF127" s="9">
        <f>VLOOKUP(K127,'1197 Salud'!$K$13:$AK$54,22,0)</f>
        <v>7</v>
      </c>
      <c r="AG127" s="9">
        <f>VLOOKUP(K127,'1197 Salud'!$K$13:$AK$54,23,0)</f>
        <v>0</v>
      </c>
      <c r="AH127" s="9">
        <f t="shared" si="200"/>
        <v>7</v>
      </c>
      <c r="AI127" s="9" t="str">
        <f>VLOOKUP(K127,'1197 Salud'!$K$13:$AK$54,25,0)</f>
        <v>IPS de la red Publica con SSAAJ implementados</v>
      </c>
      <c r="AJ127" s="9" t="str">
        <f>VLOOKUP(K127,'1197 Salud'!$K$13:$AK$54,26,0)</f>
        <v>Se realiza la implementación de servicios amigables en el municipio de La Palma  y se realizá seguimiento a  25 ESE Departamentales en SSAAJ.  
Se realiza proceso de asistencia tecnica y verificacion del funcionamiento de los servicios amigables para adolescentes y jovenes en los 7 municipios priorizados para el 2021: Suesca, Guatavita, Une, Nemocon, Sopo, Carmen de Carupa, Tausa</v>
      </c>
      <c r="AK127" s="9" t="str">
        <f>VLOOKUP(K127,'1197 Salud'!$K$13:$AK$54,27,0)</f>
        <v>Demoras administrativas</v>
      </c>
      <c r="AL127" s="11">
        <v>7</v>
      </c>
      <c r="AM127" s="11">
        <v>0</v>
      </c>
      <c r="AN127" s="11">
        <v>1</v>
      </c>
      <c r="AO127" s="11">
        <v>0</v>
      </c>
      <c r="AP127" s="11">
        <v>0</v>
      </c>
      <c r="AQ127" s="11">
        <v>0</v>
      </c>
      <c r="AR127" s="51">
        <v>1005100000</v>
      </c>
      <c r="AS127" s="54">
        <v>0</v>
      </c>
      <c r="AT127" s="54">
        <f t="shared" si="101"/>
        <v>1005100000</v>
      </c>
      <c r="AU127" s="51">
        <v>934699410</v>
      </c>
      <c r="AV127" s="89">
        <v>1075716769</v>
      </c>
      <c r="AY127" s="89">
        <v>204985202</v>
      </c>
      <c r="AZ127" s="42">
        <f t="shared" si="201"/>
        <v>0.5</v>
      </c>
      <c r="BA127" s="44">
        <v>6.25E-2</v>
      </c>
      <c r="BB127" s="44">
        <v>1</v>
      </c>
      <c r="BC127" s="42">
        <f t="shared" si="202"/>
        <v>0.4375</v>
      </c>
      <c r="BD127" s="42" cm="1">
        <f t="array" ref="BD127">_xlfn.IFS(AD127=0,"NA",AD127&gt;0,AH127/AD127)</f>
        <v>1</v>
      </c>
      <c r="BE127" s="42">
        <f t="shared" si="203"/>
        <v>0.4375</v>
      </c>
      <c r="BF127" s="44">
        <v>0</v>
      </c>
      <c r="BG127" s="42">
        <f t="shared" si="204"/>
        <v>6.25E-2</v>
      </c>
      <c r="BH127" s="44">
        <v>0</v>
      </c>
      <c r="BI127" s="42">
        <f t="shared" si="205"/>
        <v>0</v>
      </c>
      <c r="BJ127" s="44" t="s">
        <v>115</v>
      </c>
      <c r="BK127" s="42">
        <f t="shared" si="102"/>
        <v>0.5</v>
      </c>
      <c r="BL127" s="44">
        <v>1</v>
      </c>
      <c r="BM127" s="42" cm="1">
        <f t="array" ref="BM127">_xlfn.IFS(BD127="NA","NA",BD127&gt;100%,"100%",BD127&lt;100,BD127)</f>
        <v>1</v>
      </c>
      <c r="BN127" s="42" cm="1">
        <f t="array" ref="BN127">_xlfn.IFS(BF127="NA","NA",BF127&gt;100%,"100%",BF127&lt;100,BF127)</f>
        <v>0</v>
      </c>
      <c r="BO127" s="42" cm="1">
        <f t="array" ref="BO127">_xlfn.IFS(BH127="NA","NA",BH127&gt;100%,"100%",BH127&lt;100,BH127)</f>
        <v>0</v>
      </c>
      <c r="BP127" s="42" t="str" cm="1">
        <f t="array" ref="BP127">_xlfn.IFS(BJ127="NA","NA",BJ127&gt;100%,"100%",BJ127&lt;100,BJ127)</f>
        <v>NA</v>
      </c>
      <c r="BQ127" s="45">
        <v>0.22500000000000001</v>
      </c>
      <c r="BR127" s="43">
        <f t="shared" si="103"/>
        <v>0.1125</v>
      </c>
      <c r="BS127" s="45">
        <v>1.41E-2</v>
      </c>
      <c r="BT127" s="45">
        <v>1.41E-2</v>
      </c>
      <c r="BU127" s="45">
        <v>1.41E-2</v>
      </c>
      <c r="BV127" s="43">
        <f t="shared" si="206"/>
        <v>9.8437499999999997E-2</v>
      </c>
      <c r="BW127" s="43">
        <f t="shared" si="104"/>
        <v>9.8437499999999997E-2</v>
      </c>
      <c r="BX127" s="43">
        <f t="shared" si="105"/>
        <v>9.8400000000000001E-2</v>
      </c>
      <c r="BY127" s="43">
        <f t="shared" si="207"/>
        <v>9.8437499999999997E-2</v>
      </c>
      <c r="BZ127" s="43">
        <f t="shared" si="208"/>
        <v>0</v>
      </c>
      <c r="CA127" s="43">
        <f t="shared" si="106"/>
        <v>0</v>
      </c>
      <c r="CB127" s="43">
        <f t="shared" si="209"/>
        <v>1.40625E-2</v>
      </c>
      <c r="CC127" s="43">
        <f t="shared" si="210"/>
        <v>0</v>
      </c>
      <c r="CD127" s="45">
        <v>0</v>
      </c>
      <c r="CE127" s="43">
        <f t="shared" si="211"/>
        <v>0</v>
      </c>
      <c r="CF127" s="43" t="str">
        <f t="shared" si="212"/>
        <v>NA</v>
      </c>
      <c r="CG127" s="45">
        <v>0</v>
      </c>
    </row>
    <row r="128" spans="1:90" ht="18" customHeight="1">
      <c r="A128" s="260" t="s">
        <v>221</v>
      </c>
      <c r="B128" s="260" t="s">
        <v>222</v>
      </c>
      <c r="C128" s="260" t="s">
        <v>100</v>
      </c>
      <c r="D128" s="260" t="s">
        <v>508</v>
      </c>
      <c r="E128" s="260" t="s">
        <v>769</v>
      </c>
      <c r="F128" s="260" t="s">
        <v>819</v>
      </c>
      <c r="G128" s="260" t="s">
        <v>820</v>
      </c>
      <c r="H128" s="260" t="s">
        <v>821</v>
      </c>
      <c r="I128" s="260"/>
      <c r="J128" s="260"/>
      <c r="K128" s="260" t="s">
        <v>822</v>
      </c>
      <c r="L128" s="260" t="s">
        <v>2925</v>
      </c>
      <c r="M128" s="260" t="s">
        <v>824</v>
      </c>
      <c r="N128" s="260" t="s">
        <v>111</v>
      </c>
      <c r="O128" s="260" t="s">
        <v>112</v>
      </c>
      <c r="P128" s="10">
        <v>15</v>
      </c>
      <c r="Q128" s="11">
        <v>20</v>
      </c>
      <c r="R128" s="9">
        <f t="shared" ca="1" si="199"/>
        <v>19</v>
      </c>
      <c r="S128" s="11" t="str">
        <f ca="1">VLOOKUP(K128,'1220 IDECUT'!$K$13:$AK$48,9,0)</f>
        <v xml:space="preserve">Durante la vigencia 2020 se brindó acompañamiento técnico a 7 procesos bandísticos ( 1.	Sección o familia de las maderas agudas: bandas infantiles y juveniles 2. sección o familia de las maderas graves: bandas infantiles y juveniles 3. sección o familia de bronces agudos: bandas infantiles y juveniles 4. sección o familia de bronces graves: bandas infantiles y juveniles 5. sección o familia de percusión latina y folclórica: bandas infantiles y juveniles. 6. sección o familia de percusion sinfónica: bandas infantiles y juveniles 7. sección o familia de cuerdas frotadas) en  60 municipios, beneficiando a 1.000 integrantes de las agrupaciones bandísticas y sus 60 maestros formadores, a través de la conformación de la banda sinfónica juvenil de Cundinamarca, la cual se dio mediante Resoluciones 155 de 28 de julio 2020 y 190 del 11 de septiembre de 2020  y se dio la contratación de cuarenta (40) músicos instrumentistas, siete (7) músicos profesionales, un (1) director y demás equipo de apoyo para su funcionamiento. Igualmente, la banda acompañó algunos eventos culturales desarrollados en el departamento y en entidades donde fue invitada. En lo corrido de 2021. Acompañamiento a procesos bandistico musical:
Bandas muestra o prebandas
Bandas infantiles
Bandas juveniles
Bandas libres o mayores
Bandas fiesteras
Bandas sinfónicas y especiales
Orquesta de cuerdas pulsadas
Coros 
Beneficiando a 65 municipios de 6, 5 y 4 categoría. A la fecha hemos atendido a más de 1200 personas con la Banda Sinfónica Juvenil de Cundinamarca. </v>
      </c>
      <c r="T128" s="11">
        <v>2</v>
      </c>
      <c r="U128" s="11">
        <v>0</v>
      </c>
      <c r="V128" s="11">
        <v>2</v>
      </c>
      <c r="W128" s="11">
        <v>0</v>
      </c>
      <c r="X128" s="11">
        <v>7</v>
      </c>
      <c r="Y128" s="11">
        <v>0</v>
      </c>
      <c r="Z128" s="11">
        <v>7</v>
      </c>
      <c r="AA128" s="11" t="s">
        <v>825</v>
      </c>
      <c r="AB128" s="11" t="s">
        <v>826</v>
      </c>
      <c r="AC128" s="11" t="s">
        <v>827</v>
      </c>
      <c r="AD128" s="11">
        <v>6</v>
      </c>
      <c r="AE128" s="11">
        <v>0</v>
      </c>
      <c r="AF128" s="11">
        <f ca="1">VLOOKUP(K128,'1220 IDECUT'!$K$13:$AK$48,22,0)</f>
        <v>12</v>
      </c>
      <c r="AG128" s="11">
        <f ca="1">VLOOKUP(K128,'1220 IDECUT'!$K$13:$AK$48,23,0)</f>
        <v>0</v>
      </c>
      <c r="AH128" s="9">
        <f t="shared" ca="1" si="200"/>
        <v>12</v>
      </c>
      <c r="AI128" s="9" t="str">
        <f ca="1">VLOOKUP(K128,'1220 IDECUT'!$K$13:$AK$48,25,0)</f>
        <v>Asistencia tecnica proceso de formacion</v>
      </c>
      <c r="AJ128" s="9" t="str">
        <f ca="1">VLOOKUP(K128,'1220 IDECUT'!$K$13:$AK$48,26,0)</f>
        <v xml:space="preserve">Acompañamiento a procesos bandistico musical:
Bandas muestra o prebandas
Bandas infantiles
Bandas juveniles
Bandas libres o mayores Bandas fiesteras
Bandas sinfónicas y especiales
Orquesta de cuerdas pulsadas
Coros 
Beneficiando a 65 municipios de 6, 5 y 4 categoría. A la fecha hemos atendido a más de 1200 personas con la Banda Sinfónica Juvenil de Cundinamarca. </v>
      </c>
      <c r="AK128" s="9">
        <f ca="1">VLOOKUP(K128,'1220 IDECUT'!$K$13:$AK$48,27,0)</f>
        <v>0</v>
      </c>
      <c r="AL128" s="11">
        <v>6</v>
      </c>
      <c r="AM128" s="11">
        <v>0</v>
      </c>
      <c r="AN128" s="11">
        <v>6</v>
      </c>
      <c r="AO128" s="11">
        <v>0</v>
      </c>
      <c r="AP128" s="11">
        <v>0</v>
      </c>
      <c r="AQ128" s="11">
        <v>0</v>
      </c>
      <c r="AR128" s="51">
        <v>320000000</v>
      </c>
      <c r="AS128" s="54">
        <v>0</v>
      </c>
      <c r="AT128" s="54">
        <f t="shared" si="101"/>
        <v>320000000</v>
      </c>
      <c r="AU128" s="51">
        <v>320000000</v>
      </c>
      <c r="AV128" s="89">
        <v>600000000</v>
      </c>
      <c r="AY128" s="89">
        <v>471800000</v>
      </c>
      <c r="AZ128" s="42">
        <f t="shared" ca="1" si="201"/>
        <v>0.95</v>
      </c>
      <c r="BA128" s="44">
        <v>0.1</v>
      </c>
      <c r="BB128" s="44">
        <v>3.5</v>
      </c>
      <c r="BC128" s="42">
        <f t="shared" si="202"/>
        <v>0.3</v>
      </c>
      <c r="BD128" s="42" cm="1">
        <f t="array" aca="1" ref="BD128" ca="1">_xlfn.IFS(AD128=0,"NA",AD128&gt;0,AH128/AD128)</f>
        <v>2</v>
      </c>
      <c r="BE128" s="42">
        <f t="shared" si="203"/>
        <v>0.3</v>
      </c>
      <c r="BF128" s="44">
        <v>0</v>
      </c>
      <c r="BG128" s="42">
        <f t="shared" si="204"/>
        <v>0.3</v>
      </c>
      <c r="BH128" s="44">
        <v>0</v>
      </c>
      <c r="BI128" s="42">
        <f t="shared" si="205"/>
        <v>0</v>
      </c>
      <c r="BJ128" s="44" t="s">
        <v>115</v>
      </c>
      <c r="BK128" s="42">
        <f t="shared" ca="1" si="102"/>
        <v>0.95</v>
      </c>
      <c r="BL128" s="44">
        <v>1</v>
      </c>
      <c r="BM128" s="42" t="str" cm="1">
        <f t="array" aca="1" ref="BM128" ca="1">_xlfn.IFS(BD128="NA","NA",BD128&gt;100%,"100%",BD128&lt;100,BD128)</f>
        <v>100%</v>
      </c>
      <c r="BN128" s="42" cm="1">
        <f t="array" ref="BN128">_xlfn.IFS(BF128="NA","NA",BF128&gt;100%,"100%",BF128&lt;100,BF128)</f>
        <v>0</v>
      </c>
      <c r="BO128" s="42" cm="1">
        <f t="array" ref="BO128">_xlfn.IFS(BH128="NA","NA",BH128&gt;100%,"100%",BH128&lt;100,BH128)</f>
        <v>0</v>
      </c>
      <c r="BP128" s="42" t="str" cm="1">
        <f t="array" ref="BP128">_xlfn.IFS(BJ128="NA","NA",BJ128&gt;100%,"100%",BJ128&lt;100,BJ128)</f>
        <v>NA</v>
      </c>
      <c r="BQ128" s="45">
        <v>0.22500000000000001</v>
      </c>
      <c r="BR128" s="43">
        <f t="shared" ca="1" si="103"/>
        <v>0.21375</v>
      </c>
      <c r="BS128" s="45">
        <v>2.2499999999999999E-2</v>
      </c>
      <c r="BT128" s="45">
        <v>2.2499999999999999E-2</v>
      </c>
      <c r="BU128" s="45">
        <v>7.8799999999999995E-2</v>
      </c>
      <c r="BV128" s="43">
        <f t="shared" si="206"/>
        <v>6.7500000000000004E-2</v>
      </c>
      <c r="BW128" s="43">
        <f t="shared" ca="1" si="104"/>
        <v>6.7500000000000004E-2</v>
      </c>
      <c r="BX128" s="43">
        <f t="shared" ca="1" si="105"/>
        <v>0.13495000000000001</v>
      </c>
      <c r="BY128" s="43">
        <f t="shared" si="207"/>
        <v>6.7500000000000004E-2</v>
      </c>
      <c r="BZ128" s="43">
        <f t="shared" si="208"/>
        <v>0</v>
      </c>
      <c r="CA128" s="43">
        <f t="shared" ca="1" si="106"/>
        <v>0</v>
      </c>
      <c r="CB128" s="43">
        <f t="shared" si="209"/>
        <v>6.7500000000000004E-2</v>
      </c>
      <c r="CC128" s="43">
        <f t="shared" si="210"/>
        <v>0</v>
      </c>
      <c r="CD128" s="45">
        <v>0</v>
      </c>
      <c r="CE128" s="43">
        <f t="shared" si="211"/>
        <v>0</v>
      </c>
      <c r="CF128" s="43" t="str">
        <f t="shared" si="212"/>
        <v>NA</v>
      </c>
      <c r="CG128" s="45">
        <v>0</v>
      </c>
    </row>
    <row r="129" spans="1:90" ht="18" customHeight="1">
      <c r="A129" s="260" t="s">
        <v>248</v>
      </c>
      <c r="B129" s="260" t="s">
        <v>249</v>
      </c>
      <c r="C129" s="260" t="s">
        <v>100</v>
      </c>
      <c r="D129" s="260" t="s">
        <v>508</v>
      </c>
      <c r="E129" s="260" t="s">
        <v>769</v>
      </c>
      <c r="F129" s="260" t="s">
        <v>819</v>
      </c>
      <c r="G129" s="260" t="s">
        <v>820</v>
      </c>
      <c r="H129" s="260" t="s">
        <v>828</v>
      </c>
      <c r="I129" s="260"/>
      <c r="J129" s="260"/>
      <c r="K129" s="260" t="s">
        <v>829</v>
      </c>
      <c r="L129" s="260" t="s">
        <v>2926</v>
      </c>
      <c r="M129" s="260" t="s">
        <v>831</v>
      </c>
      <c r="N129" s="260" t="s">
        <v>111</v>
      </c>
      <c r="O129" s="260" t="s">
        <v>124</v>
      </c>
      <c r="P129" s="10">
        <v>0</v>
      </c>
      <c r="Q129" s="11">
        <v>300</v>
      </c>
      <c r="R129" s="11">
        <f>(Z129+AH129)/CL129</f>
        <v>194.5</v>
      </c>
      <c r="S129" s="11" t="str">
        <f>VLOOKUP(K129,'1208 Indeportes'!$K$13:$AK$39,9,0)</f>
        <v>Se organizaron 3 grupos de contratación de formadores y de esta manera poder adelantar todo el proceso administrativo y jurídico según el cronograma establecido por el grupo del deporte formativo y escolar cumpliendo con los plazos establecidos por cada grupo. Ya se va a cumplir el primer mes de trabajo en las Escuelas de Formación Deportiva y Recreativa.</v>
      </c>
      <c r="T129" s="11">
        <v>0</v>
      </c>
      <c r="U129" s="11">
        <v>300</v>
      </c>
      <c r="V129" s="11">
        <v>0</v>
      </c>
      <c r="W129" s="11">
        <v>300</v>
      </c>
      <c r="X129" s="11" t="s">
        <v>115</v>
      </c>
      <c r="Y129" s="11">
        <v>334</v>
      </c>
      <c r="Z129" s="11">
        <v>334</v>
      </c>
      <c r="AA129" s="11">
        <v>0</v>
      </c>
      <c r="AB129" s="11" t="s">
        <v>832</v>
      </c>
      <c r="AC129" s="11">
        <v>0</v>
      </c>
      <c r="AD129" s="11">
        <v>0</v>
      </c>
      <c r="AE129" s="11">
        <v>300</v>
      </c>
      <c r="AF129" s="11">
        <f>VLOOKUP(K129,'1208 Indeportes'!$K$13:$AH$39,22,0)</f>
        <v>0</v>
      </c>
      <c r="AG129" s="11">
        <f>VLOOKUP(K129,'1208 Indeportes'!$K$13:$AH$39,23,0)</f>
        <v>444</v>
      </c>
      <c r="AH129" s="11">
        <f>AG129</f>
        <v>444</v>
      </c>
      <c r="AI129" s="9">
        <f>VLOOKUP(K129,'1208 Indeportes'!$K$13:$AK$39,25,0)</f>
        <v>0</v>
      </c>
      <c r="AJ129" s="9" t="str">
        <f>VLOOKUP(K129,'1208 Indeportes'!$K$13:$AK$39,26,0)</f>
        <v>Con una inversión sin precedentes, superior a los cinco mil seiscientos millones de pesos ($5.600.000.000) logramos garantizar la presencia de 444 formadores en los 116 municipios del departamento, beneficiando a más de 22.000 niños y niñas cundinamarqueses a través del programa de Escuelas de Formación Deportiva.</v>
      </c>
      <c r="AK129" s="9">
        <f>VLOOKUP(K129,'1208 Indeportes'!$K$13:$AK$39,27,0)</f>
        <v>0</v>
      </c>
      <c r="AL129" s="11">
        <v>0</v>
      </c>
      <c r="AM129" s="11">
        <v>300</v>
      </c>
      <c r="AN129" s="11">
        <v>0</v>
      </c>
      <c r="AO129" s="11">
        <v>300</v>
      </c>
      <c r="AP129" s="11">
        <v>0</v>
      </c>
      <c r="AQ129" s="11">
        <v>0</v>
      </c>
      <c r="AR129" s="51">
        <v>5139525107</v>
      </c>
      <c r="AS129" s="54">
        <v>0</v>
      </c>
      <c r="AT129" s="54">
        <f t="shared" si="101"/>
        <v>5139525107</v>
      </c>
      <c r="AU129" s="51">
        <v>4700495357</v>
      </c>
      <c r="AV129" s="89">
        <v>12040948451</v>
      </c>
      <c r="AY129" s="89">
        <v>3454026000</v>
      </c>
      <c r="AZ129" s="44" cm="1">
        <f t="array" ref="AZ129">_xlfn.IFS((BA129=0),(BD129/CL129),(BA129&gt;0),((BB129+BD129)/CL129),(BE129&gt;0),((BB129+BD129+BE129)/CL129),(BG129&gt;0),((BB129+BD129+BE129+G129)/CL129))</f>
        <v>0.64832500000000004</v>
      </c>
      <c r="BA129" s="44">
        <v>0.25</v>
      </c>
      <c r="BB129" s="44">
        <v>1.1133</v>
      </c>
      <c r="BC129" s="44">
        <f>IF(AE129&gt;0,(1/CL129),0)</f>
        <v>0.25</v>
      </c>
      <c r="BD129" s="44" cm="1">
        <f t="array" ref="BD129">_xlfn.IFS(AE129=0,"NA",AE129&gt;0,AH129/AE129)</f>
        <v>1.48</v>
      </c>
      <c r="BE129" s="44">
        <f>IF(AM129&gt;0,(1/CL129),0)</f>
        <v>0.25</v>
      </c>
      <c r="BF129" s="44">
        <v>0</v>
      </c>
      <c r="BG129" s="44">
        <f>IF(AO129&gt;0,(1/CL129),0)</f>
        <v>0.25</v>
      </c>
      <c r="BH129" s="44">
        <v>0</v>
      </c>
      <c r="BI129" s="44">
        <v>0</v>
      </c>
      <c r="BJ129" s="44" t="s">
        <v>115</v>
      </c>
      <c r="BK129" s="44">
        <f t="shared" si="102"/>
        <v>0.64832500000000004</v>
      </c>
      <c r="BL129" s="44">
        <v>1</v>
      </c>
      <c r="BM129" s="42" t="str" cm="1">
        <f t="array" ref="BM129">_xlfn.IFS(BD129="NA","NA",BD129&gt;100%,"100%",BD129&lt;100,BD129)</f>
        <v>100%</v>
      </c>
      <c r="BN129" s="44">
        <v>0</v>
      </c>
      <c r="BO129" s="44">
        <v>0</v>
      </c>
      <c r="BP129" s="44" t="s">
        <v>115</v>
      </c>
      <c r="BQ129" s="45">
        <v>0.22500000000000001</v>
      </c>
      <c r="BR129" s="43">
        <f t="shared" si="103"/>
        <v>0.14587312500000002</v>
      </c>
      <c r="BS129" s="45">
        <v>5.6300000000000003E-2</v>
      </c>
      <c r="BT129" s="45">
        <v>5.6300000000000003E-2</v>
      </c>
      <c r="BU129" s="45">
        <v>5.6300000000000003E-2</v>
      </c>
      <c r="BV129" s="45">
        <v>5.6300000000000003E-2</v>
      </c>
      <c r="BW129" s="43">
        <f t="shared" si="104"/>
        <v>5.6300000000000003E-2</v>
      </c>
      <c r="BX129" s="43">
        <f t="shared" si="105"/>
        <v>8.9573125000000017E-2</v>
      </c>
      <c r="BY129" s="45">
        <v>5.6300000000000003E-2</v>
      </c>
      <c r="BZ129" s="45">
        <v>0</v>
      </c>
      <c r="CA129" s="43">
        <f t="shared" si="106"/>
        <v>0</v>
      </c>
      <c r="CB129" s="45">
        <v>5.6300000000000003E-2</v>
      </c>
      <c r="CC129" s="45">
        <v>0</v>
      </c>
      <c r="CD129" s="45">
        <v>0</v>
      </c>
      <c r="CE129" s="45">
        <v>0</v>
      </c>
      <c r="CF129" s="45" t="s">
        <v>115</v>
      </c>
      <c r="CG129" s="45">
        <v>0</v>
      </c>
      <c r="CH129">
        <f>IF(W129&gt;0,1,0)</f>
        <v>1</v>
      </c>
      <c r="CI129">
        <f>IF(AE129&gt;0,1,0)</f>
        <v>1</v>
      </c>
      <c r="CJ129">
        <f>IF(AM129&gt;0,1,0)</f>
        <v>1</v>
      </c>
      <c r="CK129">
        <f>IF(AO129&gt;0,1,0)</f>
        <v>1</v>
      </c>
      <c r="CL129">
        <f>CH129+CI129+CJ129+CK129</f>
        <v>4</v>
      </c>
    </row>
    <row r="130" spans="1:90" ht="18" customHeight="1">
      <c r="A130" s="260" t="s">
        <v>248</v>
      </c>
      <c r="B130" s="260" t="s">
        <v>249</v>
      </c>
      <c r="C130" s="260" t="s">
        <v>100</v>
      </c>
      <c r="D130" s="260" t="s">
        <v>508</v>
      </c>
      <c r="E130" s="260" t="s">
        <v>769</v>
      </c>
      <c r="F130" s="260" t="s">
        <v>819</v>
      </c>
      <c r="G130" s="260" t="s">
        <v>820</v>
      </c>
      <c r="H130" s="260" t="s">
        <v>833</v>
      </c>
      <c r="I130" s="260"/>
      <c r="J130" s="260"/>
      <c r="K130" s="260" t="s">
        <v>834</v>
      </c>
      <c r="L130" s="260" t="s">
        <v>835</v>
      </c>
      <c r="M130" s="260" t="s">
        <v>836</v>
      </c>
      <c r="N130" s="260" t="s">
        <v>111</v>
      </c>
      <c r="O130" s="260" t="s">
        <v>112</v>
      </c>
      <c r="P130" s="10">
        <v>0</v>
      </c>
      <c r="Q130" s="11">
        <v>3</v>
      </c>
      <c r="R130" s="9">
        <f>Z130+AH130</f>
        <v>0</v>
      </c>
      <c r="S130" s="11" t="str">
        <f>VLOOKUP(K130,'1208 Indeportes'!$K$13:$AK$39,9,0)</f>
        <v>De acuerdo con el Plan de Acción formulado para el cumplimiento de esta meta de producto, y los recursos disponibles, se tiene programado realizar 1 festival deportivo durante la clausura de las actividades durante los días 13 y 14 de diciembre en los 116 municipios del departamento.</v>
      </c>
      <c r="T130" s="11">
        <v>1</v>
      </c>
      <c r="U130" s="11">
        <v>0</v>
      </c>
      <c r="V130" s="11">
        <v>1</v>
      </c>
      <c r="W130" s="11">
        <v>0</v>
      </c>
      <c r="X130" s="11">
        <v>0</v>
      </c>
      <c r="Y130" s="11">
        <v>0</v>
      </c>
      <c r="Z130" s="11">
        <v>0</v>
      </c>
      <c r="AA130" s="11">
        <v>0</v>
      </c>
      <c r="AB130" s="11"/>
      <c r="AC130" s="11">
        <v>0</v>
      </c>
      <c r="AD130" s="11">
        <v>1</v>
      </c>
      <c r="AE130" s="11">
        <v>0</v>
      </c>
      <c r="AF130" s="11">
        <f>VLOOKUP(K130,'1208 Indeportes'!$K$13:$AH$39,22,0)</f>
        <v>0</v>
      </c>
      <c r="AG130" s="11">
        <f>VLOOKUP(K130,'1208 Indeportes'!$K$13:$AH$39,23,0)</f>
        <v>0</v>
      </c>
      <c r="AH130" s="9">
        <f>AF130</f>
        <v>0</v>
      </c>
      <c r="AI130" s="9">
        <f>VLOOKUP(K130,'1208 Indeportes'!$K$13:$AK$39,25,0)</f>
        <v>0</v>
      </c>
      <c r="AJ130" s="9" t="str">
        <f>VLOOKUP(K130,'1208 Indeportes'!$K$13:$AK$39,26,0)</f>
        <v xml:space="preserve">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 </v>
      </c>
      <c r="AK130" s="9">
        <f>VLOOKUP(K130,'1208 Indeportes'!$K$13:$AK$39,27,0)</f>
        <v>0</v>
      </c>
      <c r="AL130" s="11">
        <v>1</v>
      </c>
      <c r="AM130" s="11">
        <v>0</v>
      </c>
      <c r="AN130" s="11">
        <v>1</v>
      </c>
      <c r="AO130" s="11">
        <v>0</v>
      </c>
      <c r="AP130" s="11">
        <v>0</v>
      </c>
      <c r="AQ130" s="11">
        <v>0</v>
      </c>
      <c r="AR130" s="51">
        <v>698834334</v>
      </c>
      <c r="AS130" s="54">
        <v>0</v>
      </c>
      <c r="AT130" s="54">
        <f t="shared" si="101"/>
        <v>698834334</v>
      </c>
      <c r="AU130" s="51">
        <v>15131400</v>
      </c>
      <c r="AV130" s="89">
        <v>350000000</v>
      </c>
      <c r="AY130" s="89">
        <v>0</v>
      </c>
      <c r="AZ130" s="42">
        <f t="shared" ref="AZ130" si="213">R130/Q130</f>
        <v>0</v>
      </c>
      <c r="BA130" s="44">
        <v>0.33329999999999999</v>
      </c>
      <c r="BB130" s="44">
        <v>0</v>
      </c>
      <c r="BC130" s="42">
        <f>AD130/Q130</f>
        <v>0.33333333333333331</v>
      </c>
      <c r="BD130" s="42" cm="1">
        <f t="array" ref="BD130">_xlfn.IFS(AD130=0,"NA",AD130&gt;0,AH130/AD130)</f>
        <v>0</v>
      </c>
      <c r="BE130" s="42">
        <f>AL130/Q130</f>
        <v>0.33333333333333331</v>
      </c>
      <c r="BF130" s="44">
        <v>0</v>
      </c>
      <c r="BG130" s="42">
        <f>AN130/Q130</f>
        <v>0.33333333333333331</v>
      </c>
      <c r="BH130" s="44" t="s">
        <v>115</v>
      </c>
      <c r="BI130" s="42">
        <f>AP130/Q130</f>
        <v>0</v>
      </c>
      <c r="BJ130" s="44" t="s">
        <v>115</v>
      </c>
      <c r="BK130" s="42">
        <f t="shared" si="102"/>
        <v>0</v>
      </c>
      <c r="BL130" s="44">
        <v>0</v>
      </c>
      <c r="BM130" s="42" cm="1">
        <f t="array" ref="BM130">_xlfn.IFS(BD130="NA","NA",BD130&gt;100%,"100%",BD130&lt;100,BD130)</f>
        <v>0</v>
      </c>
      <c r="BN130" s="42" cm="1">
        <f t="array" ref="BN130">_xlfn.IFS(BF130="NA","NA",BF130&gt;100%,"100%",BF130&lt;100,BF130)</f>
        <v>0</v>
      </c>
      <c r="BO130" s="42" t="str" cm="1">
        <f t="array" ref="BO130">_xlfn.IFS(BH130="NA","NA",BH130&gt;100%,"100%",BH130&lt;100,BH130)</f>
        <v>NA</v>
      </c>
      <c r="BP130" s="42" t="str" cm="1">
        <f t="array" ref="BP130">_xlfn.IFS(BJ130="NA","NA",BJ130&gt;100%,"100%",BJ130&lt;100,BJ130)</f>
        <v>NA</v>
      </c>
      <c r="BQ130" s="45">
        <v>0.22500000000000001</v>
      </c>
      <c r="BR130" s="43">
        <f t="shared" si="103"/>
        <v>0</v>
      </c>
      <c r="BS130" s="45">
        <v>7.4999999999999997E-2</v>
      </c>
      <c r="BT130" s="45">
        <v>0</v>
      </c>
      <c r="BU130" s="45">
        <v>0</v>
      </c>
      <c r="BV130" s="43">
        <f>(AD130*BQ130)/Q130</f>
        <v>7.4999999999999997E-2</v>
      </c>
      <c r="BW130" s="43">
        <f t="shared" si="104"/>
        <v>0</v>
      </c>
      <c r="BX130" s="43">
        <f t="shared" si="105"/>
        <v>0</v>
      </c>
      <c r="BY130" s="43">
        <f>(AL130*BQ130)/Q130</f>
        <v>7.4999999999999997E-2</v>
      </c>
      <c r="BZ130" s="43">
        <f>IF(BN130="NA","NA",BN130*BY130)</f>
        <v>0</v>
      </c>
      <c r="CA130" s="43">
        <f t="shared" si="106"/>
        <v>0</v>
      </c>
      <c r="CB130" s="43">
        <f>(AN130*BQ130)/Q130</f>
        <v>7.4999999999999997E-2</v>
      </c>
      <c r="CC130" s="43" t="str">
        <f>IF(BO130="NA","NA",BO130*CB130)</f>
        <v>NA</v>
      </c>
      <c r="CD130" s="45">
        <v>0</v>
      </c>
      <c r="CE130" s="43">
        <f>(AP130*BQ130)/Q130</f>
        <v>0</v>
      </c>
      <c r="CF130" s="43" t="str">
        <f>IF(BP130="NA","NA",BP130*CE130)</f>
        <v>NA</v>
      </c>
      <c r="CG130" s="45">
        <v>0</v>
      </c>
    </row>
    <row r="131" spans="1:90" ht="18" customHeight="1">
      <c r="A131" s="260" t="s">
        <v>144</v>
      </c>
      <c r="B131" s="260" t="s">
        <v>145</v>
      </c>
      <c r="C131" s="260" t="s">
        <v>100</v>
      </c>
      <c r="D131" s="260" t="s">
        <v>508</v>
      </c>
      <c r="E131" s="260" t="s">
        <v>769</v>
      </c>
      <c r="F131" s="260" t="s">
        <v>819</v>
      </c>
      <c r="G131" s="260" t="s">
        <v>820</v>
      </c>
      <c r="H131" s="260" t="s">
        <v>837</v>
      </c>
      <c r="I131" s="260"/>
      <c r="J131" s="260"/>
      <c r="K131" s="260" t="s">
        <v>838</v>
      </c>
      <c r="L131" s="260" t="s">
        <v>839</v>
      </c>
      <c r="M131" s="260" t="s">
        <v>840</v>
      </c>
      <c r="N131" s="260" t="s">
        <v>111</v>
      </c>
      <c r="O131" s="260" t="s">
        <v>124</v>
      </c>
      <c r="P131" s="10">
        <v>14</v>
      </c>
      <c r="Q131" s="11">
        <v>15</v>
      </c>
      <c r="R131" s="11">
        <f>(Z131+AH131)/CL131</f>
        <v>7.5</v>
      </c>
      <c r="S131" s="11" t="str">
        <f>VLOOKUP(K131,'1126 Desarrollo Social'!$K$13:$S$58,9,0)</f>
        <v>encuentros de arte y cultura urbano se impacto municipios de 14 provinciasarticulación con entidades del sector privado para ampliar la oferta institucionalCaracterización de la población beneficiada.El personal profesional contratado para las actividades de esta meta se realizo con recursos del plan de desarrollo unidos podemos mas</v>
      </c>
      <c r="T131" s="11">
        <v>0</v>
      </c>
      <c r="U131" s="11">
        <v>15</v>
      </c>
      <c r="V131" s="11">
        <v>0</v>
      </c>
      <c r="W131" s="11">
        <v>15</v>
      </c>
      <c r="X131" s="11" t="s">
        <v>115</v>
      </c>
      <c r="Y131" s="11">
        <v>15</v>
      </c>
      <c r="Z131" s="11">
        <v>15</v>
      </c>
      <c r="AA131" s="11" t="s">
        <v>841</v>
      </c>
      <c r="AB131" s="11" t="s">
        <v>842</v>
      </c>
      <c r="AC131" s="11" t="s">
        <v>843</v>
      </c>
      <c r="AD131" s="11">
        <v>0</v>
      </c>
      <c r="AE131" s="11">
        <v>15</v>
      </c>
      <c r="AF131" s="11">
        <f>VLOOKUP(K131,'1126 Desarrollo Social'!$K$13:$AK$58,22,0)</f>
        <v>0</v>
      </c>
      <c r="AG131" s="11">
        <f>VLOOKUP(K131,'1126 Desarrollo Social'!$K$13:$AK$58,23,0)</f>
        <v>15</v>
      </c>
      <c r="AH131" s="11">
        <f>AG131</f>
        <v>15</v>
      </c>
      <c r="AI131" s="9">
        <f>VLOOKUP(K131,'1126 Desarrollo Social'!$K$13:$AK$58,25,0)</f>
        <v>0</v>
      </c>
      <c r="AJ131" s="9" t="str">
        <f>VLOOKUP(K131,'1126 Desarrollo Social'!$K$13:$AK$58,26,0)</f>
        <v>Asistencia técnica y promoción de espacios de arte y cultura con Cajicá, Sopó y Funza.</v>
      </c>
      <c r="AK131" s="9">
        <f>VLOOKUP(K131,'1126 Desarrollo Social'!$K$13:$AK$58,27,0)</f>
        <v>0</v>
      </c>
      <c r="AL131" s="11">
        <v>0</v>
      </c>
      <c r="AM131" s="11">
        <v>15</v>
      </c>
      <c r="AN131" s="11">
        <v>0</v>
      </c>
      <c r="AO131" s="11">
        <v>15</v>
      </c>
      <c r="AP131" s="11">
        <v>0</v>
      </c>
      <c r="AQ131" s="11">
        <v>0</v>
      </c>
      <c r="AR131" s="51">
        <v>17415000</v>
      </c>
      <c r="AS131" s="54">
        <v>0</v>
      </c>
      <c r="AT131" s="54">
        <f t="shared" si="101"/>
        <v>17415000</v>
      </c>
      <c r="AU131" s="51">
        <v>15838333</v>
      </c>
      <c r="AV131" s="89">
        <v>337000000</v>
      </c>
      <c r="AY131" s="89">
        <v>0</v>
      </c>
      <c r="AZ131" s="44" cm="1">
        <f t="array" ref="AZ131">_xlfn.IFS((BA131=0),(BD131/CL131),(BA131&gt;0),((BB131+BD131)/CL131),(BE131&gt;0),((BB131+BD131+BE131)/CL131),(BG131&gt;0),((BB131+BD131+BE131+G131)/CL131))</f>
        <v>0.5</v>
      </c>
      <c r="BA131" s="44">
        <v>0.25</v>
      </c>
      <c r="BB131" s="44">
        <v>1</v>
      </c>
      <c r="BC131" s="44">
        <f>IF(AE131&gt;0,(1/CL131),0)</f>
        <v>0.25</v>
      </c>
      <c r="BD131" s="44" cm="1">
        <f t="array" ref="BD131">_xlfn.IFS(AE131=0,"NA",AE131&gt;0,AH131/AE131)</f>
        <v>1</v>
      </c>
      <c r="BE131" s="44">
        <f>IF(AM131&gt;0,(1/CL131),0)</f>
        <v>0.25</v>
      </c>
      <c r="BF131" s="44">
        <v>0</v>
      </c>
      <c r="BG131" s="44">
        <f>IF(AO131&gt;0,(1/CL131),0)</f>
        <v>0.25</v>
      </c>
      <c r="BH131" s="44">
        <v>0</v>
      </c>
      <c r="BI131" s="44">
        <v>0</v>
      </c>
      <c r="BJ131" s="44" t="s">
        <v>115</v>
      </c>
      <c r="BK131" s="44">
        <f t="shared" si="102"/>
        <v>0.5</v>
      </c>
      <c r="BL131" s="44">
        <v>1</v>
      </c>
      <c r="BM131" s="42" cm="1">
        <f t="array" ref="BM131">_xlfn.IFS(BD131="NA","NA",BD131&gt;100%,"100%",BD131&lt;100,BD131)</f>
        <v>1</v>
      </c>
      <c r="BN131" s="44">
        <v>0</v>
      </c>
      <c r="BO131" s="44">
        <v>0</v>
      </c>
      <c r="BP131" s="44" t="s">
        <v>115</v>
      </c>
      <c r="BQ131" s="45">
        <v>0.22500000000000001</v>
      </c>
      <c r="BR131" s="43">
        <f t="shared" si="103"/>
        <v>0.1125</v>
      </c>
      <c r="BS131" s="45">
        <v>5.6300000000000003E-2</v>
      </c>
      <c r="BT131" s="45">
        <v>5.6300000000000003E-2</v>
      </c>
      <c r="BU131" s="45">
        <v>5.6300000000000003E-2</v>
      </c>
      <c r="BV131" s="45">
        <v>5.6300000000000003E-2</v>
      </c>
      <c r="BW131" s="43">
        <f t="shared" si="104"/>
        <v>5.6300000000000003E-2</v>
      </c>
      <c r="BX131" s="43">
        <f t="shared" si="105"/>
        <v>5.62E-2</v>
      </c>
      <c r="BY131" s="45">
        <v>5.6300000000000003E-2</v>
      </c>
      <c r="BZ131" s="45">
        <v>0</v>
      </c>
      <c r="CA131" s="43">
        <f t="shared" si="106"/>
        <v>0</v>
      </c>
      <c r="CB131" s="45">
        <v>5.6300000000000003E-2</v>
      </c>
      <c r="CC131" s="45">
        <v>0</v>
      </c>
      <c r="CD131" s="45">
        <v>0</v>
      </c>
      <c r="CE131" s="45">
        <v>0</v>
      </c>
      <c r="CF131" s="45" t="s">
        <v>115</v>
      </c>
      <c r="CG131" s="45">
        <v>0</v>
      </c>
      <c r="CH131">
        <f>IF(W131&gt;0,1,0)</f>
        <v>1</v>
      </c>
      <c r="CI131">
        <f>IF(AE131&gt;0,1,0)</f>
        <v>1</v>
      </c>
      <c r="CJ131">
        <f>IF(AM131&gt;0,1,0)</f>
        <v>1</v>
      </c>
      <c r="CK131">
        <f>IF(AO131&gt;0,1,0)</f>
        <v>1</v>
      </c>
      <c r="CL131">
        <f>CH131+CI131+CJ131+CK131</f>
        <v>4</v>
      </c>
    </row>
    <row r="132" spans="1:90" ht="18" customHeight="1">
      <c r="A132" s="260" t="s">
        <v>144</v>
      </c>
      <c r="B132" s="260" t="s">
        <v>145</v>
      </c>
      <c r="C132" s="260" t="s">
        <v>100</v>
      </c>
      <c r="D132" s="260" t="s">
        <v>508</v>
      </c>
      <c r="E132" s="260" t="s">
        <v>769</v>
      </c>
      <c r="F132" s="260" t="s">
        <v>819</v>
      </c>
      <c r="G132" s="260" t="s">
        <v>820</v>
      </c>
      <c r="H132" s="260" t="s">
        <v>844</v>
      </c>
      <c r="I132" s="260"/>
      <c r="J132" s="260"/>
      <c r="K132" s="260" t="s">
        <v>845</v>
      </c>
      <c r="L132" s="260" t="s">
        <v>846</v>
      </c>
      <c r="M132" s="260" t="s">
        <v>847</v>
      </c>
      <c r="N132" s="260" t="s">
        <v>111</v>
      </c>
      <c r="O132" s="260" t="s">
        <v>112</v>
      </c>
      <c r="P132" s="10">
        <v>0</v>
      </c>
      <c r="Q132" s="11">
        <v>5</v>
      </c>
      <c r="R132" s="9" t="e">
        <f t="shared" ref="R132:R137" si="214">Z132+AH132</f>
        <v>#VALUE!</v>
      </c>
      <c r="S132" s="11" t="str">
        <f>VLOOKUP(K132,'1126 Desarrollo Social'!$K$13:$S$58,9,0)</f>
        <v>identificación de municipios que están interesados en el proyectopreparación de proyectos tipo de casas de integración juvenilEl personal profesional contratado para las actividades de esta meta se realizo con recursos del plan de desarrollo unidos podemos mas</v>
      </c>
      <c r="T132" s="11">
        <v>1</v>
      </c>
      <c r="U132" s="11">
        <v>0</v>
      </c>
      <c r="V132" s="11">
        <v>0</v>
      </c>
      <c r="W132" s="11">
        <v>0</v>
      </c>
      <c r="X132" s="11">
        <v>0</v>
      </c>
      <c r="Y132" s="11">
        <v>0</v>
      </c>
      <c r="Z132" s="11">
        <v>0</v>
      </c>
      <c r="AA132" s="11">
        <v>0</v>
      </c>
      <c r="AB132" s="11" t="s">
        <v>848</v>
      </c>
      <c r="AC132" s="11" t="s">
        <v>849</v>
      </c>
      <c r="AD132" s="11">
        <v>1</v>
      </c>
      <c r="AE132" s="11">
        <v>0</v>
      </c>
      <c r="AF132" s="11" t="str">
        <f>VLOOKUP(K132,'1126 Desarrollo Social'!$K$13:$AK$58,22,0)</f>
        <v>0,3</v>
      </c>
      <c r="AG132" s="11">
        <f>VLOOKUP(K132,'1126 Desarrollo Social'!$K$13:$AK$58,23,0)</f>
        <v>0</v>
      </c>
      <c r="AH132" s="9" t="str">
        <f t="shared" ref="AH132:AH137" si="215">AF132</f>
        <v>0,3</v>
      </c>
      <c r="AI132" s="9">
        <f>VLOOKUP(K132,'1126 Desarrollo Social'!$K$13:$AK$58,25,0)</f>
        <v>0</v>
      </c>
      <c r="AJ132" s="9" t="str">
        <f>VLOOKUP(K132,'1126 Desarrollo Social'!$K$13:$AK$58,26,0)</f>
        <v>viabilizacion del proyecto de la casa juvenil de Gachancipá. Acompañamiento y asesoria en la formulación de planos y diseños de la propuesta de casa. Visitas técnicas al municipio de San Antonio del Tequendama, Facatativá, Fusagasugá, Soacha, Gachancipa y La Calera. aprobacion proyecto gachancipa</v>
      </c>
      <c r="AK132" s="9">
        <f>VLOOKUP(K132,'1126 Desarrollo Social'!$K$13:$AK$58,27,0)</f>
        <v>0</v>
      </c>
      <c r="AL132" s="11">
        <v>2</v>
      </c>
      <c r="AM132" s="11">
        <v>0</v>
      </c>
      <c r="AN132" s="11">
        <v>2</v>
      </c>
      <c r="AO132" s="11">
        <v>0</v>
      </c>
      <c r="AP132" s="11">
        <v>0</v>
      </c>
      <c r="AQ132" s="11">
        <v>0</v>
      </c>
      <c r="AR132" s="51">
        <v>2233333</v>
      </c>
      <c r="AS132" s="54">
        <v>100000000</v>
      </c>
      <c r="AT132" s="54">
        <f t="shared" si="101"/>
        <v>102233333</v>
      </c>
      <c r="AU132" s="51">
        <v>2233333</v>
      </c>
      <c r="AV132" s="89">
        <v>55000000</v>
      </c>
      <c r="AY132" s="89">
        <v>53000000</v>
      </c>
      <c r="AZ132" s="42" t="e">
        <f t="shared" ref="AZ132:AZ137" si="216">R132/Q132</f>
        <v>#VALUE!</v>
      </c>
      <c r="BA132" s="44">
        <v>0</v>
      </c>
      <c r="BB132" s="44" t="s">
        <v>115</v>
      </c>
      <c r="BC132" s="42">
        <f t="shared" ref="BC132:BC137" si="217">AD132/Q132</f>
        <v>0.2</v>
      </c>
      <c r="BD132" s="42" t="e" cm="1">
        <f t="array" ref="BD132">_xlfn.IFS(AD132=0,"NA",AD132&gt;0,AH132/AD132)</f>
        <v>#VALUE!</v>
      </c>
      <c r="BE132" s="42">
        <f t="shared" ref="BE132:BE137" si="218">AL132/Q132</f>
        <v>0.4</v>
      </c>
      <c r="BF132" s="44">
        <v>0</v>
      </c>
      <c r="BG132" s="42">
        <f t="shared" ref="BG132:BG137" si="219">AN132/Q132</f>
        <v>0.4</v>
      </c>
      <c r="BH132" s="44">
        <v>0</v>
      </c>
      <c r="BI132" s="42">
        <f t="shared" ref="BI132:BI137" si="220">AP132/Q132</f>
        <v>0</v>
      </c>
      <c r="BJ132" s="44" t="s">
        <v>115</v>
      </c>
      <c r="BK132" s="42" t="e">
        <f t="shared" si="102"/>
        <v>#VALUE!</v>
      </c>
      <c r="BL132" s="44" t="s">
        <v>115</v>
      </c>
      <c r="BM132" s="42" t="e" cm="1">
        <f t="array" ref="BM132">_xlfn.IFS(BD132="NA","NA",BD132&gt;100%,"100%",BD132&lt;100,BD132)</f>
        <v>#VALUE!</v>
      </c>
      <c r="BN132" s="42" cm="1">
        <f t="array" ref="BN132">_xlfn.IFS(BF132="NA","NA",BF132&gt;100%,"100%",BF132&lt;100,BF132)</f>
        <v>0</v>
      </c>
      <c r="BO132" s="42" cm="1">
        <f t="array" ref="BO132">_xlfn.IFS(BH132="NA","NA",BH132&gt;100%,"100%",BH132&lt;100,BH132)</f>
        <v>0</v>
      </c>
      <c r="BP132" s="42" t="str" cm="1">
        <f t="array" ref="BP132">_xlfn.IFS(BJ132="NA","NA",BJ132&gt;100%,"100%",BJ132&lt;100,BJ132)</f>
        <v>NA</v>
      </c>
      <c r="BQ132" s="45">
        <v>0.22500000000000001</v>
      </c>
      <c r="BR132" s="43" t="e">
        <f t="shared" si="103"/>
        <v>#VALUE!</v>
      </c>
      <c r="BS132" s="45">
        <v>0</v>
      </c>
      <c r="BT132" s="45" t="s">
        <v>115</v>
      </c>
      <c r="BU132" s="45">
        <v>0</v>
      </c>
      <c r="BV132" s="43">
        <f t="shared" ref="BV132:BV137" si="221">(AD132*BQ132)/Q132</f>
        <v>4.4999999999999998E-2</v>
      </c>
      <c r="BW132" s="43" t="e">
        <f t="shared" si="104"/>
        <v>#VALUE!</v>
      </c>
      <c r="BX132" s="43" t="e">
        <f t="shared" si="105"/>
        <v>#VALUE!</v>
      </c>
      <c r="BY132" s="43">
        <f t="shared" ref="BY132:BY137" si="222">(AL132*BQ132)/Q132</f>
        <v>0.09</v>
      </c>
      <c r="BZ132" s="43">
        <f t="shared" ref="BZ132:BZ137" si="223">IF(BN132="NA","NA",BN132*BY132)</f>
        <v>0</v>
      </c>
      <c r="CA132" s="43" t="e">
        <f t="shared" si="106"/>
        <v>#VALUE!</v>
      </c>
      <c r="CB132" s="43">
        <f t="shared" ref="CB132:CB137" si="224">(AN132*BQ132)/Q132</f>
        <v>0.09</v>
      </c>
      <c r="CC132" s="43">
        <f t="shared" ref="CC132:CC137" si="225">IF(BO132="NA","NA",BO132*CB132)</f>
        <v>0</v>
      </c>
      <c r="CD132" s="45">
        <v>0</v>
      </c>
      <c r="CE132" s="43">
        <f t="shared" ref="CE132:CE137" si="226">(AP132*BQ132)/Q132</f>
        <v>0</v>
      </c>
      <c r="CF132" s="43" t="str">
        <f t="shared" ref="CF132:CF137" si="227">IF(BP132="NA","NA",BP132*CE132)</f>
        <v>NA</v>
      </c>
      <c r="CG132" s="45">
        <v>0</v>
      </c>
    </row>
    <row r="133" spans="1:90" ht="18" customHeight="1">
      <c r="A133" s="260" t="s">
        <v>144</v>
      </c>
      <c r="B133" s="260" t="s">
        <v>145</v>
      </c>
      <c r="C133" s="260" t="s">
        <v>100</v>
      </c>
      <c r="D133" s="260" t="s">
        <v>508</v>
      </c>
      <c r="E133" s="260" t="s">
        <v>769</v>
      </c>
      <c r="F133" s="260" t="s">
        <v>819</v>
      </c>
      <c r="G133" s="260" t="s">
        <v>820</v>
      </c>
      <c r="H133" s="260" t="s">
        <v>850</v>
      </c>
      <c r="I133" s="260"/>
      <c r="J133" s="260"/>
      <c r="K133" s="260" t="s">
        <v>851</v>
      </c>
      <c r="L133" s="260" t="s">
        <v>852</v>
      </c>
      <c r="M133" s="260" t="s">
        <v>853</v>
      </c>
      <c r="N133" s="260" t="s">
        <v>111</v>
      </c>
      <c r="O133" s="260" t="s">
        <v>112</v>
      </c>
      <c r="P133" s="10">
        <v>3</v>
      </c>
      <c r="Q133" s="11">
        <v>4</v>
      </c>
      <c r="R133" s="9">
        <f t="shared" si="214"/>
        <v>2.5</v>
      </c>
      <c r="S133" s="11" t="str">
        <f>VLOOKUP(K133,'1126 Desarrollo Social'!$K$13:$S$58,9,0)</f>
        <v>3 Redes departamentales activadas y funcionadoEl personal profesional contratado para las actividades de esta meta se realizo con recursos del plan de desarrollo unidos podemos mas</v>
      </c>
      <c r="T133" s="11">
        <v>0.5</v>
      </c>
      <c r="U133" s="11">
        <v>0</v>
      </c>
      <c r="V133" s="11">
        <v>0.5</v>
      </c>
      <c r="W133" s="11">
        <v>0</v>
      </c>
      <c r="X133" s="11">
        <v>0.5</v>
      </c>
      <c r="Y133" s="11">
        <v>0</v>
      </c>
      <c r="Z133" s="11">
        <v>0.5</v>
      </c>
      <c r="AA133" s="11">
        <v>0</v>
      </c>
      <c r="AB133" s="11" t="s">
        <v>854</v>
      </c>
      <c r="AC133" s="11" t="s">
        <v>855</v>
      </c>
      <c r="AD133" s="11">
        <v>0.5</v>
      </c>
      <c r="AE133" s="11">
        <v>0</v>
      </c>
      <c r="AF133" s="11">
        <f>VLOOKUP(K133,'1126 Desarrollo Social'!$K$13:$AK$58,22,0)</f>
        <v>2</v>
      </c>
      <c r="AG133" s="11">
        <f>VLOOKUP(K133,'1126 Desarrollo Social'!$K$13:$AK$58,23,0)</f>
        <v>0</v>
      </c>
      <c r="AH133" s="9">
        <f t="shared" si="215"/>
        <v>2</v>
      </c>
      <c r="AI133" s="9">
        <f>VLOOKUP(K133,'1126 Desarrollo Social'!$K$13:$AK$58,25,0)</f>
        <v>0</v>
      </c>
      <c r="AJ133" s="9" t="str">
        <f>VLOOKUP(K133,'1126 Desarrollo Social'!$K$13:$AK$58,26,0)</f>
        <v xml:space="preserve">Conformación de dos redes departamentales de comunicacion juvenil 1. Red de jovenes por los derechos huamnos 2. Red juvenil de talentos emregentes 3. Fortalecimiento y acompañamiento a las redes juveniles </v>
      </c>
      <c r="AK133" s="9">
        <f>VLOOKUP(K133,'1126 Desarrollo Social'!$K$13:$AK$58,27,0)</f>
        <v>0</v>
      </c>
      <c r="AL133" s="11">
        <v>2</v>
      </c>
      <c r="AM133" s="11">
        <v>0</v>
      </c>
      <c r="AN133" s="11">
        <v>1</v>
      </c>
      <c r="AO133" s="11">
        <v>0</v>
      </c>
      <c r="AP133" s="11">
        <v>0</v>
      </c>
      <c r="AQ133" s="11">
        <v>0</v>
      </c>
      <c r="AR133" s="51">
        <v>2957933</v>
      </c>
      <c r="AS133" s="54">
        <v>0</v>
      </c>
      <c r="AT133" s="54">
        <f t="shared" si="101"/>
        <v>2957933</v>
      </c>
      <c r="AU133" s="51">
        <v>2957933</v>
      </c>
      <c r="AV133" s="89">
        <v>27337108</v>
      </c>
      <c r="AY133" s="89">
        <v>0</v>
      </c>
      <c r="AZ133" s="42">
        <f t="shared" si="216"/>
        <v>0.625</v>
      </c>
      <c r="BA133" s="44">
        <v>0.125</v>
      </c>
      <c r="BB133" s="44">
        <v>1</v>
      </c>
      <c r="BC133" s="42">
        <f t="shared" si="217"/>
        <v>0.125</v>
      </c>
      <c r="BD133" s="42" cm="1">
        <f t="array" ref="BD133">_xlfn.IFS(AD133=0,"NA",AD133&gt;0,AH133/AD133)</f>
        <v>4</v>
      </c>
      <c r="BE133" s="42">
        <f t="shared" si="218"/>
        <v>0.5</v>
      </c>
      <c r="BF133" s="44">
        <v>0</v>
      </c>
      <c r="BG133" s="42">
        <f t="shared" si="219"/>
        <v>0.25</v>
      </c>
      <c r="BH133" s="44">
        <v>0</v>
      </c>
      <c r="BI133" s="42">
        <f t="shared" si="220"/>
        <v>0</v>
      </c>
      <c r="BJ133" s="44" t="s">
        <v>115</v>
      </c>
      <c r="BK133" s="42">
        <f t="shared" si="102"/>
        <v>0.625</v>
      </c>
      <c r="BL133" s="44">
        <v>1</v>
      </c>
      <c r="BM133" s="42" t="str" cm="1">
        <f t="array" ref="BM133">_xlfn.IFS(BD133="NA","NA",BD133&gt;100%,"100%",BD133&lt;100,BD133)</f>
        <v>100%</v>
      </c>
      <c r="BN133" s="42" cm="1">
        <f t="array" ref="BN133">_xlfn.IFS(BF133="NA","NA",BF133&gt;100%,"100%",BF133&lt;100,BF133)</f>
        <v>0</v>
      </c>
      <c r="BO133" s="42" cm="1">
        <f t="array" ref="BO133">_xlfn.IFS(BH133="NA","NA",BH133&gt;100%,"100%",BH133&lt;100,BH133)</f>
        <v>0</v>
      </c>
      <c r="BP133" s="42" t="str" cm="1">
        <f t="array" ref="BP133">_xlfn.IFS(BJ133="NA","NA",BJ133&gt;100%,"100%",BJ133&lt;100,BJ133)</f>
        <v>NA</v>
      </c>
      <c r="BQ133" s="45">
        <v>0.22500000000000001</v>
      </c>
      <c r="BR133" s="43">
        <f t="shared" si="103"/>
        <v>0.140625</v>
      </c>
      <c r="BS133" s="45">
        <v>2.81E-2</v>
      </c>
      <c r="BT133" s="45">
        <v>2.81E-2</v>
      </c>
      <c r="BU133" s="45">
        <v>2.81E-2</v>
      </c>
      <c r="BV133" s="43">
        <f t="shared" si="221"/>
        <v>2.8125000000000001E-2</v>
      </c>
      <c r="BW133" s="43">
        <f t="shared" si="104"/>
        <v>2.8125000000000001E-2</v>
      </c>
      <c r="BX133" s="43">
        <f t="shared" si="105"/>
        <v>0.112525</v>
      </c>
      <c r="BY133" s="43">
        <f t="shared" si="222"/>
        <v>0.1125</v>
      </c>
      <c r="BZ133" s="43">
        <f t="shared" si="223"/>
        <v>0</v>
      </c>
      <c r="CA133" s="43">
        <f t="shared" si="106"/>
        <v>0</v>
      </c>
      <c r="CB133" s="43">
        <f t="shared" si="224"/>
        <v>5.6250000000000001E-2</v>
      </c>
      <c r="CC133" s="43">
        <f t="shared" si="225"/>
        <v>0</v>
      </c>
      <c r="CD133" s="45">
        <v>0</v>
      </c>
      <c r="CE133" s="43">
        <f t="shared" si="226"/>
        <v>0</v>
      </c>
      <c r="CF133" s="43" t="str">
        <f t="shared" si="227"/>
        <v>NA</v>
      </c>
      <c r="CG133" s="45">
        <v>0</v>
      </c>
    </row>
    <row r="134" spans="1:90" ht="18" customHeight="1">
      <c r="A134" s="260" t="s">
        <v>144</v>
      </c>
      <c r="B134" s="260" t="s">
        <v>145</v>
      </c>
      <c r="C134" s="260" t="s">
        <v>100</v>
      </c>
      <c r="D134" s="260" t="s">
        <v>508</v>
      </c>
      <c r="E134" s="260" t="s">
        <v>769</v>
      </c>
      <c r="F134" s="260" t="s">
        <v>819</v>
      </c>
      <c r="G134" s="260" t="s">
        <v>820</v>
      </c>
      <c r="H134" s="260" t="s">
        <v>856</v>
      </c>
      <c r="I134" s="260"/>
      <c r="J134" s="260"/>
      <c r="K134" s="260" t="s">
        <v>857</v>
      </c>
      <c r="L134" s="260" t="s">
        <v>858</v>
      </c>
      <c r="M134" s="260" t="s">
        <v>859</v>
      </c>
      <c r="N134" s="260" t="s">
        <v>111</v>
      </c>
      <c r="O134" s="260" t="s">
        <v>112</v>
      </c>
      <c r="P134" s="10">
        <v>10000</v>
      </c>
      <c r="Q134" s="11">
        <v>10000</v>
      </c>
      <c r="R134" s="9">
        <f t="shared" si="214"/>
        <v>4175</v>
      </c>
      <c r="S134" s="11" t="str">
        <f>VLOOKUP(K134,'1126 Desarrollo Social'!$K$13:$S$58,9,0)</f>
        <v>452 jóvenes vinculados a la estrategia juntos hacemos combo recargadoIntercambios de vivencias y experiencias juveniles en los eventosEl personal profesional contratado para las actividades de esta meta se realizo con recursos del plan de desarrollo unidos podemos mas</v>
      </c>
      <c r="T134" s="11">
        <v>1000</v>
      </c>
      <c r="U134" s="11">
        <v>0</v>
      </c>
      <c r="V134" s="11">
        <v>1000</v>
      </c>
      <c r="W134" s="11">
        <v>0</v>
      </c>
      <c r="X134" s="11">
        <v>896</v>
      </c>
      <c r="Y134" s="11">
        <v>0</v>
      </c>
      <c r="Z134" s="11">
        <v>896</v>
      </c>
      <c r="AA134" s="11" t="s">
        <v>860</v>
      </c>
      <c r="AB134" s="11" t="s">
        <v>861</v>
      </c>
      <c r="AC134" s="11" t="s">
        <v>862</v>
      </c>
      <c r="AD134" s="11">
        <v>3104</v>
      </c>
      <c r="AE134" s="11">
        <v>0</v>
      </c>
      <c r="AF134" s="11">
        <f>VLOOKUP(K134,'1126 Desarrollo Social'!$K$13:$AK$58,22,0)</f>
        <v>3279</v>
      </c>
      <c r="AG134" s="11">
        <f>VLOOKUP(K134,'1126 Desarrollo Social'!$K$13:$AK$58,23,0)</f>
        <v>0</v>
      </c>
      <c r="AH134" s="9">
        <f t="shared" si="215"/>
        <v>3279</v>
      </c>
      <c r="AI134" s="9">
        <f>VLOOKUP(K134,'1126 Desarrollo Social'!$K$13:$AK$58,25,0)</f>
        <v>0</v>
      </c>
      <c r="AJ134" s="9" t="str">
        <f>VLOOKUP(K134,'1126 Desarrollo Social'!$K$13:$AK$58,26,0)</f>
        <v xml:space="preserve"> La estrategia "Juntos Hacemos Combo Recargado" se implementó en las 15 provincias del Departamento, impactando a la fecha en el año 2021 a una población de 3279 jóvenes con su núcleo familiar, comunitario y social </v>
      </c>
      <c r="AK134" s="9">
        <f>VLOOKUP(K134,'1126 Desarrollo Social'!$K$13:$AK$58,27,0)</f>
        <v>0</v>
      </c>
      <c r="AL134" s="11">
        <v>3000</v>
      </c>
      <c r="AM134" s="11">
        <v>0</v>
      </c>
      <c r="AN134" s="11">
        <v>3000</v>
      </c>
      <c r="AO134" s="11">
        <v>0</v>
      </c>
      <c r="AP134" s="11">
        <v>0</v>
      </c>
      <c r="AQ134" s="11">
        <v>0</v>
      </c>
      <c r="AR134" s="51">
        <v>56278332</v>
      </c>
      <c r="AS134" s="54">
        <v>0</v>
      </c>
      <c r="AT134" s="54">
        <f t="shared" si="101"/>
        <v>56278332</v>
      </c>
      <c r="AU134" s="51">
        <v>53451665</v>
      </c>
      <c r="AV134" s="89">
        <v>400000000</v>
      </c>
      <c r="AY134" s="89">
        <v>149099000</v>
      </c>
      <c r="AZ134" s="42">
        <f t="shared" si="216"/>
        <v>0.41749999999999998</v>
      </c>
      <c r="BA134" s="44">
        <v>0.1</v>
      </c>
      <c r="BB134" s="44">
        <v>0.89600000000000002</v>
      </c>
      <c r="BC134" s="42">
        <f t="shared" si="217"/>
        <v>0.31040000000000001</v>
      </c>
      <c r="BD134" s="42" cm="1">
        <f t="array" ref="BD134">_xlfn.IFS(AD134=0,"NA",AD134&gt;0,AH134/AD134)</f>
        <v>1.0563788659793814</v>
      </c>
      <c r="BE134" s="42">
        <f t="shared" si="218"/>
        <v>0.3</v>
      </c>
      <c r="BF134" s="44">
        <v>0</v>
      </c>
      <c r="BG134" s="42">
        <f t="shared" si="219"/>
        <v>0.3</v>
      </c>
      <c r="BH134" s="44">
        <v>0</v>
      </c>
      <c r="BI134" s="42">
        <f t="shared" si="220"/>
        <v>0</v>
      </c>
      <c r="BJ134" s="44" t="s">
        <v>115</v>
      </c>
      <c r="BK134" s="42">
        <f t="shared" si="102"/>
        <v>0.41749999999999998</v>
      </c>
      <c r="BL134" s="44">
        <v>0.89600000000000002</v>
      </c>
      <c r="BM134" s="42" t="str" cm="1">
        <f t="array" ref="BM134">_xlfn.IFS(BD134="NA","NA",BD134&gt;100%,"100%",BD134&lt;100,BD134)</f>
        <v>100%</v>
      </c>
      <c r="BN134" s="42" cm="1">
        <f t="array" ref="BN134">_xlfn.IFS(BF134="NA","NA",BF134&gt;100%,"100%",BF134&lt;100,BF134)</f>
        <v>0</v>
      </c>
      <c r="BO134" s="42" cm="1">
        <f t="array" ref="BO134">_xlfn.IFS(BH134="NA","NA",BH134&gt;100%,"100%",BH134&lt;100,BH134)</f>
        <v>0</v>
      </c>
      <c r="BP134" s="42" t="str" cm="1">
        <f t="array" ref="BP134">_xlfn.IFS(BJ134="NA","NA",BJ134&gt;100%,"100%",BJ134&lt;100,BJ134)</f>
        <v>NA</v>
      </c>
      <c r="BQ134" s="45">
        <v>0.22500000000000001</v>
      </c>
      <c r="BR134" s="43">
        <f t="shared" si="103"/>
        <v>9.3937499999999993E-2</v>
      </c>
      <c r="BS134" s="45">
        <v>2.2499999999999999E-2</v>
      </c>
      <c r="BT134" s="45">
        <v>2.0199999999999999E-2</v>
      </c>
      <c r="BU134" s="45">
        <v>2.0199999999999999E-2</v>
      </c>
      <c r="BV134" s="43">
        <f t="shared" si="221"/>
        <v>6.9839999999999999E-2</v>
      </c>
      <c r="BW134" s="43">
        <f t="shared" si="104"/>
        <v>6.9839999999999999E-2</v>
      </c>
      <c r="BX134" s="43">
        <f t="shared" si="105"/>
        <v>7.3737499999999997E-2</v>
      </c>
      <c r="BY134" s="43">
        <f t="shared" si="222"/>
        <v>6.7500000000000004E-2</v>
      </c>
      <c r="BZ134" s="43">
        <f t="shared" si="223"/>
        <v>0</v>
      </c>
      <c r="CA134" s="43">
        <f t="shared" si="106"/>
        <v>0</v>
      </c>
      <c r="CB134" s="43">
        <f t="shared" si="224"/>
        <v>6.7500000000000004E-2</v>
      </c>
      <c r="CC134" s="43">
        <f t="shared" si="225"/>
        <v>0</v>
      </c>
      <c r="CD134" s="45">
        <v>0</v>
      </c>
      <c r="CE134" s="43">
        <f t="shared" si="226"/>
        <v>0</v>
      </c>
      <c r="CF134" s="43" t="str">
        <f t="shared" si="227"/>
        <v>NA</v>
      </c>
      <c r="CG134" s="45">
        <v>0</v>
      </c>
    </row>
    <row r="135" spans="1:90" ht="18" customHeight="1">
      <c r="A135" s="260" t="s">
        <v>144</v>
      </c>
      <c r="B135" s="260" t="s">
        <v>145</v>
      </c>
      <c r="C135" s="260" t="s">
        <v>100</v>
      </c>
      <c r="D135" s="260" t="s">
        <v>508</v>
      </c>
      <c r="E135" s="260" t="s">
        <v>769</v>
      </c>
      <c r="F135" s="260" t="s">
        <v>819</v>
      </c>
      <c r="G135" s="260" t="s">
        <v>820</v>
      </c>
      <c r="H135" s="260" t="s">
        <v>863</v>
      </c>
      <c r="I135" s="260"/>
      <c r="J135" s="260"/>
      <c r="K135" s="260" t="s">
        <v>864</v>
      </c>
      <c r="L135" s="260" t="s">
        <v>865</v>
      </c>
      <c r="M135" s="260" t="s">
        <v>866</v>
      </c>
      <c r="N135" s="260" t="s">
        <v>111</v>
      </c>
      <c r="O135" s="260" t="s">
        <v>112</v>
      </c>
      <c r="P135" s="10">
        <v>100</v>
      </c>
      <c r="Q135" s="11">
        <v>100</v>
      </c>
      <c r="R135" s="9">
        <f t="shared" si="214"/>
        <v>26</v>
      </c>
      <c r="S135" s="11" t="str">
        <f>VLOOKUP(K135,'1126 Desarrollo Social'!$K$13:$S$58,9,0)</f>
        <v>Seguimiento a las iniciativas del año 2019Socialización en los municipios del decreto que reglamenta el banco de iniciativas juvenilesEl personal profesional contratado para las actividades de esta meta se realizo con recursos del plan de desarrollo unidos podemos mas</v>
      </c>
      <c r="T135" s="11">
        <v>14</v>
      </c>
      <c r="U135" s="11">
        <v>0</v>
      </c>
      <c r="V135" s="11">
        <v>14</v>
      </c>
      <c r="W135" s="11">
        <v>0</v>
      </c>
      <c r="X135" s="11">
        <v>15</v>
      </c>
      <c r="Y135" s="11">
        <v>0</v>
      </c>
      <c r="Z135" s="11">
        <v>15</v>
      </c>
      <c r="AA135" s="11">
        <v>0</v>
      </c>
      <c r="AB135" s="11" t="s">
        <v>867</v>
      </c>
      <c r="AC135" s="11">
        <v>0</v>
      </c>
      <c r="AD135" s="11">
        <v>20</v>
      </c>
      <c r="AE135" s="11">
        <v>0</v>
      </c>
      <c r="AF135" s="11">
        <f>VLOOKUP(K135,'1126 Desarrollo Social'!$K$13:$AK$58,22,0)</f>
        <v>11</v>
      </c>
      <c r="AG135" s="11">
        <f>VLOOKUP(K135,'1126 Desarrollo Social'!$K$13:$AK$58,23,0)</f>
        <v>0</v>
      </c>
      <c r="AH135" s="9">
        <f t="shared" si="215"/>
        <v>11</v>
      </c>
      <c r="AI135" s="9">
        <f>VLOOKUP(K135,'1126 Desarrollo Social'!$K$13:$AK$58,25,0)</f>
        <v>0</v>
      </c>
      <c r="AJ135" s="9" t="str">
        <f>VLOOKUP(K135,'1126 Desarrollo Social'!$K$13:$AK$58,26,0)</f>
        <v>Entrega de incentivos económicos a las iniciativas beneficiadas de la convocatoria 2020. Seguimiento a Iniciativas 2020 (desembolsadas en marzo de la vigencia actual) . Formulación de Convocataria 2021. Apertura de la convocatoria del banco de iniciativas juveniles.</v>
      </c>
      <c r="AK135" s="9">
        <f>VLOOKUP(K135,'1126 Desarrollo Social'!$K$13:$AK$58,27,0)</f>
        <v>0</v>
      </c>
      <c r="AL135" s="11">
        <v>36</v>
      </c>
      <c r="AM135" s="11">
        <v>0</v>
      </c>
      <c r="AN135" s="11">
        <v>29</v>
      </c>
      <c r="AO135" s="11">
        <v>0</v>
      </c>
      <c r="AP135" s="11">
        <v>0</v>
      </c>
      <c r="AQ135" s="11">
        <v>0</v>
      </c>
      <c r="AR135" s="51">
        <v>160032500</v>
      </c>
      <c r="AS135" s="54">
        <v>0</v>
      </c>
      <c r="AT135" s="54">
        <f t="shared" si="101"/>
        <v>160032500</v>
      </c>
      <c r="AU135" s="51">
        <v>157983821</v>
      </c>
      <c r="AV135" s="89">
        <v>180000000</v>
      </c>
      <c r="AY135" s="89">
        <v>16386000</v>
      </c>
      <c r="AZ135" s="42">
        <f t="shared" si="216"/>
        <v>0.26</v>
      </c>
      <c r="BA135" s="44">
        <v>0.14000000000000001</v>
      </c>
      <c r="BB135" s="44">
        <v>1.0713999999999999</v>
      </c>
      <c r="BC135" s="42">
        <f t="shared" si="217"/>
        <v>0.2</v>
      </c>
      <c r="BD135" s="42" cm="1">
        <f t="array" ref="BD135">_xlfn.IFS(AD135=0,"NA",AD135&gt;0,AH135/AD135)</f>
        <v>0.55000000000000004</v>
      </c>
      <c r="BE135" s="42">
        <f t="shared" si="218"/>
        <v>0.36</v>
      </c>
      <c r="BF135" s="44">
        <v>0</v>
      </c>
      <c r="BG135" s="42">
        <f t="shared" si="219"/>
        <v>0.28999999999999998</v>
      </c>
      <c r="BH135" s="44">
        <v>0</v>
      </c>
      <c r="BI135" s="42">
        <f t="shared" si="220"/>
        <v>0</v>
      </c>
      <c r="BJ135" s="44" t="s">
        <v>115</v>
      </c>
      <c r="BK135" s="42">
        <f t="shared" si="102"/>
        <v>0.26</v>
      </c>
      <c r="BL135" s="44">
        <v>1</v>
      </c>
      <c r="BM135" s="42" cm="1">
        <f t="array" ref="BM135">_xlfn.IFS(BD135="NA","NA",BD135&gt;100%,"100%",BD135&lt;100,BD135)</f>
        <v>0.55000000000000004</v>
      </c>
      <c r="BN135" s="42" cm="1">
        <f t="array" ref="BN135">_xlfn.IFS(BF135="NA","NA",BF135&gt;100%,"100%",BF135&lt;100,BF135)</f>
        <v>0</v>
      </c>
      <c r="BO135" s="42" cm="1">
        <f t="array" ref="BO135">_xlfn.IFS(BH135="NA","NA",BH135&gt;100%,"100%",BH135&lt;100,BH135)</f>
        <v>0</v>
      </c>
      <c r="BP135" s="42" t="str" cm="1">
        <f t="array" ref="BP135">_xlfn.IFS(BJ135="NA","NA",BJ135&gt;100%,"100%",BJ135&lt;100,BJ135)</f>
        <v>NA</v>
      </c>
      <c r="BQ135" s="45">
        <v>0.22500000000000001</v>
      </c>
      <c r="BR135" s="43">
        <f t="shared" si="103"/>
        <v>5.8500000000000003E-2</v>
      </c>
      <c r="BS135" s="45">
        <v>3.15E-2</v>
      </c>
      <c r="BT135" s="45">
        <v>3.15E-2</v>
      </c>
      <c r="BU135" s="45">
        <v>3.3799999999999997E-2</v>
      </c>
      <c r="BV135" s="43">
        <f t="shared" si="221"/>
        <v>4.4999999999999998E-2</v>
      </c>
      <c r="BW135" s="43">
        <f t="shared" si="104"/>
        <v>2.4750000000000001E-2</v>
      </c>
      <c r="BX135" s="43">
        <f t="shared" si="105"/>
        <v>2.4700000000000007E-2</v>
      </c>
      <c r="BY135" s="43">
        <f t="shared" si="222"/>
        <v>8.1000000000000003E-2</v>
      </c>
      <c r="BZ135" s="43">
        <f t="shared" si="223"/>
        <v>0</v>
      </c>
      <c r="CA135" s="43">
        <f t="shared" si="106"/>
        <v>0</v>
      </c>
      <c r="CB135" s="43">
        <f t="shared" si="224"/>
        <v>6.5250000000000002E-2</v>
      </c>
      <c r="CC135" s="43">
        <f t="shared" si="225"/>
        <v>0</v>
      </c>
      <c r="CD135" s="45">
        <v>0</v>
      </c>
      <c r="CE135" s="43">
        <f t="shared" si="226"/>
        <v>0</v>
      </c>
      <c r="CF135" s="43" t="str">
        <f t="shared" si="227"/>
        <v>NA</v>
      </c>
      <c r="CG135" s="45">
        <v>0</v>
      </c>
    </row>
    <row r="136" spans="1:90" ht="18" customHeight="1">
      <c r="A136" s="260" t="s">
        <v>868</v>
      </c>
      <c r="B136" s="260" t="s">
        <v>869</v>
      </c>
      <c r="C136" s="260" t="s">
        <v>100</v>
      </c>
      <c r="D136" s="260" t="s">
        <v>508</v>
      </c>
      <c r="E136" s="260" t="s">
        <v>870</v>
      </c>
      <c r="F136" s="260" t="s">
        <v>871</v>
      </c>
      <c r="G136" s="260" t="s">
        <v>872</v>
      </c>
      <c r="H136" s="260" t="s">
        <v>873</v>
      </c>
      <c r="I136" s="260"/>
      <c r="J136" s="260"/>
      <c r="K136" s="260" t="s">
        <v>874</v>
      </c>
      <c r="L136" s="260" t="s">
        <v>875</v>
      </c>
      <c r="M136" s="260" t="s">
        <v>876</v>
      </c>
      <c r="N136" s="260" t="s">
        <v>111</v>
      </c>
      <c r="O136" s="260" t="s">
        <v>112</v>
      </c>
      <c r="P136" s="10">
        <v>116</v>
      </c>
      <c r="Q136" s="11">
        <v>116</v>
      </c>
      <c r="R136" s="9">
        <f t="shared" si="214"/>
        <v>54</v>
      </c>
      <c r="S136" s="11" t="str">
        <f>VLOOKUP(K136,'1263 Pensiones'!$K$13:$AK$15,9,0)</f>
        <v>Asesoria virtual y presencial a comunidad general y entes territoriales de 54 municipios del departamento de Cundinamarca brindando información sobre el reconocimiento de prestaciones, programa BEPS, actualización del pasivo pensional y recursos del FONPET .</v>
      </c>
      <c r="T136" s="11">
        <v>0</v>
      </c>
      <c r="U136" s="11">
        <v>0</v>
      </c>
      <c r="V136" s="11">
        <v>15</v>
      </c>
      <c r="W136" s="11">
        <v>0</v>
      </c>
      <c r="X136" s="11">
        <v>15</v>
      </c>
      <c r="Y136" s="11">
        <v>15</v>
      </c>
      <c r="Z136" s="11">
        <v>15</v>
      </c>
      <c r="AA136" s="11" t="s">
        <v>877</v>
      </c>
      <c r="AB136" s="11" t="s">
        <v>878</v>
      </c>
      <c r="AC136" s="11" t="s">
        <v>879</v>
      </c>
      <c r="AD136" s="11">
        <v>39</v>
      </c>
      <c r="AE136" s="11">
        <v>0</v>
      </c>
      <c r="AF136" s="11">
        <f>VLOOKUP(K136,'1263 Pensiones'!$K$13:$AK$15,22,0)</f>
        <v>39</v>
      </c>
      <c r="AG136" s="11">
        <f>VLOOKUP(K136,'1263 Pensiones'!$K$13:$AK$15,23,0)</f>
        <v>0</v>
      </c>
      <c r="AH136" s="9">
        <f t="shared" si="215"/>
        <v>39</v>
      </c>
      <c r="AI136" s="9" t="str">
        <f>VLOOKUP(K136,'1263 Pensiones'!$K$13:$AK$15,25,0)</f>
        <v>Asesoria en materia pensional</v>
      </c>
      <c r="AJ136" s="9" t="str">
        <f>VLOOKUP(K136,'1263 Pensiones'!$K$13:$AK$15,26,0)</f>
        <v>Asesoria a comunidad general y entes territoriales de  39 municipios del departamento de Cundinamarca brindando información sobre el reconocimiento de prestaciones, programa BEPS, actualización del pasivo pensional y recursos del FONPET .</v>
      </c>
      <c r="AK136" s="9" t="str">
        <f>VLOOKUP(K136,'1263 Pensiones'!$K$13:$AK$15,27,0)</f>
        <v xml:space="preserve">Reducción en la cantidad de población asistente a eventos debido a la situación generada por el COVID-19 y necesidad de implementar nuevos protocolos para atención de cundinamarqueses. Restricciones y cerramientos en vias debido a manifestaciones a lo largo del pais. </v>
      </c>
      <c r="AL136" s="11">
        <v>38</v>
      </c>
      <c r="AM136" s="11">
        <v>0</v>
      </c>
      <c r="AN136" s="11">
        <v>24</v>
      </c>
      <c r="AO136" s="11">
        <v>0</v>
      </c>
      <c r="AP136" s="11">
        <v>0</v>
      </c>
      <c r="AQ136" s="11">
        <v>0</v>
      </c>
      <c r="AR136" s="52"/>
      <c r="AS136" s="54">
        <v>1461075</v>
      </c>
      <c r="AT136" s="54">
        <f t="shared" si="101"/>
        <v>1461075</v>
      </c>
      <c r="AU136" s="52"/>
      <c r="AV136" s="89">
        <v>5000000</v>
      </c>
      <c r="AY136" s="89">
        <v>0</v>
      </c>
      <c r="AZ136" s="42">
        <f t="shared" si="216"/>
        <v>0.46551724137931033</v>
      </c>
      <c r="BA136" s="44">
        <v>0.1293</v>
      </c>
      <c r="BB136" s="44">
        <v>1</v>
      </c>
      <c r="BC136" s="42">
        <f t="shared" si="217"/>
        <v>0.33620689655172414</v>
      </c>
      <c r="BD136" s="42" cm="1">
        <f t="array" ref="BD136">_xlfn.IFS(AD136=0,"NA",AD136&gt;0,AH136/AD136)</f>
        <v>1</v>
      </c>
      <c r="BE136" s="42">
        <f t="shared" si="218"/>
        <v>0.32758620689655171</v>
      </c>
      <c r="BF136" s="44">
        <v>0</v>
      </c>
      <c r="BG136" s="42">
        <f t="shared" si="219"/>
        <v>0.20689655172413793</v>
      </c>
      <c r="BH136" s="44">
        <v>0</v>
      </c>
      <c r="BI136" s="42">
        <f t="shared" si="220"/>
        <v>0</v>
      </c>
      <c r="BJ136" s="44" t="s">
        <v>115</v>
      </c>
      <c r="BK136" s="42">
        <f t="shared" si="102"/>
        <v>0.46551724137931033</v>
      </c>
      <c r="BL136" s="44">
        <v>1</v>
      </c>
      <c r="BM136" s="42" cm="1">
        <f t="array" ref="BM136">_xlfn.IFS(BD136="NA","NA",BD136&gt;100%,"100%",BD136&lt;100,BD136)</f>
        <v>1</v>
      </c>
      <c r="BN136" s="42" cm="1">
        <f t="array" ref="BN136">_xlfn.IFS(BF136="NA","NA",BF136&gt;100%,"100%",BF136&lt;100,BF136)</f>
        <v>0</v>
      </c>
      <c r="BO136" s="42" cm="1">
        <f t="array" ref="BO136">_xlfn.IFS(BH136="NA","NA",BH136&gt;100%,"100%",BH136&lt;100,BH136)</f>
        <v>0</v>
      </c>
      <c r="BP136" s="42" t="str" cm="1">
        <f t="array" ref="BP136">_xlfn.IFS(BJ136="NA","NA",BJ136&gt;100%,"100%",BJ136&lt;100,BJ136)</f>
        <v>NA</v>
      </c>
      <c r="BQ136" s="45">
        <v>0.22500000000000001</v>
      </c>
      <c r="BR136" s="43">
        <f t="shared" si="103"/>
        <v>0.10474137931034483</v>
      </c>
      <c r="BS136" s="45">
        <v>2.9100000000000001E-2</v>
      </c>
      <c r="BT136" s="45">
        <v>2.9100000000000001E-2</v>
      </c>
      <c r="BU136" s="45">
        <v>2.9100000000000001E-2</v>
      </c>
      <c r="BV136" s="43">
        <f t="shared" si="221"/>
        <v>7.5646551724137936E-2</v>
      </c>
      <c r="BW136" s="43">
        <f t="shared" si="104"/>
        <v>7.5646551724137936E-2</v>
      </c>
      <c r="BX136" s="43">
        <f t="shared" si="105"/>
        <v>7.5641379310344828E-2</v>
      </c>
      <c r="BY136" s="43">
        <f t="shared" si="222"/>
        <v>7.3706896551724146E-2</v>
      </c>
      <c r="BZ136" s="43">
        <f t="shared" si="223"/>
        <v>0</v>
      </c>
      <c r="CA136" s="43">
        <f t="shared" si="106"/>
        <v>0</v>
      </c>
      <c r="CB136" s="43">
        <f t="shared" si="224"/>
        <v>4.6551724137931037E-2</v>
      </c>
      <c r="CC136" s="43">
        <f t="shared" si="225"/>
        <v>0</v>
      </c>
      <c r="CD136" s="45">
        <v>0</v>
      </c>
      <c r="CE136" s="43">
        <f t="shared" si="226"/>
        <v>0</v>
      </c>
      <c r="CF136" s="43" t="str">
        <f t="shared" si="227"/>
        <v>NA</v>
      </c>
      <c r="CG136" s="45">
        <v>0</v>
      </c>
    </row>
    <row r="137" spans="1:90" ht="18" customHeight="1">
      <c r="A137" s="260" t="s">
        <v>868</v>
      </c>
      <c r="B137" s="260" t="s">
        <v>869</v>
      </c>
      <c r="C137" s="260" t="s">
        <v>100</v>
      </c>
      <c r="D137" s="260" t="s">
        <v>508</v>
      </c>
      <c r="E137" s="260" t="s">
        <v>870</v>
      </c>
      <c r="F137" s="260" t="s">
        <v>871</v>
      </c>
      <c r="G137" s="260" t="s">
        <v>872</v>
      </c>
      <c r="H137" s="260" t="s">
        <v>880</v>
      </c>
      <c r="I137" s="260"/>
      <c r="J137" s="260"/>
      <c r="K137" s="260" t="s">
        <v>881</v>
      </c>
      <c r="L137" s="260" t="s">
        <v>882</v>
      </c>
      <c r="M137" s="260" t="s">
        <v>253</v>
      </c>
      <c r="N137" s="260" t="s">
        <v>111</v>
      </c>
      <c r="O137" s="260" t="s">
        <v>112</v>
      </c>
      <c r="P137" s="10">
        <v>0</v>
      </c>
      <c r="Q137" s="11">
        <v>20</v>
      </c>
      <c r="R137" s="9">
        <f t="shared" si="214"/>
        <v>5</v>
      </c>
      <c r="S137" s="11" t="str">
        <f>VLOOKUP(K137,'1263 Pensiones'!$K$13:$AK$15,9,0)</f>
        <v>Se han realizado 5 eventos de capacitación en seguridad social con enfoque diferencial a mujeres lideresas y agricultoras del departamento. Para lograr un mayor impacto en las jornadas de capacitación se invitó a otras secretaías a participar con su oferta institucional y brindar capacitaciones en temas de importancia para la mujer y actividades de recreación.</v>
      </c>
      <c r="T137" s="11">
        <v>0</v>
      </c>
      <c r="U137" s="11">
        <v>0</v>
      </c>
      <c r="V137" s="11">
        <v>0</v>
      </c>
      <c r="W137" s="11">
        <v>0</v>
      </c>
      <c r="X137" s="11">
        <v>0</v>
      </c>
      <c r="Y137" s="11">
        <v>0</v>
      </c>
      <c r="Z137" s="11">
        <v>0</v>
      </c>
      <c r="AA137" s="11"/>
      <c r="AB137" s="11"/>
      <c r="AC137" s="11"/>
      <c r="AD137" s="11">
        <v>5</v>
      </c>
      <c r="AE137" s="11">
        <v>0</v>
      </c>
      <c r="AF137" s="11">
        <f>VLOOKUP(K137,'1263 Pensiones'!$K$13:$AK$15,22,0)</f>
        <v>5</v>
      </c>
      <c r="AG137" s="11">
        <f>VLOOKUP(K137,'1263 Pensiones'!$K$13:$AK$15,23,0)</f>
        <v>0</v>
      </c>
      <c r="AH137" s="9">
        <f t="shared" si="215"/>
        <v>5</v>
      </c>
      <c r="AI137" s="9" t="str">
        <f>VLOOKUP(K137,'1263 Pensiones'!$K$13:$AK$15,25,0)</f>
        <v>Eventos de capacitación en seguridad social</v>
      </c>
      <c r="AJ137" s="9" t="str">
        <f>VLOOKUP(K137,'1263 Pensiones'!$K$13:$AK$15,26,0)</f>
        <v>Realizamos 5 eventos de capacitación en seguridad social a mujeres lideresas y agricultoras del departamento de Cundinamarca, solicitando el acompañamiento de otras secretarías con su oferta institucional para robustecer las jornadas con capacitaciones en temas de interes para las mujeres como lo son la felicidad, el empoderamiento femenino y el emprendimiento, y la realización de actividades de recreación activa y pasiva.</v>
      </c>
      <c r="AK137" s="9" t="str">
        <f>VLOOKUP(K137,'1263 Pensiones'!$K$13:$AK$15,27,0)</f>
        <v xml:space="preserve">Dificultad para realizar las convocatorias y la losgistica dando cumplimiento a los protocolos de bioseguridad </v>
      </c>
      <c r="AL137" s="11">
        <v>8</v>
      </c>
      <c r="AM137" s="11">
        <v>0</v>
      </c>
      <c r="AN137" s="11">
        <v>7</v>
      </c>
      <c r="AO137" s="11">
        <v>0</v>
      </c>
      <c r="AP137" s="11">
        <v>0</v>
      </c>
      <c r="AQ137" s="11">
        <v>0</v>
      </c>
      <c r="AR137" s="52"/>
      <c r="AS137" s="54">
        <v>0</v>
      </c>
      <c r="AT137" s="54">
        <f t="shared" si="101"/>
        <v>0</v>
      </c>
      <c r="AU137" s="52"/>
      <c r="AV137" s="89">
        <v>30000000</v>
      </c>
      <c r="AY137" s="89">
        <v>0</v>
      </c>
      <c r="AZ137" s="42">
        <f t="shared" si="216"/>
        <v>0.25</v>
      </c>
      <c r="BA137" s="44">
        <v>0</v>
      </c>
      <c r="BB137" s="44" t="s">
        <v>115</v>
      </c>
      <c r="BC137" s="42">
        <f t="shared" si="217"/>
        <v>0.25</v>
      </c>
      <c r="BD137" s="42" cm="1">
        <f t="array" ref="BD137">_xlfn.IFS(AD137=0,"NA",AD137&gt;0,AH137/AD137)</f>
        <v>1</v>
      </c>
      <c r="BE137" s="42">
        <f t="shared" si="218"/>
        <v>0.4</v>
      </c>
      <c r="BF137" s="44">
        <v>0</v>
      </c>
      <c r="BG137" s="42">
        <f t="shared" si="219"/>
        <v>0.35</v>
      </c>
      <c r="BH137" s="44">
        <v>0</v>
      </c>
      <c r="BI137" s="42">
        <f t="shared" si="220"/>
        <v>0</v>
      </c>
      <c r="BJ137" s="44" t="s">
        <v>115</v>
      </c>
      <c r="BK137" s="42">
        <f t="shared" si="102"/>
        <v>0.25</v>
      </c>
      <c r="BL137" s="44" t="s">
        <v>115</v>
      </c>
      <c r="BM137" s="42" cm="1">
        <f t="array" ref="BM137">_xlfn.IFS(BD137="NA","NA",BD137&gt;100%,"100%",BD137&lt;100,BD137)</f>
        <v>1</v>
      </c>
      <c r="BN137" s="42" cm="1">
        <f t="array" ref="BN137">_xlfn.IFS(BF137="NA","NA",BF137&gt;100%,"100%",BF137&lt;100,BF137)</f>
        <v>0</v>
      </c>
      <c r="BO137" s="42" cm="1">
        <f t="array" ref="BO137">_xlfn.IFS(BH137="NA","NA",BH137&gt;100%,"100%",BH137&lt;100,BH137)</f>
        <v>0</v>
      </c>
      <c r="BP137" s="42" t="str" cm="1">
        <f t="array" ref="BP137">_xlfn.IFS(BJ137="NA","NA",BJ137&gt;100%,"100%",BJ137&lt;100,BJ137)</f>
        <v>NA</v>
      </c>
      <c r="BQ137" s="45">
        <v>0.22500000000000001</v>
      </c>
      <c r="BR137" s="43">
        <f t="shared" si="103"/>
        <v>5.6250000000000001E-2</v>
      </c>
      <c r="BS137" s="45">
        <v>0</v>
      </c>
      <c r="BT137" s="45" t="s">
        <v>115</v>
      </c>
      <c r="BU137" s="45">
        <v>0</v>
      </c>
      <c r="BV137" s="43">
        <f t="shared" si="221"/>
        <v>5.6250000000000001E-2</v>
      </c>
      <c r="BW137" s="43">
        <f t="shared" si="104"/>
        <v>5.6250000000000001E-2</v>
      </c>
      <c r="BX137" s="43">
        <f t="shared" si="105"/>
        <v>5.6250000000000001E-2</v>
      </c>
      <c r="BY137" s="43">
        <f t="shared" si="222"/>
        <v>0.09</v>
      </c>
      <c r="BZ137" s="43">
        <f t="shared" si="223"/>
        <v>0</v>
      </c>
      <c r="CA137" s="43">
        <f t="shared" si="106"/>
        <v>0</v>
      </c>
      <c r="CB137" s="43">
        <f t="shared" si="224"/>
        <v>7.8750000000000001E-2</v>
      </c>
      <c r="CC137" s="43">
        <f t="shared" si="225"/>
        <v>0</v>
      </c>
      <c r="CD137" s="45">
        <v>0</v>
      </c>
      <c r="CE137" s="43">
        <f t="shared" si="226"/>
        <v>0</v>
      </c>
      <c r="CF137" s="43" t="str">
        <f t="shared" si="227"/>
        <v>NA</v>
      </c>
      <c r="CG137" s="45">
        <v>0</v>
      </c>
    </row>
    <row r="138" spans="1:90" ht="18" customHeight="1">
      <c r="A138" s="260" t="s">
        <v>868</v>
      </c>
      <c r="B138" s="260" t="s">
        <v>869</v>
      </c>
      <c r="C138" s="260" t="s">
        <v>100</v>
      </c>
      <c r="D138" s="260" t="s">
        <v>508</v>
      </c>
      <c r="E138" s="260" t="s">
        <v>870</v>
      </c>
      <c r="F138" s="260" t="s">
        <v>871</v>
      </c>
      <c r="G138" s="260" t="s">
        <v>872</v>
      </c>
      <c r="H138" s="260" t="s">
        <v>883</v>
      </c>
      <c r="I138" s="260"/>
      <c r="J138" s="260"/>
      <c r="K138" s="260" t="s">
        <v>884</v>
      </c>
      <c r="L138" s="260" t="s">
        <v>885</v>
      </c>
      <c r="M138" s="260" t="s">
        <v>886</v>
      </c>
      <c r="N138" s="260" t="s">
        <v>123</v>
      </c>
      <c r="O138" s="260" t="s">
        <v>124</v>
      </c>
      <c r="P138" s="10">
        <v>100</v>
      </c>
      <c r="Q138" s="11">
        <v>100</v>
      </c>
      <c r="R138" s="11">
        <f>(Z138+AH138)/CL138</f>
        <v>50</v>
      </c>
      <c r="S138" s="11" t="str">
        <f>VLOOKUP(K138,'1263 Pensiones'!$K$13:$AK$15,9,0)</f>
        <v>Hemos realizado actividades online y presenciales como clases de Yoga, charlas de psicología entre otras, y hemos implementado diferentes estrategias como el acompañamiento psicosocial por parte de una trabajadora social y los mensajes de cumpleaños, buscando beneficiar y generar una comunicación permanente con el 100% de los afiliados al Club del Pensionado.</v>
      </c>
      <c r="T138" s="11">
        <v>0</v>
      </c>
      <c r="U138" s="11">
        <v>100</v>
      </c>
      <c r="V138" s="11">
        <v>0</v>
      </c>
      <c r="W138" s="11">
        <v>100</v>
      </c>
      <c r="X138" s="11" t="s">
        <v>115</v>
      </c>
      <c r="Y138" s="11">
        <v>100</v>
      </c>
      <c r="Z138" s="11">
        <v>100</v>
      </c>
      <c r="AA138" s="11" t="s">
        <v>887</v>
      </c>
      <c r="AB138" s="11" t="s">
        <v>888</v>
      </c>
      <c r="AC138" s="11" t="s">
        <v>889</v>
      </c>
      <c r="AD138" s="11">
        <v>0</v>
      </c>
      <c r="AE138" s="11">
        <v>100</v>
      </c>
      <c r="AF138" s="11">
        <f>VLOOKUP(K138,'1263 Pensiones'!$K$13:$AK$15,22,0)</f>
        <v>0</v>
      </c>
      <c r="AG138" s="11">
        <f>VLOOKUP(K138,'1263 Pensiones'!$K$13:$AK$15,23,0)</f>
        <v>100</v>
      </c>
      <c r="AH138" s="11">
        <f>AG138</f>
        <v>100</v>
      </c>
      <c r="AI138" s="9" t="str">
        <f>VLOOKUP(K138,'1263 Pensiones'!$K$13:$AK$15,25,0)</f>
        <v>Actividades de bienestar para los pensionados</v>
      </c>
      <c r="AJ138" s="9" t="str">
        <f>VLOOKUP(K138,'1263 Pensiones'!$K$13:$AK$15,26,0)</f>
        <v xml:space="preserve">Acompañamiento psicosocial a 51 pensionados a través de zoom y llamadas telefónicas, actividades de bienestar realizadas a través de nuestras redes sociales, 12 jornadas de bienestar realizadas en el Club del Pensionado "Casa Acuaries" y celebración del día del pensionado en dónde se realizaron actividades de bienestar y un Bingo con incentivos para los pensionados. </v>
      </c>
      <c r="AK138" s="9" t="str">
        <f>VLOOKUP(K138,'1263 Pensiones'!$K$13:$AK$15,27,0)</f>
        <v xml:space="preserve">Dificultad para realizar las convocatorias y la losgistica dando cumplimiento a los protocolos de bioseguridad </v>
      </c>
      <c r="AL138" s="11">
        <v>0</v>
      </c>
      <c r="AM138" s="11">
        <v>100</v>
      </c>
      <c r="AN138" s="11">
        <v>0</v>
      </c>
      <c r="AO138" s="11">
        <v>100</v>
      </c>
      <c r="AP138" s="11">
        <v>0</v>
      </c>
      <c r="AQ138" s="11">
        <v>0</v>
      </c>
      <c r="AR138" s="51">
        <v>46153846</v>
      </c>
      <c r="AS138" s="54">
        <v>0</v>
      </c>
      <c r="AT138" s="54">
        <f t="shared" si="101"/>
        <v>46153846</v>
      </c>
      <c r="AU138" s="51">
        <v>46153846</v>
      </c>
      <c r="AV138" s="89">
        <v>130000000</v>
      </c>
      <c r="AY138" s="89">
        <v>0</v>
      </c>
      <c r="AZ138" s="44" cm="1">
        <f t="array" ref="AZ138">_xlfn.IFS((BA138=0),(BD138/CL138),(BA138&gt;0),((BB138+BD138)/CL138),(BE138&gt;0),((BB138+BD138+BE138)/CL138),(BG138&gt;0),((BB138+BD138+BE138+G138)/CL138))</f>
        <v>0.5</v>
      </c>
      <c r="BA138" s="44">
        <v>0.25</v>
      </c>
      <c r="BB138" s="44">
        <v>1</v>
      </c>
      <c r="BC138" s="44">
        <f>IF(AE138&gt;0,(1/CL138),0)</f>
        <v>0.25</v>
      </c>
      <c r="BD138" s="44" cm="1">
        <f t="array" ref="BD138">_xlfn.IFS(AE138=0,"NA",AE138&gt;0,AH138/AE138)</f>
        <v>1</v>
      </c>
      <c r="BE138" s="44">
        <f>IF(AM138&gt;0,(1/CL138),0)</f>
        <v>0.25</v>
      </c>
      <c r="BF138" s="44">
        <v>0</v>
      </c>
      <c r="BG138" s="44">
        <f>IF(AO138&gt;0,(1/CL138),0)</f>
        <v>0.25</v>
      </c>
      <c r="BH138" s="44">
        <v>0</v>
      </c>
      <c r="BI138" s="44">
        <v>0</v>
      </c>
      <c r="BJ138" s="44" t="s">
        <v>115</v>
      </c>
      <c r="BK138" s="44">
        <f t="shared" si="102"/>
        <v>0.5</v>
      </c>
      <c r="BL138" s="44">
        <v>1</v>
      </c>
      <c r="BM138" s="42" cm="1">
        <f t="array" ref="BM138">_xlfn.IFS(BD138="NA","NA",BD138&gt;100%,"100%",BD138&lt;100,BD138)</f>
        <v>1</v>
      </c>
      <c r="BN138" s="44">
        <v>0</v>
      </c>
      <c r="BO138" s="44">
        <v>0</v>
      </c>
      <c r="BP138" s="44" t="s">
        <v>115</v>
      </c>
      <c r="BQ138" s="45">
        <v>0.22500000000000001</v>
      </c>
      <c r="BR138" s="43">
        <f t="shared" si="103"/>
        <v>0.1125</v>
      </c>
      <c r="BS138" s="45">
        <v>5.6300000000000003E-2</v>
      </c>
      <c r="BT138" s="45">
        <v>5.6300000000000003E-2</v>
      </c>
      <c r="BU138" s="45">
        <v>5.6300000000000003E-2</v>
      </c>
      <c r="BV138" s="45">
        <v>5.6300000000000003E-2</v>
      </c>
      <c r="BW138" s="43">
        <f t="shared" si="104"/>
        <v>5.6300000000000003E-2</v>
      </c>
      <c r="BX138" s="43">
        <f t="shared" si="105"/>
        <v>5.62E-2</v>
      </c>
      <c r="BY138" s="45">
        <v>5.6300000000000003E-2</v>
      </c>
      <c r="BZ138" s="45">
        <v>0</v>
      </c>
      <c r="CA138" s="43">
        <f t="shared" si="106"/>
        <v>0</v>
      </c>
      <c r="CB138" s="45">
        <v>5.6300000000000003E-2</v>
      </c>
      <c r="CC138" s="45">
        <v>0</v>
      </c>
      <c r="CD138" s="45">
        <v>0</v>
      </c>
      <c r="CE138" s="45">
        <v>0</v>
      </c>
      <c r="CF138" s="45" t="s">
        <v>115</v>
      </c>
      <c r="CG138" s="45">
        <v>0</v>
      </c>
      <c r="CH138">
        <f>IF(W138&gt;0,1,0)</f>
        <v>1</v>
      </c>
      <c r="CI138">
        <f>IF(AE138&gt;0,1,0)</f>
        <v>1</v>
      </c>
      <c r="CJ138">
        <f>IF(AM138&gt;0,1,0)</f>
        <v>1</v>
      </c>
      <c r="CK138">
        <f>IF(AO138&gt;0,1,0)</f>
        <v>1</v>
      </c>
      <c r="CL138">
        <f>CH138+CI138+CJ138+CK138</f>
        <v>4</v>
      </c>
    </row>
    <row r="139" spans="1:90" ht="18" customHeight="1">
      <c r="A139" s="260" t="s">
        <v>98</v>
      </c>
      <c r="B139" s="260" t="s">
        <v>99</v>
      </c>
      <c r="C139" s="260" t="s">
        <v>100</v>
      </c>
      <c r="D139" s="260" t="s">
        <v>508</v>
      </c>
      <c r="E139" s="260" t="s">
        <v>870</v>
      </c>
      <c r="F139" s="260" t="s">
        <v>890</v>
      </c>
      <c r="G139" s="260" t="s">
        <v>891</v>
      </c>
      <c r="H139" s="260" t="s">
        <v>892</v>
      </c>
      <c r="I139" s="260"/>
      <c r="J139" s="12" t="s">
        <v>893</v>
      </c>
      <c r="K139" s="260" t="s">
        <v>894</v>
      </c>
      <c r="L139" s="260" t="s">
        <v>895</v>
      </c>
      <c r="M139" s="260" t="s">
        <v>896</v>
      </c>
      <c r="N139" s="260" t="s">
        <v>123</v>
      </c>
      <c r="O139" s="260" t="s">
        <v>112</v>
      </c>
      <c r="P139" s="10">
        <v>12</v>
      </c>
      <c r="Q139" s="11">
        <v>2</v>
      </c>
      <c r="R139" s="9">
        <f t="shared" ref="R139:R140" si="228">Z139+AH139</f>
        <v>0.7</v>
      </c>
      <c r="S139" s="9" t="str">
        <f>VLOOKUP(K139,'1197 Salud'!$K$13:$AK$54,9,0)</f>
        <v>La implementación de la Estrategia “Conoce Tu riesgo, Peso saludable” permitió detectar tempranamente el Riesgo Cardiovascular (Hipertensión) en 16.478 hombres y mujeres en edades desde los 18 años, así como “Cundinamarca vive Saludable” y “Cundinamarca más sonriente”, promocionaron en esta población estilos de vida saludables como factores protectores generadores de una Cultura de Autocuidado, en el marco de La Ruta de Promoción y Mantenimiento de la Salud</v>
      </c>
      <c r="T139" s="11">
        <v>0.1</v>
      </c>
      <c r="U139" s="11">
        <v>0</v>
      </c>
      <c r="V139" s="11">
        <v>0.1</v>
      </c>
      <c r="W139" s="11">
        <v>0</v>
      </c>
      <c r="X139" s="11">
        <v>0.1</v>
      </c>
      <c r="Y139" s="11">
        <v>0</v>
      </c>
      <c r="Z139" s="11">
        <v>0.1</v>
      </c>
      <c r="AA139" s="11" t="s">
        <v>897</v>
      </c>
      <c r="AB139" s="11" t="s">
        <v>898</v>
      </c>
      <c r="AC139" s="11" t="s">
        <v>899</v>
      </c>
      <c r="AD139" s="11">
        <v>0.6</v>
      </c>
      <c r="AE139" s="11">
        <v>0</v>
      </c>
      <c r="AF139" s="9">
        <f>VLOOKUP(K139,'1197 Salud'!$K$13:$AK$54,22,0)</f>
        <v>0.6</v>
      </c>
      <c r="AG139" s="9">
        <f>VLOOKUP(K139,'1197 Salud'!$K$13:$AK$54,23,0)</f>
        <v>0</v>
      </c>
      <c r="AH139" s="9">
        <f t="shared" ref="AH139:AH140" si="229">AF139</f>
        <v>0.6</v>
      </c>
      <c r="AI139" s="9" t="str">
        <f>VLOOKUP(K139,'1197 Salud'!$K$13:$AK$54,25,0)</f>
        <v>Población con Detección Temprana de Hipertensión</v>
      </c>
      <c r="AJ139" s="9" t="str">
        <f>VLOOKUP(K139,'1197 Salud'!$K$13:$AK$54,26,0)</f>
        <v>La implementación de la Estrategia “Conoce Tu riesgo, Peso saludable” permitió detectar tempranamente el Riesgo Cardiovascular (Hipertensión) en 14.124 hombres y mujeres en edades desde los 18 años, así como la promocion  de estilos de vida saludables como factores protectores generadores de una Cultura de Autocuidado, en el marco de La Ruta de Promoción y Mantenimiento de la Salud</v>
      </c>
      <c r="AK139" s="9" t="str">
        <f>VLOOKUP(K139,'1197 Salud'!$K$13:$AK$54,27,0)</f>
        <v xml:space="preserve">1. Inoportunidad en el envío de la información para monitoreo de indicadores
2. Rotación del talento humano en los Planes de intervenciones Colectivas e Instituciones de Salud </v>
      </c>
      <c r="AL139" s="11">
        <v>0.6</v>
      </c>
      <c r="AM139" s="11">
        <v>0</v>
      </c>
      <c r="AN139" s="11">
        <v>0.7</v>
      </c>
      <c r="AO139" s="11">
        <v>0</v>
      </c>
      <c r="AP139" s="11">
        <v>0</v>
      </c>
      <c r="AQ139" s="11">
        <v>0</v>
      </c>
      <c r="AR139" s="51">
        <v>86495220</v>
      </c>
      <c r="AS139" s="54">
        <v>0</v>
      </c>
      <c r="AT139" s="54">
        <f t="shared" si="101"/>
        <v>86495220</v>
      </c>
      <c r="AU139" s="51">
        <v>29893535</v>
      </c>
      <c r="AV139" s="89">
        <v>681822653</v>
      </c>
      <c r="AY139" s="89">
        <v>280267442</v>
      </c>
      <c r="AZ139" s="42">
        <f t="shared" ref="AZ139:AZ140" si="230">R139/Q139</f>
        <v>0.35</v>
      </c>
      <c r="BA139" s="44">
        <v>0.05</v>
      </c>
      <c r="BB139" s="44">
        <v>1</v>
      </c>
      <c r="BC139" s="42">
        <f t="shared" ref="BC139:BC140" si="231">AD139/Q139</f>
        <v>0.3</v>
      </c>
      <c r="BD139" s="42" cm="1">
        <f t="array" ref="BD139">_xlfn.IFS(AD139=0,"NA",AD139&gt;0,AH139/AD139)</f>
        <v>1</v>
      </c>
      <c r="BE139" s="42">
        <f t="shared" ref="BE139:BE140" si="232">AL139/Q139</f>
        <v>0.3</v>
      </c>
      <c r="BF139" s="44">
        <v>0</v>
      </c>
      <c r="BG139" s="42">
        <f t="shared" ref="BG139:BG140" si="233">AN139/Q139</f>
        <v>0.35</v>
      </c>
      <c r="BH139" s="44">
        <v>0</v>
      </c>
      <c r="BI139" s="42">
        <f t="shared" ref="BI139:BI140" si="234">AP139/Q139</f>
        <v>0</v>
      </c>
      <c r="BJ139" s="44" t="s">
        <v>115</v>
      </c>
      <c r="BK139" s="42">
        <f t="shared" si="102"/>
        <v>0.35</v>
      </c>
      <c r="BL139" s="44">
        <v>1</v>
      </c>
      <c r="BM139" s="42" cm="1">
        <f t="array" ref="BM139">_xlfn.IFS(BD139="NA","NA",BD139&gt;100%,"100%",BD139&lt;100,BD139)</f>
        <v>1</v>
      </c>
      <c r="BN139" s="42" cm="1">
        <f t="array" ref="BN139">_xlfn.IFS(BF139="NA","NA",BF139&gt;100%,"100%",BF139&lt;100,BF139)</f>
        <v>0</v>
      </c>
      <c r="BO139" s="42" cm="1">
        <f t="array" ref="BO139">_xlfn.IFS(BH139="NA","NA",BH139&gt;100%,"100%",BH139&lt;100,BH139)</f>
        <v>0</v>
      </c>
      <c r="BP139" s="42" t="str" cm="1">
        <f t="array" ref="BP139">_xlfn.IFS(BJ139="NA","NA",BJ139&gt;100%,"100%",BJ139&lt;100,BJ139)</f>
        <v>NA</v>
      </c>
      <c r="BQ139" s="45">
        <v>0.22500000000000001</v>
      </c>
      <c r="BR139" s="43">
        <f t="shared" si="103"/>
        <v>7.8750000000000001E-2</v>
      </c>
      <c r="BS139" s="45">
        <v>1.1299999999999999E-2</v>
      </c>
      <c r="BT139" s="45">
        <v>1.1299999999999999E-2</v>
      </c>
      <c r="BU139" s="45">
        <v>1.1299999999999999E-2</v>
      </c>
      <c r="BV139" s="43">
        <f t="shared" ref="BV139:BV140" si="235">(AD139*BQ139)/Q139</f>
        <v>6.7500000000000004E-2</v>
      </c>
      <c r="BW139" s="43">
        <f t="shared" si="104"/>
        <v>6.7500000000000004E-2</v>
      </c>
      <c r="BX139" s="43">
        <f t="shared" si="105"/>
        <v>6.7449999999999996E-2</v>
      </c>
      <c r="BY139" s="43">
        <f t="shared" ref="BY139:BY140" si="236">(AL139*BQ139)/Q139</f>
        <v>6.7500000000000004E-2</v>
      </c>
      <c r="BZ139" s="43">
        <f t="shared" ref="BZ139:BZ140" si="237">IF(BN139="NA","NA",BN139*BY139)</f>
        <v>0</v>
      </c>
      <c r="CA139" s="43">
        <f t="shared" si="106"/>
        <v>0</v>
      </c>
      <c r="CB139" s="43">
        <f t="shared" ref="CB139:CB140" si="238">(AN139*BQ139)/Q139</f>
        <v>7.8750000000000001E-2</v>
      </c>
      <c r="CC139" s="43">
        <f t="shared" ref="CC139:CC140" si="239">IF(BO139="NA","NA",BO139*CB139)</f>
        <v>0</v>
      </c>
      <c r="CD139" s="45">
        <v>0</v>
      </c>
      <c r="CE139" s="43">
        <f t="shared" ref="CE139:CE140" si="240">(AP139*BQ139)/Q139</f>
        <v>0</v>
      </c>
      <c r="CF139" s="43" t="str">
        <f t="shared" ref="CF139:CF140" si="241">IF(BP139="NA","NA",BP139*CE139)</f>
        <v>NA</v>
      </c>
      <c r="CG139" s="45">
        <v>0</v>
      </c>
    </row>
    <row r="140" spans="1:90" ht="18" customHeight="1">
      <c r="A140" s="260" t="s">
        <v>98</v>
      </c>
      <c r="B140" s="260" t="s">
        <v>99</v>
      </c>
      <c r="C140" s="260" t="s">
        <v>100</v>
      </c>
      <c r="D140" s="260" t="s">
        <v>508</v>
      </c>
      <c r="E140" s="260" t="s">
        <v>870</v>
      </c>
      <c r="F140" s="260" t="s">
        <v>890</v>
      </c>
      <c r="G140" s="260" t="s">
        <v>891</v>
      </c>
      <c r="H140" s="260" t="s">
        <v>900</v>
      </c>
      <c r="I140" s="260"/>
      <c r="J140" s="12" t="s">
        <v>893</v>
      </c>
      <c r="K140" s="260" t="s">
        <v>901</v>
      </c>
      <c r="L140" s="260" t="s">
        <v>902</v>
      </c>
      <c r="M140" s="260" t="s">
        <v>903</v>
      </c>
      <c r="N140" s="260" t="s">
        <v>123</v>
      </c>
      <c r="O140" s="260" t="s">
        <v>112</v>
      </c>
      <c r="P140" s="10">
        <v>10.4</v>
      </c>
      <c r="Q140" s="11">
        <v>2</v>
      </c>
      <c r="R140" s="9">
        <f t="shared" si="228"/>
        <v>0.7</v>
      </c>
      <c r="S140" s="9" t="str">
        <f>VLOOKUP(K140,'1197 Salud'!$K$13:$AK$54,9,0)</f>
        <v>La implementación de la Estrategia “Conoce Tu riesgo, Peso saludable” permitió detectar tempranamente el Riesgo Metabólico (Diabetes) en 16.478 hombres y mujeres en edades desde los 18 años, así como “Cundinamarca vive Saludable” y “Cundinamarca más sonriente”, promocionaron en esta población estilos de vida saludables como factores protectores generadores de una Cultura de Autocuidado, en el marco de La Ruta de Promoción y Mantenimiento de la Salud</v>
      </c>
      <c r="T140" s="11">
        <v>0.1</v>
      </c>
      <c r="U140" s="11">
        <v>0</v>
      </c>
      <c r="V140" s="11">
        <v>0.1</v>
      </c>
      <c r="W140" s="11">
        <v>0</v>
      </c>
      <c r="X140" s="11">
        <v>0</v>
      </c>
      <c r="Y140" s="11">
        <v>0</v>
      </c>
      <c r="Z140" s="11">
        <v>0</v>
      </c>
      <c r="AA140" s="11" t="s">
        <v>904</v>
      </c>
      <c r="AB140" s="11" t="s">
        <v>905</v>
      </c>
      <c r="AC140" s="11" t="s">
        <v>906</v>
      </c>
      <c r="AD140" s="11">
        <v>0.7</v>
      </c>
      <c r="AE140" s="11">
        <v>0</v>
      </c>
      <c r="AF140" s="9">
        <f>VLOOKUP(K140,'1197 Salud'!$K$13:$AK$54,22,0)</f>
        <v>0.7</v>
      </c>
      <c r="AG140" s="9">
        <f>VLOOKUP(K140,'1197 Salud'!$K$13:$AK$54,23,0)</f>
        <v>0</v>
      </c>
      <c r="AH140" s="9">
        <f t="shared" si="229"/>
        <v>0.7</v>
      </c>
      <c r="AI140" s="9" t="str">
        <f>VLOOKUP(K140,'1197 Salud'!$K$13:$AK$54,25,0)</f>
        <v>Población con Detección Temprana de Diabetes</v>
      </c>
      <c r="AJ140" s="9" t="str">
        <f>VLOOKUP(K140,'1197 Salud'!$K$13:$AK$54,26,0)</f>
        <v>Se Detecto Tempranamente  el  Riesgo Metabólico  (Diabetes), en un total de 16.478  hombres y mujeres de 18 años en adelante, cumpliendose de esta manera  la Meta programada para el año 2021</v>
      </c>
      <c r="AK140" s="9" t="str">
        <f>VLOOKUP(K140,'1197 Salud'!$K$13:$AK$54,27,0)</f>
        <v xml:space="preserve">1. Inoportunidad en el envío de la información para monitoreo de indicadores
2. Rotación del talento humano en los Planes de Intervenciones Colectivas e Instituciones de Salud </v>
      </c>
      <c r="AL140" s="11">
        <v>0.6</v>
      </c>
      <c r="AM140" s="11">
        <v>0</v>
      </c>
      <c r="AN140" s="11">
        <v>0.7</v>
      </c>
      <c r="AO140" s="11">
        <v>0</v>
      </c>
      <c r="AP140" s="11">
        <v>0</v>
      </c>
      <c r="AQ140" s="11">
        <v>0</v>
      </c>
      <c r="AR140" s="51">
        <v>26391150</v>
      </c>
      <c r="AS140" s="54">
        <v>0</v>
      </c>
      <c r="AT140" s="54">
        <f t="shared" si="101"/>
        <v>26391150</v>
      </c>
      <c r="AU140" s="51">
        <v>0</v>
      </c>
      <c r="AV140" s="89">
        <v>130477846</v>
      </c>
      <c r="AY140" s="89">
        <v>54629680</v>
      </c>
      <c r="AZ140" s="42">
        <f t="shared" si="230"/>
        <v>0.35</v>
      </c>
      <c r="BA140" s="44">
        <v>0.05</v>
      </c>
      <c r="BB140" s="44">
        <v>0</v>
      </c>
      <c r="BC140" s="42">
        <f t="shared" si="231"/>
        <v>0.35</v>
      </c>
      <c r="BD140" s="42" cm="1">
        <f t="array" ref="BD140">_xlfn.IFS(AD140=0,"NA",AD140&gt;0,AH140/AD140)</f>
        <v>1</v>
      </c>
      <c r="BE140" s="42">
        <f t="shared" si="232"/>
        <v>0.3</v>
      </c>
      <c r="BF140" s="44">
        <v>0</v>
      </c>
      <c r="BG140" s="42">
        <f t="shared" si="233"/>
        <v>0.35</v>
      </c>
      <c r="BH140" s="44">
        <v>0</v>
      </c>
      <c r="BI140" s="42">
        <f t="shared" si="234"/>
        <v>0</v>
      </c>
      <c r="BJ140" s="44" t="s">
        <v>115</v>
      </c>
      <c r="BK140" s="42">
        <f t="shared" si="102"/>
        <v>0.35</v>
      </c>
      <c r="BL140" s="44">
        <v>0</v>
      </c>
      <c r="BM140" s="42" cm="1">
        <f t="array" ref="BM140">_xlfn.IFS(BD140="NA","NA",BD140&gt;100%,"100%",BD140&lt;100,BD140)</f>
        <v>1</v>
      </c>
      <c r="BN140" s="42" cm="1">
        <f t="array" ref="BN140">_xlfn.IFS(BF140="NA","NA",BF140&gt;100%,"100%",BF140&lt;100,BF140)</f>
        <v>0</v>
      </c>
      <c r="BO140" s="42" cm="1">
        <f t="array" ref="BO140">_xlfn.IFS(BH140="NA","NA",BH140&gt;100%,"100%",BH140&lt;100,BH140)</f>
        <v>0</v>
      </c>
      <c r="BP140" s="42" t="str" cm="1">
        <f t="array" ref="BP140">_xlfn.IFS(BJ140="NA","NA",BJ140&gt;100%,"100%",BJ140&lt;100,BJ140)</f>
        <v>NA</v>
      </c>
      <c r="BQ140" s="45">
        <v>0.22500000000000001</v>
      </c>
      <c r="BR140" s="43">
        <f t="shared" si="103"/>
        <v>7.8750000000000001E-2</v>
      </c>
      <c r="BS140" s="45">
        <v>1.1299999999999999E-2</v>
      </c>
      <c r="BT140" s="45">
        <v>0</v>
      </c>
      <c r="BU140" s="45">
        <v>0</v>
      </c>
      <c r="BV140" s="43">
        <f t="shared" si="235"/>
        <v>7.8750000000000001E-2</v>
      </c>
      <c r="BW140" s="43">
        <f t="shared" si="104"/>
        <v>7.8750000000000001E-2</v>
      </c>
      <c r="BX140" s="43">
        <f t="shared" si="105"/>
        <v>7.8750000000000001E-2</v>
      </c>
      <c r="BY140" s="43">
        <f t="shared" si="236"/>
        <v>6.7500000000000004E-2</v>
      </c>
      <c r="BZ140" s="43">
        <f t="shared" si="237"/>
        <v>0</v>
      </c>
      <c r="CA140" s="43">
        <f t="shared" si="106"/>
        <v>0</v>
      </c>
      <c r="CB140" s="43">
        <f t="shared" si="238"/>
        <v>7.8750000000000001E-2</v>
      </c>
      <c r="CC140" s="43">
        <f t="shared" si="239"/>
        <v>0</v>
      </c>
      <c r="CD140" s="45">
        <v>0</v>
      </c>
      <c r="CE140" s="43">
        <f t="shared" si="240"/>
        <v>0</v>
      </c>
      <c r="CF140" s="43" t="str">
        <f t="shared" si="241"/>
        <v>NA</v>
      </c>
      <c r="CG140" s="45">
        <v>0</v>
      </c>
    </row>
    <row r="141" spans="1:90" ht="18" customHeight="1">
      <c r="A141" s="260" t="s">
        <v>907</v>
      </c>
      <c r="B141" s="260" t="s">
        <v>908</v>
      </c>
      <c r="C141" s="260" t="s">
        <v>100</v>
      </c>
      <c r="D141" s="260" t="s">
        <v>508</v>
      </c>
      <c r="E141" s="260" t="s">
        <v>870</v>
      </c>
      <c r="F141" s="260" t="s">
        <v>909</v>
      </c>
      <c r="G141" s="260" t="s">
        <v>910</v>
      </c>
      <c r="H141" s="260" t="s">
        <v>911</v>
      </c>
      <c r="I141" s="260"/>
      <c r="J141" s="260"/>
      <c r="K141" s="260" t="s">
        <v>912</v>
      </c>
      <c r="L141" s="260" t="s">
        <v>913</v>
      </c>
      <c r="M141" s="260" t="s">
        <v>914</v>
      </c>
      <c r="N141" s="260" t="s">
        <v>111</v>
      </c>
      <c r="O141" s="260" t="s">
        <v>124</v>
      </c>
      <c r="P141" s="10">
        <v>790</v>
      </c>
      <c r="Q141" s="11">
        <v>790</v>
      </c>
      <c r="R141" s="11">
        <f>(Z141+AH141)/CL141</f>
        <v>504.75</v>
      </c>
      <c r="S141" s="11" t="str">
        <f>VLOOKUP(K141,'1207 Beneficencia'!$K$13:$AK$15,9,0)</f>
        <v xml:space="preserve">996 personas adultas mayores de 60 años, víctimas de una o más violencias, viviendo en medio seguro y con el disfrute de sus derechos fundamentales en 5 centros de la Beneficencia </v>
      </c>
      <c r="T141" s="11">
        <v>0</v>
      </c>
      <c r="U141" s="11">
        <v>790</v>
      </c>
      <c r="V141" s="11">
        <v>0</v>
      </c>
      <c r="W141" s="11">
        <v>790</v>
      </c>
      <c r="X141" s="11" t="s">
        <v>115</v>
      </c>
      <c r="Y141" s="11">
        <v>1377</v>
      </c>
      <c r="Z141" s="11">
        <v>1377</v>
      </c>
      <c r="AA141" s="11" t="s">
        <v>915</v>
      </c>
      <c r="AB141" s="11" t="s">
        <v>916</v>
      </c>
      <c r="AC141" s="11" t="s">
        <v>917</v>
      </c>
      <c r="AD141" s="11">
        <v>0</v>
      </c>
      <c r="AE141" s="11">
        <v>790</v>
      </c>
      <c r="AF141" s="11" t="str">
        <f>VLOOKUP(K141,'1207 Beneficencia'!$K$13:$AK$15,22,0)</f>
        <v>NA</v>
      </c>
      <c r="AG141" s="11">
        <f>VLOOKUP(K141,'1207 Beneficencia'!$K$13:$AK$15,23,0)</f>
        <v>642</v>
      </c>
      <c r="AH141" s="11">
        <f>AG141</f>
        <v>642</v>
      </c>
      <c r="AI141" s="9" t="str">
        <f>VLOOKUP(K141,'1207 Beneficencia'!$K$13:$AK$15,25,0)</f>
        <v>Protección integral institucionalizada donde reciben alojamiento, alimentación, vestido, dotación personal de elementos de aseo, atención especializada en trabajo social, psicología, terapias física y ocupacional, nutrición, gerontología, enfermería, talleres ocupacionales, recreación, acceso a servicios de salud y funerarios</v>
      </c>
      <c r="AJ141" s="9" t="str">
        <f>VLOOKUP(K141,'1207 Beneficencia'!$K$13:$AK$15,26,0)</f>
        <v xml:space="preserve">Se han atendido durante la vigencia 284 mujeres y 358 hombres mayores de 60 años, víctimas de una o más violencias, quienes disfrutan de sus derechos fundamentales en 5 centros de la Beneficencia </v>
      </c>
      <c r="AK141" s="9" t="str">
        <f>VLOOKUP(K141,'1207 Beneficencia'!$K$13:$AK$15,27,0)</f>
        <v>Los recursos económicos propios de la entidad son insuficientes  y se requiere de la articulación y cofinanciación con el Departamento para cumplir a cabalidad con la inversión social en estas metas</v>
      </c>
      <c r="AL141" s="11">
        <v>0</v>
      </c>
      <c r="AM141" s="11">
        <v>790</v>
      </c>
      <c r="AN141" s="11">
        <v>0</v>
      </c>
      <c r="AO141" s="11">
        <v>790</v>
      </c>
      <c r="AP141" s="11">
        <v>0</v>
      </c>
      <c r="AQ141" s="11">
        <v>0</v>
      </c>
      <c r="AR141" s="51">
        <v>1439562282</v>
      </c>
      <c r="AS141" s="54">
        <v>3012462915</v>
      </c>
      <c r="AT141" s="54">
        <f t="shared" ref="AT141:AT204" si="242">AR141+AS141</f>
        <v>4452025197</v>
      </c>
      <c r="AU141" s="51">
        <v>1439562282</v>
      </c>
      <c r="AV141" s="89">
        <v>17500000000</v>
      </c>
      <c r="AY141" s="89">
        <v>15697575804</v>
      </c>
      <c r="AZ141" s="44" cm="1">
        <f t="array" ref="AZ141">_xlfn.IFS((BA141=0),(BD141/CL141),(BA141&gt;0),((BB141+BD141)/CL141),(BE141&gt;0),((BB141+BD141+BE141)/CL141),(BG141&gt;0),((BB141+BD141+BE141+G141)/CL141))</f>
        <v>0.63891455696202537</v>
      </c>
      <c r="BA141" s="44">
        <v>0.25</v>
      </c>
      <c r="BB141" s="44">
        <v>1.7430000000000001</v>
      </c>
      <c r="BC141" s="44">
        <f>IF(AE141&gt;0,(1/CL141),0)</f>
        <v>0.25</v>
      </c>
      <c r="BD141" s="44" cm="1">
        <f t="array" ref="BD141">_xlfn.IFS(AE141=0,"NA",AE141&gt;0,AH141/AE141)</f>
        <v>0.81265822784810127</v>
      </c>
      <c r="BE141" s="44">
        <f>IF(AM141&gt;0,(1/CL141),0)</f>
        <v>0.25</v>
      </c>
      <c r="BF141" s="44">
        <v>0</v>
      </c>
      <c r="BG141" s="44">
        <f>IF(AO141&gt;0,(1/CL141),0)</f>
        <v>0.25</v>
      </c>
      <c r="BH141" s="44">
        <v>0</v>
      </c>
      <c r="BI141" s="44">
        <v>0</v>
      </c>
      <c r="BJ141" s="44" t="s">
        <v>115</v>
      </c>
      <c r="BK141" s="44">
        <f t="shared" ref="BK141:BK204" si="243">IF(AZ141&gt;100%,"100%",AZ141)</f>
        <v>0.63891455696202537</v>
      </c>
      <c r="BL141" s="44">
        <v>1</v>
      </c>
      <c r="BM141" s="42" cm="1">
        <f t="array" ref="BM141">_xlfn.IFS(BD141="NA","NA",BD141&gt;100%,"100%",BD141&lt;100,BD141)</f>
        <v>0.81265822784810127</v>
      </c>
      <c r="BN141" s="44">
        <v>0</v>
      </c>
      <c r="BO141" s="44">
        <v>0</v>
      </c>
      <c r="BP141" s="44" t="s">
        <v>115</v>
      </c>
      <c r="BQ141" s="45">
        <v>0.22500000000000001</v>
      </c>
      <c r="BR141" s="43">
        <f t="shared" ref="BR141:BR204" si="244">BQ141*BK141</f>
        <v>0.14375577531645573</v>
      </c>
      <c r="BS141" s="45">
        <v>5.6300000000000003E-2</v>
      </c>
      <c r="BT141" s="45">
        <v>5.6300000000000003E-2</v>
      </c>
      <c r="BU141" s="45">
        <v>5.6300000000000003E-2</v>
      </c>
      <c r="BV141" s="45">
        <v>5.6300000000000003E-2</v>
      </c>
      <c r="BW141" s="43">
        <f t="shared" ref="BW141:BW204" si="245">IF(BM141="NA","NA",BM141*BV141)</f>
        <v>4.5752658227848103E-2</v>
      </c>
      <c r="BX141" s="43">
        <f t="shared" ref="BX141:BX204" si="246">BR141-BU141</f>
        <v>8.7455775316455722E-2</v>
      </c>
      <c r="BY141" s="45">
        <v>5.6300000000000003E-2</v>
      </c>
      <c r="BZ141" s="45">
        <v>0</v>
      </c>
      <c r="CA141" s="43">
        <f t="shared" ref="CA141:CA204" si="247">BR141-BU141-BX141</f>
        <v>0</v>
      </c>
      <c r="CB141" s="45">
        <v>5.6300000000000003E-2</v>
      </c>
      <c r="CC141" s="45">
        <v>0</v>
      </c>
      <c r="CD141" s="45">
        <v>0</v>
      </c>
      <c r="CE141" s="45">
        <v>0</v>
      </c>
      <c r="CF141" s="45" t="s">
        <v>115</v>
      </c>
      <c r="CG141" s="45">
        <v>0</v>
      </c>
      <c r="CH141">
        <f>IF(W141&gt;0,1,0)</f>
        <v>1</v>
      </c>
      <c r="CI141">
        <f>IF(AE141&gt;0,1,0)</f>
        <v>1</v>
      </c>
      <c r="CJ141">
        <f>IF(AM141&gt;0,1,0)</f>
        <v>1</v>
      </c>
      <c r="CK141">
        <f>IF(AO141&gt;0,1,0)</f>
        <v>1</v>
      </c>
      <c r="CL141">
        <f>CH141+CI141+CJ141+CK141</f>
        <v>4</v>
      </c>
    </row>
    <row r="142" spans="1:90" ht="18" customHeight="1">
      <c r="A142" s="260" t="s">
        <v>248</v>
      </c>
      <c r="B142" s="260" t="s">
        <v>249</v>
      </c>
      <c r="C142" s="260" t="s">
        <v>100</v>
      </c>
      <c r="D142" s="260" t="s">
        <v>508</v>
      </c>
      <c r="E142" s="260" t="s">
        <v>870</v>
      </c>
      <c r="F142" s="260" t="s">
        <v>909</v>
      </c>
      <c r="G142" s="260" t="s">
        <v>910</v>
      </c>
      <c r="H142" s="260" t="s">
        <v>918</v>
      </c>
      <c r="I142" s="260"/>
      <c r="J142" s="260"/>
      <c r="K142" s="260" t="s">
        <v>919</v>
      </c>
      <c r="L142" s="260" t="s">
        <v>920</v>
      </c>
      <c r="M142" s="260" t="s">
        <v>921</v>
      </c>
      <c r="N142" s="260" t="s">
        <v>111</v>
      </c>
      <c r="O142" s="260" t="s">
        <v>112</v>
      </c>
      <c r="P142" s="10">
        <v>10000</v>
      </c>
      <c r="Q142" s="11">
        <v>12000</v>
      </c>
      <c r="R142" s="9">
        <f>Z142+AH142</f>
        <v>5840</v>
      </c>
      <c r="S142" s="11" t="str">
        <f>VLOOKUP(K142,'1208 Indeportes'!$K$13:$AK$39,9,0)</f>
        <v>La buena voluntad de la población a beneficiar, siempre van a estar dispuestos a participar de las actividades. Se desarrolló el día del adulto mayor de manera virtual, donde participaron 135 personas de los diferentes municipios del departamento.</v>
      </c>
      <c r="T142" s="11">
        <v>3000</v>
      </c>
      <c r="U142" s="11">
        <v>0</v>
      </c>
      <c r="V142" s="11">
        <v>3000</v>
      </c>
      <c r="W142" s="11">
        <v>0</v>
      </c>
      <c r="X142" s="11">
        <v>1740</v>
      </c>
      <c r="Y142" s="11">
        <v>0</v>
      </c>
      <c r="Z142" s="11">
        <v>1740</v>
      </c>
      <c r="AA142" s="11">
        <v>0</v>
      </c>
      <c r="AB142" s="11" t="s">
        <v>922</v>
      </c>
      <c r="AC142" s="11">
        <v>0</v>
      </c>
      <c r="AD142" s="11">
        <v>4000</v>
      </c>
      <c r="AE142" s="11">
        <v>0</v>
      </c>
      <c r="AF142" s="11">
        <f>VLOOKUP(K142,'1208 Indeportes'!$K$13:$AH$39,22,0)</f>
        <v>4100</v>
      </c>
      <c r="AG142" s="11">
        <f>VLOOKUP(K142,'1208 Indeportes'!$K$13:$AH$39,23,0)</f>
        <v>0</v>
      </c>
      <c r="AH142" s="9">
        <f>AF142</f>
        <v>4100</v>
      </c>
      <c r="AI142" s="9">
        <f>VLOOKUP(K142,'1208 Indeportes'!$K$13:$AK$39,25,0)</f>
        <v>0</v>
      </c>
      <c r="AJ142" s="9" t="str">
        <f>VLOOKUP(K142,'1208 Indeportes'!$K$13:$AK$39,26,0)</f>
        <v>Se realizarón mesas técnicas, y se definio la participación de 30 adultos mayores por Municipio, para los encuentros provicniales intergeneracionales, esto con el fín de garantizar los protocolos de bioseguridad. Iniciamos nuetsros encuentros intergeneracionales el 18 de agosto con la provincia de Almeidas, municipio anfitrión Manta conm una participación de 235 adultos mayores. Ese mismo día realizamos el encuentro en la provincia del Guavio con Muniicpio anfitrión Guasca con una participación de 163 adultos mayores. El 19 de agosto llegamos a la provincia de Sabana Centro, municipio anfitrión Tenjo con una participación de 272 adultos mayores. El 20 de agosto llegamos a la provincia de Rionegro, municipio anfitrión Yacopí con una participación de 258 adultos mayores. El 23 de agosto llegamos a la provincia de Gualivá, municipio anfitrión San Francisco con una participación de 377 adultos mayores. El 23 de agosto llegamos a la provincia de Sabana Occidente, municipio anfitrión Facatativá con una participación de 285 adultos mayores. El 24 de agosto llegamos a la provincia de Ubaté, municipio anfitrión Guachetá con una participación de 272 adultos mayores.El 25 de agosto llegamos a la provincia del Tequendama, municipio anfitrión San Antonio con una participación de 280 adultos mayores. El 26 de agosto llegamos a la provincia de Sumapaz, municipio anfitrión Silvania con una participación de 250 adultos mayores. El 27 de agosto llegamos a la provincia de Alto Magdalena, municipio anfitrión Girardot con una participación de 227 adultos mayores. El 28 de agosto llegamos a la provincia de Magdalena Centro, municipio anfitrión San Juan de Rioseco (Cambao) con una participación de 120 adultos mayores. El 30 de agosto llegamos a la provincia de Magdalena Centro, municipio anfitrión Bituima con una participación de 271 adultos mayores.El 31 de agosto llegamos a la provincia de Oriente, municipio anfitrión Chipaque con una participación de 263 adultos mayores, y finalmente terminamos nuestro evento en la provincia de Medina, con muniicpio anfitrión Medina y una participación de 77 adultos mayores</v>
      </c>
      <c r="AK142" s="9">
        <f>VLOOKUP(K142,'1208 Indeportes'!$K$13:$AK$39,27,0)</f>
        <v>0</v>
      </c>
      <c r="AL142" s="11">
        <v>3500</v>
      </c>
      <c r="AM142" s="11">
        <v>0</v>
      </c>
      <c r="AN142" s="11">
        <v>2760</v>
      </c>
      <c r="AO142" s="11">
        <v>0</v>
      </c>
      <c r="AP142" s="11">
        <v>0</v>
      </c>
      <c r="AQ142" s="11">
        <v>0</v>
      </c>
      <c r="AR142" s="51">
        <v>82722600</v>
      </c>
      <c r="AS142" s="54">
        <v>0</v>
      </c>
      <c r="AT142" s="54">
        <f t="shared" si="242"/>
        <v>82722600</v>
      </c>
      <c r="AU142" s="51">
        <v>82722600</v>
      </c>
      <c r="AV142" s="89">
        <v>180000000</v>
      </c>
      <c r="AY142" s="89">
        <v>0</v>
      </c>
      <c r="AZ142" s="42">
        <f t="shared" ref="AZ142" si="248">R142/Q142</f>
        <v>0.48666666666666669</v>
      </c>
      <c r="BA142" s="44">
        <v>0.25</v>
      </c>
      <c r="BB142" s="44">
        <v>0.57999999999999996</v>
      </c>
      <c r="BC142" s="42">
        <f>AD142/Q142</f>
        <v>0.33333333333333331</v>
      </c>
      <c r="BD142" s="42" cm="1">
        <f t="array" ref="BD142">_xlfn.IFS(AD142=0,"NA",AD142&gt;0,AH142/AD142)</f>
        <v>1.0249999999999999</v>
      </c>
      <c r="BE142" s="42">
        <f>AL142/Q142</f>
        <v>0.29166666666666669</v>
      </c>
      <c r="BF142" s="44">
        <v>0</v>
      </c>
      <c r="BG142" s="42">
        <f>AN142/Q142</f>
        <v>0.23</v>
      </c>
      <c r="BH142" s="44">
        <v>0</v>
      </c>
      <c r="BI142" s="42">
        <f>AP142/Q142</f>
        <v>0</v>
      </c>
      <c r="BJ142" s="44" t="s">
        <v>115</v>
      </c>
      <c r="BK142" s="42">
        <f t="shared" si="243"/>
        <v>0.48666666666666669</v>
      </c>
      <c r="BL142" s="44">
        <v>0.57999999999999996</v>
      </c>
      <c r="BM142" s="42" t="str" cm="1">
        <f t="array" ref="BM142">_xlfn.IFS(BD142="NA","NA",BD142&gt;100%,"100%",BD142&lt;100,BD142)</f>
        <v>100%</v>
      </c>
      <c r="BN142" s="42" cm="1">
        <f t="array" ref="BN142">_xlfn.IFS(BF142="NA","NA",BF142&gt;100%,"100%",BF142&lt;100,BF142)</f>
        <v>0</v>
      </c>
      <c r="BO142" s="42" cm="1">
        <f t="array" ref="BO142">_xlfn.IFS(BH142="NA","NA",BH142&gt;100%,"100%",BH142&lt;100,BH142)</f>
        <v>0</v>
      </c>
      <c r="BP142" s="42" t="str" cm="1">
        <f t="array" ref="BP142">_xlfn.IFS(BJ142="NA","NA",BJ142&gt;100%,"100%",BJ142&lt;100,BJ142)</f>
        <v>NA</v>
      </c>
      <c r="BQ142" s="45">
        <v>0.22500000000000001</v>
      </c>
      <c r="BR142" s="43">
        <f t="shared" si="244"/>
        <v>0.10950000000000001</v>
      </c>
      <c r="BS142" s="45">
        <v>5.6300000000000003E-2</v>
      </c>
      <c r="BT142" s="45">
        <v>3.27E-2</v>
      </c>
      <c r="BU142" s="45">
        <v>3.2599999999999997E-2</v>
      </c>
      <c r="BV142" s="43">
        <f>(AD142*BQ142)/Q142</f>
        <v>7.4999999999999997E-2</v>
      </c>
      <c r="BW142" s="43">
        <f t="shared" si="245"/>
        <v>7.4999999999999997E-2</v>
      </c>
      <c r="BX142" s="43">
        <f t="shared" si="246"/>
        <v>7.6900000000000024E-2</v>
      </c>
      <c r="BY142" s="43">
        <f>(AL142*BQ142)/Q142</f>
        <v>6.5625000000000003E-2</v>
      </c>
      <c r="BZ142" s="43">
        <f>IF(BN142="NA","NA",BN142*BY142)</f>
        <v>0</v>
      </c>
      <c r="CA142" s="43">
        <f t="shared" si="247"/>
        <v>0</v>
      </c>
      <c r="CB142" s="43">
        <f>(AN142*BQ142)/Q142</f>
        <v>5.1749999999999997E-2</v>
      </c>
      <c r="CC142" s="43">
        <f>IF(BO142="NA","NA",BO142*CB142)</f>
        <v>0</v>
      </c>
      <c r="CD142" s="45">
        <v>0</v>
      </c>
      <c r="CE142" s="43">
        <f>(AP142*BQ142)/Q142</f>
        <v>0</v>
      </c>
      <c r="CF142" s="43" t="str">
        <f>IF(BP142="NA","NA",BP142*CE142)</f>
        <v>NA</v>
      </c>
      <c r="CG142" s="45">
        <v>0</v>
      </c>
    </row>
    <row r="143" spans="1:90" ht="18" customHeight="1">
      <c r="A143" s="260" t="s">
        <v>144</v>
      </c>
      <c r="B143" s="260" t="s">
        <v>145</v>
      </c>
      <c r="C143" s="260" t="s">
        <v>100</v>
      </c>
      <c r="D143" s="260" t="s">
        <v>508</v>
      </c>
      <c r="E143" s="260" t="s">
        <v>870</v>
      </c>
      <c r="F143" s="260" t="s">
        <v>909</v>
      </c>
      <c r="G143" s="260" t="s">
        <v>910</v>
      </c>
      <c r="H143" s="260" t="s">
        <v>923</v>
      </c>
      <c r="I143" s="260"/>
      <c r="J143" s="260"/>
      <c r="K143" s="260" t="s">
        <v>924</v>
      </c>
      <c r="L143" s="260" t="s">
        <v>925</v>
      </c>
      <c r="M143" s="260" t="s">
        <v>926</v>
      </c>
      <c r="N143" s="260" t="s">
        <v>111</v>
      </c>
      <c r="O143" s="260" t="s">
        <v>124</v>
      </c>
      <c r="P143" s="10">
        <v>2000</v>
      </c>
      <c r="Q143" s="11">
        <v>2500</v>
      </c>
      <c r="R143" s="11">
        <f t="shared" ref="R143:R144" si="249">(Z143+AH143)/CL143</f>
        <v>1058.25</v>
      </c>
      <c r="S143" s="11" t="str">
        <f>VLOOKUP(K143,'1126 Desarrollo Social'!$K$13:$S$58,9,0)</f>
        <v>El pago de subsidios pendientes del periodo mayo y junio  del programa de gobierno Unidos Podemos masSe elaboro el proyecto de Ordenanza para la continuidad de los subsidios de Adulto Mayor y persona con discapacidad</v>
      </c>
      <c r="T143" s="11">
        <v>0</v>
      </c>
      <c r="U143" s="11">
        <v>2500</v>
      </c>
      <c r="V143" s="11">
        <v>0</v>
      </c>
      <c r="W143" s="11">
        <v>2500</v>
      </c>
      <c r="X143" s="11" t="s">
        <v>115</v>
      </c>
      <c r="Y143" s="11">
        <v>1754</v>
      </c>
      <c r="Z143" s="11">
        <v>1754</v>
      </c>
      <c r="AA143" s="11">
        <v>0</v>
      </c>
      <c r="AB143" s="11" t="s">
        <v>927</v>
      </c>
      <c r="AC143" s="11">
        <v>0</v>
      </c>
      <c r="AD143" s="11">
        <v>0</v>
      </c>
      <c r="AE143" s="11">
        <v>2500</v>
      </c>
      <c r="AF143" s="11">
        <f>VLOOKUP(K143,'1126 Desarrollo Social'!$K$13:$AK$58,22,0)</f>
        <v>0</v>
      </c>
      <c r="AG143" s="11">
        <f>VLOOKUP(K143,'1126 Desarrollo Social'!$K$13:$AK$58,23,0)</f>
        <v>2479</v>
      </c>
      <c r="AH143" s="11">
        <f t="shared" ref="AH143:AH144" si="250">AG143</f>
        <v>2479</v>
      </c>
      <c r="AI143" s="9" t="str">
        <f>VLOOKUP(K143,'1126 Desarrollo Social'!$K$13:$AK$58,25,0)</f>
        <v>Subsidio</v>
      </c>
      <c r="AJ143" s="9" t="str">
        <f>VLOOKUP(K143,'1126 Desarrollo Social'!$K$13:$AK$58,26,0)</f>
        <v xml:space="preserve">socialización de la ordenanza 037 de 2020, aprobacion ordenanza 054 de 2021 inicio de pagos a beneficiarios y validacion de los requisitos para los beneficarios de la meta
Caracterizaciones de los posibles nuevos beneficiarios.
Cruce de datos entre Colombia Mayor y Posibles beneficiarios de la Gobernación
Se aprobo proyecto de ordenanza 054 por parte de la Asamblea Departamental para la ejecucion de los recursos </v>
      </c>
      <c r="AK143" s="9" t="str">
        <f>VLOOKUP(K143,'1126 Desarrollo Social'!$K$13:$AK$58,27,0)</f>
        <v xml:space="preserve">Cambio de clasificación </v>
      </c>
      <c r="AL143" s="11">
        <v>0</v>
      </c>
      <c r="AM143" s="11">
        <v>2500</v>
      </c>
      <c r="AN143" s="11">
        <v>0</v>
      </c>
      <c r="AO143" s="11">
        <v>2500</v>
      </c>
      <c r="AP143" s="11">
        <v>0</v>
      </c>
      <c r="AQ143" s="11">
        <v>0</v>
      </c>
      <c r="AR143" s="51">
        <v>548332284</v>
      </c>
      <c r="AS143" s="54">
        <v>0</v>
      </c>
      <c r="AT143" s="54">
        <f t="shared" si="242"/>
        <v>548332284</v>
      </c>
      <c r="AU143" s="51">
        <v>279666142</v>
      </c>
      <c r="AV143" s="89">
        <v>1300483385</v>
      </c>
      <c r="AY143" s="89">
        <v>149469000</v>
      </c>
      <c r="AZ143" s="44" cm="1">
        <f t="array" ref="AZ143">_xlfn.IFS((BA143=0),(BD143/CL143),(BA143&gt;0),((BB143+BD143)/CL143),(BE143&gt;0),((BB143+BD143+BE143)/CL143),(BG143&gt;0),((BB143+BD143+BE143+G143)/CL143))</f>
        <v>0.42330000000000001</v>
      </c>
      <c r="BA143" s="44">
        <v>0.25</v>
      </c>
      <c r="BB143" s="44">
        <v>0.7016</v>
      </c>
      <c r="BC143" s="44">
        <f t="shared" ref="BC143:BC144" si="251">IF(AE143&gt;0,(1/CL143),0)</f>
        <v>0.25</v>
      </c>
      <c r="BD143" s="44" cm="1">
        <f t="array" ref="BD143">_xlfn.IFS(AE143=0,"NA",AE143&gt;0,AH143/AE143)</f>
        <v>0.99160000000000004</v>
      </c>
      <c r="BE143" s="44">
        <f t="shared" ref="BE143:BE144" si="252">IF(AM143&gt;0,(1/CL143),0)</f>
        <v>0.25</v>
      </c>
      <c r="BF143" s="44">
        <v>0</v>
      </c>
      <c r="BG143" s="44">
        <f t="shared" ref="BG143:BG144" si="253">IF(AO143&gt;0,(1/CL143),0)</f>
        <v>0.25</v>
      </c>
      <c r="BH143" s="44">
        <v>0</v>
      </c>
      <c r="BI143" s="44">
        <v>0</v>
      </c>
      <c r="BJ143" s="44" t="s">
        <v>115</v>
      </c>
      <c r="BK143" s="44">
        <f t="shared" si="243"/>
        <v>0.42330000000000001</v>
      </c>
      <c r="BL143" s="44">
        <v>0.7016</v>
      </c>
      <c r="BM143" s="42" cm="1">
        <f t="array" ref="BM143">_xlfn.IFS(BD143="NA","NA",BD143&gt;100%,"100%",BD143&lt;100,BD143)</f>
        <v>0.99160000000000004</v>
      </c>
      <c r="BN143" s="44">
        <v>0</v>
      </c>
      <c r="BO143" s="44">
        <v>0</v>
      </c>
      <c r="BP143" s="44" t="s">
        <v>115</v>
      </c>
      <c r="BQ143" s="45">
        <v>0.22500000000000001</v>
      </c>
      <c r="BR143" s="43">
        <f t="shared" si="244"/>
        <v>9.5242500000000008E-2</v>
      </c>
      <c r="BS143" s="45">
        <v>5.6300000000000003E-2</v>
      </c>
      <c r="BT143" s="45">
        <v>3.95E-2</v>
      </c>
      <c r="BU143" s="45">
        <v>3.95E-2</v>
      </c>
      <c r="BV143" s="45">
        <v>5.6300000000000003E-2</v>
      </c>
      <c r="BW143" s="43">
        <f t="shared" si="245"/>
        <v>5.5827080000000008E-2</v>
      </c>
      <c r="BX143" s="43">
        <f t="shared" si="246"/>
        <v>5.5742500000000007E-2</v>
      </c>
      <c r="BY143" s="45">
        <v>5.6300000000000003E-2</v>
      </c>
      <c r="BZ143" s="45">
        <v>0</v>
      </c>
      <c r="CA143" s="43">
        <f t="shared" si="247"/>
        <v>0</v>
      </c>
      <c r="CB143" s="45">
        <v>5.6300000000000003E-2</v>
      </c>
      <c r="CC143" s="45">
        <v>0</v>
      </c>
      <c r="CD143" s="45">
        <v>0</v>
      </c>
      <c r="CE143" s="45">
        <v>0</v>
      </c>
      <c r="CF143" s="45" t="s">
        <v>115</v>
      </c>
      <c r="CG143" s="45">
        <v>0</v>
      </c>
      <c r="CH143">
        <f t="shared" ref="CH143:CH144" si="254">IF(W143&gt;0,1,0)</f>
        <v>1</v>
      </c>
      <c r="CI143">
        <f t="shared" ref="CI143:CI144" si="255">IF(AE143&gt;0,1,0)</f>
        <v>1</v>
      </c>
      <c r="CJ143">
        <f t="shared" ref="CJ143:CJ144" si="256">IF(AM143&gt;0,1,0)</f>
        <v>1</v>
      </c>
      <c r="CK143">
        <f t="shared" ref="CK143:CK144" si="257">IF(AO143&gt;0,1,0)</f>
        <v>1</v>
      </c>
      <c r="CL143">
        <f t="shared" ref="CL143:CL144" si="258">CH143+CI143+CJ143+CK143</f>
        <v>4</v>
      </c>
    </row>
    <row r="144" spans="1:90" ht="18" customHeight="1">
      <c r="A144" s="260" t="s">
        <v>144</v>
      </c>
      <c r="B144" s="260" t="s">
        <v>145</v>
      </c>
      <c r="C144" s="260" t="s">
        <v>100</v>
      </c>
      <c r="D144" s="260" t="s">
        <v>508</v>
      </c>
      <c r="E144" s="260" t="s">
        <v>870</v>
      </c>
      <c r="F144" s="260" t="s">
        <v>909</v>
      </c>
      <c r="G144" s="260" t="s">
        <v>910</v>
      </c>
      <c r="H144" s="260" t="s">
        <v>928</v>
      </c>
      <c r="I144" s="260"/>
      <c r="J144" s="260"/>
      <c r="K144" s="260" t="s">
        <v>929</v>
      </c>
      <c r="L144" s="260" t="s">
        <v>930</v>
      </c>
      <c r="M144" s="260" t="s">
        <v>931</v>
      </c>
      <c r="N144" s="260" t="s">
        <v>123</v>
      </c>
      <c r="O144" s="260" t="s">
        <v>124</v>
      </c>
      <c r="P144" s="10">
        <v>0</v>
      </c>
      <c r="Q144" s="11">
        <v>100</v>
      </c>
      <c r="R144" s="11">
        <f t="shared" si="249"/>
        <v>29.5</v>
      </c>
      <c r="S144" s="11">
        <f>VLOOKUP(K144,'1126 Desarrollo Social'!$K$13:$S$58,9,0)</f>
        <v>0</v>
      </c>
      <c r="T144" s="11">
        <v>0</v>
      </c>
      <c r="U144" s="11">
        <v>100</v>
      </c>
      <c r="V144" s="11">
        <v>0</v>
      </c>
      <c r="W144" s="11">
        <v>100</v>
      </c>
      <c r="X144" s="11" t="s">
        <v>115</v>
      </c>
      <c r="Y144" s="11">
        <v>20</v>
      </c>
      <c r="Z144" s="11">
        <v>20</v>
      </c>
      <c r="AA144" s="11">
        <v>0</v>
      </c>
      <c r="AB144" s="11" t="s">
        <v>932</v>
      </c>
      <c r="AC144" s="11" t="s">
        <v>933</v>
      </c>
      <c r="AD144" s="11">
        <v>0</v>
      </c>
      <c r="AE144" s="11">
        <v>100</v>
      </c>
      <c r="AF144" s="11">
        <f>VLOOKUP(K144,'1126 Desarrollo Social'!$K$13:$AK$58,22,0)</f>
        <v>0</v>
      </c>
      <c r="AG144" s="11">
        <f>VLOOKUP(K144,'1126 Desarrollo Social'!$K$13:$AK$58,23,0)</f>
        <v>98</v>
      </c>
      <c r="AH144" s="11">
        <f t="shared" si="250"/>
        <v>98</v>
      </c>
      <c r="AI144" s="9" t="str">
        <f>VLOOKUP(K144,'1126 Desarrollo Social'!$K$13:$AK$58,25,0)</f>
        <v>Se logro identificar a 1.365 personas residentes en el area rural dispersa, de los cuales 1.335 recibieron el beneficio de transporte, generando un cumplimiento del 98%</v>
      </c>
      <c r="AJ144" s="9" t="str">
        <f>VLOOKUP(K144,'1126 Desarrollo Social'!$K$13:$AK$58,26,0)</f>
        <v>Se apobo ordenanza 055 de 2021 Por la cual se reglamenta el otorgamiento de beneficios que garanticen el transporte a las personas beneficiarias del subsidio monetario para  persona Mayores de 60 años que residan en el sectro rural del territorio del departamento de Cundinamarca. Socialización y e inicio de recoleccion de información para el pago del beneficio. se realizo resolución para el  reconocimeinto del beneficio para cada uno de los municipios</v>
      </c>
      <c r="AK144" s="9">
        <f>VLOOKUP(K144,'1126 Desarrollo Social'!$K$13:$AK$58,27,0)</f>
        <v>0</v>
      </c>
      <c r="AL144" s="11">
        <v>0</v>
      </c>
      <c r="AM144" s="11">
        <v>100</v>
      </c>
      <c r="AN144" s="11">
        <v>0</v>
      </c>
      <c r="AO144" s="11">
        <v>100</v>
      </c>
      <c r="AP144" s="11">
        <v>0</v>
      </c>
      <c r="AQ144" s="11">
        <v>0</v>
      </c>
      <c r="AR144" s="52"/>
      <c r="AS144" s="54">
        <v>0</v>
      </c>
      <c r="AT144" s="54">
        <f t="shared" si="242"/>
        <v>0</v>
      </c>
      <c r="AU144" s="52"/>
      <c r="AV144" s="89">
        <v>400000000</v>
      </c>
      <c r="AY144" s="89">
        <v>0</v>
      </c>
      <c r="AZ144" s="44" cm="1">
        <f t="array" ref="AZ144">_xlfn.IFS((BA144=0),(BD144/CL144),(BA144&gt;0),((BB144+BD144)/CL144),(BE144&gt;0),((BB144+BD144+BE144)/CL144),(BG144&gt;0),((BB144+BD144+BE144+G144)/CL144))</f>
        <v>0.29499999999999998</v>
      </c>
      <c r="BA144" s="44">
        <v>0.25</v>
      </c>
      <c r="BB144" s="44">
        <v>0.2</v>
      </c>
      <c r="BC144" s="44">
        <f t="shared" si="251"/>
        <v>0.25</v>
      </c>
      <c r="BD144" s="44" cm="1">
        <f t="array" ref="BD144">_xlfn.IFS(AE144=0,"NA",AE144&gt;0,AH144/AE144)</f>
        <v>0.98</v>
      </c>
      <c r="BE144" s="44">
        <f t="shared" si="252"/>
        <v>0.25</v>
      </c>
      <c r="BF144" s="44">
        <v>0</v>
      </c>
      <c r="BG144" s="44">
        <f t="shared" si="253"/>
        <v>0.25</v>
      </c>
      <c r="BH144" s="44">
        <v>0</v>
      </c>
      <c r="BI144" s="44">
        <v>0</v>
      </c>
      <c r="BJ144" s="44" t="s">
        <v>115</v>
      </c>
      <c r="BK144" s="44">
        <f t="shared" si="243"/>
        <v>0.29499999999999998</v>
      </c>
      <c r="BL144" s="44">
        <v>0.2</v>
      </c>
      <c r="BM144" s="42" cm="1">
        <f t="array" ref="BM144">_xlfn.IFS(BD144="NA","NA",BD144&gt;100%,"100%",BD144&lt;100,BD144)</f>
        <v>0.98</v>
      </c>
      <c r="BN144" s="44">
        <v>0</v>
      </c>
      <c r="BO144" s="44">
        <v>0</v>
      </c>
      <c r="BP144" s="44" t="s">
        <v>115</v>
      </c>
      <c r="BQ144" s="45">
        <v>0.22500000000000001</v>
      </c>
      <c r="BR144" s="43">
        <f t="shared" si="244"/>
        <v>6.6375000000000003E-2</v>
      </c>
      <c r="BS144" s="45">
        <v>5.6300000000000003E-2</v>
      </c>
      <c r="BT144" s="45">
        <v>1.1299999999999999E-2</v>
      </c>
      <c r="BU144" s="45">
        <v>1.1299999999999999E-2</v>
      </c>
      <c r="BV144" s="45">
        <v>5.6300000000000003E-2</v>
      </c>
      <c r="BW144" s="43">
        <f t="shared" si="245"/>
        <v>5.5174000000000001E-2</v>
      </c>
      <c r="BX144" s="43">
        <f t="shared" si="246"/>
        <v>5.5075000000000006E-2</v>
      </c>
      <c r="BY144" s="45">
        <v>5.6300000000000003E-2</v>
      </c>
      <c r="BZ144" s="45">
        <v>0</v>
      </c>
      <c r="CA144" s="43">
        <f t="shared" si="247"/>
        <v>0</v>
      </c>
      <c r="CB144" s="45">
        <v>5.6300000000000003E-2</v>
      </c>
      <c r="CC144" s="45">
        <v>0</v>
      </c>
      <c r="CD144" s="45">
        <v>0</v>
      </c>
      <c r="CE144" s="45">
        <v>0</v>
      </c>
      <c r="CF144" s="45" t="s">
        <v>115</v>
      </c>
      <c r="CG144" s="45">
        <v>0</v>
      </c>
      <c r="CH144">
        <f t="shared" si="254"/>
        <v>1</v>
      </c>
      <c r="CI144">
        <f t="shared" si="255"/>
        <v>1</v>
      </c>
      <c r="CJ144">
        <f t="shared" si="256"/>
        <v>1</v>
      </c>
      <c r="CK144">
        <f t="shared" si="257"/>
        <v>1</v>
      </c>
      <c r="CL144">
        <f t="shared" si="258"/>
        <v>4</v>
      </c>
    </row>
    <row r="145" spans="1:90" ht="18" customHeight="1">
      <c r="A145" s="260" t="s">
        <v>144</v>
      </c>
      <c r="B145" s="260" t="s">
        <v>145</v>
      </c>
      <c r="C145" s="260" t="s">
        <v>100</v>
      </c>
      <c r="D145" s="260" t="s">
        <v>508</v>
      </c>
      <c r="E145" s="260" t="s">
        <v>870</v>
      </c>
      <c r="F145" s="260" t="s">
        <v>909</v>
      </c>
      <c r="G145" s="260" t="s">
        <v>910</v>
      </c>
      <c r="H145" s="260" t="s">
        <v>934</v>
      </c>
      <c r="I145" s="260"/>
      <c r="J145" s="260"/>
      <c r="K145" s="260" t="s">
        <v>935</v>
      </c>
      <c r="L145" s="260" t="s">
        <v>936</v>
      </c>
      <c r="M145" s="260" t="s">
        <v>937</v>
      </c>
      <c r="N145" s="260" t="s">
        <v>111</v>
      </c>
      <c r="O145" s="260" t="s">
        <v>112</v>
      </c>
      <c r="P145" s="10">
        <v>250</v>
      </c>
      <c r="Q145" s="11">
        <v>250</v>
      </c>
      <c r="R145" s="9">
        <f>Z145+AH145</f>
        <v>0</v>
      </c>
      <c r="S145" s="11" t="str">
        <f>VLOOKUP(K145,'1126 Desarrollo Social'!$K$13:$S$58,9,0)</f>
        <v>Capacitación dirigida a los MunicipiosReglamento  de convocatoria para proyectos productivosCircular de convocatoriaCronograma de ejecución de la meta para 2020</v>
      </c>
      <c r="T145" s="11">
        <v>25</v>
      </c>
      <c r="U145" s="11">
        <v>0</v>
      </c>
      <c r="V145" s="11">
        <v>7</v>
      </c>
      <c r="W145" s="11">
        <v>0</v>
      </c>
      <c r="X145" s="11">
        <v>0</v>
      </c>
      <c r="Y145" s="11">
        <v>0</v>
      </c>
      <c r="Z145" s="11">
        <v>0</v>
      </c>
      <c r="AA145" s="11">
        <v>0</v>
      </c>
      <c r="AB145" s="11" t="s">
        <v>938</v>
      </c>
      <c r="AC145" s="11" t="s">
        <v>939</v>
      </c>
      <c r="AD145" s="11">
        <v>50</v>
      </c>
      <c r="AE145" s="11">
        <v>0</v>
      </c>
      <c r="AF145" s="11">
        <f>VLOOKUP(K145,'1126 Desarrollo Social'!$K$13:$AK$58,22,0)</f>
        <v>0</v>
      </c>
      <c r="AG145" s="11">
        <f>VLOOKUP(K145,'1126 Desarrollo Social'!$K$13:$AK$58,23,0)</f>
        <v>0</v>
      </c>
      <c r="AH145" s="9">
        <f>AF145</f>
        <v>0</v>
      </c>
      <c r="AI145" s="9" t="str">
        <f>VLOOKUP(K145,'1126 Desarrollo Social'!$K$13:$AK$58,25,0)</f>
        <v>contrato entrega -30 proyectos productivos</v>
      </c>
      <c r="AJ145" s="9" t="str">
        <f>VLOOKUP(K145,'1126 Desarrollo Social'!$K$13:$AK$58,26,0)</f>
        <v>. Se focalizaron 33 proyectos productivos. que se encuentran en proceso contractual</v>
      </c>
      <c r="AK145" s="9">
        <f>VLOOKUP(K145,'1126 Desarrollo Social'!$K$13:$AK$58,27,0)</f>
        <v>0</v>
      </c>
      <c r="AL145" s="11">
        <v>100</v>
      </c>
      <c r="AM145" s="11">
        <v>0</v>
      </c>
      <c r="AN145" s="11">
        <v>100</v>
      </c>
      <c r="AO145" s="11">
        <v>0</v>
      </c>
      <c r="AP145" s="11">
        <v>0</v>
      </c>
      <c r="AQ145" s="11">
        <v>0</v>
      </c>
      <c r="AR145" s="51">
        <v>53026660</v>
      </c>
      <c r="AS145" s="54">
        <v>0</v>
      </c>
      <c r="AT145" s="54">
        <f t="shared" si="242"/>
        <v>53026660</v>
      </c>
      <c r="AU145" s="51">
        <v>7290660</v>
      </c>
      <c r="AV145" s="89">
        <v>250000000</v>
      </c>
      <c r="AY145" s="89">
        <v>31635000</v>
      </c>
      <c r="AZ145" s="42">
        <f t="shared" ref="AZ145" si="259">R145/Q145</f>
        <v>0</v>
      </c>
      <c r="BA145" s="44">
        <v>2.8000000000000001E-2</v>
      </c>
      <c r="BB145" s="44">
        <v>0</v>
      </c>
      <c r="BC145" s="42">
        <f>AD145/Q145</f>
        <v>0.2</v>
      </c>
      <c r="BD145" s="42" cm="1">
        <f t="array" ref="BD145">_xlfn.IFS(AD145=0,"NA",AD145&gt;0,AH145/AD145)</f>
        <v>0</v>
      </c>
      <c r="BE145" s="42">
        <f>AL145/Q145</f>
        <v>0.4</v>
      </c>
      <c r="BF145" s="44">
        <v>0</v>
      </c>
      <c r="BG145" s="42">
        <f>AN145/Q145</f>
        <v>0.4</v>
      </c>
      <c r="BH145" s="44">
        <v>0</v>
      </c>
      <c r="BI145" s="42">
        <f>AP145/Q145</f>
        <v>0</v>
      </c>
      <c r="BJ145" s="44" t="s">
        <v>115</v>
      </c>
      <c r="BK145" s="42">
        <f t="shared" si="243"/>
        <v>0</v>
      </c>
      <c r="BL145" s="44">
        <v>0</v>
      </c>
      <c r="BM145" s="42" cm="1">
        <f t="array" ref="BM145">_xlfn.IFS(BD145="NA","NA",BD145&gt;100%,"100%",BD145&lt;100,BD145)</f>
        <v>0</v>
      </c>
      <c r="BN145" s="42" cm="1">
        <f t="array" ref="BN145">_xlfn.IFS(BF145="NA","NA",BF145&gt;100%,"100%",BF145&lt;100,BF145)</f>
        <v>0</v>
      </c>
      <c r="BO145" s="42" cm="1">
        <f t="array" ref="BO145">_xlfn.IFS(BH145="NA","NA",BH145&gt;100%,"100%",BH145&lt;100,BH145)</f>
        <v>0</v>
      </c>
      <c r="BP145" s="42" t="str" cm="1">
        <f t="array" ref="BP145">_xlfn.IFS(BJ145="NA","NA",BJ145&gt;100%,"100%",BJ145&lt;100,BJ145)</f>
        <v>NA</v>
      </c>
      <c r="BQ145" s="45">
        <v>0.22500000000000001</v>
      </c>
      <c r="BR145" s="43">
        <f t="shared" si="244"/>
        <v>0</v>
      </c>
      <c r="BS145" s="45">
        <v>6.3E-3</v>
      </c>
      <c r="BT145" s="45">
        <v>0</v>
      </c>
      <c r="BU145" s="45">
        <v>0</v>
      </c>
      <c r="BV145" s="43">
        <f>(AD145*BQ145)/Q145</f>
        <v>4.4999999999999998E-2</v>
      </c>
      <c r="BW145" s="43">
        <f t="shared" si="245"/>
        <v>0</v>
      </c>
      <c r="BX145" s="43">
        <f t="shared" si="246"/>
        <v>0</v>
      </c>
      <c r="BY145" s="43">
        <f>(AL145*BQ145)/Q145</f>
        <v>0.09</v>
      </c>
      <c r="BZ145" s="43">
        <f>IF(BN145="NA","NA",BN145*BY145)</f>
        <v>0</v>
      </c>
      <c r="CA145" s="43">
        <f t="shared" si="247"/>
        <v>0</v>
      </c>
      <c r="CB145" s="43">
        <f>(AN145*BQ145)/Q145</f>
        <v>0.09</v>
      </c>
      <c r="CC145" s="43">
        <f>IF(BO145="NA","NA",BO145*CB145)</f>
        <v>0</v>
      </c>
      <c r="CD145" s="45">
        <v>0</v>
      </c>
      <c r="CE145" s="43">
        <f>(AP145*BQ145)/Q145</f>
        <v>0</v>
      </c>
      <c r="CF145" s="43" t="str">
        <f>IF(BP145="NA","NA",BP145*CE145)</f>
        <v>NA</v>
      </c>
      <c r="CG145" s="45">
        <v>0</v>
      </c>
    </row>
    <row r="146" spans="1:90" ht="18" customHeight="1">
      <c r="A146" s="260" t="s">
        <v>144</v>
      </c>
      <c r="B146" s="260" t="s">
        <v>145</v>
      </c>
      <c r="C146" s="260" t="s">
        <v>100</v>
      </c>
      <c r="D146" s="260" t="s">
        <v>508</v>
      </c>
      <c r="E146" s="260" t="s">
        <v>870</v>
      </c>
      <c r="F146" s="260" t="s">
        <v>909</v>
      </c>
      <c r="G146" s="260" t="s">
        <v>910</v>
      </c>
      <c r="H146" s="260" t="s">
        <v>940</v>
      </c>
      <c r="I146" s="260"/>
      <c r="J146" s="260"/>
      <c r="K146" s="260" t="s">
        <v>941</v>
      </c>
      <c r="L146" s="260" t="s">
        <v>942</v>
      </c>
      <c r="M146" s="260" t="s">
        <v>943</v>
      </c>
      <c r="N146" s="260" t="s">
        <v>111</v>
      </c>
      <c r="O146" s="260" t="s">
        <v>124</v>
      </c>
      <c r="P146" s="10">
        <v>116</v>
      </c>
      <c r="Q146" s="11">
        <v>116</v>
      </c>
      <c r="R146" s="11">
        <f>(Z146+AH146)/CL146</f>
        <v>58</v>
      </c>
      <c r="S146" s="11" t="str">
        <f>VLOOKUP(K146,'1126 Desarrollo Social'!$K$13:$S$58,9,0)</f>
        <v>Liquidación convenios de estampilla 2019 (51 de 116)Proyección de los 116 convenios del año 2020Elaboración de resolución de asignación de recursos</v>
      </c>
      <c r="T146" s="11">
        <v>0</v>
      </c>
      <c r="U146" s="11">
        <v>116</v>
      </c>
      <c r="V146" s="11">
        <v>0</v>
      </c>
      <c r="W146" s="11">
        <v>116</v>
      </c>
      <c r="X146" s="11" t="s">
        <v>115</v>
      </c>
      <c r="Y146" s="11">
        <v>116</v>
      </c>
      <c r="Z146" s="11">
        <v>116</v>
      </c>
      <c r="AA146" s="11" t="s">
        <v>944</v>
      </c>
      <c r="AB146" s="11" t="s">
        <v>945</v>
      </c>
      <c r="AC146" s="11" t="s">
        <v>946</v>
      </c>
      <c r="AD146" s="11">
        <v>0</v>
      </c>
      <c r="AE146" s="11">
        <v>116</v>
      </c>
      <c r="AF146" s="11">
        <f>VLOOKUP(K146,'1126 Desarrollo Social'!$K$13:$AK$58,22,0)</f>
        <v>0</v>
      </c>
      <c r="AG146" s="11">
        <f>VLOOKUP(K146,'1126 Desarrollo Social'!$K$13:$AK$58,23,0)</f>
        <v>116</v>
      </c>
      <c r="AH146" s="11">
        <f>AG146</f>
        <v>116</v>
      </c>
      <c r="AI146" s="9" t="str">
        <f>VLOOKUP(K146,'1126 Desarrollo Social'!$K$13:$AK$58,25,0)</f>
        <v>La suscripcion de convenios de adicione N° 1 y N° 2</v>
      </c>
      <c r="AJ146" s="9" t="str">
        <f>VLOOKUP(K146,'1126 Desarrollo Social'!$K$13:$AK$58,26,0)</f>
        <v>Seguimiento a loa 116 convenios de estampilla realizados en el año 2020, se realizó proceso para adicional los recursos de excedentes financieros del año 2020 y $4.000.000.000 del año 2011</v>
      </c>
      <c r="AK146" s="9">
        <f>VLOOKUP(K146,'1126 Desarrollo Social'!$K$13:$AK$58,27,0)</f>
        <v>0</v>
      </c>
      <c r="AL146" s="11">
        <v>0</v>
      </c>
      <c r="AM146" s="11">
        <v>116</v>
      </c>
      <c r="AN146" s="11">
        <v>0</v>
      </c>
      <c r="AO146" s="11">
        <v>116</v>
      </c>
      <c r="AP146" s="11">
        <v>0</v>
      </c>
      <c r="AQ146" s="11">
        <v>0</v>
      </c>
      <c r="AR146" s="51">
        <v>6952011578</v>
      </c>
      <c r="AS146" s="54">
        <v>0</v>
      </c>
      <c r="AT146" s="54">
        <f t="shared" si="242"/>
        <v>6952011578</v>
      </c>
      <c r="AU146" s="51">
        <v>4621386265</v>
      </c>
      <c r="AV146" s="89">
        <v>6107816000</v>
      </c>
      <c r="AY146" s="89">
        <v>273834000</v>
      </c>
      <c r="AZ146" s="44" cm="1">
        <f t="array" ref="AZ146">_xlfn.IFS((BA146=0),(BD146/CL146),(BA146&gt;0),((BB146+BD146)/CL146),(BE146&gt;0),((BB146+BD146+BE146)/CL146),(BG146&gt;0),((BB146+BD146+BE146+G146)/CL146))</f>
        <v>0.5</v>
      </c>
      <c r="BA146" s="44">
        <v>0.25</v>
      </c>
      <c r="BB146" s="44">
        <v>1</v>
      </c>
      <c r="BC146" s="44">
        <f>IF(AE146&gt;0,(1/CL146),0)</f>
        <v>0.25</v>
      </c>
      <c r="BD146" s="44" cm="1">
        <f t="array" ref="BD146">_xlfn.IFS(AE146=0,"NA",AE146&gt;0,AH146/AE146)</f>
        <v>1</v>
      </c>
      <c r="BE146" s="44">
        <f>IF(AM146&gt;0,(1/CL146),0)</f>
        <v>0.25</v>
      </c>
      <c r="BF146" s="44">
        <v>0</v>
      </c>
      <c r="BG146" s="44">
        <f>IF(AO146&gt;0,(1/CL146),0)</f>
        <v>0.25</v>
      </c>
      <c r="BH146" s="44">
        <v>0</v>
      </c>
      <c r="BI146" s="44">
        <v>0</v>
      </c>
      <c r="BJ146" s="44" t="s">
        <v>115</v>
      </c>
      <c r="BK146" s="44">
        <f t="shared" si="243"/>
        <v>0.5</v>
      </c>
      <c r="BL146" s="44">
        <v>1</v>
      </c>
      <c r="BM146" s="42" cm="1">
        <f t="array" ref="BM146">_xlfn.IFS(BD146="NA","NA",BD146&gt;100%,"100%",BD146&lt;100,BD146)</f>
        <v>1</v>
      </c>
      <c r="BN146" s="44">
        <v>0</v>
      </c>
      <c r="BO146" s="44">
        <v>0</v>
      </c>
      <c r="BP146" s="44" t="s">
        <v>115</v>
      </c>
      <c r="BQ146" s="45">
        <v>0.22500000000000001</v>
      </c>
      <c r="BR146" s="43">
        <f t="shared" si="244"/>
        <v>0.1125</v>
      </c>
      <c r="BS146" s="45">
        <v>5.6300000000000003E-2</v>
      </c>
      <c r="BT146" s="45">
        <v>5.6300000000000003E-2</v>
      </c>
      <c r="BU146" s="45">
        <v>5.6300000000000003E-2</v>
      </c>
      <c r="BV146" s="45">
        <v>5.6300000000000003E-2</v>
      </c>
      <c r="BW146" s="43">
        <f t="shared" si="245"/>
        <v>5.6300000000000003E-2</v>
      </c>
      <c r="BX146" s="43">
        <f t="shared" si="246"/>
        <v>5.62E-2</v>
      </c>
      <c r="BY146" s="45">
        <v>5.6300000000000003E-2</v>
      </c>
      <c r="BZ146" s="45">
        <v>0</v>
      </c>
      <c r="CA146" s="43">
        <f t="shared" si="247"/>
        <v>0</v>
      </c>
      <c r="CB146" s="45">
        <v>5.6300000000000003E-2</v>
      </c>
      <c r="CC146" s="45">
        <v>0</v>
      </c>
      <c r="CD146" s="45">
        <v>0</v>
      </c>
      <c r="CE146" s="45">
        <v>0</v>
      </c>
      <c r="CF146" s="45" t="s">
        <v>115</v>
      </c>
      <c r="CG146" s="45">
        <v>0</v>
      </c>
      <c r="CH146">
        <f>IF(W146&gt;0,1,0)</f>
        <v>1</v>
      </c>
      <c r="CI146">
        <f>IF(AE146&gt;0,1,0)</f>
        <v>1</v>
      </c>
      <c r="CJ146">
        <f>IF(AM146&gt;0,1,0)</f>
        <v>1</v>
      </c>
      <c r="CK146">
        <f>IF(AO146&gt;0,1,0)</f>
        <v>1</v>
      </c>
      <c r="CL146">
        <f>CH146+CI146+CJ146+CK146</f>
        <v>4</v>
      </c>
    </row>
    <row r="147" spans="1:90" ht="18" customHeight="1">
      <c r="A147" s="260" t="s">
        <v>144</v>
      </c>
      <c r="B147" s="260" t="s">
        <v>145</v>
      </c>
      <c r="C147" s="260" t="s">
        <v>100</v>
      </c>
      <c r="D147" s="260" t="s">
        <v>508</v>
      </c>
      <c r="E147" s="260" t="s">
        <v>870</v>
      </c>
      <c r="F147" s="260" t="s">
        <v>909</v>
      </c>
      <c r="G147" s="260" t="s">
        <v>910</v>
      </c>
      <c r="H147" s="260" t="s">
        <v>947</v>
      </c>
      <c r="I147" s="260"/>
      <c r="J147" s="260"/>
      <c r="K147" s="260" t="s">
        <v>948</v>
      </c>
      <c r="L147" s="260" t="s">
        <v>2927</v>
      </c>
      <c r="M147" s="260" t="s">
        <v>2928</v>
      </c>
      <c r="N147" s="260" t="s">
        <v>111</v>
      </c>
      <c r="O147" s="260" t="s">
        <v>112</v>
      </c>
      <c r="P147" s="10">
        <v>15</v>
      </c>
      <c r="Q147" s="11">
        <v>15</v>
      </c>
      <c r="R147" s="9">
        <f t="shared" ref="R147:R148" si="260">Z147+AH147</f>
        <v>6</v>
      </c>
      <c r="S147" s="11" t="str">
        <f>VLOOKUP(K147,'1126 Desarrollo Social'!$K$13:$S$58,9,0)</f>
        <v>Identificación de los centros vida día y la población beneficiaria Diagnostico del estado actual y las necesidades de dotación de los centros vida día</v>
      </c>
      <c r="T147" s="11">
        <v>3</v>
      </c>
      <c r="U147" s="11">
        <v>0</v>
      </c>
      <c r="V147" s="11">
        <v>3</v>
      </c>
      <c r="W147" s="11">
        <v>0</v>
      </c>
      <c r="X147" s="11">
        <v>3</v>
      </c>
      <c r="Y147" s="11">
        <v>0</v>
      </c>
      <c r="Z147" s="11">
        <v>3</v>
      </c>
      <c r="AA147" s="11" t="s">
        <v>951</v>
      </c>
      <c r="AB147" s="11" t="s">
        <v>952</v>
      </c>
      <c r="AC147" s="11">
        <v>0</v>
      </c>
      <c r="AD147" s="11">
        <v>3</v>
      </c>
      <c r="AE147" s="11">
        <v>0</v>
      </c>
      <c r="AF147" s="11">
        <f>VLOOKUP(K147,'1126 Desarrollo Social'!$K$13:$AK$58,22,0)</f>
        <v>3</v>
      </c>
      <c r="AG147" s="11">
        <f>VLOOKUP(K147,'1126 Desarrollo Social'!$K$13:$AK$58,23,0)</f>
        <v>0</v>
      </c>
      <c r="AH147" s="9">
        <f t="shared" ref="AH147:AH148" si="261">AF147</f>
        <v>3</v>
      </c>
      <c r="AI147" s="9" t="str">
        <f>VLOOKUP(K147,'1126 Desarrollo Social'!$K$13:$AK$58,25,0)</f>
        <v>Se realzo entrega para centros vida  municipios de cundinamarca</v>
      </c>
      <c r="AJ147" s="9" t="str">
        <f>VLOOKUP(K147,'1126 Desarrollo Social'!$K$13:$AK$58,26,0)</f>
        <v>Se realizo la entrega de dotacion para centros vida en 40 municipios: ( Macheta, Manta, Sesquile, Guataqui, Jerusalen, Nilo, Ricaute, Puerto Salgar, La Peña, Sasaima, Vergara, Gacheta, Gachala, Ubala, Beltran, Caqueza, Fomeque, Gutierrez, La Palma, Pacho, Paime, San Cayetano, Yacopi, Gachancipa, Bojaca, Zipacón, Sibate, Arbelaez, Cabrera, San Bernardo, Silvania, Cachipay, El Colegio, La mesa, Quipile, Guacheta, Simijaca, Sutatausa, Nariño, cubriendo las provincias del Gualiva, Sabana Centro, Sabana Occidente, Ubate, Sumapaz, Oriente, Rionegro, Soacha, Tequendama, Bajo Magdalena , Magdalena Centro.
Actualización por parte de los municipios sobre las necesidades de los centros vida. este contartofue adjudicado y se encuentra en ejecución</v>
      </c>
      <c r="AK147" s="9">
        <f>VLOOKUP(K147,'1126 Desarrollo Social'!$K$13:$AK$58,27,0)</f>
        <v>0</v>
      </c>
      <c r="AL147" s="11">
        <v>4</v>
      </c>
      <c r="AM147" s="11">
        <v>0</v>
      </c>
      <c r="AN147" s="11">
        <v>5</v>
      </c>
      <c r="AO147" s="11">
        <v>0</v>
      </c>
      <c r="AP147" s="11">
        <v>0</v>
      </c>
      <c r="AQ147" s="11">
        <v>0</v>
      </c>
      <c r="AR147" s="51">
        <v>45420000</v>
      </c>
      <c r="AS147" s="54">
        <v>0</v>
      </c>
      <c r="AT147" s="54">
        <f t="shared" si="242"/>
        <v>45420000</v>
      </c>
      <c r="AU147" s="51">
        <v>42888000</v>
      </c>
      <c r="AV147" s="89">
        <v>489000000</v>
      </c>
      <c r="AY147" s="89">
        <v>0</v>
      </c>
      <c r="AZ147" s="42">
        <f t="shared" ref="AZ147:AZ148" si="262">R147/Q147</f>
        <v>0.4</v>
      </c>
      <c r="BA147" s="44">
        <v>0.2</v>
      </c>
      <c r="BB147" s="44">
        <v>1</v>
      </c>
      <c r="BC147" s="42">
        <f t="shared" ref="BC147:BC148" si="263">AD147/Q147</f>
        <v>0.2</v>
      </c>
      <c r="BD147" s="42" cm="1">
        <f t="array" ref="BD147">_xlfn.IFS(AD147=0,"NA",AD147&gt;0,AH147/AD147)</f>
        <v>1</v>
      </c>
      <c r="BE147" s="42">
        <f t="shared" ref="BE147:BE148" si="264">AL147/Q147</f>
        <v>0.26666666666666666</v>
      </c>
      <c r="BF147" s="44">
        <v>0</v>
      </c>
      <c r="BG147" s="42">
        <f t="shared" ref="BG147:BG148" si="265">AN147/Q147</f>
        <v>0.33333333333333331</v>
      </c>
      <c r="BH147" s="44">
        <v>0</v>
      </c>
      <c r="BI147" s="42">
        <f t="shared" ref="BI147:BI148" si="266">AP147/Q147</f>
        <v>0</v>
      </c>
      <c r="BJ147" s="44" t="s">
        <v>115</v>
      </c>
      <c r="BK147" s="42">
        <f t="shared" si="243"/>
        <v>0.4</v>
      </c>
      <c r="BL147" s="44">
        <v>1</v>
      </c>
      <c r="BM147" s="42" cm="1">
        <f t="array" ref="BM147">_xlfn.IFS(BD147="NA","NA",BD147&gt;100%,"100%",BD147&lt;100,BD147)</f>
        <v>1</v>
      </c>
      <c r="BN147" s="42" cm="1">
        <f t="array" ref="BN147">_xlfn.IFS(BF147="NA","NA",BF147&gt;100%,"100%",BF147&lt;100,BF147)</f>
        <v>0</v>
      </c>
      <c r="BO147" s="42" cm="1">
        <f t="array" ref="BO147">_xlfn.IFS(BH147="NA","NA",BH147&gt;100%,"100%",BH147&lt;100,BH147)</f>
        <v>0</v>
      </c>
      <c r="BP147" s="42" t="str" cm="1">
        <f t="array" ref="BP147">_xlfn.IFS(BJ147="NA","NA",BJ147&gt;100%,"100%",BJ147&lt;100,BJ147)</f>
        <v>NA</v>
      </c>
      <c r="BQ147" s="45">
        <v>0.22500000000000001</v>
      </c>
      <c r="BR147" s="43">
        <f t="shared" si="244"/>
        <v>9.0000000000000011E-2</v>
      </c>
      <c r="BS147" s="45">
        <v>4.4999999999999998E-2</v>
      </c>
      <c r="BT147" s="45">
        <v>4.4999999999999998E-2</v>
      </c>
      <c r="BU147" s="45">
        <v>4.4999999999999998E-2</v>
      </c>
      <c r="BV147" s="43">
        <f t="shared" ref="BV147:BV148" si="267">(AD147*BQ147)/Q147</f>
        <v>4.5000000000000005E-2</v>
      </c>
      <c r="BW147" s="43">
        <f t="shared" si="245"/>
        <v>4.5000000000000005E-2</v>
      </c>
      <c r="BX147" s="43">
        <f t="shared" si="246"/>
        <v>4.5000000000000012E-2</v>
      </c>
      <c r="BY147" s="43">
        <f t="shared" ref="BY147:BY148" si="268">(AL147*BQ147)/Q147</f>
        <v>6.0000000000000005E-2</v>
      </c>
      <c r="BZ147" s="43">
        <f t="shared" ref="BZ147:BZ148" si="269">IF(BN147="NA","NA",BN147*BY147)</f>
        <v>0</v>
      </c>
      <c r="CA147" s="43">
        <f t="shared" si="247"/>
        <v>0</v>
      </c>
      <c r="CB147" s="43">
        <f t="shared" ref="CB147:CB148" si="270">(AN147*BQ147)/Q147</f>
        <v>7.4999999999999997E-2</v>
      </c>
      <c r="CC147" s="43">
        <f t="shared" ref="CC147:CC148" si="271">IF(BO147="NA","NA",BO147*CB147)</f>
        <v>0</v>
      </c>
      <c r="CD147" s="45">
        <v>0</v>
      </c>
      <c r="CE147" s="43">
        <f t="shared" ref="CE147:CE148" si="272">(AP147*BQ147)/Q147</f>
        <v>0</v>
      </c>
      <c r="CF147" s="43" t="str">
        <f t="shared" ref="CF147:CF148" si="273">IF(BP147="NA","NA",BP147*CE147)</f>
        <v>NA</v>
      </c>
      <c r="CG147" s="45">
        <v>0</v>
      </c>
    </row>
    <row r="148" spans="1:90" ht="18" customHeight="1">
      <c r="A148" s="260" t="s">
        <v>144</v>
      </c>
      <c r="B148" s="260" t="s">
        <v>145</v>
      </c>
      <c r="C148" s="260" t="s">
        <v>100</v>
      </c>
      <c r="D148" s="260" t="s">
        <v>508</v>
      </c>
      <c r="E148" s="260" t="s">
        <v>870</v>
      </c>
      <c r="F148" s="260" t="s">
        <v>909</v>
      </c>
      <c r="G148" s="260" t="s">
        <v>910</v>
      </c>
      <c r="H148" s="260" t="s">
        <v>953</v>
      </c>
      <c r="I148" s="260"/>
      <c r="J148" s="260"/>
      <c r="K148" s="260" t="s">
        <v>954</v>
      </c>
      <c r="L148" s="260" t="s">
        <v>955</v>
      </c>
      <c r="M148" s="260" t="s">
        <v>956</v>
      </c>
      <c r="N148" s="260" t="s">
        <v>111</v>
      </c>
      <c r="O148" s="260" t="s">
        <v>112</v>
      </c>
      <c r="P148" s="10">
        <v>4000</v>
      </c>
      <c r="Q148" s="11">
        <v>4000</v>
      </c>
      <c r="R148" s="9">
        <f t="shared" si="260"/>
        <v>2056</v>
      </c>
      <c r="S148" s="11" t="str">
        <f>VLOOKUP(K148,'1126 Desarrollo Social'!$K$13:$S$58,9,0)</f>
        <v>Conmemoración de la semana del adulto mayor: Actividades recreativas, deportivas, culturales, experiencias de vida, musicales y conferencias.Capacitaciones en temas de covid dirigidas a los centros de protección y centros vida díaTrabajo interdisciplinario con secretaria de salud en tema de red de apoyoEl personal contratado para el desarrollo de las actividades de esta meta con vigencia del plan de desarrollo 2016-2020</v>
      </c>
      <c r="T148" s="11">
        <v>400</v>
      </c>
      <c r="U148" s="11">
        <v>0</v>
      </c>
      <c r="V148" s="11">
        <v>400</v>
      </c>
      <c r="W148" s="11">
        <v>0</v>
      </c>
      <c r="X148" s="11">
        <v>400</v>
      </c>
      <c r="Y148" s="11">
        <v>0</v>
      </c>
      <c r="Z148" s="11">
        <v>400</v>
      </c>
      <c r="AA148" s="11" t="s">
        <v>957</v>
      </c>
      <c r="AB148" s="11" t="s">
        <v>958</v>
      </c>
      <c r="AC148" s="11" t="s">
        <v>959</v>
      </c>
      <c r="AD148" s="11">
        <v>1600</v>
      </c>
      <c r="AE148" s="11">
        <v>0</v>
      </c>
      <c r="AF148" s="11">
        <f>VLOOKUP(K148,'1126 Desarrollo Social'!$K$13:$AK$58,22,0)</f>
        <v>1656</v>
      </c>
      <c r="AG148" s="11">
        <f>VLOOKUP(K148,'1126 Desarrollo Social'!$K$13:$AK$58,23,0)</f>
        <v>0</v>
      </c>
      <c r="AH148" s="9">
        <f t="shared" si="261"/>
        <v>1656</v>
      </c>
      <c r="AI148" s="9" t="str">
        <f>VLOOKUP(K148,'1126 Desarrollo Social'!$K$13:$AK$58,25,0)</f>
        <v>Se brindo asistencia a un total de 1.659 adultos mayores</v>
      </c>
      <c r="AJ148" s="9" t="str">
        <f>VLOOKUP(K148,'1126 Desarrollo Social'!$K$13:$AK$58,26,0)</f>
        <v xml:space="preserve">Se esta prestando asistencia a personas mayores en el proceso de vacunación adelantado por el Departamento. se atendieron los 1656 adultos mayores en capacitaciones sicologicas y emocionales y Se socializó la ruta de apoyo sicosocial a 58 cuidadores. </v>
      </c>
      <c r="AK148" s="9">
        <f>VLOOKUP(K148,'1126 Desarrollo Social'!$K$13:$AK$58,27,0)</f>
        <v>0</v>
      </c>
      <c r="AL148" s="11">
        <v>2000</v>
      </c>
      <c r="AM148" s="11">
        <v>0</v>
      </c>
      <c r="AN148" s="11">
        <v>0</v>
      </c>
      <c r="AO148" s="11">
        <v>0</v>
      </c>
      <c r="AP148" s="11">
        <v>0</v>
      </c>
      <c r="AQ148" s="11">
        <v>0</v>
      </c>
      <c r="AR148" s="51">
        <v>8735000</v>
      </c>
      <c r="AS148" s="54">
        <v>0</v>
      </c>
      <c r="AT148" s="54">
        <f t="shared" si="242"/>
        <v>8735000</v>
      </c>
      <c r="AU148" s="51">
        <v>4148333</v>
      </c>
      <c r="AV148" s="89">
        <v>170000000</v>
      </c>
      <c r="AY148" s="89">
        <v>14019000</v>
      </c>
      <c r="AZ148" s="42">
        <f t="shared" si="262"/>
        <v>0.51400000000000001</v>
      </c>
      <c r="BA148" s="44">
        <v>0.1</v>
      </c>
      <c r="BB148" s="44">
        <v>1</v>
      </c>
      <c r="BC148" s="42">
        <f t="shared" si="263"/>
        <v>0.4</v>
      </c>
      <c r="BD148" s="42" cm="1">
        <f t="array" ref="BD148">_xlfn.IFS(AD148=0,"NA",AD148&gt;0,AH148/AD148)</f>
        <v>1.0349999999999999</v>
      </c>
      <c r="BE148" s="42">
        <f t="shared" si="264"/>
        <v>0.5</v>
      </c>
      <c r="BF148" s="44">
        <v>0</v>
      </c>
      <c r="BG148" s="42">
        <f t="shared" si="265"/>
        <v>0</v>
      </c>
      <c r="BH148" s="44" t="s">
        <v>115</v>
      </c>
      <c r="BI148" s="42">
        <f t="shared" si="266"/>
        <v>0</v>
      </c>
      <c r="BJ148" s="44" t="s">
        <v>115</v>
      </c>
      <c r="BK148" s="42">
        <f t="shared" si="243"/>
        <v>0.51400000000000001</v>
      </c>
      <c r="BL148" s="44">
        <v>1</v>
      </c>
      <c r="BM148" s="42" t="str" cm="1">
        <f t="array" ref="BM148">_xlfn.IFS(BD148="NA","NA",BD148&gt;100%,"100%",BD148&lt;100,BD148)</f>
        <v>100%</v>
      </c>
      <c r="BN148" s="42" cm="1">
        <f t="array" ref="BN148">_xlfn.IFS(BF148="NA","NA",BF148&gt;100%,"100%",BF148&lt;100,BF148)</f>
        <v>0</v>
      </c>
      <c r="BO148" s="42" t="str" cm="1">
        <f t="array" ref="BO148">_xlfn.IFS(BH148="NA","NA",BH148&gt;100%,"100%",BH148&lt;100,BH148)</f>
        <v>NA</v>
      </c>
      <c r="BP148" s="42" t="str" cm="1">
        <f t="array" ref="BP148">_xlfn.IFS(BJ148="NA","NA",BJ148&gt;100%,"100%",BJ148&lt;100,BJ148)</f>
        <v>NA</v>
      </c>
      <c r="BQ148" s="45">
        <v>0.22500000000000001</v>
      </c>
      <c r="BR148" s="43">
        <f t="shared" si="244"/>
        <v>0.11565</v>
      </c>
      <c r="BS148" s="45">
        <v>2.2499999999999999E-2</v>
      </c>
      <c r="BT148" s="45">
        <v>2.2499999999999999E-2</v>
      </c>
      <c r="BU148" s="45">
        <v>2.2499999999999999E-2</v>
      </c>
      <c r="BV148" s="43">
        <f t="shared" si="267"/>
        <v>0.09</v>
      </c>
      <c r="BW148" s="43">
        <f t="shared" si="245"/>
        <v>0.09</v>
      </c>
      <c r="BX148" s="43">
        <f t="shared" si="246"/>
        <v>9.3150000000000011E-2</v>
      </c>
      <c r="BY148" s="43">
        <f t="shared" si="268"/>
        <v>0.1125</v>
      </c>
      <c r="BZ148" s="43">
        <f t="shared" si="269"/>
        <v>0</v>
      </c>
      <c r="CA148" s="43">
        <f t="shared" si="247"/>
        <v>0</v>
      </c>
      <c r="CB148" s="43">
        <f t="shared" si="270"/>
        <v>0</v>
      </c>
      <c r="CC148" s="43" t="str">
        <f t="shared" si="271"/>
        <v>NA</v>
      </c>
      <c r="CD148" s="45">
        <v>0</v>
      </c>
      <c r="CE148" s="43">
        <f t="shared" si="272"/>
        <v>0</v>
      </c>
      <c r="CF148" s="43" t="str">
        <f t="shared" si="273"/>
        <v>NA</v>
      </c>
      <c r="CG148" s="45">
        <v>0</v>
      </c>
    </row>
    <row r="149" spans="1:90" ht="18" customHeight="1">
      <c r="A149" s="260" t="s">
        <v>292</v>
      </c>
      <c r="B149" s="260" t="s">
        <v>293</v>
      </c>
      <c r="C149" s="260" t="s">
        <v>100</v>
      </c>
      <c r="D149" s="260" t="s">
        <v>508</v>
      </c>
      <c r="E149" s="260" t="s">
        <v>870</v>
      </c>
      <c r="F149" s="260" t="s">
        <v>909</v>
      </c>
      <c r="G149" s="260" t="s">
        <v>910</v>
      </c>
      <c r="H149" s="260" t="s">
        <v>2929</v>
      </c>
      <c r="I149" s="260"/>
      <c r="J149" s="12" t="s">
        <v>2930</v>
      </c>
      <c r="K149" s="260" t="s">
        <v>2931</v>
      </c>
      <c r="L149" s="260" t="s">
        <v>2932</v>
      </c>
      <c r="M149" s="260" t="s">
        <v>2933</v>
      </c>
      <c r="N149" s="260" t="s">
        <v>111</v>
      </c>
      <c r="O149" s="260" t="s">
        <v>124</v>
      </c>
      <c r="P149" s="10">
        <v>200</v>
      </c>
      <c r="Q149" s="11">
        <v>200</v>
      </c>
      <c r="R149" s="11" t="e">
        <f>(Z149+AH149)/CL149</f>
        <v>#N/A</v>
      </c>
      <c r="S149" s="11" t="e">
        <f>VLOOKUP(K149,'1108 Educación'!$K$13:$AK$40,9,0)</f>
        <v>#N/A</v>
      </c>
      <c r="T149" s="11">
        <v>0</v>
      </c>
      <c r="U149" s="11">
        <v>200</v>
      </c>
      <c r="V149" s="11">
        <v>0</v>
      </c>
      <c r="W149" s="11">
        <v>200</v>
      </c>
      <c r="X149" s="11" t="s">
        <v>115</v>
      </c>
      <c r="Y149" s="11">
        <v>203</v>
      </c>
      <c r="Z149" s="11">
        <v>203</v>
      </c>
      <c r="AA149" s="11" t="s">
        <v>2934</v>
      </c>
      <c r="AB149" s="11" t="s">
        <v>2935</v>
      </c>
      <c r="AC149" s="11" t="s">
        <v>2936</v>
      </c>
      <c r="AD149" s="11">
        <v>0</v>
      </c>
      <c r="AE149" s="11">
        <v>200</v>
      </c>
      <c r="AF149" s="11" t="e">
        <f>VLOOKUP(K149,'1108 Educación'!$K$13:$AK$40,22,0)</f>
        <v>#N/A</v>
      </c>
      <c r="AG149" s="11" t="e">
        <f>VLOOKUP(K149,'1108 Educación'!$K$13:$AK$40,23,0)</f>
        <v>#N/A</v>
      </c>
      <c r="AH149" s="11" t="e">
        <f t="shared" ref="AH149:AH150" si="274">AG149</f>
        <v>#N/A</v>
      </c>
      <c r="AI149" s="9" t="e">
        <f>VLOOKUP(K149,'1108 Educación'!$K$13:$AK$40,25,0)</f>
        <v>#N/A</v>
      </c>
      <c r="AJ149" s="9" t="e">
        <f>VLOOKUP(K149,'1108 Educación'!$K$13:$AK$40,26,0)</f>
        <v>#N/A</v>
      </c>
      <c r="AK149" s="9" t="e">
        <f>VLOOKUP(K149,'1108 Educación'!$K$13:$AK$40,27,0)</f>
        <v>#N/A</v>
      </c>
      <c r="AL149" s="11">
        <v>0</v>
      </c>
      <c r="AM149" s="11">
        <v>200</v>
      </c>
      <c r="AN149" s="11">
        <v>0</v>
      </c>
      <c r="AO149" s="11">
        <v>200</v>
      </c>
      <c r="AP149" s="11">
        <v>0</v>
      </c>
      <c r="AQ149" s="11">
        <v>0</v>
      </c>
      <c r="AR149" s="52"/>
      <c r="AS149" s="54">
        <v>9973272</v>
      </c>
      <c r="AT149" s="54">
        <f t="shared" si="242"/>
        <v>9973272</v>
      </c>
      <c r="AU149" s="52"/>
      <c r="AV149" s="89">
        <v>0</v>
      </c>
      <c r="AY149" s="89">
        <v>0</v>
      </c>
      <c r="AZ149" s="44" t="e" cm="1">
        <f t="array" ref="AZ149">_xlfn.IFS((BA149=0),(BD149/CL149),(BA149&gt;0),((BB149+BD149)/CL149),(BE149&gt;0),((BB149+BD149+BE149)/CL149),(BG149&gt;0),((BB149+BD149+BE149+G149)/CL149))</f>
        <v>#N/A</v>
      </c>
      <c r="BA149" s="44">
        <v>0.25</v>
      </c>
      <c r="BB149" s="44">
        <v>1.0149999999999999</v>
      </c>
      <c r="BC149" s="44">
        <f>IF(AE149&gt;0,(1/CL149),0)</f>
        <v>0.25</v>
      </c>
      <c r="BD149" s="44" t="e" cm="1">
        <f t="array" ref="BD149">_xlfn.IFS(AE149=0,"NA",AE149&gt;0,AH149/AE149)</f>
        <v>#N/A</v>
      </c>
      <c r="BE149" s="44">
        <f>IF(AM149&gt;0,(1/CL149),0)</f>
        <v>0.25</v>
      </c>
      <c r="BF149" s="44">
        <v>0</v>
      </c>
      <c r="BG149" s="44">
        <f>IF(AO149&gt;0,(1/CL149),0)</f>
        <v>0.25</v>
      </c>
      <c r="BH149" s="44">
        <v>0</v>
      </c>
      <c r="BI149" s="44">
        <v>0</v>
      </c>
      <c r="BJ149" s="44" t="s">
        <v>115</v>
      </c>
      <c r="BK149" s="44" t="e">
        <f t="shared" si="243"/>
        <v>#N/A</v>
      </c>
      <c r="BL149" s="44">
        <v>1</v>
      </c>
      <c r="BM149" s="42" t="e" cm="1">
        <f t="array" ref="BM149">_xlfn.IFS(BD149="NA","NA",BD149&gt;100%,"100%",BD149&lt;100,BD149)</f>
        <v>#N/A</v>
      </c>
      <c r="BN149" s="44">
        <v>0</v>
      </c>
      <c r="BO149" s="44">
        <v>0</v>
      </c>
      <c r="BP149" s="44" t="s">
        <v>115</v>
      </c>
      <c r="BQ149" s="45">
        <v>0.22500000000000001</v>
      </c>
      <c r="BR149" s="43" t="e">
        <f t="shared" si="244"/>
        <v>#N/A</v>
      </c>
      <c r="BS149" s="45">
        <v>5.6300000000000003E-2</v>
      </c>
      <c r="BT149" s="45">
        <v>5.6300000000000003E-2</v>
      </c>
      <c r="BU149" s="45">
        <v>5.6300000000000003E-2</v>
      </c>
      <c r="BV149" s="45">
        <v>5.6300000000000003E-2</v>
      </c>
      <c r="BW149" s="43" t="e">
        <f t="shared" si="245"/>
        <v>#N/A</v>
      </c>
      <c r="BX149" s="43" t="e">
        <f t="shared" si="246"/>
        <v>#N/A</v>
      </c>
      <c r="BY149" s="45">
        <v>5.6300000000000003E-2</v>
      </c>
      <c r="BZ149" s="45">
        <v>0</v>
      </c>
      <c r="CA149" s="43" t="e">
        <f t="shared" si="247"/>
        <v>#N/A</v>
      </c>
      <c r="CB149" s="45">
        <v>5.6300000000000003E-2</v>
      </c>
      <c r="CC149" s="45">
        <v>0</v>
      </c>
      <c r="CD149" s="45">
        <v>0</v>
      </c>
      <c r="CE149" s="45">
        <v>0</v>
      </c>
      <c r="CF149" s="45" t="s">
        <v>115</v>
      </c>
      <c r="CG149" s="45">
        <v>0</v>
      </c>
      <c r="CH149">
        <f>IF(W149&gt;0,1,0)</f>
        <v>1</v>
      </c>
      <c r="CI149">
        <f>IF(AE149&gt;0,1,0)</f>
        <v>1</v>
      </c>
      <c r="CJ149">
        <f>IF(AM149&gt;0,1,0)</f>
        <v>1</v>
      </c>
      <c r="CK149">
        <f>IF(AO149&gt;0,1,0)</f>
        <v>1</v>
      </c>
      <c r="CL149">
        <f>CH149+CI149+CJ149+CK149</f>
        <v>4</v>
      </c>
    </row>
    <row r="150" spans="1:90" ht="18" customHeight="1">
      <c r="A150" s="260" t="s">
        <v>292</v>
      </c>
      <c r="B150" s="260" t="s">
        <v>293</v>
      </c>
      <c r="C150" s="260" t="s">
        <v>100</v>
      </c>
      <c r="D150" s="260" t="s">
        <v>508</v>
      </c>
      <c r="E150" s="260" t="s">
        <v>870</v>
      </c>
      <c r="F150" s="260" t="s">
        <v>909</v>
      </c>
      <c r="G150" s="260" t="s">
        <v>910</v>
      </c>
      <c r="H150" s="260" t="s">
        <v>960</v>
      </c>
      <c r="I150" s="260"/>
      <c r="J150" s="260" t="s">
        <v>961</v>
      </c>
      <c r="K150" s="260" t="s">
        <v>962</v>
      </c>
      <c r="L150" s="260" t="s">
        <v>963</v>
      </c>
      <c r="M150" s="260" t="s">
        <v>964</v>
      </c>
      <c r="N150" s="260" t="s">
        <v>123</v>
      </c>
      <c r="O150" s="260" t="s">
        <v>302</v>
      </c>
      <c r="P150" s="10">
        <v>100</v>
      </c>
      <c r="Q150" s="11">
        <v>100</v>
      </c>
      <c r="R150" s="11">
        <f>AVERAGE(Z150,AH150)</f>
        <v>100</v>
      </c>
      <c r="S150" s="11" t="str">
        <f>VLOOKUP(K150,'1108 Educación'!$K$13:$AK$40,9,0)</f>
        <v xml:space="preserve">Se ha realizado el pago oportuno al 100% del  personal que pertenece a la nomina de pensionados del magisterio que corresponde a  3.867 pensionados del magisterio en el Departamento. </v>
      </c>
      <c r="T150" s="11">
        <v>0</v>
      </c>
      <c r="U150" s="11">
        <v>100</v>
      </c>
      <c r="V150" s="11">
        <v>0</v>
      </c>
      <c r="W150" s="11">
        <v>100</v>
      </c>
      <c r="X150" s="11" t="s">
        <v>115</v>
      </c>
      <c r="Y150" s="11">
        <v>100</v>
      </c>
      <c r="Z150" s="11">
        <v>100</v>
      </c>
      <c r="AA150" s="11">
        <v>0</v>
      </c>
      <c r="AB150" s="11" t="s">
        <v>965</v>
      </c>
      <c r="AC150" s="11">
        <v>0</v>
      </c>
      <c r="AD150" s="11">
        <v>0</v>
      </c>
      <c r="AE150" s="11">
        <v>100</v>
      </c>
      <c r="AF150" s="11">
        <f>VLOOKUP(K150,'1108 Educación'!$K$13:$AK$40,22,0)</f>
        <v>0</v>
      </c>
      <c r="AG150" s="11">
        <f>VLOOKUP(K150,'1108 Educación'!$K$13:$AK$40,23,0)</f>
        <v>100</v>
      </c>
      <c r="AH150" s="11">
        <f t="shared" si="274"/>
        <v>100</v>
      </c>
      <c r="AI150" s="9" t="str">
        <f>VLOOKUP(K150,'1108 Educación'!$K$13:$AK$40,25,0)</f>
        <v>Pago de Nomina de Pensionados</v>
      </c>
      <c r="AJ150" s="9" t="str">
        <f>VLOOKUP(K150,'1108 Educación'!$K$13:$AK$40,26,0)</f>
        <v>Se ha realizado el pago oportuno al 100% del  personal que pertenece a la nomina de pensionados del magisterio que corresponde a  1.458 pensionados.</v>
      </c>
      <c r="AK150" s="9">
        <f>VLOOKUP(K150,'1108 Educación'!$K$13:$AK$40,27,0)</f>
        <v>0</v>
      </c>
      <c r="AL150" s="11">
        <v>0</v>
      </c>
      <c r="AM150" s="11">
        <v>100</v>
      </c>
      <c r="AN150" s="11">
        <v>0</v>
      </c>
      <c r="AO150" s="11">
        <v>100</v>
      </c>
      <c r="AP150" s="11">
        <v>0</v>
      </c>
      <c r="AQ150" s="11">
        <v>0</v>
      </c>
      <c r="AR150" s="51">
        <v>26183016906</v>
      </c>
      <c r="AS150" s="54">
        <v>0</v>
      </c>
      <c r="AT150" s="54">
        <f t="shared" si="242"/>
        <v>26183016906</v>
      </c>
      <c r="AU150" s="51">
        <v>22489402577</v>
      </c>
      <c r="AV150" s="89">
        <v>47846214000</v>
      </c>
      <c r="AY150" s="89">
        <v>9489255578</v>
      </c>
      <c r="AZ150" s="44" cm="1">
        <f t="array" ref="AZ150">_xlfn.IFS((BA150=0),(BD150/CL150),(BA150&gt;0),((BB150+BD150)/CL150),(BE150&gt;0),((BB150+BD150+BE150)/CL150),(BG150&gt;0),((BB150+BD150+BE150+G150)/CL150))</f>
        <v>0.3125</v>
      </c>
      <c r="BA150" s="44">
        <v>0.25</v>
      </c>
      <c r="BB150" s="44">
        <v>1</v>
      </c>
      <c r="BC150" s="44">
        <v>0.25</v>
      </c>
      <c r="BD150" s="44" cm="1">
        <f t="array" ref="BD150">_xlfn.IFS(AE150=0,"NA",AE150&gt;0,((AH150/AE150)/4))</f>
        <v>0.25</v>
      </c>
      <c r="BE150" s="44">
        <v>0.25</v>
      </c>
      <c r="BF150" s="44">
        <v>0</v>
      </c>
      <c r="BG150" s="44">
        <v>0.25</v>
      </c>
      <c r="BH150" s="44">
        <v>0</v>
      </c>
      <c r="BI150" s="44">
        <v>0</v>
      </c>
      <c r="BJ150" s="44" t="s">
        <v>115</v>
      </c>
      <c r="BK150" s="44">
        <f t="shared" si="243"/>
        <v>0.3125</v>
      </c>
      <c r="BL150" s="44">
        <v>1</v>
      </c>
      <c r="BM150" s="42" cm="1">
        <f t="array" ref="BM150">_xlfn.IFS(BD150="NA","NA",BD150&gt;100%,"100%",BD150&lt;100,BD150)</f>
        <v>0.25</v>
      </c>
      <c r="BN150" s="44">
        <v>0</v>
      </c>
      <c r="BO150" s="44">
        <v>0</v>
      </c>
      <c r="BP150" s="44" t="s">
        <v>115</v>
      </c>
      <c r="BQ150" s="45">
        <v>0.22500000000000001</v>
      </c>
      <c r="BR150" s="43">
        <f t="shared" si="244"/>
        <v>7.03125E-2</v>
      </c>
      <c r="BS150" s="45">
        <v>5.6300000000000003E-2</v>
      </c>
      <c r="BT150" s="45">
        <v>5.6300000000000003E-2</v>
      </c>
      <c r="BU150" s="45">
        <v>5.6300000000000003E-2</v>
      </c>
      <c r="BV150" s="45">
        <v>5.6300000000000003E-2</v>
      </c>
      <c r="BW150" s="43">
        <f t="shared" si="245"/>
        <v>1.4075000000000001E-2</v>
      </c>
      <c r="BX150" s="43">
        <f t="shared" si="246"/>
        <v>1.4012499999999997E-2</v>
      </c>
      <c r="BY150" s="45">
        <v>5.6300000000000003E-2</v>
      </c>
      <c r="BZ150" s="45">
        <v>0</v>
      </c>
      <c r="CA150" s="43">
        <f t="shared" si="247"/>
        <v>0</v>
      </c>
      <c r="CB150" s="45">
        <v>5.6300000000000003E-2</v>
      </c>
      <c r="CC150" s="45">
        <v>0</v>
      </c>
      <c r="CD150" s="45">
        <v>0</v>
      </c>
      <c r="CE150" s="45">
        <v>0</v>
      </c>
      <c r="CF150" s="45" t="s">
        <v>115</v>
      </c>
      <c r="CG150" s="45">
        <v>0</v>
      </c>
      <c r="CH150">
        <f>IF(W150&gt;0,1,0)</f>
        <v>1</v>
      </c>
      <c r="CI150">
        <f>IF(AE150&gt;0,1,0)</f>
        <v>1</v>
      </c>
      <c r="CJ150">
        <f>IF(AM150&gt;0,1,0)</f>
        <v>1</v>
      </c>
      <c r="CK150">
        <f>IF(AO150&gt;0,1,0)</f>
        <v>1</v>
      </c>
      <c r="CL150">
        <f>CH150+CI150+CJ150+CK150</f>
        <v>4</v>
      </c>
    </row>
    <row r="151" spans="1:90" ht="18" customHeight="1">
      <c r="A151" s="260" t="s">
        <v>98</v>
      </c>
      <c r="B151" s="260" t="s">
        <v>99</v>
      </c>
      <c r="C151" s="260" t="s">
        <v>100</v>
      </c>
      <c r="D151" s="260" t="s">
        <v>508</v>
      </c>
      <c r="E151" s="260" t="s">
        <v>870</v>
      </c>
      <c r="F151" s="260" t="s">
        <v>909</v>
      </c>
      <c r="G151" s="260" t="s">
        <v>910</v>
      </c>
      <c r="H151" s="260" t="s">
        <v>966</v>
      </c>
      <c r="I151" s="260"/>
      <c r="J151" s="12" t="s">
        <v>323</v>
      </c>
      <c r="K151" s="260" t="s">
        <v>967</v>
      </c>
      <c r="L151" s="260" t="s">
        <v>968</v>
      </c>
      <c r="M151" s="260" t="s">
        <v>969</v>
      </c>
      <c r="N151" s="260" t="s">
        <v>111</v>
      </c>
      <c r="O151" s="260" t="s">
        <v>112</v>
      </c>
      <c r="P151" s="10">
        <v>0</v>
      </c>
      <c r="Q151" s="11">
        <v>116</v>
      </c>
      <c r="R151" s="9">
        <f t="shared" ref="R151:R154" si="275">Z151+AH151</f>
        <v>58</v>
      </c>
      <c r="S151" s="9" t="str">
        <f>VLOOKUP(K151,'1197 Salud'!$K$13:$AK$54,9,0)</f>
        <v>Mejorar la estadia de los residentes en centros de protección mediante la implementacion de estandares de calidad habitacionales y la aplicación de  programas integrales con el uso de escalas de valoracion de motricidad, psicosocial individuales a cada residente para realizar  actividades en el tiempo libre de acuerdo a lineamientos sugeridos para una  mejor calidad de vida en los  a los municipios de   Albán ,Beltrán,Cachipay,Cajicá,Chipaque,Choachí ,Cogua ,Cota ,El Peñón ,Fomeque ,Gachala ,Girardot ,Guaduas ,Gutiérrez, Jerusalén.Nocaima ,Pandi .Quebradanegra ,Quipile .San Antonio del Tequendama ,Sasaima , Sibaté ,Soacha ,Tabio ,Tena ,Tenjo ,Tibirita ,Topaipí ,Viotá,Agua de Dios, Anolaima, Anapoima, Apulo,  Bituima,   Caparrapí, Caqueza, Chaguani,  Gacheta, Girardot, Guasca, Junín,  La Calera, La Mesa,   Mesitas del Colegio,   Medina, Nariño , Nilo,  Pacho, Puerto Salgar,   San Francisco,  San Juan de Rioseco, Sopo, Tausa,  Tocancipa ,Tocaima, Villeta, Ubaté, Zipaquirá</v>
      </c>
      <c r="T151" s="11">
        <v>29</v>
      </c>
      <c r="U151" s="11">
        <v>0</v>
      </c>
      <c r="V151" s="11">
        <v>29</v>
      </c>
      <c r="W151" s="11">
        <v>0</v>
      </c>
      <c r="X151" s="11">
        <v>29</v>
      </c>
      <c r="Y151" s="11">
        <v>0</v>
      </c>
      <c r="Z151" s="11">
        <v>29</v>
      </c>
      <c r="AA151" s="11" t="s">
        <v>969</v>
      </c>
      <c r="AB151" s="11" t="s">
        <v>970</v>
      </c>
      <c r="AC151" s="11" t="s">
        <v>971</v>
      </c>
      <c r="AD151" s="11">
        <v>29</v>
      </c>
      <c r="AE151" s="11">
        <v>0</v>
      </c>
      <c r="AF151" s="9">
        <f>VLOOKUP(K151,'1197 Salud'!$K$13:$AK$54,22,0)</f>
        <v>29</v>
      </c>
      <c r="AG151" s="9">
        <f>VLOOKUP(K151,'1197 Salud'!$K$13:$AK$54,23,0)</f>
        <v>0</v>
      </c>
      <c r="AH151" s="9">
        <f t="shared" ref="AH151:AH154" si="276">AF151</f>
        <v>29</v>
      </c>
      <c r="AI151" s="9" t="str">
        <f>VLOOKUP(K151,'1197 Salud'!$K$13:$AK$54,25,0)</f>
        <v>Municipios con criterios de atención integral implementados</v>
      </c>
      <c r="AJ151" s="9" t="str">
        <f>VLOOKUP(K151,'1197 Salud'!$K$13:$AK$54,26,0)</f>
        <v>Mejorar la estadia de los residentes en centros de protección mediante la implementacion de estandares de calidad habitacionales y la aplicación de  programas integrales con el uso de escalas de valoracion de motricidad, psicosocial individuales a cada residente para realizar  actividades en el tiempo libre de acuerdo a lineamientos sugeridos para una  mejor calidad de vida en los  a los municipios de  Agua de Dios, Anolaima, Anapoima, Apulo, Arbelaez, Beltran, Bituima,   Caparrapí, Carupa, Cogua, Cota, Chaguani, Chia, Chipaque, Choachi, Choconta, Facatativa, Funza, Gacheta, Girardot, Guaduas,  Guatavita, Junín,  La Calera, La Mesa,  Manta, Medina,  Nariño , Nimaima, Nilo, Nocaima, Sesquile, Subachoque, Suesca,  Pacho, Puerto Salgar,  Quebradanegra, Sasaima,  San Francisco,  San Juan de Rioseco, Subachoque, Suesca,Tabio, Tausa,  Tibirita,Tocaima, Topaipi,  Villeta, Viota.Zipaquirá.</v>
      </c>
      <c r="AK151" s="9" t="str">
        <f>VLOOKUP(K151,'1197 Salud'!$K$13:$AK$54,27,0)</f>
        <v xml:space="preserve">Por la pandemia COVID las actividades se realizan de manera virtual, se priorizó la vacunación en población mayor,  con el único talento humano contratado, </v>
      </c>
      <c r="AL151" s="11">
        <v>29</v>
      </c>
      <c r="AM151" s="11">
        <v>0</v>
      </c>
      <c r="AN151" s="11">
        <v>29</v>
      </c>
      <c r="AO151" s="11">
        <v>0</v>
      </c>
      <c r="AP151" s="11">
        <v>0</v>
      </c>
      <c r="AQ151" s="11">
        <v>0</v>
      </c>
      <c r="AR151" s="51">
        <v>275100000</v>
      </c>
      <c r="AS151" s="54">
        <v>0</v>
      </c>
      <c r="AT151" s="54">
        <f t="shared" si="242"/>
        <v>275100000</v>
      </c>
      <c r="AU151" s="51">
        <v>262607487</v>
      </c>
      <c r="AV151" s="89">
        <v>434887662</v>
      </c>
      <c r="AY151" s="89">
        <v>353239704</v>
      </c>
      <c r="AZ151" s="42">
        <f t="shared" ref="AZ151:AZ154" si="277">R151/Q151</f>
        <v>0.5</v>
      </c>
      <c r="BA151" s="44">
        <v>0.25</v>
      </c>
      <c r="BB151" s="44">
        <v>1</v>
      </c>
      <c r="BC151" s="42">
        <f t="shared" ref="BC151:BC154" si="278">AD151/Q151</f>
        <v>0.25</v>
      </c>
      <c r="BD151" s="42" cm="1">
        <f t="array" ref="BD151">_xlfn.IFS(AD151=0,"NA",AD151&gt;0,AH151/AD151)</f>
        <v>1</v>
      </c>
      <c r="BE151" s="42">
        <f t="shared" ref="BE151:BE154" si="279">AL151/Q151</f>
        <v>0.25</v>
      </c>
      <c r="BF151" s="44">
        <v>0</v>
      </c>
      <c r="BG151" s="42">
        <f t="shared" ref="BG151:BG154" si="280">AN151/Q151</f>
        <v>0.25</v>
      </c>
      <c r="BH151" s="44">
        <v>0</v>
      </c>
      <c r="BI151" s="42">
        <f t="shared" ref="BI151:BI154" si="281">AP151/Q151</f>
        <v>0</v>
      </c>
      <c r="BJ151" s="44" t="s">
        <v>115</v>
      </c>
      <c r="BK151" s="42">
        <f t="shared" si="243"/>
        <v>0.5</v>
      </c>
      <c r="BL151" s="44">
        <v>1</v>
      </c>
      <c r="BM151" s="42" cm="1">
        <f t="array" ref="BM151">_xlfn.IFS(BD151="NA","NA",BD151&gt;100%,"100%",BD151&lt;100,BD151)</f>
        <v>1</v>
      </c>
      <c r="BN151" s="42" cm="1">
        <f t="array" ref="BN151">_xlfn.IFS(BF151="NA","NA",BF151&gt;100%,"100%",BF151&lt;100,BF151)</f>
        <v>0</v>
      </c>
      <c r="BO151" s="42" cm="1">
        <f t="array" ref="BO151">_xlfn.IFS(BH151="NA","NA",BH151&gt;100%,"100%",BH151&lt;100,BH151)</f>
        <v>0</v>
      </c>
      <c r="BP151" s="42" t="str" cm="1">
        <f t="array" ref="BP151">_xlfn.IFS(BJ151="NA","NA",BJ151&gt;100%,"100%",BJ151&lt;100,BJ151)</f>
        <v>NA</v>
      </c>
      <c r="BQ151" s="45">
        <v>0.22500000000000001</v>
      </c>
      <c r="BR151" s="43">
        <f t="shared" si="244"/>
        <v>0.1125</v>
      </c>
      <c r="BS151" s="45">
        <v>5.6300000000000003E-2</v>
      </c>
      <c r="BT151" s="45">
        <v>5.6300000000000003E-2</v>
      </c>
      <c r="BU151" s="45">
        <v>5.6300000000000003E-2</v>
      </c>
      <c r="BV151" s="43">
        <f t="shared" ref="BV151:BV154" si="282">(AD151*BQ151)/Q151</f>
        <v>5.6250000000000001E-2</v>
      </c>
      <c r="BW151" s="43">
        <f t="shared" si="245"/>
        <v>5.6250000000000001E-2</v>
      </c>
      <c r="BX151" s="43">
        <f t="shared" si="246"/>
        <v>5.62E-2</v>
      </c>
      <c r="BY151" s="43">
        <f t="shared" ref="BY151:BY154" si="283">(AL151*BQ151)/Q151</f>
        <v>5.6250000000000001E-2</v>
      </c>
      <c r="BZ151" s="43">
        <f t="shared" ref="BZ151:BZ154" si="284">IF(BN151="NA","NA",BN151*BY151)</f>
        <v>0</v>
      </c>
      <c r="CA151" s="43">
        <f t="shared" si="247"/>
        <v>0</v>
      </c>
      <c r="CB151" s="43">
        <f t="shared" ref="CB151:CB154" si="285">(AN151*BQ151)/Q151</f>
        <v>5.6250000000000001E-2</v>
      </c>
      <c r="CC151" s="43">
        <f t="shared" ref="CC151:CC154" si="286">IF(BO151="NA","NA",BO151*CB151)</f>
        <v>0</v>
      </c>
      <c r="CD151" s="45">
        <v>0</v>
      </c>
      <c r="CE151" s="43">
        <f t="shared" ref="CE151:CE154" si="287">(AP151*BQ151)/Q151</f>
        <v>0</v>
      </c>
      <c r="CF151" s="43" t="str">
        <f t="shared" ref="CF151:CF154" si="288">IF(BP151="NA","NA",BP151*CE151)</f>
        <v>NA</v>
      </c>
      <c r="CG151" s="45">
        <v>0</v>
      </c>
    </row>
    <row r="152" spans="1:90" ht="18" customHeight="1">
      <c r="A152" s="260" t="s">
        <v>907</v>
      </c>
      <c r="B152" s="260" t="s">
        <v>908</v>
      </c>
      <c r="C152" s="260" t="s">
        <v>100</v>
      </c>
      <c r="D152" s="260" t="s">
        <v>508</v>
      </c>
      <c r="E152" s="260" t="s">
        <v>870</v>
      </c>
      <c r="F152" s="260" t="s">
        <v>909</v>
      </c>
      <c r="G152" s="260" t="s">
        <v>910</v>
      </c>
      <c r="H152" s="260" t="s">
        <v>972</v>
      </c>
      <c r="I152" s="260" t="s">
        <v>973</v>
      </c>
      <c r="J152" s="260"/>
      <c r="K152" s="260" t="s">
        <v>974</v>
      </c>
      <c r="L152" s="260" t="s">
        <v>2937</v>
      </c>
      <c r="M152" s="260" t="s">
        <v>976</v>
      </c>
      <c r="N152" s="260" t="s">
        <v>111</v>
      </c>
      <c r="O152" s="260" t="s">
        <v>112</v>
      </c>
      <c r="P152" s="10">
        <v>0</v>
      </c>
      <c r="Q152" s="11">
        <v>500</v>
      </c>
      <c r="R152" s="9">
        <f t="shared" si="275"/>
        <v>0</v>
      </c>
      <c r="S152" s="11">
        <f>VLOOKUP(K152,'1207 Beneficencia'!$K$13:$AK$15,9,0)</f>
        <v>0</v>
      </c>
      <c r="T152" s="11">
        <v>0</v>
      </c>
      <c r="U152" s="11">
        <v>0</v>
      </c>
      <c r="V152" s="11">
        <v>0</v>
      </c>
      <c r="W152" s="11">
        <v>0</v>
      </c>
      <c r="X152" s="11">
        <v>0</v>
      </c>
      <c r="Y152" s="11">
        <v>0</v>
      </c>
      <c r="Z152" s="11">
        <v>0</v>
      </c>
      <c r="AA152" s="11"/>
      <c r="AB152" s="11"/>
      <c r="AC152" s="11"/>
      <c r="AD152" s="11">
        <v>150</v>
      </c>
      <c r="AE152" s="11">
        <v>0</v>
      </c>
      <c r="AF152" s="11">
        <f>VLOOKUP(K152,'1207 Beneficencia'!$K$13:$AK$15,22,0)</f>
        <v>0</v>
      </c>
      <c r="AG152" s="11">
        <f>VLOOKUP(K152,'1207 Beneficencia'!$K$13:$AK$15,23,0)</f>
        <v>0</v>
      </c>
      <c r="AH152" s="9">
        <f t="shared" si="276"/>
        <v>0</v>
      </c>
      <c r="AI152" s="9">
        <f>VLOOKUP(K152,'1207 Beneficencia'!$K$13:$AK$15,25,0)</f>
        <v>0</v>
      </c>
      <c r="AJ152" s="9" t="str">
        <f>VLOOKUP(K152,'1207 Beneficencia'!$K$13:$AK$15,26,0)</f>
        <v>No se ha iniciado con el programa de atención a personas consumidoras de sustancias psicoactivas</v>
      </c>
      <c r="AK152" s="9" t="str">
        <f>VLOOKUP(K152,'1207 Beneficencia'!$K$13:$AK$15,27,0)</f>
        <v>Los recursos económicos propios de la entidad son insuficientes y se requiere de la articulación y cofinanciación con el Departamento para cumplir a cabalidad con la inversión social en estas metas</v>
      </c>
      <c r="AL152" s="11">
        <v>150</v>
      </c>
      <c r="AM152" s="11">
        <v>0</v>
      </c>
      <c r="AN152" s="11">
        <v>200</v>
      </c>
      <c r="AO152" s="11">
        <v>0</v>
      </c>
      <c r="AP152" s="11">
        <v>0</v>
      </c>
      <c r="AQ152" s="11">
        <v>0</v>
      </c>
      <c r="AR152" s="52"/>
      <c r="AS152" s="54">
        <v>0</v>
      </c>
      <c r="AT152" s="54">
        <f t="shared" si="242"/>
        <v>0</v>
      </c>
      <c r="AU152" s="52"/>
      <c r="AV152" s="89">
        <v>4000000000</v>
      </c>
      <c r="AY152" s="89">
        <v>0</v>
      </c>
      <c r="AZ152" s="42">
        <f t="shared" si="277"/>
        <v>0</v>
      </c>
      <c r="BA152" s="44">
        <v>0</v>
      </c>
      <c r="BB152" s="44" t="s">
        <v>115</v>
      </c>
      <c r="BC152" s="42">
        <f t="shared" si="278"/>
        <v>0.3</v>
      </c>
      <c r="BD152" s="42" cm="1">
        <f t="array" ref="BD152">_xlfn.IFS(AD152=0,"NA",AD152&gt;0,AH152/AD152)</f>
        <v>0</v>
      </c>
      <c r="BE152" s="42">
        <f t="shared" si="279"/>
        <v>0.3</v>
      </c>
      <c r="BF152" s="44">
        <v>0</v>
      </c>
      <c r="BG152" s="42">
        <f t="shared" si="280"/>
        <v>0.4</v>
      </c>
      <c r="BH152" s="44">
        <v>0</v>
      </c>
      <c r="BI152" s="42">
        <f t="shared" si="281"/>
        <v>0</v>
      </c>
      <c r="BJ152" s="44" t="s">
        <v>115</v>
      </c>
      <c r="BK152" s="42">
        <f t="shared" si="243"/>
        <v>0</v>
      </c>
      <c r="BL152" s="44" t="s">
        <v>115</v>
      </c>
      <c r="BM152" s="42" cm="1">
        <f t="array" ref="BM152">_xlfn.IFS(BD152="NA","NA",BD152&gt;100%,"100%",BD152&lt;100,BD152)</f>
        <v>0</v>
      </c>
      <c r="BN152" s="42" cm="1">
        <f t="array" ref="BN152">_xlfn.IFS(BF152="NA","NA",BF152&gt;100%,"100%",BF152&lt;100,BF152)</f>
        <v>0</v>
      </c>
      <c r="BO152" s="42" cm="1">
        <f t="array" ref="BO152">_xlfn.IFS(BH152="NA","NA",BH152&gt;100%,"100%",BH152&lt;100,BH152)</f>
        <v>0</v>
      </c>
      <c r="BP152" s="42" t="str" cm="1">
        <f t="array" ref="BP152">_xlfn.IFS(BJ152="NA","NA",BJ152&gt;100%,"100%",BJ152&lt;100,BJ152)</f>
        <v>NA</v>
      </c>
      <c r="BQ152" s="45">
        <v>0.22500000000000001</v>
      </c>
      <c r="BR152" s="43">
        <f t="shared" si="244"/>
        <v>0</v>
      </c>
      <c r="BS152" s="45">
        <v>0</v>
      </c>
      <c r="BT152" s="45" t="s">
        <v>115</v>
      </c>
      <c r="BU152" s="45">
        <v>0</v>
      </c>
      <c r="BV152" s="43">
        <f t="shared" si="282"/>
        <v>6.7500000000000004E-2</v>
      </c>
      <c r="BW152" s="43">
        <f t="shared" si="245"/>
        <v>0</v>
      </c>
      <c r="BX152" s="43">
        <f t="shared" si="246"/>
        <v>0</v>
      </c>
      <c r="BY152" s="43">
        <f t="shared" si="283"/>
        <v>6.7500000000000004E-2</v>
      </c>
      <c r="BZ152" s="43">
        <f t="shared" si="284"/>
        <v>0</v>
      </c>
      <c r="CA152" s="43">
        <f t="shared" si="247"/>
        <v>0</v>
      </c>
      <c r="CB152" s="43">
        <f t="shared" si="285"/>
        <v>0.09</v>
      </c>
      <c r="CC152" s="43">
        <f t="shared" si="286"/>
        <v>0</v>
      </c>
      <c r="CD152" s="45">
        <v>0</v>
      </c>
      <c r="CE152" s="43">
        <f t="shared" si="287"/>
        <v>0</v>
      </c>
      <c r="CF152" s="43" t="str">
        <f t="shared" si="288"/>
        <v>NA</v>
      </c>
      <c r="CG152" s="45">
        <v>0</v>
      </c>
    </row>
    <row r="153" spans="1:90" ht="18" customHeight="1">
      <c r="A153" s="260" t="s">
        <v>98</v>
      </c>
      <c r="B153" s="260" t="s">
        <v>99</v>
      </c>
      <c r="C153" s="260" t="s">
        <v>100</v>
      </c>
      <c r="D153" s="260" t="s">
        <v>508</v>
      </c>
      <c r="E153" s="260" t="s">
        <v>870</v>
      </c>
      <c r="F153" s="260" t="s">
        <v>977</v>
      </c>
      <c r="G153" s="260" t="s">
        <v>978</v>
      </c>
      <c r="H153" s="260" t="s">
        <v>979</v>
      </c>
      <c r="I153" s="260" t="s">
        <v>677</v>
      </c>
      <c r="J153" s="260" t="s">
        <v>119</v>
      </c>
      <c r="K153" s="260" t="s">
        <v>980</v>
      </c>
      <c r="L153" s="260" t="s">
        <v>981</v>
      </c>
      <c r="M153" s="260" t="s">
        <v>670</v>
      </c>
      <c r="N153" s="260" t="s">
        <v>111</v>
      </c>
      <c r="O153" s="260" t="s">
        <v>112</v>
      </c>
      <c r="P153" s="10">
        <v>20</v>
      </c>
      <c r="Q153" s="11">
        <v>96</v>
      </c>
      <c r="R153" s="9">
        <f t="shared" si="275"/>
        <v>40</v>
      </c>
      <c r="S153" s="9" t="str">
        <f>VLOOKUP(K153,'1197 Salud'!$K$13:$AK$54,9,0)</f>
        <v>Se logro implementar la La estrategia preventiva: " Mi fortaleza mi familia" en 41 municipios: Anolaima, Apulo, Cachipay, Chaguaní, Chipaque,El colegio,EL peñon, Fomeque, Guaduas,Guataqui, Guayabal de siquima, Gutierrez, La palma, La Peña, Leguazaque, Medina,Nariño, Pandi, Paratebueno,Ricaurte,  San Antonio del Tequendama, San Cayetano Sasaima, Supata,  Tausa,Tibacuy, Tocaima,Utica, Villa Gomez, Villapinzón,  Vergara,    Venecia, Yacopi, Zipacon , cabrera. 
Se desarrollo el proyecto Scala: Deteccion del riesgo de consumo de alcohol y depresiòn asociada en 5 municipios: Funza, Madrid, Nemocon Soachay  Suesca, donde se hicieron 11.821 tamizaje e intervenciones breves, Total de capacitaciones realizadas 147. 
Se apoyo  implementacion  Zoec en 5 municipios: Cogua, Silvania, Ubate, Chia y Tocancipà.En el mes de octubre se recibiò reconocimiento por parte del Min de salud y proteccion social como entidad comprometida con la prevenciòn de consumo, abuso y adicciòn a las sustancias psicoactivas. Ley 1566 de 2012. 
Se realizò la semana de la salud mental, con una participacion de 800 personas.Se brindò lineamientos del PAS a los 116 municipios del depto</v>
      </c>
      <c r="T153" s="11">
        <v>5</v>
      </c>
      <c r="U153" s="11">
        <v>0</v>
      </c>
      <c r="V153" s="11">
        <v>5</v>
      </c>
      <c r="W153" s="11">
        <v>0</v>
      </c>
      <c r="X153" s="11">
        <v>5</v>
      </c>
      <c r="Y153" s="11">
        <v>0</v>
      </c>
      <c r="Z153" s="11">
        <v>5</v>
      </c>
      <c r="AA153" s="11" t="s">
        <v>982</v>
      </c>
      <c r="AB153" s="11" t="s">
        <v>983</v>
      </c>
      <c r="AC153" s="11" t="s">
        <v>984</v>
      </c>
      <c r="AD153" s="11">
        <v>35</v>
      </c>
      <c r="AE153" s="11">
        <v>0</v>
      </c>
      <c r="AF153" s="9">
        <f>VLOOKUP(K153,'1197 Salud'!$K$13:$AK$54,22,0)</f>
        <v>35</v>
      </c>
      <c r="AG153" s="9">
        <f>VLOOKUP(K153,'1197 Salud'!$K$13:$AK$54,23,0)</f>
        <v>0</v>
      </c>
      <c r="AH153" s="9">
        <f t="shared" si="276"/>
        <v>35</v>
      </c>
      <c r="AI153" s="9" t="str">
        <f>VLOOKUP(K153,'1197 Salud'!$K$13:$AK$54,25,0)</f>
        <v>Municipios con estrategias implementadas</v>
      </c>
      <c r="AJ153" s="9" t="str">
        <f>VLOOKUP(K153,'1197 Salud'!$K$13:$AK$54,26,0)</f>
        <v>Se logro implementar la La estrategia preventiva: " Mi fortaleza mi familia", con sius tres areas tematicas : Comunicativa, supervision control, y expresion del afecto</v>
      </c>
      <c r="AK153" s="9" t="str">
        <f>VLOOKUP(K153,'1197 Salud'!$K$13:$AK$54,27,0)</f>
        <v>Rotaciòn del talento humano encargado de coordinar o ejecutar las actividades de salud mental</v>
      </c>
      <c r="AL153" s="11">
        <v>30</v>
      </c>
      <c r="AM153" s="11">
        <v>0</v>
      </c>
      <c r="AN153" s="11">
        <v>26</v>
      </c>
      <c r="AO153" s="11">
        <v>0</v>
      </c>
      <c r="AP153" s="11">
        <v>0</v>
      </c>
      <c r="AQ153" s="11">
        <v>0</v>
      </c>
      <c r="AR153" s="51">
        <v>156393643</v>
      </c>
      <c r="AS153" s="54">
        <v>0</v>
      </c>
      <c r="AT153" s="54">
        <f t="shared" si="242"/>
        <v>156393643</v>
      </c>
      <c r="AU153" s="51">
        <v>150468632</v>
      </c>
      <c r="AV153" s="89">
        <v>436489491</v>
      </c>
      <c r="AY153" s="89">
        <v>150568060</v>
      </c>
      <c r="AZ153" s="42">
        <f t="shared" si="277"/>
        <v>0.41666666666666669</v>
      </c>
      <c r="BA153" s="44">
        <v>5.21E-2</v>
      </c>
      <c r="BB153" s="44">
        <v>1</v>
      </c>
      <c r="BC153" s="42">
        <f t="shared" si="278"/>
        <v>0.36458333333333331</v>
      </c>
      <c r="BD153" s="42" cm="1">
        <f t="array" ref="BD153">_xlfn.IFS(AD153=0,"NA",AD153&gt;0,AH153/AD153)</f>
        <v>1</v>
      </c>
      <c r="BE153" s="42">
        <f t="shared" si="279"/>
        <v>0.3125</v>
      </c>
      <c r="BF153" s="44">
        <v>0</v>
      </c>
      <c r="BG153" s="42">
        <f t="shared" si="280"/>
        <v>0.27083333333333331</v>
      </c>
      <c r="BH153" s="44">
        <v>0</v>
      </c>
      <c r="BI153" s="42">
        <f t="shared" si="281"/>
        <v>0</v>
      </c>
      <c r="BJ153" s="44" t="s">
        <v>115</v>
      </c>
      <c r="BK153" s="42">
        <f t="shared" si="243"/>
        <v>0.41666666666666669</v>
      </c>
      <c r="BL153" s="44">
        <v>1</v>
      </c>
      <c r="BM153" s="42" cm="1">
        <f t="array" ref="BM153">_xlfn.IFS(BD153="NA","NA",BD153&gt;100%,"100%",BD153&lt;100,BD153)</f>
        <v>1</v>
      </c>
      <c r="BN153" s="42" cm="1">
        <f t="array" ref="BN153">_xlfn.IFS(BF153="NA","NA",BF153&gt;100%,"100%",BF153&lt;100,BF153)</f>
        <v>0</v>
      </c>
      <c r="BO153" s="42" cm="1">
        <f t="array" ref="BO153">_xlfn.IFS(BH153="NA","NA",BH153&gt;100%,"100%",BH153&lt;100,BH153)</f>
        <v>0</v>
      </c>
      <c r="BP153" s="42" t="str" cm="1">
        <f t="array" ref="BP153">_xlfn.IFS(BJ153="NA","NA",BJ153&gt;100%,"100%",BJ153&lt;100,BJ153)</f>
        <v>NA</v>
      </c>
      <c r="BQ153" s="45">
        <v>0.22500000000000001</v>
      </c>
      <c r="BR153" s="43">
        <f t="shared" si="244"/>
        <v>9.375E-2</v>
      </c>
      <c r="BS153" s="45">
        <v>1.17E-2</v>
      </c>
      <c r="BT153" s="45">
        <v>1.17E-2</v>
      </c>
      <c r="BU153" s="45">
        <v>1.17E-2</v>
      </c>
      <c r="BV153" s="43">
        <f t="shared" si="282"/>
        <v>8.203125E-2</v>
      </c>
      <c r="BW153" s="43">
        <f t="shared" si="245"/>
        <v>8.203125E-2</v>
      </c>
      <c r="BX153" s="43">
        <f t="shared" si="246"/>
        <v>8.2049999999999998E-2</v>
      </c>
      <c r="BY153" s="43">
        <f t="shared" si="283"/>
        <v>7.03125E-2</v>
      </c>
      <c r="BZ153" s="43">
        <f t="shared" si="284"/>
        <v>0</v>
      </c>
      <c r="CA153" s="43">
        <f t="shared" si="247"/>
        <v>0</v>
      </c>
      <c r="CB153" s="43">
        <f t="shared" si="285"/>
        <v>6.0937500000000006E-2</v>
      </c>
      <c r="CC153" s="43">
        <f t="shared" si="286"/>
        <v>0</v>
      </c>
      <c r="CD153" s="45">
        <v>0</v>
      </c>
      <c r="CE153" s="43">
        <f t="shared" si="287"/>
        <v>0</v>
      </c>
      <c r="CF153" s="43" t="str">
        <f t="shared" si="288"/>
        <v>NA</v>
      </c>
      <c r="CG153" s="45">
        <v>0</v>
      </c>
    </row>
    <row r="154" spans="1:90" ht="18" customHeight="1">
      <c r="A154" s="260" t="s">
        <v>98</v>
      </c>
      <c r="B154" s="260" t="s">
        <v>99</v>
      </c>
      <c r="C154" s="260" t="s">
        <v>100</v>
      </c>
      <c r="D154" s="260" t="s">
        <v>508</v>
      </c>
      <c r="E154" s="260" t="s">
        <v>870</v>
      </c>
      <c r="F154" s="260" t="s">
        <v>985</v>
      </c>
      <c r="G154" s="260" t="s">
        <v>986</v>
      </c>
      <c r="H154" s="260" t="s">
        <v>987</v>
      </c>
      <c r="I154" s="260" t="s">
        <v>106</v>
      </c>
      <c r="J154" s="260" t="s">
        <v>961</v>
      </c>
      <c r="K154" s="260" t="s">
        <v>988</v>
      </c>
      <c r="L154" s="260" t="s">
        <v>989</v>
      </c>
      <c r="M154" s="260" t="s">
        <v>990</v>
      </c>
      <c r="N154" s="260" t="s">
        <v>123</v>
      </c>
      <c r="O154" s="260" t="s">
        <v>112</v>
      </c>
      <c r="P154" s="10">
        <v>0</v>
      </c>
      <c r="Q154" s="11">
        <v>100</v>
      </c>
      <c r="R154" s="9">
        <f t="shared" si="275"/>
        <v>45</v>
      </c>
      <c r="S154" s="9" t="str">
        <f>VLOOKUP(K154,'1197 Salud'!$K$13:$AK$54,9,0)</f>
        <v xml:space="preserve">Se implementaron las Fases de Alistamiento (con sus componentes: caracterización situacional, levantamiento de barreras) y el Desarrollo de Capacidades con los actores del sistema General de Salud a nivel departamental y municipal, lográndose un avance del 45% en la Implementación de las Rutas Integrales de Atención del cáncer.
POBLACION BENEFICIADA:
116 Entes Territoriales Municipales con sus IPS 
9 EAPB
1033 Hombres y mujeres capacitados 
</v>
      </c>
      <c r="T154" s="11">
        <v>15</v>
      </c>
      <c r="U154" s="11">
        <v>0</v>
      </c>
      <c r="V154" s="11">
        <v>15</v>
      </c>
      <c r="W154" s="11">
        <v>0</v>
      </c>
      <c r="X154" s="11">
        <v>10</v>
      </c>
      <c r="Y154" s="11">
        <v>0</v>
      </c>
      <c r="Z154" s="11">
        <v>10</v>
      </c>
      <c r="AA154" s="11" t="s">
        <v>990</v>
      </c>
      <c r="AB154" s="11" t="s">
        <v>991</v>
      </c>
      <c r="AC154" s="11">
        <v>0</v>
      </c>
      <c r="AD154" s="11">
        <v>35</v>
      </c>
      <c r="AE154" s="11">
        <v>0</v>
      </c>
      <c r="AF154" s="9">
        <f>VLOOKUP(K154,'1197 Salud'!$K$13:$AK$54,22,0)</f>
        <v>35</v>
      </c>
      <c r="AG154" s="9">
        <f>VLOOKUP(K154,'1197 Salud'!$K$13:$AK$54,23,0)</f>
        <v>0</v>
      </c>
      <c r="AH154" s="9">
        <f t="shared" si="276"/>
        <v>35</v>
      </c>
      <c r="AI154" s="9" t="str">
        <f>VLOOKUP(K154,'1197 Salud'!$K$13:$AK$54,25,0)</f>
        <v>Aseguradoras en proceso de implementación de la Ruta Integral de Atención del cáncer</v>
      </c>
      <c r="AJ154" s="9" t="str">
        <f>VLOOKUP(K154,'1197 Salud'!$K$13:$AK$54,26,0)</f>
        <v xml:space="preserve">Se implementaron las Fases de Alistamiento (con sus componentes: caracterización situacional, levantamiento de barreras) y el Desarrollo de Capacidades con los actores del sistema General de Salud a nivel departamental y municipal, lográndose un avance del 45% en la Implementación de las Rutas Integrales de Atención del cáncer.
POBLACION BENEFICIADA:
116 Entes Territoriales Municipales con sus IPS 
9 EAPB
1033 Hombres y mujeres capacitados 
</v>
      </c>
      <c r="AK154" s="9" t="str">
        <f>VLOOKUP(K154,'1197 Salud'!$K$13:$AK$54,27,0)</f>
        <v xml:space="preserve">1.Disponibilidad de tiempo por parte del Talento humano para el desarrollo de las diferentes Fases. 
2.Escasa participación por parte de algunas Direcciones del Ente Territorial Departamental para el desarrollo de las fases propuestas
3.Implementación de la Ruta de Promoción y mantenimiento de la Salud </v>
      </c>
      <c r="AL154" s="11">
        <v>30</v>
      </c>
      <c r="AM154" s="11">
        <v>0</v>
      </c>
      <c r="AN154" s="11">
        <v>25</v>
      </c>
      <c r="AO154" s="11">
        <v>0</v>
      </c>
      <c r="AP154" s="11">
        <v>0</v>
      </c>
      <c r="AQ154" s="11">
        <v>0</v>
      </c>
      <c r="AR154" s="51">
        <v>47547610</v>
      </c>
      <c r="AS154" s="54">
        <v>0</v>
      </c>
      <c r="AT154" s="54">
        <f t="shared" si="242"/>
        <v>47547610</v>
      </c>
      <c r="AU154" s="51">
        <v>10556460</v>
      </c>
      <c r="AV154" s="89">
        <v>419209384</v>
      </c>
      <c r="AY154" s="89">
        <v>101975403</v>
      </c>
      <c r="AZ154" s="42">
        <f t="shared" si="277"/>
        <v>0.45</v>
      </c>
      <c r="BA154" s="44">
        <v>0.15</v>
      </c>
      <c r="BB154" s="44">
        <v>0.66669999999999996</v>
      </c>
      <c r="BC154" s="42">
        <f t="shared" si="278"/>
        <v>0.35</v>
      </c>
      <c r="BD154" s="42" cm="1">
        <f t="array" ref="BD154">_xlfn.IFS(AD154=0,"NA",AD154&gt;0,AH154/AD154)</f>
        <v>1</v>
      </c>
      <c r="BE154" s="42">
        <f t="shared" si="279"/>
        <v>0.3</v>
      </c>
      <c r="BF154" s="44">
        <v>0</v>
      </c>
      <c r="BG154" s="42">
        <f t="shared" si="280"/>
        <v>0.25</v>
      </c>
      <c r="BH154" s="44">
        <v>0</v>
      </c>
      <c r="BI154" s="42">
        <f t="shared" si="281"/>
        <v>0</v>
      </c>
      <c r="BJ154" s="44" t="s">
        <v>115</v>
      </c>
      <c r="BK154" s="42">
        <f t="shared" si="243"/>
        <v>0.45</v>
      </c>
      <c r="BL154" s="44">
        <v>0.66669999999999996</v>
      </c>
      <c r="BM154" s="42" cm="1">
        <f t="array" ref="BM154">_xlfn.IFS(BD154="NA","NA",BD154&gt;100%,"100%",BD154&lt;100,BD154)</f>
        <v>1</v>
      </c>
      <c r="BN154" s="42" cm="1">
        <f t="array" ref="BN154">_xlfn.IFS(BF154="NA","NA",BF154&gt;100%,"100%",BF154&lt;100,BF154)</f>
        <v>0</v>
      </c>
      <c r="BO154" s="42" cm="1">
        <f t="array" ref="BO154">_xlfn.IFS(BH154="NA","NA",BH154&gt;100%,"100%",BH154&lt;100,BH154)</f>
        <v>0</v>
      </c>
      <c r="BP154" s="42" t="str" cm="1">
        <f t="array" ref="BP154">_xlfn.IFS(BJ154="NA","NA",BJ154&gt;100%,"100%",BJ154&lt;100,BJ154)</f>
        <v>NA</v>
      </c>
      <c r="BQ154" s="45">
        <v>0.22500000000000001</v>
      </c>
      <c r="BR154" s="43">
        <f t="shared" si="244"/>
        <v>0.10125000000000001</v>
      </c>
      <c r="BS154" s="45">
        <v>3.3799999999999997E-2</v>
      </c>
      <c r="BT154" s="45">
        <v>2.2499999999999999E-2</v>
      </c>
      <c r="BU154" s="45">
        <v>2.2499999999999999E-2</v>
      </c>
      <c r="BV154" s="43">
        <f t="shared" si="282"/>
        <v>7.8750000000000001E-2</v>
      </c>
      <c r="BW154" s="43">
        <f t="shared" si="245"/>
        <v>7.8750000000000001E-2</v>
      </c>
      <c r="BX154" s="43">
        <f t="shared" si="246"/>
        <v>7.8750000000000014E-2</v>
      </c>
      <c r="BY154" s="43">
        <f t="shared" si="283"/>
        <v>6.7500000000000004E-2</v>
      </c>
      <c r="BZ154" s="43">
        <f t="shared" si="284"/>
        <v>0</v>
      </c>
      <c r="CA154" s="43">
        <f t="shared" si="247"/>
        <v>0</v>
      </c>
      <c r="CB154" s="43">
        <f t="shared" si="285"/>
        <v>5.6250000000000001E-2</v>
      </c>
      <c r="CC154" s="43">
        <f t="shared" si="286"/>
        <v>0</v>
      </c>
      <c r="CD154" s="45">
        <v>0</v>
      </c>
      <c r="CE154" s="43">
        <f t="shared" si="287"/>
        <v>0</v>
      </c>
      <c r="CF154" s="43" t="str">
        <f t="shared" si="288"/>
        <v>NA</v>
      </c>
      <c r="CG154" s="45">
        <v>0</v>
      </c>
    </row>
    <row r="155" spans="1:90" ht="18" customHeight="1">
      <c r="A155" s="260" t="s">
        <v>992</v>
      </c>
      <c r="B155" s="260" t="s">
        <v>993</v>
      </c>
      <c r="C155" s="260" t="s">
        <v>100</v>
      </c>
      <c r="D155" s="260" t="s">
        <v>994</v>
      </c>
      <c r="E155" s="260" t="s">
        <v>995</v>
      </c>
      <c r="F155" s="260" t="s">
        <v>1007</v>
      </c>
      <c r="G155" s="260" t="s">
        <v>1008</v>
      </c>
      <c r="H155" s="260" t="s">
        <v>998</v>
      </c>
      <c r="I155" s="260"/>
      <c r="J155" s="260"/>
      <c r="K155" s="260" t="s">
        <v>999</v>
      </c>
      <c r="L155" s="260" t="s">
        <v>1000</v>
      </c>
      <c r="M155" s="260" t="s">
        <v>1001</v>
      </c>
      <c r="N155" s="260" t="s">
        <v>111</v>
      </c>
      <c r="O155" s="260" t="s">
        <v>124</v>
      </c>
      <c r="P155" s="10">
        <v>2</v>
      </c>
      <c r="Q155" s="11">
        <v>2</v>
      </c>
      <c r="R155" s="11">
        <f>(Z155+AH155)/CL155</f>
        <v>1</v>
      </c>
      <c r="S155" s="11" t="str">
        <f>VLOOKUP(K155,'1105 Gobierno'!$K$12:$AK$31,9,0)</f>
        <v>Se garantiza el funcionamiento de 2 casas de acogida las cuales tienen como propósito garantizar a las mujeres que viven situaciones de violencia o que han vivido hechos victimizante, cuenten con un lugar para salvaguardarse temporalmente en el que les sea posible a ellas y a sus personas dependientes proteger su vida e integridad personal. Hasta la fecha han sido beneficiados 123 personas, entre ellos 40 mujeres y 73 niños, niñas y adolescentes. Adicional a ello, se ha logrado aumentar el número a 25 cupos más con relación al cuatrienio anterior de las casas de acogida, propiciando entornos de bienestar en el territorio en pro de las mujeres y fortalecimiento a la dignidad e integridad personal de las mismas. Adicional a ello, se benefician 73 niños, niñas y adolescentes hijos de estas mamás víctimas de violencia. La casa de acogida, presta servicios de alojamiento, alimentación, kit de aseo, traslado, vestuario de ser necesario, seguridad, orientación psicológica, jurídica y de trabajo social, además de disponibilidad de área de enfermería. El funcionamiento de las casas se realiza mediante el convenio de la Cruz Roja el cual se suscribió en el mes del 10 de junio de 6 meses y 20 días por lo cual el funcionamiento se garantiza hasta el 31 de diciembre de la presente vigencia (convenio 175 de 2020). Adicional a ello se brinda asistencia técnica para la ruta y servicio de la casa de acogida a 33 municipios de 10 provincias asesorando a los mismos a cómo funciona el servicio brindado. Actualmente en 2021 tiene 25 cupos.
Para el año 2021  el convenio ya se encuentra firmado, bajo el siguiente número de convenio  SGO-CDCASO-298-2021, este convenio  de asociación se encuentra firmado con la cruz roja colombiana seccional Cundinamarca y Bogotá para el programa en la vigencia 2021. Se disponen de dos inmuebles para el funcionamientos de Casa de Acogida, uno de los inmuebles se dispone por parte de la Secretaria General y el otro por parte del asociado. Los dos inmuebles cumplen con los requisitos minimos de infraestructura contemplados en la resolución 595 del 2020 mediante la operación del convenio 175 del 2020 se han atendido de enero al mes de abril del 2021, 33 casos.
Se remite certificacion a ministerio de salud para solicitar focalizacion del departamento en asignacion de recursos para medidas de atencion en la vigencia 2021 (actividad que se desarrolla en un solo momento del año).</v>
      </c>
      <c r="T155" s="11">
        <v>0</v>
      </c>
      <c r="U155" s="11">
        <v>2</v>
      </c>
      <c r="V155" s="11">
        <v>0</v>
      </c>
      <c r="W155" s="11">
        <v>2</v>
      </c>
      <c r="X155" s="11" t="s">
        <v>115</v>
      </c>
      <c r="Y155" s="11">
        <v>2</v>
      </c>
      <c r="Z155" s="11">
        <v>2</v>
      </c>
      <c r="AA155" s="11" t="s">
        <v>1002</v>
      </c>
      <c r="AB155" s="11" t="s">
        <v>1003</v>
      </c>
      <c r="AC155" s="11" t="s">
        <v>1004</v>
      </c>
      <c r="AD155" s="11">
        <v>0</v>
      </c>
      <c r="AE155" s="11">
        <v>2</v>
      </c>
      <c r="AF155" s="11" t="str">
        <f>VLOOKUP(K155,'1105 Gobierno'!$K$12:$AK$31,22,0)</f>
        <v> </v>
      </c>
      <c r="AG155" s="11">
        <f>VLOOKUP(K155,'1105 Gobierno'!$K$12:$AK$31,23,0)</f>
        <v>2</v>
      </c>
      <c r="AH155" s="11">
        <f>AG155</f>
        <v>2</v>
      </c>
      <c r="AI155" s="9" t="str">
        <f>VLOOKUP(K155,'1105 Gobierno'!$K$12:$AK$31,25,0)</f>
        <v>Casas de acogida en funcionamiento</v>
      </c>
      <c r="AJ155" s="9" t="str">
        <f>VLOOKUP(K155,'1105 Gobierno'!$K$12:$AK$31,26,0)</f>
        <v xml:space="preserve">Durante los meses de enero a abril el programa casa de acogida funcionó mediante el convenio de asociación 175 del 2020, el convenio ya se encuentra firmado SGO-CDCASO-298-2021 con la cruz roja colombiana seccional Cundinamarca y Bogotá para el programa en la vigencia 2021.
En la actualidad existen dos inmuebles para el funcionamiento de las Casas de Acogida, uno de los inmuebles lo dispone la Secretaria General y el otro por parte del asociado.
Los Inmuebles están adecuados para el alojamiento de mujeres víctimas y sus dependientes, los cumplen con los requisitos mínimos de infraestructura contemplados en la resolución 595 del 2020, se remite certificación a ministerio de salud para solicitar focalización del departamento en asignación de recursos para medidas de atención en la vigencia 2021 (actividad que se desarrolla en un solo momento del año).
El programa de casa de acogida se dividen 2 infraestructuras e identificadas como: Casa Azul y Casa amarilla, en la casa azul cuenta con población distribuida así: 5 Mujeres, 6 NNA, para un total de 11 personas, dicha casa cuenta con 9 cupos disponibles. Se realiza ingreso de sistema familiar proveniente de Girardot, En la casa de acogida amarilla, la población está distribuida así: 5 Mujeres, 5 NNA, 5 Sistemas familiares, para un total de 10 personas atendidas.   25 cupos disponibles.  
En la actualidad a 31 de Octubre la casa de acogida azul cuenta con poblacion distribuida asi: 5 Mujeres, 9 NNA, 5 Sistemas familiares, para un total de 14 personas, dicha casa cuenta con 6 cupos disponibles. Se realiza ingreso de sistema familiar proveniente de La Mesa , Frente a la casa de acogida amarilla, la poblacion esta distribuida asi: 6 Mujeres, 6 NNA, 6 Sistemas familiares, para un total de 12 personas atendidas y 23 cupos disponibles.                                                               </v>
      </c>
      <c r="AK155" s="9">
        <f>VLOOKUP(K155,'1105 Gobierno'!$K$12:$AK$31,27,0)</f>
        <v>0</v>
      </c>
      <c r="AL155" s="11">
        <v>0</v>
      </c>
      <c r="AM155" s="11">
        <v>2</v>
      </c>
      <c r="AN155" s="11">
        <v>0</v>
      </c>
      <c r="AO155" s="11">
        <v>2</v>
      </c>
      <c r="AP155" s="11">
        <v>0</v>
      </c>
      <c r="AQ155" s="11">
        <v>0</v>
      </c>
      <c r="AR155" s="51">
        <v>827543390</v>
      </c>
      <c r="AS155" s="54">
        <v>0</v>
      </c>
      <c r="AT155" s="54">
        <f t="shared" si="242"/>
        <v>827543390</v>
      </c>
      <c r="AU155" s="51">
        <v>18472248</v>
      </c>
      <c r="AV155" s="89">
        <v>842083375</v>
      </c>
      <c r="AY155" s="89">
        <v>65855349</v>
      </c>
      <c r="AZ155" s="44" cm="1">
        <f t="array" ref="AZ155">_xlfn.IFS((BA155=0),(BD155/CL155),(BA155&gt;0),((BB155+BD155)/CL155),(BE155&gt;0),((BB155+BD155+BE155)/CL155),(BG155&gt;0),((BB155+BD155+BE155+G155)/CL155))</f>
        <v>0.5</v>
      </c>
      <c r="BA155" s="44">
        <v>0.25</v>
      </c>
      <c r="BB155" s="44">
        <v>1</v>
      </c>
      <c r="BC155" s="44">
        <f>IF(AE155&gt;0,(1/CL155),0)</f>
        <v>0.25</v>
      </c>
      <c r="BD155" s="44" cm="1">
        <f t="array" ref="BD155">_xlfn.IFS(AE155=0,"NA",AE155&gt;0,AH155/AE155)</f>
        <v>1</v>
      </c>
      <c r="BE155" s="44">
        <f>IF(AM155&gt;0,(1/CL155),0)</f>
        <v>0.25</v>
      </c>
      <c r="BF155" s="44">
        <v>0</v>
      </c>
      <c r="BG155" s="44">
        <f>IF(AO155&gt;0,(1/CL155),0)</f>
        <v>0.25</v>
      </c>
      <c r="BH155" s="44">
        <v>0</v>
      </c>
      <c r="BI155" s="44">
        <v>0</v>
      </c>
      <c r="BJ155" s="44" t="s">
        <v>115</v>
      </c>
      <c r="BK155" s="44">
        <f t="shared" si="243"/>
        <v>0.5</v>
      </c>
      <c r="BL155" s="44">
        <v>1</v>
      </c>
      <c r="BM155" s="42" cm="1">
        <f t="array" ref="BM155">_xlfn.IFS(BD155="NA","NA",BD155&gt;100%,"100%",BD155&lt;100,BD155)</f>
        <v>1</v>
      </c>
      <c r="BN155" s="44">
        <v>0</v>
      </c>
      <c r="BO155" s="44">
        <v>0</v>
      </c>
      <c r="BP155" s="44" t="s">
        <v>115</v>
      </c>
      <c r="BQ155" s="45">
        <v>0.22500000000000001</v>
      </c>
      <c r="BR155" s="43">
        <f t="shared" si="244"/>
        <v>0.1125</v>
      </c>
      <c r="BS155" s="45">
        <v>5.6300000000000003E-2</v>
      </c>
      <c r="BT155" s="45">
        <v>5.6300000000000003E-2</v>
      </c>
      <c r="BU155" s="45">
        <v>5.6300000000000003E-2</v>
      </c>
      <c r="BV155" s="45">
        <v>5.6300000000000003E-2</v>
      </c>
      <c r="BW155" s="43">
        <f t="shared" si="245"/>
        <v>5.6300000000000003E-2</v>
      </c>
      <c r="BX155" s="43">
        <f t="shared" si="246"/>
        <v>5.62E-2</v>
      </c>
      <c r="BY155" s="45">
        <v>5.6300000000000003E-2</v>
      </c>
      <c r="BZ155" s="45">
        <v>0</v>
      </c>
      <c r="CA155" s="43">
        <f t="shared" si="247"/>
        <v>0</v>
      </c>
      <c r="CB155" s="45">
        <v>5.6300000000000003E-2</v>
      </c>
      <c r="CC155" s="45">
        <v>0</v>
      </c>
      <c r="CD155" s="45">
        <v>0</v>
      </c>
      <c r="CE155" s="45">
        <v>0</v>
      </c>
      <c r="CF155" s="45" t="s">
        <v>115</v>
      </c>
      <c r="CG155" s="45">
        <v>0</v>
      </c>
      <c r="CH155">
        <f>IF(W155&gt;0,1,0)</f>
        <v>1</v>
      </c>
      <c r="CI155">
        <f>IF(AE155&gt;0,1,0)</f>
        <v>1</v>
      </c>
      <c r="CJ155">
        <f>IF(AM155&gt;0,1,0)</f>
        <v>1</v>
      </c>
      <c r="CK155">
        <f>IF(AO155&gt;0,1,0)</f>
        <v>1</v>
      </c>
      <c r="CL155">
        <f>CH155+CI155+CJ155+CK155</f>
        <v>4</v>
      </c>
    </row>
    <row r="156" spans="1:90" ht="18" customHeight="1">
      <c r="A156" s="260" t="s">
        <v>1005</v>
      </c>
      <c r="B156" s="260" t="s">
        <v>1006</v>
      </c>
      <c r="C156" s="260" t="s">
        <v>100</v>
      </c>
      <c r="D156" s="260" t="s">
        <v>994</v>
      </c>
      <c r="E156" s="260" t="s">
        <v>995</v>
      </c>
      <c r="F156" s="260" t="s">
        <v>1007</v>
      </c>
      <c r="G156" s="260" t="s">
        <v>1008</v>
      </c>
      <c r="H156" s="260" t="s">
        <v>1009</v>
      </c>
      <c r="I156" s="260"/>
      <c r="J156" s="260"/>
      <c r="K156" s="260" t="s">
        <v>1010</v>
      </c>
      <c r="L156" s="260" t="s">
        <v>1011</v>
      </c>
      <c r="M156" s="260" t="s">
        <v>1012</v>
      </c>
      <c r="N156" s="260" t="s">
        <v>111</v>
      </c>
      <c r="O156" s="260" t="s">
        <v>112</v>
      </c>
      <c r="P156" s="10">
        <v>8</v>
      </c>
      <c r="Q156" s="11">
        <v>13</v>
      </c>
      <c r="R156" s="9">
        <f>Z156+AH156</f>
        <v>5</v>
      </c>
      <c r="S156" s="11">
        <f>VLOOKUP(K156,'1130 Mujer'!$K$13:$AK$19,9,0)</f>
        <v>0</v>
      </c>
      <c r="T156" s="11">
        <v>4</v>
      </c>
      <c r="U156" s="11">
        <v>0</v>
      </c>
      <c r="V156" s="11">
        <v>4</v>
      </c>
      <c r="W156" s="11">
        <v>0</v>
      </c>
      <c r="X156" s="11">
        <v>5</v>
      </c>
      <c r="Y156" s="11">
        <v>0</v>
      </c>
      <c r="Z156" s="11">
        <v>5</v>
      </c>
      <c r="AA156" s="11" t="s">
        <v>1013</v>
      </c>
      <c r="AB156" s="11" t="s">
        <v>1014</v>
      </c>
      <c r="AC156" s="11" t="s">
        <v>1015</v>
      </c>
      <c r="AD156" s="11">
        <v>3</v>
      </c>
      <c r="AE156" s="11">
        <v>0</v>
      </c>
      <c r="AF156" s="11">
        <f>VLOOKUP(K156,'1130 Mujer'!$K$13:$AK$19,22,0)</f>
        <v>0</v>
      </c>
      <c r="AG156" s="11">
        <f>VLOOKUP(K156,'1130 Mujer'!$K$13:$AK$19,23,0)</f>
        <v>0</v>
      </c>
      <c r="AH156" s="9">
        <f>AF156</f>
        <v>0</v>
      </c>
      <c r="AI156" s="9">
        <f>VLOOKUP(K156,'1130 Mujer'!$K$13:$AK$19,25,0)</f>
        <v>0</v>
      </c>
      <c r="AJ156" s="9" t="str">
        <f>VLOOKUP(K156,'1130 Mujer'!$K$13:$AK$19,26,0)</f>
        <v>Convenios suscritos con 8 municipios para la dotación de sus respectivas Casas Sociales. Se proyecta entrega de dotación en el mes de diciembre..</v>
      </c>
      <c r="AK156" s="9" t="str">
        <f>VLOOKUP(K156,'1130 Mujer'!$K$13:$AK$19,27,0)</f>
        <v>na</v>
      </c>
      <c r="AL156" s="11">
        <v>3</v>
      </c>
      <c r="AM156" s="11">
        <v>0</v>
      </c>
      <c r="AN156" s="11">
        <v>3</v>
      </c>
      <c r="AO156" s="11">
        <v>0</v>
      </c>
      <c r="AP156" s="11">
        <v>0</v>
      </c>
      <c r="AQ156" s="11">
        <v>0</v>
      </c>
      <c r="AR156" s="51">
        <v>268715847</v>
      </c>
      <c r="AS156" s="54">
        <v>800000000</v>
      </c>
      <c r="AT156" s="54">
        <f t="shared" si="242"/>
        <v>1068715847</v>
      </c>
      <c r="AU156" s="51">
        <v>64260000</v>
      </c>
      <c r="AV156" s="89">
        <v>400000000</v>
      </c>
      <c r="AY156" s="89">
        <v>0</v>
      </c>
      <c r="AZ156" s="42">
        <f t="shared" ref="AZ156" si="289">R156/Q156</f>
        <v>0.38461538461538464</v>
      </c>
      <c r="BA156" s="44">
        <v>0.30769999999999997</v>
      </c>
      <c r="BB156" s="44">
        <v>1.25</v>
      </c>
      <c r="BC156" s="42">
        <f>AD156/Q156</f>
        <v>0.23076923076923078</v>
      </c>
      <c r="BD156" s="42" cm="1">
        <f t="array" ref="BD156">_xlfn.IFS(AD156=0,"NA",AD156&gt;0,AH156/AD156)</f>
        <v>0</v>
      </c>
      <c r="BE156" s="42">
        <f>AL156/Q156</f>
        <v>0.23076923076923078</v>
      </c>
      <c r="BF156" s="44">
        <v>0</v>
      </c>
      <c r="BG156" s="42">
        <f>AN156/Q156</f>
        <v>0.23076923076923078</v>
      </c>
      <c r="BH156" s="44">
        <v>0</v>
      </c>
      <c r="BI156" s="42">
        <f>AP156/Q156</f>
        <v>0</v>
      </c>
      <c r="BJ156" s="44" t="s">
        <v>115</v>
      </c>
      <c r="BK156" s="42">
        <f t="shared" si="243"/>
        <v>0.38461538461538464</v>
      </c>
      <c r="BL156" s="44">
        <v>1</v>
      </c>
      <c r="BM156" s="42" cm="1">
        <f t="array" ref="BM156">_xlfn.IFS(BD156="NA","NA",BD156&gt;100%,"100%",BD156&lt;100,BD156)</f>
        <v>0</v>
      </c>
      <c r="BN156" s="42" cm="1">
        <f t="array" ref="BN156">_xlfn.IFS(BF156="NA","NA",BF156&gt;100%,"100%",BF156&lt;100,BF156)</f>
        <v>0</v>
      </c>
      <c r="BO156" s="42" cm="1">
        <f t="array" ref="BO156">_xlfn.IFS(BH156="NA","NA",BH156&gt;100%,"100%",BH156&lt;100,BH156)</f>
        <v>0</v>
      </c>
      <c r="BP156" s="42" t="str" cm="1">
        <f t="array" ref="BP156">_xlfn.IFS(BJ156="NA","NA",BJ156&gt;100%,"100%",BJ156&lt;100,BJ156)</f>
        <v>NA</v>
      </c>
      <c r="BQ156" s="45">
        <v>0.22500000000000001</v>
      </c>
      <c r="BR156" s="43">
        <f t="shared" si="244"/>
        <v>8.653846153846155E-2</v>
      </c>
      <c r="BS156" s="45">
        <v>6.9199999999999998E-2</v>
      </c>
      <c r="BT156" s="45">
        <v>6.9199999999999998E-2</v>
      </c>
      <c r="BU156" s="45">
        <v>8.6499999999999994E-2</v>
      </c>
      <c r="BV156" s="43">
        <f>(AD156*BQ156)/Q156</f>
        <v>5.1923076923076926E-2</v>
      </c>
      <c r="BW156" s="43">
        <f t="shared" si="245"/>
        <v>0</v>
      </c>
      <c r="BX156" s="43">
        <f t="shared" si="246"/>
        <v>3.8461538461556644E-5</v>
      </c>
      <c r="BY156" s="43">
        <f>(AL156*BQ156)/Q156</f>
        <v>5.1923076923076926E-2</v>
      </c>
      <c r="BZ156" s="43">
        <f>IF(BN156="NA","NA",BN156*BY156)</f>
        <v>0</v>
      </c>
      <c r="CA156" s="43">
        <f t="shared" si="247"/>
        <v>0</v>
      </c>
      <c r="CB156" s="43">
        <f>(AN156*BQ156)/Q156</f>
        <v>5.1923076923076926E-2</v>
      </c>
      <c r="CC156" s="43">
        <f>IF(BO156="NA","NA",BO156*CB156)</f>
        <v>0</v>
      </c>
      <c r="CD156" s="45">
        <v>0</v>
      </c>
      <c r="CE156" s="43">
        <f>(AP156*BQ156)/Q156</f>
        <v>0</v>
      </c>
      <c r="CF156" s="43" t="str">
        <f>IF(BP156="NA","NA",BP156*CE156)</f>
        <v>NA</v>
      </c>
      <c r="CG156" s="45">
        <v>0</v>
      </c>
    </row>
    <row r="157" spans="1:90" ht="18" customHeight="1">
      <c r="A157" s="260" t="s">
        <v>248</v>
      </c>
      <c r="B157" s="260" t="s">
        <v>249</v>
      </c>
      <c r="C157" s="260" t="s">
        <v>100</v>
      </c>
      <c r="D157" s="260" t="s">
        <v>994</v>
      </c>
      <c r="E157" s="260" t="s">
        <v>995</v>
      </c>
      <c r="F157" s="260" t="s">
        <v>1007</v>
      </c>
      <c r="G157" s="260" t="s">
        <v>1008</v>
      </c>
      <c r="H157" s="260" t="s">
        <v>1016</v>
      </c>
      <c r="I157" s="260"/>
      <c r="J157" s="260"/>
      <c r="K157" s="260" t="s">
        <v>1017</v>
      </c>
      <c r="L157" s="260" t="s">
        <v>1018</v>
      </c>
      <c r="M157" s="260" t="s">
        <v>1019</v>
      </c>
      <c r="N157" s="260" t="s">
        <v>111</v>
      </c>
      <c r="O157" s="260" t="s">
        <v>124</v>
      </c>
      <c r="P157" s="10">
        <v>1</v>
      </c>
      <c r="Q157" s="11">
        <v>1</v>
      </c>
      <c r="R157" s="11">
        <f>(Z157+AH157)/CL157</f>
        <v>0</v>
      </c>
      <c r="S157" s="11" t="str">
        <f>VLOOKUP(K157,'1208 Indeportes'!$K$13:$AK$39,9,0)</f>
        <v>En el marco del convenio No. 257 celebrado con FONDECUN, esta meta se encuentra en ejecución y se pretende realizar el evento de reconocimiento a las mujeres en el mes de diciembre en la noche de los mejores.</v>
      </c>
      <c r="T157" s="11">
        <v>0</v>
      </c>
      <c r="U157" s="11">
        <v>1</v>
      </c>
      <c r="V157" s="11">
        <v>0</v>
      </c>
      <c r="W157" s="11">
        <v>1</v>
      </c>
      <c r="X157" s="11" t="s">
        <v>115</v>
      </c>
      <c r="Y157" s="11">
        <v>0</v>
      </c>
      <c r="Z157" s="11">
        <v>0</v>
      </c>
      <c r="AA157" s="11">
        <v>0</v>
      </c>
      <c r="AB157" s="11"/>
      <c r="AC157" s="11">
        <v>0</v>
      </c>
      <c r="AD157" s="11">
        <v>0</v>
      </c>
      <c r="AE157" s="11">
        <v>1</v>
      </c>
      <c r="AF157" s="11">
        <f>VLOOKUP(K157,'1208 Indeportes'!$K$13:$AH$39,22,0)</f>
        <v>0</v>
      </c>
      <c r="AG157" s="11">
        <f>VLOOKUP(K157,'1208 Indeportes'!$K$13:$AH$39,23,0)</f>
        <v>0</v>
      </c>
      <c r="AH157" s="11">
        <f>AG157</f>
        <v>0</v>
      </c>
      <c r="AI157" s="9">
        <f>VLOOKUP(K157,'1208 Indeportes'!$K$13:$AK$39,25,0)</f>
        <v>0</v>
      </c>
      <c r="AJ157" s="9" t="str">
        <f>VLOOKUP(K157,'1208 Indeportes'!$K$13:$AK$39,26,0)</f>
        <v xml:space="preserve">Se adelanto proceso contractual para el suministro de implementos y prendas de vestir orientados al cumplimiento de la meta de producto que se tiene programada para la presente vigencia. Se adelanto el proceso contractual para contratar el apoyo logístico necesario para dar cumplimiento a la meta de producto programada para la presente vigencia. </v>
      </c>
      <c r="AK157" s="9">
        <f>VLOOKUP(K157,'1208 Indeportes'!$K$13:$AK$39,27,0)</f>
        <v>0</v>
      </c>
      <c r="AL157" s="11">
        <v>0</v>
      </c>
      <c r="AM157" s="11">
        <v>1</v>
      </c>
      <c r="AN157" s="11">
        <v>0</v>
      </c>
      <c r="AO157" s="11">
        <v>1</v>
      </c>
      <c r="AP157" s="11">
        <v>0</v>
      </c>
      <c r="AQ157" s="11">
        <v>0</v>
      </c>
      <c r="AR157" s="51">
        <v>20000000</v>
      </c>
      <c r="AS157" s="54">
        <v>0</v>
      </c>
      <c r="AT157" s="54">
        <f t="shared" si="242"/>
        <v>20000000</v>
      </c>
      <c r="AU157" s="51">
        <v>17582400</v>
      </c>
      <c r="AV157" s="89">
        <v>30000000</v>
      </c>
      <c r="AY157" s="89">
        <v>0</v>
      </c>
      <c r="AZ157" s="44" cm="1">
        <f t="array" ref="AZ157">_xlfn.IFS((BA157=0),(BD157/CL157),(BA157&gt;0),((BB157+BD157)/CL157),(BE157&gt;0),((BB157+BD157+BE157)/CL157),(BG157&gt;0),((BB157+BD157+BE157+G157)/CL157))</f>
        <v>0</v>
      </c>
      <c r="BA157" s="44">
        <v>0.25</v>
      </c>
      <c r="BB157" s="44">
        <v>0</v>
      </c>
      <c r="BC157" s="44">
        <f>IF(AE157&gt;0,(1/CL157),0)</f>
        <v>0.25</v>
      </c>
      <c r="BD157" s="44" cm="1">
        <f t="array" ref="BD157">_xlfn.IFS(AE157=0,"NA",AE157&gt;0,AH157/AE157)</f>
        <v>0</v>
      </c>
      <c r="BE157" s="44">
        <f>IF(AM157&gt;0,(1/CL157),0)</f>
        <v>0.25</v>
      </c>
      <c r="BF157" s="44">
        <v>0</v>
      </c>
      <c r="BG157" s="44">
        <f>IF(AO157&gt;0,(1/CL157),0)</f>
        <v>0.25</v>
      </c>
      <c r="BH157" s="44">
        <v>0</v>
      </c>
      <c r="BI157" s="44">
        <v>0</v>
      </c>
      <c r="BJ157" s="44" t="s">
        <v>115</v>
      </c>
      <c r="BK157" s="44">
        <f t="shared" si="243"/>
        <v>0</v>
      </c>
      <c r="BL157" s="44">
        <v>0</v>
      </c>
      <c r="BM157" s="42" cm="1">
        <f t="array" ref="BM157">_xlfn.IFS(BD157="NA","NA",BD157&gt;100%,"100%",BD157&lt;100,BD157)</f>
        <v>0</v>
      </c>
      <c r="BN157" s="44">
        <v>0</v>
      </c>
      <c r="BO157" s="44">
        <v>0</v>
      </c>
      <c r="BP157" s="44" t="s">
        <v>115</v>
      </c>
      <c r="BQ157" s="45">
        <v>0.22500000000000001</v>
      </c>
      <c r="BR157" s="43">
        <f t="shared" si="244"/>
        <v>0</v>
      </c>
      <c r="BS157" s="45">
        <v>5.6300000000000003E-2</v>
      </c>
      <c r="BT157" s="45">
        <v>0</v>
      </c>
      <c r="BU157" s="45">
        <v>0</v>
      </c>
      <c r="BV157" s="45">
        <v>5.6300000000000003E-2</v>
      </c>
      <c r="BW157" s="43">
        <f t="shared" si="245"/>
        <v>0</v>
      </c>
      <c r="BX157" s="43">
        <f t="shared" si="246"/>
        <v>0</v>
      </c>
      <c r="BY157" s="45">
        <v>5.6300000000000003E-2</v>
      </c>
      <c r="BZ157" s="45">
        <v>0</v>
      </c>
      <c r="CA157" s="43">
        <f t="shared" si="247"/>
        <v>0</v>
      </c>
      <c r="CB157" s="45">
        <v>5.6300000000000003E-2</v>
      </c>
      <c r="CC157" s="45">
        <v>0</v>
      </c>
      <c r="CD157" s="45">
        <v>0</v>
      </c>
      <c r="CE157" s="45">
        <v>0</v>
      </c>
      <c r="CF157" s="45" t="s">
        <v>115</v>
      </c>
      <c r="CG157" s="45">
        <v>0</v>
      </c>
      <c r="CH157">
        <f>IF(W157&gt;0,1,0)</f>
        <v>1</v>
      </c>
      <c r="CI157">
        <f>IF(AE157&gt;0,1,0)</f>
        <v>1</v>
      </c>
      <c r="CJ157">
        <f>IF(AM157&gt;0,1,0)</f>
        <v>1</v>
      </c>
      <c r="CK157">
        <f>IF(AO157&gt;0,1,0)</f>
        <v>1</v>
      </c>
      <c r="CL157">
        <f>CH157+CI157+CJ157+CK157</f>
        <v>4</v>
      </c>
    </row>
    <row r="158" spans="1:90" ht="18" customHeight="1">
      <c r="A158" s="260" t="s">
        <v>248</v>
      </c>
      <c r="B158" s="260" t="s">
        <v>249</v>
      </c>
      <c r="C158" s="260" t="s">
        <v>100</v>
      </c>
      <c r="D158" s="260" t="s">
        <v>994</v>
      </c>
      <c r="E158" s="260" t="s">
        <v>995</v>
      </c>
      <c r="F158" s="260" t="s">
        <v>1007</v>
      </c>
      <c r="G158" s="260" t="s">
        <v>1008</v>
      </c>
      <c r="H158" s="260" t="s">
        <v>1020</v>
      </c>
      <c r="I158" s="260"/>
      <c r="J158" s="260"/>
      <c r="K158" s="260" t="s">
        <v>1021</v>
      </c>
      <c r="L158" s="260" t="s">
        <v>1022</v>
      </c>
      <c r="M158" s="260" t="s">
        <v>1023</v>
      </c>
      <c r="N158" s="260" t="s">
        <v>111</v>
      </c>
      <c r="O158" s="260" t="s">
        <v>112</v>
      </c>
      <c r="P158" s="10">
        <v>40</v>
      </c>
      <c r="Q158" s="11">
        <v>50</v>
      </c>
      <c r="R158" s="9">
        <f t="shared" ref="R158:R170" si="290">Z158+AH158</f>
        <v>11</v>
      </c>
      <c r="S158" s="11">
        <f>VLOOKUP(K158,'1208 Indeportes'!$K$13:$AK$39,9,0)</f>
        <v>0</v>
      </c>
      <c r="T158" s="11">
        <v>3</v>
      </c>
      <c r="U158" s="11">
        <v>0</v>
      </c>
      <c r="V158" s="11">
        <v>0</v>
      </c>
      <c r="W158" s="11">
        <v>0</v>
      </c>
      <c r="X158" s="11">
        <v>0</v>
      </c>
      <c r="Y158" s="11">
        <v>0</v>
      </c>
      <c r="Z158" s="11">
        <v>0</v>
      </c>
      <c r="AA158" s="11"/>
      <c r="AB158" s="11"/>
      <c r="AC158" s="11"/>
      <c r="AD158" s="11">
        <v>15</v>
      </c>
      <c r="AE158" s="11">
        <v>0</v>
      </c>
      <c r="AF158" s="11">
        <f>VLOOKUP(K158,'1208 Indeportes'!$K$13:$AH$39,22,0)</f>
        <v>11</v>
      </c>
      <c r="AG158" s="11">
        <f>VLOOKUP(K158,'1208 Indeportes'!$K$13:$AH$39,23,0)</f>
        <v>0</v>
      </c>
      <c r="AH158" s="9">
        <f t="shared" ref="AH158:AH170" si="291">AF158</f>
        <v>11</v>
      </c>
      <c r="AI158" s="9">
        <f>VLOOKUP(K158,'1208 Indeportes'!$K$13:$AK$39,25,0)</f>
        <v>0</v>
      </c>
      <c r="AJ158" s="9" t="str">
        <f>VLOOKUP(K158,'1208 Indeportes'!$K$13:$AK$39,26,0)</f>
        <v xml:space="preserve">Se firmo contrato interadministrativo con el Municipio de Sopó, por un valor de $10.000.000 para desarrollar la carrera de la mujer durante el mes de julio. Durante el mes de noviembre se suscribieron los siguientes contratos interadministrativos:
 Zipaquirá por un valor de $20.000.000, para la realización de la carrera atlética de la mujer.
Fusagasugá por un valor de $24.000.000, para la realización de la carrera atlética de la mujer.
San Juan de Rioseco por un valor de $10.000.000, para la realización de la carrera atlética de la mujer.
Adicional a los convenios suscritos anteriormente, se ha brindado la cofinanciación a través de la entrega de camisetas, gorras y diferentes implementos deportivos a los municipios de Guaduas inspección La Paz, Guaduas centro, Cachipay, San Antonio del Tequendama, Apulo, Nemocón, y Guasca.
</v>
      </c>
      <c r="AK158" s="9">
        <f>VLOOKUP(K158,'1208 Indeportes'!$K$13:$AK$39,27,0)</f>
        <v>0</v>
      </c>
      <c r="AL158" s="11">
        <v>18</v>
      </c>
      <c r="AM158" s="11">
        <v>0</v>
      </c>
      <c r="AN158" s="11">
        <v>17</v>
      </c>
      <c r="AO158" s="11">
        <v>0</v>
      </c>
      <c r="AP158" s="11">
        <v>0</v>
      </c>
      <c r="AQ158" s="11">
        <v>0</v>
      </c>
      <c r="AR158" s="52"/>
      <c r="AS158" s="54">
        <v>0</v>
      </c>
      <c r="AT158" s="54">
        <f t="shared" si="242"/>
        <v>0</v>
      </c>
      <c r="AU158" s="52"/>
      <c r="AV158" s="89">
        <v>80000000</v>
      </c>
      <c r="AY158" s="89">
        <v>0</v>
      </c>
      <c r="AZ158" s="42">
        <f t="shared" ref="AZ158:AZ170" si="292">R158/Q158</f>
        <v>0.22</v>
      </c>
      <c r="BA158" s="44">
        <v>0</v>
      </c>
      <c r="BB158" s="44" t="s">
        <v>115</v>
      </c>
      <c r="BC158" s="42">
        <f t="shared" ref="BC158:BC170" si="293">AD158/Q158</f>
        <v>0.3</v>
      </c>
      <c r="BD158" s="42" cm="1">
        <f t="array" ref="BD158">_xlfn.IFS(AD158=0,"NA",AD158&gt;0,AH158/AD158)</f>
        <v>0.73333333333333328</v>
      </c>
      <c r="BE158" s="42">
        <f t="shared" ref="BE158:BE170" si="294">AL158/Q158</f>
        <v>0.36</v>
      </c>
      <c r="BF158" s="44">
        <v>0</v>
      </c>
      <c r="BG158" s="42">
        <f t="shared" ref="BG158:BG170" si="295">AN158/Q158</f>
        <v>0.34</v>
      </c>
      <c r="BH158" s="44">
        <v>0</v>
      </c>
      <c r="BI158" s="42">
        <f t="shared" ref="BI158:BI170" si="296">AP158/Q158</f>
        <v>0</v>
      </c>
      <c r="BJ158" s="44" t="s">
        <v>115</v>
      </c>
      <c r="BK158" s="42">
        <f t="shared" si="243"/>
        <v>0.22</v>
      </c>
      <c r="BL158" s="44" t="s">
        <v>115</v>
      </c>
      <c r="BM158" s="42" cm="1">
        <f t="array" ref="BM158">_xlfn.IFS(BD158="NA","NA",BD158&gt;100%,"100%",BD158&lt;100,BD158)</f>
        <v>0.73333333333333328</v>
      </c>
      <c r="BN158" s="42" cm="1">
        <f t="array" ref="BN158">_xlfn.IFS(BF158="NA","NA",BF158&gt;100%,"100%",BF158&lt;100,BF158)</f>
        <v>0</v>
      </c>
      <c r="BO158" s="42" cm="1">
        <f t="array" ref="BO158">_xlfn.IFS(BH158="NA","NA",BH158&gt;100%,"100%",BH158&lt;100,BH158)</f>
        <v>0</v>
      </c>
      <c r="BP158" s="42" t="str" cm="1">
        <f t="array" ref="BP158">_xlfn.IFS(BJ158="NA","NA",BJ158&gt;100%,"100%",BJ158&lt;100,BJ158)</f>
        <v>NA</v>
      </c>
      <c r="BQ158" s="45">
        <v>0.22500000000000001</v>
      </c>
      <c r="BR158" s="43">
        <f t="shared" si="244"/>
        <v>4.9500000000000002E-2</v>
      </c>
      <c r="BS158" s="45">
        <v>0</v>
      </c>
      <c r="BT158" s="45" t="s">
        <v>115</v>
      </c>
      <c r="BU158" s="45">
        <v>0</v>
      </c>
      <c r="BV158" s="43">
        <f t="shared" ref="BV158:BV170" si="297">(AD158*BQ158)/Q158</f>
        <v>6.7500000000000004E-2</v>
      </c>
      <c r="BW158" s="43">
        <f t="shared" si="245"/>
        <v>4.9500000000000002E-2</v>
      </c>
      <c r="BX158" s="43">
        <f t="shared" si="246"/>
        <v>4.9500000000000002E-2</v>
      </c>
      <c r="BY158" s="43">
        <f t="shared" ref="BY158:BY170" si="298">(AL158*BQ158)/Q158</f>
        <v>8.1000000000000003E-2</v>
      </c>
      <c r="BZ158" s="43">
        <f t="shared" ref="BZ158:BZ170" si="299">IF(BN158="NA","NA",BN158*BY158)</f>
        <v>0</v>
      </c>
      <c r="CA158" s="43">
        <f t="shared" si="247"/>
        <v>0</v>
      </c>
      <c r="CB158" s="43">
        <f t="shared" ref="CB158:CB170" si="300">(AN158*BQ158)/Q158</f>
        <v>7.6499999999999999E-2</v>
      </c>
      <c r="CC158" s="43">
        <f t="shared" ref="CC158:CC170" si="301">IF(BO158="NA","NA",BO158*CB158)</f>
        <v>0</v>
      </c>
      <c r="CD158" s="45">
        <v>0</v>
      </c>
      <c r="CE158" s="43">
        <f t="shared" ref="CE158:CE170" si="302">(AP158*BQ158)/Q158</f>
        <v>0</v>
      </c>
      <c r="CF158" s="43" t="str">
        <f t="shared" ref="CF158:CF170" si="303">IF(BP158="NA","NA",BP158*CE158)</f>
        <v>NA</v>
      </c>
      <c r="CG158" s="45">
        <v>0</v>
      </c>
    </row>
    <row r="159" spans="1:90" ht="18" customHeight="1">
      <c r="A159" s="260" t="s">
        <v>1005</v>
      </c>
      <c r="B159" s="260" t="s">
        <v>1006</v>
      </c>
      <c r="C159" s="260" t="s">
        <v>100</v>
      </c>
      <c r="D159" s="260" t="s">
        <v>994</v>
      </c>
      <c r="E159" s="260" t="s">
        <v>995</v>
      </c>
      <c r="F159" s="260" t="s">
        <v>1007</v>
      </c>
      <c r="G159" s="260" t="s">
        <v>1008</v>
      </c>
      <c r="H159" s="260" t="s">
        <v>1024</v>
      </c>
      <c r="I159" s="260"/>
      <c r="J159" s="260"/>
      <c r="K159" s="260" t="s">
        <v>1025</v>
      </c>
      <c r="L159" s="260" t="s">
        <v>1026</v>
      </c>
      <c r="M159" s="260" t="s">
        <v>1027</v>
      </c>
      <c r="N159" s="260" t="s">
        <v>111</v>
      </c>
      <c r="O159" s="260" t="s">
        <v>112</v>
      </c>
      <c r="P159" s="10">
        <v>1</v>
      </c>
      <c r="Q159" s="11">
        <v>1</v>
      </c>
      <c r="R159" s="9">
        <f t="shared" si="290"/>
        <v>0.3</v>
      </c>
      <c r="S159" s="11">
        <f>VLOOKUP(K159,'1130 Mujer'!$K$13:$AK$19,9,0)</f>
        <v>0</v>
      </c>
      <c r="T159" s="11">
        <v>0.25</v>
      </c>
      <c r="U159" s="11">
        <v>0</v>
      </c>
      <c r="V159" s="11">
        <v>0.25</v>
      </c>
      <c r="W159" s="11">
        <v>0</v>
      </c>
      <c r="X159" s="11">
        <v>0.25</v>
      </c>
      <c r="Y159" s="11">
        <v>0</v>
      </c>
      <c r="Z159" s="11">
        <v>0.25</v>
      </c>
      <c r="AA159" s="11">
        <v>0</v>
      </c>
      <c r="AB159" s="11" t="s">
        <v>1028</v>
      </c>
      <c r="AC159" s="11" t="s">
        <v>1029</v>
      </c>
      <c r="AD159" s="11">
        <v>0.25</v>
      </c>
      <c r="AE159" s="11">
        <v>0</v>
      </c>
      <c r="AF159" s="11">
        <f>VLOOKUP(K159,'1130 Mujer'!$K$13:$AK$19,22,0)</f>
        <v>0.05</v>
      </c>
      <c r="AG159" s="11">
        <f>VLOOKUP(K159,'1130 Mujer'!$K$13:$AK$19,23,0)</f>
        <v>0</v>
      </c>
      <c r="AH159" s="9">
        <f t="shared" si="291"/>
        <v>0.05</v>
      </c>
      <c r="AI159" s="9">
        <f>VLOOKUP(K159,'1130 Mujer'!$K$13:$AK$19,25,0)</f>
        <v>0</v>
      </c>
      <c r="AJ159" s="9" t="str">
        <f>VLOOKUP(K159,'1130 Mujer'!$K$13:$AK$19,26,0)</f>
        <v>Inicio de ejecución del contrato interamdinistrativo suscrito con la UDEC.   Pendiente por validar el primer entregable del contrato.</v>
      </c>
      <c r="AK159" s="9" t="str">
        <f>VLOOKUP(K159,'1130 Mujer'!$K$13:$AK$19,27,0)</f>
        <v>na</v>
      </c>
      <c r="AL159" s="11">
        <v>0.25</v>
      </c>
      <c r="AM159" s="11">
        <v>0</v>
      </c>
      <c r="AN159" s="11">
        <v>0.25</v>
      </c>
      <c r="AO159" s="11">
        <v>0</v>
      </c>
      <c r="AP159" s="11">
        <v>0</v>
      </c>
      <c r="AQ159" s="11">
        <v>0</v>
      </c>
      <c r="AR159" s="51">
        <v>54578799</v>
      </c>
      <c r="AS159" s="54">
        <v>85379652</v>
      </c>
      <c r="AT159" s="54">
        <f t="shared" si="242"/>
        <v>139958451</v>
      </c>
      <c r="AU159" s="51">
        <v>32260000</v>
      </c>
      <c r="AV159" s="89">
        <v>50000000</v>
      </c>
      <c r="AY159" s="89">
        <v>0</v>
      </c>
      <c r="AZ159" s="42">
        <f t="shared" si="292"/>
        <v>0.3</v>
      </c>
      <c r="BA159" s="44">
        <v>0.25</v>
      </c>
      <c r="BB159" s="44">
        <v>1</v>
      </c>
      <c r="BC159" s="42">
        <f t="shared" si="293"/>
        <v>0.25</v>
      </c>
      <c r="BD159" s="42" cm="1">
        <f t="array" ref="BD159">_xlfn.IFS(AD159=0,"NA",AD159&gt;0,AH159/AD159)</f>
        <v>0.2</v>
      </c>
      <c r="BE159" s="42">
        <f t="shared" si="294"/>
        <v>0.25</v>
      </c>
      <c r="BF159" s="44">
        <v>0</v>
      </c>
      <c r="BG159" s="42">
        <f t="shared" si="295"/>
        <v>0.25</v>
      </c>
      <c r="BH159" s="44">
        <v>0</v>
      </c>
      <c r="BI159" s="42">
        <f t="shared" si="296"/>
        <v>0</v>
      </c>
      <c r="BJ159" s="44" t="s">
        <v>115</v>
      </c>
      <c r="BK159" s="42">
        <f t="shared" si="243"/>
        <v>0.3</v>
      </c>
      <c r="BL159" s="44">
        <v>1</v>
      </c>
      <c r="BM159" s="42" cm="1">
        <f t="array" ref="BM159">_xlfn.IFS(BD159="NA","NA",BD159&gt;100%,"100%",BD159&lt;100,BD159)</f>
        <v>0.2</v>
      </c>
      <c r="BN159" s="42" cm="1">
        <f t="array" ref="BN159">_xlfn.IFS(BF159="NA","NA",BF159&gt;100%,"100%",BF159&lt;100,BF159)</f>
        <v>0</v>
      </c>
      <c r="BO159" s="42" cm="1">
        <f t="array" ref="BO159">_xlfn.IFS(BH159="NA","NA",BH159&gt;100%,"100%",BH159&lt;100,BH159)</f>
        <v>0</v>
      </c>
      <c r="BP159" s="42" t="str" cm="1">
        <f t="array" ref="BP159">_xlfn.IFS(BJ159="NA","NA",BJ159&gt;100%,"100%",BJ159&lt;100,BJ159)</f>
        <v>NA</v>
      </c>
      <c r="BQ159" s="45">
        <v>0.22500000000000001</v>
      </c>
      <c r="BR159" s="43">
        <f t="shared" si="244"/>
        <v>6.7500000000000004E-2</v>
      </c>
      <c r="BS159" s="45">
        <v>5.6300000000000003E-2</v>
      </c>
      <c r="BT159" s="45">
        <v>5.6300000000000003E-2</v>
      </c>
      <c r="BU159" s="45">
        <v>5.6300000000000003E-2</v>
      </c>
      <c r="BV159" s="43">
        <f t="shared" si="297"/>
        <v>5.6250000000000001E-2</v>
      </c>
      <c r="BW159" s="43">
        <f t="shared" si="245"/>
        <v>1.1250000000000001E-2</v>
      </c>
      <c r="BX159" s="9">
        <f t="shared" si="246"/>
        <v>1.1200000000000002E-2</v>
      </c>
      <c r="BY159" s="43">
        <f t="shared" si="298"/>
        <v>5.6250000000000001E-2</v>
      </c>
      <c r="BZ159" s="43">
        <f t="shared" si="299"/>
        <v>0</v>
      </c>
      <c r="CA159" s="43">
        <f t="shared" si="247"/>
        <v>0</v>
      </c>
      <c r="CB159" s="43">
        <f t="shared" si="300"/>
        <v>5.6250000000000001E-2</v>
      </c>
      <c r="CC159" s="43">
        <f t="shared" si="301"/>
        <v>0</v>
      </c>
      <c r="CD159" s="45">
        <v>0</v>
      </c>
      <c r="CE159" s="43">
        <f t="shared" si="302"/>
        <v>0</v>
      </c>
      <c r="CF159" s="43" t="str">
        <f t="shared" si="303"/>
        <v>NA</v>
      </c>
      <c r="CG159" s="45">
        <v>0</v>
      </c>
    </row>
    <row r="160" spans="1:90" ht="18" customHeight="1">
      <c r="A160" s="260" t="s">
        <v>1005</v>
      </c>
      <c r="B160" s="260" t="s">
        <v>1006</v>
      </c>
      <c r="C160" s="260" t="s">
        <v>100</v>
      </c>
      <c r="D160" s="260" t="s">
        <v>994</v>
      </c>
      <c r="E160" s="260" t="s">
        <v>995</v>
      </c>
      <c r="F160" s="260" t="s">
        <v>1007</v>
      </c>
      <c r="G160" s="260" t="s">
        <v>1008</v>
      </c>
      <c r="H160" s="260" t="s">
        <v>1030</v>
      </c>
      <c r="I160" s="260"/>
      <c r="J160" s="260"/>
      <c r="K160" s="260" t="s">
        <v>1031</v>
      </c>
      <c r="L160" s="260" t="s">
        <v>1032</v>
      </c>
      <c r="M160" s="260" t="s">
        <v>1033</v>
      </c>
      <c r="N160" s="260" t="s">
        <v>111</v>
      </c>
      <c r="O160" s="260" t="s">
        <v>112</v>
      </c>
      <c r="P160" s="10">
        <v>0</v>
      </c>
      <c r="Q160" s="11">
        <v>1</v>
      </c>
      <c r="R160" s="9">
        <f t="shared" si="290"/>
        <v>1.25</v>
      </c>
      <c r="S160" s="11">
        <f>VLOOKUP(K160,'1130 Mujer'!$K$13:$AK$19,9,0)</f>
        <v>0</v>
      </c>
      <c r="T160" s="11">
        <v>0.25</v>
      </c>
      <c r="U160" s="11">
        <v>0</v>
      </c>
      <c r="V160" s="11">
        <v>0.25</v>
      </c>
      <c r="W160" s="11">
        <v>0</v>
      </c>
      <c r="X160" s="11">
        <v>0.25</v>
      </c>
      <c r="Y160" s="11">
        <v>0</v>
      </c>
      <c r="Z160" s="11">
        <v>0.25</v>
      </c>
      <c r="AA160" s="11">
        <v>0</v>
      </c>
      <c r="AB160" s="11" t="s">
        <v>1034</v>
      </c>
      <c r="AC160" s="11" t="s">
        <v>1035</v>
      </c>
      <c r="AD160" s="11">
        <v>0.25</v>
      </c>
      <c r="AE160" s="11">
        <v>0</v>
      </c>
      <c r="AF160" s="11">
        <f>VLOOKUP(K160,'1130 Mujer'!$K$13:$AK$19,22,0)</f>
        <v>1</v>
      </c>
      <c r="AG160" s="11">
        <f>VLOOKUP(K160,'1130 Mujer'!$K$13:$AK$19,23,0)</f>
        <v>0</v>
      </c>
      <c r="AH160" s="9">
        <f t="shared" si="291"/>
        <v>1</v>
      </c>
      <c r="AI160" s="9" t="str">
        <f>VLOOKUP(K160,'1130 Mujer'!$K$13:$AK$19,25,0)</f>
        <v>Validación dle primer componente  del documento técnico para la puesta en marcha del observatorio</v>
      </c>
      <c r="AJ160" s="9" t="str">
        <f>VLOOKUP(K160,'1130 Mujer'!$K$13:$AK$19,26,0)</f>
        <v>Inicio de ejecución del contrato interamdinistrativo suscrito con la UDEC. Aprobación del Plan de trabajo con los 5 municiios priorizados y la correspondiente metodología.  Validado el primer entregable del contrato.</v>
      </c>
      <c r="AK160" s="9" t="str">
        <f>VLOOKUP(K160,'1130 Mujer'!$K$13:$AK$19,27,0)</f>
        <v>na</v>
      </c>
      <c r="AL160" s="11">
        <v>0.25</v>
      </c>
      <c r="AM160" s="11">
        <v>0</v>
      </c>
      <c r="AN160" s="11">
        <v>0.25</v>
      </c>
      <c r="AO160" s="11">
        <v>0</v>
      </c>
      <c r="AP160" s="11">
        <v>0</v>
      </c>
      <c r="AQ160" s="11">
        <v>0</v>
      </c>
      <c r="AR160" s="51">
        <v>107885523</v>
      </c>
      <c r="AS160" s="54">
        <v>86806536</v>
      </c>
      <c r="AT160" s="54">
        <f t="shared" si="242"/>
        <v>194692059</v>
      </c>
      <c r="AU160" s="51">
        <v>84225000</v>
      </c>
      <c r="AV160" s="89">
        <v>250000000</v>
      </c>
      <c r="AY160" s="89">
        <v>246000000</v>
      </c>
      <c r="AZ160" s="42">
        <f t="shared" si="292"/>
        <v>1.25</v>
      </c>
      <c r="BA160" s="44">
        <v>0.25</v>
      </c>
      <c r="BB160" s="44">
        <v>1</v>
      </c>
      <c r="BC160" s="42">
        <f t="shared" si="293"/>
        <v>0.25</v>
      </c>
      <c r="BD160" s="42" cm="1">
        <f t="array" ref="BD160">_xlfn.IFS(AD160=0,"NA",AD160&gt;0,AH160/AD160)</f>
        <v>4</v>
      </c>
      <c r="BE160" s="42">
        <f t="shared" si="294"/>
        <v>0.25</v>
      </c>
      <c r="BF160" s="44">
        <v>0</v>
      </c>
      <c r="BG160" s="42">
        <f t="shared" si="295"/>
        <v>0.25</v>
      </c>
      <c r="BH160" s="44">
        <v>0</v>
      </c>
      <c r="BI160" s="42">
        <f t="shared" si="296"/>
        <v>0</v>
      </c>
      <c r="BJ160" s="44" t="s">
        <v>115</v>
      </c>
      <c r="BK160" s="42" t="str">
        <f t="shared" si="243"/>
        <v>100%</v>
      </c>
      <c r="BL160" s="44">
        <v>1</v>
      </c>
      <c r="BM160" s="42" t="str" cm="1">
        <f t="array" ref="BM160">_xlfn.IFS(BD160="NA","NA",BD160&gt;100%,"100%",BD160&lt;100,BD160)</f>
        <v>100%</v>
      </c>
      <c r="BN160" s="42" cm="1">
        <f t="array" ref="BN160">_xlfn.IFS(BF160="NA","NA",BF160&gt;100%,"100%",BF160&lt;100,BF160)</f>
        <v>0</v>
      </c>
      <c r="BO160" s="42" cm="1">
        <f t="array" ref="BO160">_xlfn.IFS(BH160="NA","NA",BH160&gt;100%,"100%",BH160&lt;100,BH160)</f>
        <v>0</v>
      </c>
      <c r="BP160" s="42" t="str" cm="1">
        <f t="array" ref="BP160">_xlfn.IFS(BJ160="NA","NA",BJ160&gt;100%,"100%",BJ160&lt;100,BJ160)</f>
        <v>NA</v>
      </c>
      <c r="BQ160" s="45">
        <v>0.22500000000000001</v>
      </c>
      <c r="BR160" s="43">
        <f t="shared" si="244"/>
        <v>0.22500000000000001</v>
      </c>
      <c r="BS160" s="45">
        <v>5.6300000000000003E-2</v>
      </c>
      <c r="BT160" s="45">
        <v>5.6300000000000003E-2</v>
      </c>
      <c r="BU160" s="45">
        <v>5.6300000000000003E-2</v>
      </c>
      <c r="BV160" s="43">
        <f t="shared" si="297"/>
        <v>5.6250000000000001E-2</v>
      </c>
      <c r="BW160" s="43">
        <f t="shared" si="245"/>
        <v>5.6250000000000001E-2</v>
      </c>
      <c r="BX160" s="9">
        <f t="shared" si="246"/>
        <v>0.16870000000000002</v>
      </c>
      <c r="BY160" s="43">
        <f t="shared" si="298"/>
        <v>5.6250000000000001E-2</v>
      </c>
      <c r="BZ160" s="43">
        <f t="shared" si="299"/>
        <v>0</v>
      </c>
      <c r="CA160" s="43">
        <f t="shared" si="247"/>
        <v>0</v>
      </c>
      <c r="CB160" s="43">
        <f t="shared" si="300"/>
        <v>5.6250000000000001E-2</v>
      </c>
      <c r="CC160" s="43">
        <f t="shared" si="301"/>
        <v>0</v>
      </c>
      <c r="CD160" s="45">
        <v>0</v>
      </c>
      <c r="CE160" s="43">
        <f t="shared" si="302"/>
        <v>0</v>
      </c>
      <c r="CF160" s="43" t="str">
        <f t="shared" si="303"/>
        <v>NA</v>
      </c>
      <c r="CG160" s="45">
        <v>0</v>
      </c>
    </row>
    <row r="161" spans="1:90" ht="18" customHeight="1">
      <c r="A161" s="260" t="s">
        <v>1005</v>
      </c>
      <c r="B161" s="260" t="s">
        <v>1006</v>
      </c>
      <c r="C161" s="260" t="s">
        <v>100</v>
      </c>
      <c r="D161" s="260" t="s">
        <v>994</v>
      </c>
      <c r="E161" s="260" t="s">
        <v>995</v>
      </c>
      <c r="F161" s="260" t="s">
        <v>1007</v>
      </c>
      <c r="G161" s="260" t="s">
        <v>1008</v>
      </c>
      <c r="H161" s="260" t="s">
        <v>1036</v>
      </c>
      <c r="I161" s="260"/>
      <c r="J161" s="260"/>
      <c r="K161" s="260" t="s">
        <v>1037</v>
      </c>
      <c r="L161" s="260" t="s">
        <v>1038</v>
      </c>
      <c r="M161" s="260" t="s">
        <v>1039</v>
      </c>
      <c r="N161" s="260" t="s">
        <v>111</v>
      </c>
      <c r="O161" s="260" t="s">
        <v>112</v>
      </c>
      <c r="P161" s="10">
        <v>8</v>
      </c>
      <c r="Q161" s="11">
        <v>30</v>
      </c>
      <c r="R161" s="9">
        <f t="shared" si="290"/>
        <v>5</v>
      </c>
      <c r="S161" s="11">
        <f>VLOOKUP(K161,'1130 Mujer'!$K$13:$AK$19,9,0)</f>
        <v>0</v>
      </c>
      <c r="T161" s="11">
        <v>4</v>
      </c>
      <c r="U161" s="11">
        <v>0</v>
      </c>
      <c r="V161" s="11">
        <v>4</v>
      </c>
      <c r="W161" s="11">
        <v>0</v>
      </c>
      <c r="X161" s="11">
        <v>5</v>
      </c>
      <c r="Y161" s="11">
        <v>0</v>
      </c>
      <c r="Z161" s="11">
        <v>5</v>
      </c>
      <c r="AA161" s="11" t="s">
        <v>1040</v>
      </c>
      <c r="AB161" s="11" t="s">
        <v>1041</v>
      </c>
      <c r="AC161" s="11" t="s">
        <v>1042</v>
      </c>
      <c r="AD161" s="11">
        <v>9</v>
      </c>
      <c r="AE161" s="11">
        <v>0</v>
      </c>
      <c r="AF161" s="11">
        <f>VLOOKUP(K161,'1130 Mujer'!$K$13:$AK$19,22,0)</f>
        <v>0</v>
      </c>
      <c r="AG161" s="11">
        <f>VLOOKUP(K161,'1130 Mujer'!$K$13:$AK$19,23,0)</f>
        <v>0</v>
      </c>
      <c r="AH161" s="9">
        <f t="shared" si="291"/>
        <v>0</v>
      </c>
      <c r="AI161" s="9">
        <f>VLOOKUP(K161,'1130 Mujer'!$K$13:$AK$19,25,0)</f>
        <v>0</v>
      </c>
      <c r="AJ161" s="9" t="str">
        <f>VLOOKUP(K161,'1130 Mujer'!$K$13:$AK$19,26,0)</f>
        <v>En desarrollo del priomer concurso para el fortalecimiento de organizaciones sociales. finaliza en la segunda semana de diciembre.</v>
      </c>
      <c r="AK161" s="9" t="str">
        <f>VLOOKUP(K161,'1130 Mujer'!$K$13:$AK$19,27,0)</f>
        <v>na</v>
      </c>
      <c r="AL161" s="11">
        <v>10</v>
      </c>
      <c r="AM161" s="11">
        <v>0</v>
      </c>
      <c r="AN161" s="11">
        <v>6</v>
      </c>
      <c r="AO161" s="11">
        <v>0</v>
      </c>
      <c r="AP161" s="11">
        <v>0</v>
      </c>
      <c r="AQ161" s="11">
        <v>0</v>
      </c>
      <c r="AR161" s="51">
        <v>87277650</v>
      </c>
      <c r="AS161" s="54">
        <v>89336952</v>
      </c>
      <c r="AT161" s="54">
        <f t="shared" si="242"/>
        <v>176614602</v>
      </c>
      <c r="AU161" s="51">
        <v>85281899</v>
      </c>
      <c r="AV161" s="89">
        <v>100000000</v>
      </c>
      <c r="AY161" s="89">
        <v>0</v>
      </c>
      <c r="AZ161" s="42">
        <f t="shared" si="292"/>
        <v>0.16666666666666666</v>
      </c>
      <c r="BA161" s="44">
        <v>0.1333</v>
      </c>
      <c r="BB161" s="44">
        <v>1.25</v>
      </c>
      <c r="BC161" s="42">
        <f t="shared" si="293"/>
        <v>0.3</v>
      </c>
      <c r="BD161" s="42" cm="1">
        <f t="array" ref="BD161">_xlfn.IFS(AD161=0,"NA",AD161&gt;0,AH161/AD161)</f>
        <v>0</v>
      </c>
      <c r="BE161" s="42">
        <f t="shared" si="294"/>
        <v>0.33333333333333331</v>
      </c>
      <c r="BF161" s="44">
        <v>0</v>
      </c>
      <c r="BG161" s="42">
        <f t="shared" si="295"/>
        <v>0.2</v>
      </c>
      <c r="BH161" s="44">
        <v>0</v>
      </c>
      <c r="BI161" s="42">
        <f t="shared" si="296"/>
        <v>0</v>
      </c>
      <c r="BJ161" s="44" t="s">
        <v>115</v>
      </c>
      <c r="BK161" s="42">
        <f t="shared" si="243"/>
        <v>0.16666666666666666</v>
      </c>
      <c r="BL161" s="44">
        <v>1</v>
      </c>
      <c r="BM161" s="42" cm="1">
        <f t="array" ref="BM161">_xlfn.IFS(BD161="NA","NA",BD161&gt;100%,"100%",BD161&lt;100,BD161)</f>
        <v>0</v>
      </c>
      <c r="BN161" s="42" cm="1">
        <f t="array" ref="BN161">_xlfn.IFS(BF161="NA","NA",BF161&gt;100%,"100%",BF161&lt;100,BF161)</f>
        <v>0</v>
      </c>
      <c r="BO161" s="42" cm="1">
        <f t="array" ref="BO161">_xlfn.IFS(BH161="NA","NA",BH161&gt;100%,"100%",BH161&lt;100,BH161)</f>
        <v>0</v>
      </c>
      <c r="BP161" s="42" t="str" cm="1">
        <f t="array" ref="BP161">_xlfn.IFS(BJ161="NA","NA",BJ161&gt;100%,"100%",BJ161&lt;100,BJ161)</f>
        <v>NA</v>
      </c>
      <c r="BQ161" s="45">
        <v>0.22500000000000001</v>
      </c>
      <c r="BR161" s="43">
        <f t="shared" si="244"/>
        <v>3.7499999999999999E-2</v>
      </c>
      <c r="BS161" s="45">
        <v>0.03</v>
      </c>
      <c r="BT161" s="45">
        <v>0.03</v>
      </c>
      <c r="BU161" s="45">
        <v>3.7499999999999999E-2</v>
      </c>
      <c r="BV161" s="43">
        <f t="shared" si="297"/>
        <v>6.7499999999999991E-2</v>
      </c>
      <c r="BW161" s="43">
        <f t="shared" si="245"/>
        <v>0</v>
      </c>
      <c r="BX161" s="43">
        <f t="shared" si="246"/>
        <v>0</v>
      </c>
      <c r="BY161" s="43">
        <f t="shared" si="298"/>
        <v>7.4999999999999997E-2</v>
      </c>
      <c r="BZ161" s="43">
        <f t="shared" si="299"/>
        <v>0</v>
      </c>
      <c r="CA161" s="43">
        <f t="shared" si="247"/>
        <v>0</v>
      </c>
      <c r="CB161" s="43">
        <f t="shared" si="300"/>
        <v>4.5000000000000005E-2</v>
      </c>
      <c r="CC161" s="43">
        <f t="shared" si="301"/>
        <v>0</v>
      </c>
      <c r="CD161" s="45">
        <v>0</v>
      </c>
      <c r="CE161" s="43">
        <f t="shared" si="302"/>
        <v>0</v>
      </c>
      <c r="CF161" s="43" t="str">
        <f t="shared" si="303"/>
        <v>NA</v>
      </c>
      <c r="CG161" s="45">
        <v>0</v>
      </c>
    </row>
    <row r="162" spans="1:90" ht="18" customHeight="1">
      <c r="A162" s="260" t="s">
        <v>1005</v>
      </c>
      <c r="B162" s="260" t="s">
        <v>1006</v>
      </c>
      <c r="C162" s="260" t="s">
        <v>100</v>
      </c>
      <c r="D162" s="260" t="s">
        <v>994</v>
      </c>
      <c r="E162" s="260" t="s">
        <v>995</v>
      </c>
      <c r="F162" s="260" t="s">
        <v>1007</v>
      </c>
      <c r="G162" s="260" t="s">
        <v>1008</v>
      </c>
      <c r="H162" s="260" t="s">
        <v>1043</v>
      </c>
      <c r="I162" s="260"/>
      <c r="J162" s="260"/>
      <c r="K162" s="260" t="s">
        <v>1044</v>
      </c>
      <c r="L162" s="260" t="s">
        <v>1045</v>
      </c>
      <c r="M162" s="260" t="s">
        <v>1046</v>
      </c>
      <c r="N162" s="260" t="s">
        <v>111</v>
      </c>
      <c r="O162" s="260" t="s">
        <v>112</v>
      </c>
      <c r="P162" s="10">
        <v>117</v>
      </c>
      <c r="Q162" s="11">
        <v>117</v>
      </c>
      <c r="R162" s="9">
        <f t="shared" si="290"/>
        <v>45</v>
      </c>
      <c r="S162" s="11" t="str">
        <f>VLOOKUP(K162,'1130 Mujer'!$K$13:$AK$19,9,0)</f>
        <v>SE LLEVA UN ACUMULADO DE 15 CONSEJOS CONSULTIVOS</v>
      </c>
      <c r="T162" s="11">
        <v>15</v>
      </c>
      <c r="U162" s="11">
        <v>0</v>
      </c>
      <c r="V162" s="11">
        <v>15</v>
      </c>
      <c r="W162" s="11">
        <v>0</v>
      </c>
      <c r="X162" s="11">
        <v>15</v>
      </c>
      <c r="Y162" s="11">
        <v>0</v>
      </c>
      <c r="Z162" s="11">
        <v>15</v>
      </c>
      <c r="AA162" s="11" t="s">
        <v>1047</v>
      </c>
      <c r="AB162" s="11" t="s">
        <v>1048</v>
      </c>
      <c r="AC162" s="11" t="s">
        <v>1049</v>
      </c>
      <c r="AD162" s="11">
        <v>30</v>
      </c>
      <c r="AE162" s="11">
        <v>0</v>
      </c>
      <c r="AF162" s="11">
        <f>VLOOKUP(K162,'1130 Mujer'!$K$13:$AK$19,22,0)</f>
        <v>30</v>
      </c>
      <c r="AG162" s="11">
        <f>VLOOKUP(K162,'1130 Mujer'!$K$13:$AK$19,23,0)</f>
        <v>0</v>
      </c>
      <c r="AH162" s="9">
        <f t="shared" si="291"/>
        <v>30</v>
      </c>
      <c r="AI162" s="9" t="str">
        <f>VLOOKUP(K162,'1130 Mujer'!$K$13:$AK$19,25,0)</f>
        <v>Asistencia técnica Y elección del Consejo Consultivo Departamental de Mujeres</v>
      </c>
      <c r="AJ162" s="9" t="str">
        <f>VLOOKUP(K162,'1130 Mujer'!$K$13:$AK$19,26,0)</f>
        <v>Se adelantan asistencias técnicas a diferentes municipios con el personal adscrito a la secretaría. Elecciones del Consejo consultivo Departamental realizadas en el mes de Noviembre.</v>
      </c>
      <c r="AK162" s="9" t="str">
        <f>VLOOKUP(K162,'1130 Mujer'!$K$13:$AK$19,27,0)</f>
        <v>na</v>
      </c>
      <c r="AL162" s="11">
        <v>40</v>
      </c>
      <c r="AM162" s="11">
        <v>0</v>
      </c>
      <c r="AN162" s="11">
        <v>32</v>
      </c>
      <c r="AO162" s="11">
        <v>0</v>
      </c>
      <c r="AP162" s="11">
        <v>0</v>
      </c>
      <c r="AQ162" s="11">
        <v>0</v>
      </c>
      <c r="AR162" s="52"/>
      <c r="AS162" s="54">
        <v>35000000</v>
      </c>
      <c r="AT162" s="54">
        <f t="shared" si="242"/>
        <v>35000000</v>
      </c>
      <c r="AU162" s="52"/>
      <c r="AV162" s="89">
        <v>100000000</v>
      </c>
      <c r="AY162" s="89">
        <v>0</v>
      </c>
      <c r="AZ162" s="42">
        <f t="shared" si="292"/>
        <v>0.38461538461538464</v>
      </c>
      <c r="BA162" s="44">
        <v>0.12820000000000001</v>
      </c>
      <c r="BB162" s="44">
        <v>1</v>
      </c>
      <c r="BC162" s="42">
        <f t="shared" si="293"/>
        <v>0.25641025641025639</v>
      </c>
      <c r="BD162" s="42" cm="1">
        <f t="array" ref="BD162">_xlfn.IFS(AD162=0,"NA",AD162&gt;0,AH162/AD162)</f>
        <v>1</v>
      </c>
      <c r="BE162" s="42">
        <f t="shared" si="294"/>
        <v>0.34188034188034189</v>
      </c>
      <c r="BF162" s="44">
        <v>0</v>
      </c>
      <c r="BG162" s="42">
        <f t="shared" si="295"/>
        <v>0.27350427350427353</v>
      </c>
      <c r="BH162" s="44">
        <v>0</v>
      </c>
      <c r="BI162" s="42">
        <f t="shared" si="296"/>
        <v>0</v>
      </c>
      <c r="BJ162" s="44" t="s">
        <v>115</v>
      </c>
      <c r="BK162" s="42">
        <f t="shared" si="243"/>
        <v>0.38461538461538464</v>
      </c>
      <c r="BL162" s="44">
        <v>1</v>
      </c>
      <c r="BM162" s="42" cm="1">
        <f t="array" ref="BM162">_xlfn.IFS(BD162="NA","NA",BD162&gt;100%,"100%",BD162&lt;100,BD162)</f>
        <v>1</v>
      </c>
      <c r="BN162" s="42" cm="1">
        <f t="array" ref="BN162">_xlfn.IFS(BF162="NA","NA",BF162&gt;100%,"100%",BF162&lt;100,BF162)</f>
        <v>0</v>
      </c>
      <c r="BO162" s="42" cm="1">
        <f t="array" ref="BO162">_xlfn.IFS(BH162="NA","NA",BH162&gt;100%,"100%",BH162&lt;100,BH162)</f>
        <v>0</v>
      </c>
      <c r="BP162" s="42" t="str" cm="1">
        <f t="array" ref="BP162">_xlfn.IFS(BJ162="NA","NA",BJ162&gt;100%,"100%",BJ162&lt;100,BJ162)</f>
        <v>NA</v>
      </c>
      <c r="BQ162" s="45">
        <v>0.22500000000000001</v>
      </c>
      <c r="BR162" s="43">
        <f t="shared" si="244"/>
        <v>8.653846153846155E-2</v>
      </c>
      <c r="BS162" s="45">
        <v>2.8799999999999999E-2</v>
      </c>
      <c r="BT162" s="45">
        <v>2.8799999999999999E-2</v>
      </c>
      <c r="BU162" s="45">
        <v>2.8899999999999999E-2</v>
      </c>
      <c r="BV162" s="43">
        <f t="shared" si="297"/>
        <v>5.7692307692307696E-2</v>
      </c>
      <c r="BW162" s="43">
        <f t="shared" si="245"/>
        <v>5.7692307692307696E-2</v>
      </c>
      <c r="BX162" s="9">
        <f t="shared" si="246"/>
        <v>5.7638461538461555E-2</v>
      </c>
      <c r="BY162" s="43">
        <f t="shared" si="298"/>
        <v>7.6923076923076927E-2</v>
      </c>
      <c r="BZ162" s="43">
        <f t="shared" si="299"/>
        <v>0</v>
      </c>
      <c r="CA162" s="43">
        <f t="shared" si="247"/>
        <v>0</v>
      </c>
      <c r="CB162" s="43">
        <f t="shared" si="300"/>
        <v>6.1538461538461542E-2</v>
      </c>
      <c r="CC162" s="43">
        <f t="shared" si="301"/>
        <v>0</v>
      </c>
      <c r="CD162" s="45">
        <v>0</v>
      </c>
      <c r="CE162" s="43">
        <f t="shared" si="302"/>
        <v>0</v>
      </c>
      <c r="CF162" s="43" t="str">
        <f t="shared" si="303"/>
        <v>NA</v>
      </c>
      <c r="CG162" s="45">
        <v>0</v>
      </c>
    </row>
    <row r="163" spans="1:90" ht="18" customHeight="1">
      <c r="A163" s="260" t="s">
        <v>1005</v>
      </c>
      <c r="B163" s="260" t="s">
        <v>1006</v>
      </c>
      <c r="C163" s="260" t="s">
        <v>100</v>
      </c>
      <c r="D163" s="260" t="s">
        <v>994</v>
      </c>
      <c r="E163" s="260" t="s">
        <v>995</v>
      </c>
      <c r="F163" s="260" t="s">
        <v>1007</v>
      </c>
      <c r="G163" s="260" t="s">
        <v>1008</v>
      </c>
      <c r="H163" s="260" t="s">
        <v>1050</v>
      </c>
      <c r="I163" s="260"/>
      <c r="J163" s="260"/>
      <c r="K163" s="260" t="s">
        <v>1051</v>
      </c>
      <c r="L163" s="260" t="s">
        <v>1052</v>
      </c>
      <c r="M163" s="260" t="s">
        <v>1053</v>
      </c>
      <c r="N163" s="260" t="s">
        <v>111</v>
      </c>
      <c r="O163" s="260" t="s">
        <v>112</v>
      </c>
      <c r="P163" s="10">
        <v>0</v>
      </c>
      <c r="Q163" s="11">
        <v>116</v>
      </c>
      <c r="R163" s="9">
        <f t="shared" si="290"/>
        <v>50</v>
      </c>
      <c r="S163" s="11">
        <f>VLOOKUP(K163,'1130 Mujer'!$K$13:$AK$19,9,0)</f>
        <v>0</v>
      </c>
      <c r="T163" s="11">
        <v>15</v>
      </c>
      <c r="U163" s="11">
        <v>0</v>
      </c>
      <c r="V163" s="11">
        <v>15</v>
      </c>
      <c r="W163" s="11">
        <v>0</v>
      </c>
      <c r="X163" s="11">
        <v>15</v>
      </c>
      <c r="Y163" s="11">
        <v>0</v>
      </c>
      <c r="Z163" s="11">
        <v>15</v>
      </c>
      <c r="AA163" s="11" t="s">
        <v>1054</v>
      </c>
      <c r="AB163" s="11" t="s">
        <v>1055</v>
      </c>
      <c r="AC163" s="11" t="s">
        <v>1056</v>
      </c>
      <c r="AD163" s="11">
        <v>35</v>
      </c>
      <c r="AE163" s="11">
        <v>0</v>
      </c>
      <c r="AF163" s="11">
        <f>VLOOKUP(K163,'1130 Mujer'!$K$13:$AK$19,22,0)</f>
        <v>35</v>
      </c>
      <c r="AG163" s="11">
        <f>VLOOKUP(K163,'1130 Mujer'!$K$13:$AK$19,23,0)</f>
        <v>0</v>
      </c>
      <c r="AH163" s="9">
        <f t="shared" si="291"/>
        <v>35</v>
      </c>
      <c r="AI163" s="9" t="str">
        <f>VLOOKUP(K163,'1130 Mujer'!$K$13:$AK$19,25,0)</f>
        <v>Capacitaciones a través de la "Escuela de Liderazgo" en sdiferentes provincias del departamento e implementación de la "Ruta M" en la provincia del Sumapaz"</v>
      </c>
      <c r="AJ163" s="9" t="str">
        <f>VLOOKUP(K163,'1130 Mujer'!$K$13:$AK$19,26,0)</f>
        <v>Desarrollo de en todo el departamento en el marco de la Escuela de Liderazgo 2451 beneficiarios a la fecha. Ruta M implementada en provincia Sumapaz</v>
      </c>
      <c r="AK163" s="9" t="str">
        <f>VLOOKUP(K163,'1130 Mujer'!$K$13:$AK$19,27,0)</f>
        <v>na</v>
      </c>
      <c r="AL163" s="11">
        <v>50</v>
      </c>
      <c r="AM163" s="11">
        <v>0</v>
      </c>
      <c r="AN163" s="11">
        <v>16</v>
      </c>
      <c r="AO163" s="11">
        <v>0</v>
      </c>
      <c r="AP163" s="11">
        <v>0</v>
      </c>
      <c r="AQ163" s="11">
        <v>0</v>
      </c>
      <c r="AR163" s="51">
        <v>1382162786</v>
      </c>
      <c r="AS163" s="54">
        <v>164091486</v>
      </c>
      <c r="AT163" s="54">
        <f t="shared" si="242"/>
        <v>1546254272</v>
      </c>
      <c r="AU163" s="51">
        <v>1000634157</v>
      </c>
      <c r="AV163" s="89">
        <v>1100000000</v>
      </c>
      <c r="AY163" s="89">
        <v>0</v>
      </c>
      <c r="AZ163" s="42">
        <f t="shared" si="292"/>
        <v>0.43103448275862066</v>
      </c>
      <c r="BA163" s="44">
        <v>0.1293</v>
      </c>
      <c r="BB163" s="44">
        <v>1</v>
      </c>
      <c r="BC163" s="42">
        <f t="shared" si="293"/>
        <v>0.30172413793103448</v>
      </c>
      <c r="BD163" s="42" cm="1">
        <f t="array" ref="BD163">_xlfn.IFS(AD163=0,"NA",AD163&gt;0,AH163/AD163)</f>
        <v>1</v>
      </c>
      <c r="BE163" s="42">
        <f t="shared" si="294"/>
        <v>0.43103448275862066</v>
      </c>
      <c r="BF163" s="44">
        <v>0</v>
      </c>
      <c r="BG163" s="42">
        <f t="shared" si="295"/>
        <v>0.13793103448275862</v>
      </c>
      <c r="BH163" s="44">
        <v>0</v>
      </c>
      <c r="BI163" s="42">
        <f t="shared" si="296"/>
        <v>0</v>
      </c>
      <c r="BJ163" s="44" t="s">
        <v>115</v>
      </c>
      <c r="BK163" s="42">
        <f t="shared" si="243"/>
        <v>0.43103448275862066</v>
      </c>
      <c r="BL163" s="44">
        <v>1</v>
      </c>
      <c r="BM163" s="42" cm="1">
        <f t="array" ref="BM163">_xlfn.IFS(BD163="NA","NA",BD163&gt;100%,"100%",BD163&lt;100,BD163)</f>
        <v>1</v>
      </c>
      <c r="BN163" s="42" cm="1">
        <f t="array" ref="BN163">_xlfn.IFS(BF163="NA","NA",BF163&gt;100%,"100%",BF163&lt;100,BF163)</f>
        <v>0</v>
      </c>
      <c r="BO163" s="42" cm="1">
        <f t="array" ref="BO163">_xlfn.IFS(BH163="NA","NA",BH163&gt;100%,"100%",BH163&lt;100,BH163)</f>
        <v>0</v>
      </c>
      <c r="BP163" s="42" t="str" cm="1">
        <f t="array" ref="BP163">_xlfn.IFS(BJ163="NA","NA",BJ163&gt;100%,"100%",BJ163&lt;100,BJ163)</f>
        <v>NA</v>
      </c>
      <c r="BQ163" s="45">
        <v>0.22500000000000001</v>
      </c>
      <c r="BR163" s="43">
        <f t="shared" si="244"/>
        <v>9.6982758620689655E-2</v>
      </c>
      <c r="BS163" s="45">
        <v>2.9100000000000001E-2</v>
      </c>
      <c r="BT163" s="45">
        <v>2.9100000000000001E-2</v>
      </c>
      <c r="BU163" s="45">
        <v>2.9100000000000001E-2</v>
      </c>
      <c r="BV163" s="43">
        <f t="shared" si="297"/>
        <v>6.7887931034482762E-2</v>
      </c>
      <c r="BW163" s="43">
        <f t="shared" si="245"/>
        <v>6.7887931034482762E-2</v>
      </c>
      <c r="BX163" s="43">
        <f t="shared" si="246"/>
        <v>6.7882758620689654E-2</v>
      </c>
      <c r="BY163" s="43">
        <f t="shared" si="298"/>
        <v>9.6982758620689655E-2</v>
      </c>
      <c r="BZ163" s="43">
        <f t="shared" si="299"/>
        <v>0</v>
      </c>
      <c r="CA163" s="43">
        <f t="shared" si="247"/>
        <v>0</v>
      </c>
      <c r="CB163" s="43">
        <f t="shared" si="300"/>
        <v>3.1034482758620689E-2</v>
      </c>
      <c r="CC163" s="43">
        <f t="shared" si="301"/>
        <v>0</v>
      </c>
      <c r="CD163" s="45">
        <v>0</v>
      </c>
      <c r="CE163" s="43">
        <f t="shared" si="302"/>
        <v>0</v>
      </c>
      <c r="CF163" s="43" t="str">
        <f t="shared" si="303"/>
        <v>NA</v>
      </c>
      <c r="CG163" s="45">
        <v>0</v>
      </c>
    </row>
    <row r="164" spans="1:90" ht="18" customHeight="1">
      <c r="A164" s="260" t="s">
        <v>144</v>
      </c>
      <c r="B164" s="260" t="s">
        <v>145</v>
      </c>
      <c r="C164" s="260" t="s">
        <v>100</v>
      </c>
      <c r="D164" s="260" t="s">
        <v>994</v>
      </c>
      <c r="E164" s="260" t="s">
        <v>1057</v>
      </c>
      <c r="F164" s="260" t="s">
        <v>1058</v>
      </c>
      <c r="G164" s="260" t="s">
        <v>1059</v>
      </c>
      <c r="H164" s="260" t="s">
        <v>1060</v>
      </c>
      <c r="I164" s="260"/>
      <c r="J164" s="260"/>
      <c r="K164" s="260" t="s">
        <v>1061</v>
      </c>
      <c r="L164" s="260" t="s">
        <v>1062</v>
      </c>
      <c r="M164" s="260" t="s">
        <v>1063</v>
      </c>
      <c r="N164" s="260" t="s">
        <v>111</v>
      </c>
      <c r="O164" s="260" t="s">
        <v>112</v>
      </c>
      <c r="P164" s="10">
        <v>0</v>
      </c>
      <c r="Q164" s="11">
        <v>1</v>
      </c>
      <c r="R164" s="9">
        <f t="shared" si="290"/>
        <v>0.79999999999999993</v>
      </c>
      <c r="S164" s="11" t="str">
        <f>VLOOKUP(K164,'1126 Desarrollo Social'!$K$13:$S$58,9,0)</f>
        <v>Creación de mesas en diferentes municipios para construcción del proyecto</v>
      </c>
      <c r="T164" s="11">
        <v>0.1</v>
      </c>
      <c r="U164" s="11">
        <v>0</v>
      </c>
      <c r="V164" s="11">
        <v>0.1</v>
      </c>
      <c r="W164" s="11">
        <v>0</v>
      </c>
      <c r="X164" s="11">
        <v>0.1</v>
      </c>
      <c r="Y164" s="11">
        <v>0</v>
      </c>
      <c r="Z164" s="11">
        <v>0.1</v>
      </c>
      <c r="AA164" s="11">
        <v>0</v>
      </c>
      <c r="AB164" s="11" t="s">
        <v>1064</v>
      </c>
      <c r="AC164" s="11" t="s">
        <v>1065</v>
      </c>
      <c r="AD164" s="11">
        <v>0.8</v>
      </c>
      <c r="AE164" s="11">
        <v>0</v>
      </c>
      <c r="AF164" s="11">
        <f>VLOOKUP(K164,'1126 Desarrollo Social'!$K$13:$AK$58,22,0)</f>
        <v>0.7</v>
      </c>
      <c r="AG164" s="11">
        <f>VLOOKUP(K164,'1126 Desarrollo Social'!$K$13:$AK$58,23,0)</f>
        <v>0</v>
      </c>
      <c r="AH164" s="9">
        <f t="shared" si="291"/>
        <v>0.7</v>
      </c>
      <c r="AI164" s="9">
        <f>VLOOKUP(K164,'1126 Desarrollo Social'!$K$13:$AK$58,25,0)</f>
        <v>0</v>
      </c>
      <c r="AJ164" s="9" t="str">
        <f>VLOOKUP(K164,'1126 Desarrollo Social'!$K$13:$AK$58,26,0)</f>
        <v>Participación del sector social LGBTI en el segundo encuentro de proyecto participativo  donde se detrmino los proyectos para votación y ejecución  en el periodo de gobierno - se realizo la seleccion de los proyectos casa refugio y atencion a personas de LGTBI , en proceso de contratacion</v>
      </c>
      <c r="AK164" s="9">
        <f>VLOOKUP(K164,'1126 Desarrollo Social'!$K$13:$AK$58,27,0)</f>
        <v>0</v>
      </c>
      <c r="AL164" s="11">
        <v>0.1</v>
      </c>
      <c r="AM164" s="11">
        <v>0</v>
      </c>
      <c r="AN164" s="11">
        <v>0</v>
      </c>
      <c r="AO164" s="11">
        <v>0</v>
      </c>
      <c r="AP164" s="11">
        <v>0</v>
      </c>
      <c r="AQ164" s="11">
        <v>0</v>
      </c>
      <c r="AR164" s="51">
        <v>30000000</v>
      </c>
      <c r="AS164" s="54">
        <v>0</v>
      </c>
      <c r="AT164" s="54">
        <f t="shared" si="242"/>
        <v>30000000</v>
      </c>
      <c r="AU164" s="51">
        <v>30000000</v>
      </c>
      <c r="AV164" s="89">
        <v>50000000</v>
      </c>
      <c r="AY164" s="89">
        <v>0</v>
      </c>
      <c r="AZ164" s="42">
        <f t="shared" si="292"/>
        <v>0.79999999999999993</v>
      </c>
      <c r="BA164" s="44">
        <v>0.1</v>
      </c>
      <c r="BB164" s="44">
        <v>1</v>
      </c>
      <c r="BC164" s="42">
        <f t="shared" si="293"/>
        <v>0.8</v>
      </c>
      <c r="BD164" s="42" cm="1">
        <f t="array" ref="BD164">_xlfn.IFS(AD164=0,"NA",AD164&gt;0,AH164/AD164)</f>
        <v>0.87499999999999989</v>
      </c>
      <c r="BE164" s="42">
        <f t="shared" si="294"/>
        <v>0.1</v>
      </c>
      <c r="BF164" s="44">
        <v>0</v>
      </c>
      <c r="BG164" s="42">
        <f t="shared" si="295"/>
        <v>0</v>
      </c>
      <c r="BH164" s="44" t="s">
        <v>115</v>
      </c>
      <c r="BI164" s="42">
        <f t="shared" si="296"/>
        <v>0</v>
      </c>
      <c r="BJ164" s="44" t="s">
        <v>115</v>
      </c>
      <c r="BK164" s="42">
        <f t="shared" si="243"/>
        <v>0.79999999999999993</v>
      </c>
      <c r="BL164" s="44">
        <v>1</v>
      </c>
      <c r="BM164" s="42" cm="1">
        <f t="array" ref="BM164">_xlfn.IFS(BD164="NA","NA",BD164&gt;100%,"100%",BD164&lt;100,BD164)</f>
        <v>0.87499999999999989</v>
      </c>
      <c r="BN164" s="42" cm="1">
        <f t="array" ref="BN164">_xlfn.IFS(BF164="NA","NA",BF164&gt;100%,"100%",BF164&lt;100,BF164)</f>
        <v>0</v>
      </c>
      <c r="BO164" s="42" t="str" cm="1">
        <f t="array" ref="BO164">_xlfn.IFS(BH164="NA","NA",BH164&gt;100%,"100%",BH164&lt;100,BH164)</f>
        <v>NA</v>
      </c>
      <c r="BP164" s="42" t="str" cm="1">
        <f t="array" ref="BP164">_xlfn.IFS(BJ164="NA","NA",BJ164&gt;100%,"100%",BJ164&lt;100,BJ164)</f>
        <v>NA</v>
      </c>
      <c r="BQ164" s="45">
        <v>0.22500000000000001</v>
      </c>
      <c r="BR164" s="43">
        <f t="shared" si="244"/>
        <v>0.18</v>
      </c>
      <c r="BS164" s="45">
        <v>2.2499999999999999E-2</v>
      </c>
      <c r="BT164" s="45">
        <v>2.2499999999999999E-2</v>
      </c>
      <c r="BU164" s="45">
        <v>2.2499999999999999E-2</v>
      </c>
      <c r="BV164" s="43">
        <f t="shared" si="297"/>
        <v>0.18000000000000002</v>
      </c>
      <c r="BW164" s="43">
        <f t="shared" si="245"/>
        <v>0.1575</v>
      </c>
      <c r="BX164" s="43">
        <f t="shared" si="246"/>
        <v>0.1575</v>
      </c>
      <c r="BY164" s="43">
        <f t="shared" si="298"/>
        <v>2.2500000000000003E-2</v>
      </c>
      <c r="BZ164" s="43">
        <f t="shared" si="299"/>
        <v>0</v>
      </c>
      <c r="CA164" s="43">
        <f t="shared" si="247"/>
        <v>0</v>
      </c>
      <c r="CB164" s="43">
        <f t="shared" si="300"/>
        <v>0</v>
      </c>
      <c r="CC164" s="43" t="str">
        <f t="shared" si="301"/>
        <v>NA</v>
      </c>
      <c r="CD164" s="45">
        <v>0</v>
      </c>
      <c r="CE164" s="43">
        <f t="shared" si="302"/>
        <v>0</v>
      </c>
      <c r="CF164" s="43" t="str">
        <f t="shared" si="303"/>
        <v>NA</v>
      </c>
      <c r="CG164" s="45">
        <v>0</v>
      </c>
    </row>
    <row r="165" spans="1:90" ht="18" customHeight="1">
      <c r="A165" s="260" t="s">
        <v>144</v>
      </c>
      <c r="B165" s="260" t="s">
        <v>145</v>
      </c>
      <c r="C165" s="260" t="s">
        <v>100</v>
      </c>
      <c r="D165" s="260" t="s">
        <v>994</v>
      </c>
      <c r="E165" s="260" t="s">
        <v>1057</v>
      </c>
      <c r="F165" s="260" t="s">
        <v>1058</v>
      </c>
      <c r="G165" s="260" t="s">
        <v>1059</v>
      </c>
      <c r="H165" s="260" t="s">
        <v>1066</v>
      </c>
      <c r="I165" s="260"/>
      <c r="J165" s="260"/>
      <c r="K165" s="260" t="s">
        <v>1067</v>
      </c>
      <c r="L165" s="260" t="s">
        <v>1068</v>
      </c>
      <c r="M165" s="260" t="s">
        <v>1069</v>
      </c>
      <c r="N165" s="260" t="s">
        <v>111</v>
      </c>
      <c r="O165" s="260" t="s">
        <v>112</v>
      </c>
      <c r="P165" s="10">
        <v>0</v>
      </c>
      <c r="Q165" s="11">
        <v>1</v>
      </c>
      <c r="R165" s="9">
        <f t="shared" si="290"/>
        <v>0.9</v>
      </c>
      <c r="S165" s="11" t="str">
        <f>VLOOKUP(K165,'1126 Desarrollo Social'!$K$13:$S$58,9,0)</f>
        <v>Vinculación de la Gobernación de Cundinamarca a la estrategia laboral de la comunidad LGBTI del Min Interior.articulación con el SENA para formación y cualificación del Sector SocialArticulación con la agencia de empleo del Sena en temas de LGBTICapacitación en normatividad LGBTI a los 116 Municipios y personerías</v>
      </c>
      <c r="T165" s="11">
        <v>0.1</v>
      </c>
      <c r="U165" s="11">
        <v>0</v>
      </c>
      <c r="V165" s="11">
        <v>0.1</v>
      </c>
      <c r="W165" s="11">
        <v>0</v>
      </c>
      <c r="X165" s="11">
        <v>0.1</v>
      </c>
      <c r="Y165" s="11">
        <v>0</v>
      </c>
      <c r="Z165" s="11">
        <v>0.1</v>
      </c>
      <c r="AA165" s="11">
        <v>0</v>
      </c>
      <c r="AB165" s="11" t="s">
        <v>1070</v>
      </c>
      <c r="AC165" s="11" t="s">
        <v>1071</v>
      </c>
      <c r="AD165" s="11">
        <v>0.8</v>
      </c>
      <c r="AE165" s="11">
        <v>0</v>
      </c>
      <c r="AF165" s="11">
        <f>VLOOKUP(K165,'1126 Desarrollo Social'!$K$13:$AK$58,22,0)</f>
        <v>0.8</v>
      </c>
      <c r="AG165" s="11">
        <f>VLOOKUP(K165,'1126 Desarrollo Social'!$K$13:$AK$58,23,0)</f>
        <v>0</v>
      </c>
      <c r="AH165" s="9">
        <f t="shared" si="291"/>
        <v>0.8</v>
      </c>
      <c r="AI165" s="9">
        <f>VLOOKUP(K165,'1126 Desarrollo Social'!$K$13:$AK$58,25,0)</f>
        <v>0</v>
      </c>
      <c r="AJ165" s="9" t="str">
        <f>VLOOKUP(K165,'1126 Desarrollo Social'!$K$13:$AK$58,26,0)</f>
        <v>1. Se realizó la convocatoria para la  socialización de la oferta laboral en articulación con  la caja de compensación familiar Compensar para  los grupos étnicos y comunidad LGBTi, para los 116 municipios del departamento.  donde se han contratado 5 personas de la comunidad LGBTI. Se gestionó con el director de planeación distrital Dr. Marcial el 31 de marzo solicitud para proceso educativo de la comunidad y el proceso de caraterización de organizaciones sociales LGBTI. 3. Con el Alcalde de Tocancipa y su  Director de Planeación para revisar ofertas laborfales de las empresas del sector. 4. Socialización de oferta educativa institucional con el Sena y Secretaria de Educacion Departamental para programas de educacion superior.</v>
      </c>
      <c r="AK165" s="9">
        <f>VLOOKUP(K165,'1126 Desarrollo Social'!$K$13:$AK$58,27,0)</f>
        <v>0</v>
      </c>
      <c r="AL165" s="11">
        <v>0.1</v>
      </c>
      <c r="AM165" s="11">
        <v>0</v>
      </c>
      <c r="AN165" s="11">
        <v>0</v>
      </c>
      <c r="AO165" s="11">
        <v>0</v>
      </c>
      <c r="AP165" s="11">
        <v>0</v>
      </c>
      <c r="AQ165" s="11">
        <v>0</v>
      </c>
      <c r="AR165" s="52"/>
      <c r="AS165" s="54">
        <v>0</v>
      </c>
      <c r="AT165" s="54">
        <f t="shared" si="242"/>
        <v>0</v>
      </c>
      <c r="AU165" s="52"/>
      <c r="AV165" s="89">
        <v>30000000</v>
      </c>
      <c r="AY165" s="89">
        <v>0</v>
      </c>
      <c r="AZ165" s="42">
        <f t="shared" si="292"/>
        <v>0.9</v>
      </c>
      <c r="BA165" s="44">
        <v>0.1</v>
      </c>
      <c r="BB165" s="44">
        <v>1</v>
      </c>
      <c r="BC165" s="42">
        <f t="shared" si="293"/>
        <v>0.8</v>
      </c>
      <c r="BD165" s="42" cm="1">
        <f t="array" ref="BD165">_xlfn.IFS(AD165=0,"NA",AD165&gt;0,AH165/AD165)</f>
        <v>1</v>
      </c>
      <c r="BE165" s="42">
        <f t="shared" si="294"/>
        <v>0.1</v>
      </c>
      <c r="BF165" s="44">
        <v>0</v>
      </c>
      <c r="BG165" s="42">
        <f t="shared" si="295"/>
        <v>0</v>
      </c>
      <c r="BH165" s="44" t="s">
        <v>115</v>
      </c>
      <c r="BI165" s="42">
        <f t="shared" si="296"/>
        <v>0</v>
      </c>
      <c r="BJ165" s="44" t="s">
        <v>115</v>
      </c>
      <c r="BK165" s="42">
        <f t="shared" si="243"/>
        <v>0.9</v>
      </c>
      <c r="BL165" s="44">
        <v>1</v>
      </c>
      <c r="BM165" s="42" cm="1">
        <f t="array" ref="BM165">_xlfn.IFS(BD165="NA","NA",BD165&gt;100%,"100%",BD165&lt;100,BD165)</f>
        <v>1</v>
      </c>
      <c r="BN165" s="42" cm="1">
        <f t="array" ref="BN165">_xlfn.IFS(BF165="NA","NA",BF165&gt;100%,"100%",BF165&lt;100,BF165)</f>
        <v>0</v>
      </c>
      <c r="BO165" s="42" t="str" cm="1">
        <f t="array" ref="BO165">_xlfn.IFS(BH165="NA","NA",BH165&gt;100%,"100%",BH165&lt;100,BH165)</f>
        <v>NA</v>
      </c>
      <c r="BP165" s="42" t="str" cm="1">
        <f t="array" ref="BP165">_xlfn.IFS(BJ165="NA","NA",BJ165&gt;100%,"100%",BJ165&lt;100,BJ165)</f>
        <v>NA</v>
      </c>
      <c r="BQ165" s="45">
        <v>0.22500000000000001</v>
      </c>
      <c r="BR165" s="43">
        <f t="shared" si="244"/>
        <v>0.20250000000000001</v>
      </c>
      <c r="BS165" s="45">
        <v>2.2499999999999999E-2</v>
      </c>
      <c r="BT165" s="45">
        <v>2.2499999999999999E-2</v>
      </c>
      <c r="BU165" s="45">
        <v>2.2499999999999999E-2</v>
      </c>
      <c r="BV165" s="43">
        <f t="shared" si="297"/>
        <v>0.18000000000000002</v>
      </c>
      <c r="BW165" s="43">
        <f t="shared" si="245"/>
        <v>0.18000000000000002</v>
      </c>
      <c r="BX165" s="43">
        <f t="shared" si="246"/>
        <v>0.18000000000000002</v>
      </c>
      <c r="BY165" s="43">
        <f t="shared" si="298"/>
        <v>2.2500000000000003E-2</v>
      </c>
      <c r="BZ165" s="43">
        <f t="shared" si="299"/>
        <v>0</v>
      </c>
      <c r="CA165" s="43">
        <f t="shared" si="247"/>
        <v>0</v>
      </c>
      <c r="CB165" s="43">
        <f t="shared" si="300"/>
        <v>0</v>
      </c>
      <c r="CC165" s="43" t="str">
        <f t="shared" si="301"/>
        <v>NA</v>
      </c>
      <c r="CD165" s="45">
        <v>0</v>
      </c>
      <c r="CE165" s="43">
        <f t="shared" si="302"/>
        <v>0</v>
      </c>
      <c r="CF165" s="43" t="str">
        <f t="shared" si="303"/>
        <v>NA</v>
      </c>
      <c r="CG165" s="45">
        <v>0</v>
      </c>
    </row>
    <row r="166" spans="1:90" ht="18" customHeight="1">
      <c r="A166" s="260" t="s">
        <v>2938</v>
      </c>
      <c r="B166" s="260" t="s">
        <v>1073</v>
      </c>
      <c r="C166" s="260" t="s">
        <v>100</v>
      </c>
      <c r="D166" s="260" t="s">
        <v>1074</v>
      </c>
      <c r="E166" s="260" t="s">
        <v>1075</v>
      </c>
      <c r="F166" s="260" t="s">
        <v>1076</v>
      </c>
      <c r="G166" s="260" t="s">
        <v>1077</v>
      </c>
      <c r="H166" s="260" t="s">
        <v>1078</v>
      </c>
      <c r="I166" s="260"/>
      <c r="J166" s="260"/>
      <c r="K166" s="260" t="s">
        <v>1079</v>
      </c>
      <c r="L166" s="260" t="s">
        <v>2939</v>
      </c>
      <c r="M166" s="260" t="s">
        <v>2940</v>
      </c>
      <c r="N166" s="260" t="s">
        <v>111</v>
      </c>
      <c r="O166" s="260" t="s">
        <v>112</v>
      </c>
      <c r="P166" s="10">
        <v>0</v>
      </c>
      <c r="Q166" s="11">
        <v>1</v>
      </c>
      <c r="R166" s="9">
        <f t="shared" si="290"/>
        <v>33.15</v>
      </c>
      <c r="S166" s="11" t="str">
        <f>VLOOKUP(K166,'1231 PAZ'!$K$13:$AK$15,9,0)</f>
        <v>se realizó asistencia técnica para la conformación de los CMPRC en las provincias del DepartamentoSe inicio articulación con la provincia de magdalena centro para la recuperación de la memoria histórica Se avanzó en el diseño metodológico del sistema de monitoreo y análisis de conflictividades.se elaboró justificación de la formulación de la política pública de paz y se sustentó esta ante el CODEPS y se recibió visto bueno de este para realizar formulación. Se diseñó plan de trabajo para la formulación.</v>
      </c>
      <c r="T166" s="11">
        <v>0.15</v>
      </c>
      <c r="U166" s="11">
        <v>0</v>
      </c>
      <c r="V166" s="11">
        <v>0.15</v>
      </c>
      <c r="W166" s="11">
        <v>0</v>
      </c>
      <c r="X166" s="11">
        <v>0.15</v>
      </c>
      <c r="Y166" s="11">
        <v>0</v>
      </c>
      <c r="Z166" s="11">
        <v>0.15</v>
      </c>
      <c r="AA166" s="11">
        <v>0</v>
      </c>
      <c r="AB166" s="11" t="s">
        <v>1082</v>
      </c>
      <c r="AC166" s="11">
        <v>0</v>
      </c>
      <c r="AD166" s="11">
        <v>0.35</v>
      </c>
      <c r="AE166" s="11">
        <v>0</v>
      </c>
      <c r="AF166" s="11">
        <f>VLOOKUP(K166,'1231 PAZ'!$K$13:$AK$15,22,0)</f>
        <v>33</v>
      </c>
      <c r="AG166" s="11">
        <f>VLOOKUP(K166,'1231 PAZ'!$K$13:$AK$15,23,0)</f>
        <v>0</v>
      </c>
      <c r="AH166" s="9">
        <f t="shared" si="291"/>
        <v>33</v>
      </c>
      <c r="AI166" s="9">
        <f>VLOOKUP(K166,'1231 PAZ'!$K$13:$AK$15,25,0)</f>
        <v>0</v>
      </c>
      <c r="AJ166" s="9" t="str">
        <f>VLOOKUP(K166,'1231 PAZ'!$K$13:$AK$15,26,0)</f>
        <v>Se realizó asistencia técnica para la creación y actualización de los CMPRC, se consolido y envió documento a la universidad de cundinamarca  con el fin de que esta universidad presente una propuesta para la segunda etapa de recolección de información diagnóstica para la Formulación de la Política Pública que tiene como objetivo "Identificar, analizar y priorizar los problemas, necesidades, que se presentan en el departamento de Cundinamarca respecto a la construcción de paz desde la perspectiva de las comunidades, Se consolido y envió documento a la universidad de cundinamarca con el fin de que esta universidad presente una propuesta para operar plan piloto del sistema de monitoreo que tiene como objetivo "Identificar y analizar las conflictividades sociales territoriales, y su vinculación con movilizaciones sociales y alteración de la orden pública presentada durante el 2021 en diez municipios del Departamento con mayor presencia de ellas. fue firmado convenio con la universidad de cundinamarca y se avanzó en cada uno de los procesos propios de la meta sus componentes especificos para su avance y complimiento. se firmo Contrato interadministrativo entre ACPC y Red Colombiana de Instituciones de Educación Superior - EDURED</v>
      </c>
      <c r="AK166" s="9">
        <f>VLOOKUP(K166,'1231 PAZ'!$K$13:$AK$15,27,0)</f>
        <v>0</v>
      </c>
      <c r="AL166" s="11">
        <v>0.35</v>
      </c>
      <c r="AM166" s="11">
        <v>0</v>
      </c>
      <c r="AN166" s="11">
        <v>0.15</v>
      </c>
      <c r="AO166" s="11">
        <v>0</v>
      </c>
      <c r="AP166" s="11">
        <v>0</v>
      </c>
      <c r="AQ166" s="11">
        <v>0</v>
      </c>
      <c r="AR166" s="51">
        <v>52590000</v>
      </c>
      <c r="AS166" s="54">
        <v>0</v>
      </c>
      <c r="AT166" s="54">
        <f t="shared" si="242"/>
        <v>52590000</v>
      </c>
      <c r="AU166" s="51">
        <v>52590000</v>
      </c>
      <c r="AV166" s="89">
        <v>318336099</v>
      </c>
      <c r="AY166" s="89">
        <v>283586000</v>
      </c>
      <c r="AZ166" s="42">
        <f t="shared" si="292"/>
        <v>33.15</v>
      </c>
      <c r="BA166" s="44">
        <v>0.15</v>
      </c>
      <c r="BB166" s="44">
        <v>1</v>
      </c>
      <c r="BC166" s="42">
        <f t="shared" si="293"/>
        <v>0.35</v>
      </c>
      <c r="BD166" s="42" cm="1">
        <f t="array" ref="BD166">_xlfn.IFS(AD166=0,"NA",AD166&gt;0,AH166/AD166)</f>
        <v>94.285714285714292</v>
      </c>
      <c r="BE166" s="42">
        <f t="shared" si="294"/>
        <v>0.35</v>
      </c>
      <c r="BF166" s="44">
        <v>0</v>
      </c>
      <c r="BG166" s="42">
        <f t="shared" si="295"/>
        <v>0.15</v>
      </c>
      <c r="BH166" s="44">
        <v>0</v>
      </c>
      <c r="BI166" s="42">
        <f t="shared" si="296"/>
        <v>0</v>
      </c>
      <c r="BJ166" s="44" t="s">
        <v>115</v>
      </c>
      <c r="BK166" s="42" t="str">
        <f t="shared" si="243"/>
        <v>100%</v>
      </c>
      <c r="BL166" s="44">
        <v>1</v>
      </c>
      <c r="BM166" s="42" t="str" cm="1">
        <f t="array" ref="BM166">_xlfn.IFS(BD166="NA","NA",BD166&gt;100%,"100%",BD166&lt;100,BD166)</f>
        <v>100%</v>
      </c>
      <c r="BN166" s="42" cm="1">
        <f t="array" ref="BN166">_xlfn.IFS(BF166="NA","NA",BF166&gt;100%,"100%",BF166&lt;100,BF166)</f>
        <v>0</v>
      </c>
      <c r="BO166" s="42" cm="1">
        <f t="array" ref="BO166">_xlfn.IFS(BH166="NA","NA",BH166&gt;100%,"100%",BH166&lt;100,BH166)</f>
        <v>0</v>
      </c>
      <c r="BP166" s="42" t="str" cm="1">
        <f t="array" ref="BP166">_xlfn.IFS(BJ166="NA","NA",BJ166&gt;100%,"100%",BJ166&lt;100,BJ166)</f>
        <v>NA</v>
      </c>
      <c r="BQ166" s="45">
        <v>0.22500000000000001</v>
      </c>
      <c r="BR166" s="43">
        <f t="shared" si="244"/>
        <v>0.22500000000000001</v>
      </c>
      <c r="BS166" s="45">
        <v>3.3799999999999997E-2</v>
      </c>
      <c r="BT166" s="45">
        <v>3.3799999999999997E-2</v>
      </c>
      <c r="BU166" s="45">
        <v>3.3799999999999997E-2</v>
      </c>
      <c r="BV166" s="43">
        <f t="shared" si="297"/>
        <v>7.8750000000000001E-2</v>
      </c>
      <c r="BW166" s="43">
        <f t="shared" si="245"/>
        <v>7.8750000000000001E-2</v>
      </c>
      <c r="BX166" s="43">
        <f t="shared" si="246"/>
        <v>0.19120000000000001</v>
      </c>
      <c r="BY166" s="43">
        <f t="shared" si="298"/>
        <v>7.8750000000000001E-2</v>
      </c>
      <c r="BZ166" s="43">
        <f t="shared" si="299"/>
        <v>0</v>
      </c>
      <c r="CA166" s="43">
        <f t="shared" si="247"/>
        <v>0</v>
      </c>
      <c r="CB166" s="43">
        <f t="shared" si="300"/>
        <v>3.3750000000000002E-2</v>
      </c>
      <c r="CC166" s="43">
        <f t="shared" si="301"/>
        <v>0</v>
      </c>
      <c r="CD166" s="45">
        <v>0</v>
      </c>
      <c r="CE166" s="43">
        <f t="shared" si="302"/>
        <v>0</v>
      </c>
      <c r="CF166" s="43" t="str">
        <f t="shared" si="303"/>
        <v>NA</v>
      </c>
      <c r="CG166" s="45">
        <v>0</v>
      </c>
    </row>
    <row r="167" spans="1:90" ht="18" customHeight="1">
      <c r="A167" s="260" t="s">
        <v>2938</v>
      </c>
      <c r="B167" s="260" t="s">
        <v>1073</v>
      </c>
      <c r="C167" s="260" t="s">
        <v>100</v>
      </c>
      <c r="D167" s="260" t="s">
        <v>1074</v>
      </c>
      <c r="E167" s="260" t="s">
        <v>1075</v>
      </c>
      <c r="F167" s="260" t="s">
        <v>1076</v>
      </c>
      <c r="G167" s="260" t="s">
        <v>1077</v>
      </c>
      <c r="H167" s="260" t="s">
        <v>1083</v>
      </c>
      <c r="I167" s="260"/>
      <c r="J167" s="260"/>
      <c r="K167" s="260" t="s">
        <v>1084</v>
      </c>
      <c r="L167" s="260" t="s">
        <v>2941</v>
      </c>
      <c r="M167" s="260" t="s">
        <v>2942</v>
      </c>
      <c r="N167" s="260" t="s">
        <v>111</v>
      </c>
      <c r="O167" s="260" t="s">
        <v>112</v>
      </c>
      <c r="P167" s="10">
        <v>0</v>
      </c>
      <c r="Q167" s="11">
        <v>1</v>
      </c>
      <c r="R167" s="9">
        <f t="shared" si="290"/>
        <v>50</v>
      </c>
      <c r="S167" s="11">
        <f>VLOOKUP(K167,'1231 PAZ'!$K$13:$AK$15,9,0)</f>
        <v>0</v>
      </c>
      <c r="T167" s="11">
        <v>0</v>
      </c>
      <c r="U167" s="11">
        <v>0</v>
      </c>
      <c r="V167" s="11">
        <v>0</v>
      </c>
      <c r="W167" s="11">
        <v>0</v>
      </c>
      <c r="X167" s="11">
        <v>0</v>
      </c>
      <c r="Y167" s="11">
        <v>0</v>
      </c>
      <c r="Z167" s="11">
        <v>0</v>
      </c>
      <c r="AA167" s="11"/>
      <c r="AB167" s="11"/>
      <c r="AC167" s="11"/>
      <c r="AD167" s="11">
        <v>0.5</v>
      </c>
      <c r="AE167" s="11">
        <v>0</v>
      </c>
      <c r="AF167" s="11">
        <f>VLOOKUP(K167,'1231 PAZ'!$K$13:$AK$15,22,0)</f>
        <v>50</v>
      </c>
      <c r="AG167" s="11">
        <f>VLOOKUP(K167,'1231 PAZ'!$K$13:$AK$15,23,0)</f>
        <v>0</v>
      </c>
      <c r="AH167" s="9">
        <f t="shared" si="291"/>
        <v>50</v>
      </c>
      <c r="AI167" s="9">
        <f>VLOOKUP(K167,'1231 PAZ'!$K$13:$AK$15,25,0)</f>
        <v>0</v>
      </c>
      <c r="AJ167" s="9" t="str">
        <f>VLOOKUP(K167,'1231 PAZ'!$K$13:$AK$15,26,0)</f>
        <v>Realización de mesas técnicas para la Formulación y presentación de proyectos al mecanismo OXI en los municipios de Paratebueno y Medina, Seguimiento en la presentación de la manifestación de interés para la ejecución del proyecto de Dotación de los CDI en los municipios Zomac (La Palma,  Cabrera, Puli, Viota, Medina),  Alianza con la Fundacion Catalina Muñoz, alcaldia Municipal de Viotá, Fundación Arturo calle, en la gestión de recursos para la  construcción de dos (2) viviendas para la poblacion vulnerable del Departamento de Cundinamarca,  Asistencia Técnica  para fortalecimiento organizacional de las asociaciones en el Departamento de Cundinamarca.
Dotación no fungible para modalidad institucional de CENTROS DE DESARROLLO INFANTIL para el desarrollo integral de primera infancia en 5 municipios ZOMAC, tales como LA PALMA, CABRERA, MEDINA, PULI  Y VIOTA, con cada uno de los municipios se avanza en mesas tecnicas con el fin de aterrizar y estructurar proyecto de inversion mediante el mecanismo OxI, se ejecuto todas las obras mediante el mecanismo OxI por un valor aproximado de gestion no incorporada por 9mil millones de pesos</v>
      </c>
      <c r="AK167" s="9" t="str">
        <f>VLOOKUP(K167,'1231 PAZ'!$K$13:$AK$15,27,0)</f>
        <v>no se ha presentado dificultades para el cumplimiento de la meta</v>
      </c>
      <c r="AL167" s="11">
        <v>0.35</v>
      </c>
      <c r="AM167" s="11">
        <v>0</v>
      </c>
      <c r="AN167" s="11">
        <v>0.15</v>
      </c>
      <c r="AO167" s="11">
        <v>0</v>
      </c>
      <c r="AP167" s="11">
        <v>0</v>
      </c>
      <c r="AQ167" s="11">
        <v>0</v>
      </c>
      <c r="AR167" s="52"/>
      <c r="AS167" s="54">
        <v>0</v>
      </c>
      <c r="AT167" s="54">
        <f t="shared" si="242"/>
        <v>0</v>
      </c>
      <c r="AU167" s="52"/>
      <c r="AV167" s="89">
        <v>189215328</v>
      </c>
      <c r="AY167" s="89">
        <v>152600000</v>
      </c>
      <c r="AZ167" s="42">
        <f t="shared" si="292"/>
        <v>50</v>
      </c>
      <c r="BA167" s="44">
        <v>0</v>
      </c>
      <c r="BB167" s="44" t="s">
        <v>115</v>
      </c>
      <c r="BC167" s="42">
        <f t="shared" si="293"/>
        <v>0.5</v>
      </c>
      <c r="BD167" s="42" cm="1">
        <f t="array" ref="BD167">_xlfn.IFS(AD167=0,"NA",AD167&gt;0,AH167/AD167)</f>
        <v>100</v>
      </c>
      <c r="BE167" s="42">
        <f t="shared" si="294"/>
        <v>0.35</v>
      </c>
      <c r="BF167" s="44">
        <v>0</v>
      </c>
      <c r="BG167" s="42">
        <f t="shared" si="295"/>
        <v>0.15</v>
      </c>
      <c r="BH167" s="44">
        <v>0</v>
      </c>
      <c r="BI167" s="42">
        <f t="shared" si="296"/>
        <v>0</v>
      </c>
      <c r="BJ167" s="44" t="s">
        <v>115</v>
      </c>
      <c r="BK167" s="42" t="str">
        <f t="shared" si="243"/>
        <v>100%</v>
      </c>
      <c r="BL167" s="44" t="s">
        <v>115</v>
      </c>
      <c r="BM167" s="42" t="str" cm="1">
        <f t="array" ref="BM167">_xlfn.IFS(BD167="NA","NA",BD167&gt;100%,"100%",BD167&lt;100,BD167)</f>
        <v>100%</v>
      </c>
      <c r="BN167" s="42" cm="1">
        <f t="array" ref="BN167">_xlfn.IFS(BF167="NA","NA",BF167&gt;100%,"100%",BF167&lt;100,BF167)</f>
        <v>0</v>
      </c>
      <c r="BO167" s="42" cm="1">
        <f t="array" ref="BO167">_xlfn.IFS(BH167="NA","NA",BH167&gt;100%,"100%",BH167&lt;100,BH167)</f>
        <v>0</v>
      </c>
      <c r="BP167" s="42" t="str" cm="1">
        <f t="array" ref="BP167">_xlfn.IFS(BJ167="NA","NA",BJ167&gt;100%,"100%",BJ167&lt;100,BJ167)</f>
        <v>NA</v>
      </c>
      <c r="BQ167" s="45">
        <v>0.22500000000000001</v>
      </c>
      <c r="BR167" s="43">
        <f t="shared" si="244"/>
        <v>0.22500000000000001</v>
      </c>
      <c r="BS167" s="45">
        <v>0</v>
      </c>
      <c r="BT167" s="45" t="s">
        <v>115</v>
      </c>
      <c r="BU167" s="45">
        <v>0</v>
      </c>
      <c r="BV167" s="43">
        <f t="shared" si="297"/>
        <v>0.1125</v>
      </c>
      <c r="BW167" s="43">
        <f t="shared" si="245"/>
        <v>0.1125</v>
      </c>
      <c r="BX167" s="43">
        <f t="shared" si="246"/>
        <v>0.22500000000000001</v>
      </c>
      <c r="BY167" s="43">
        <f t="shared" si="298"/>
        <v>7.8750000000000001E-2</v>
      </c>
      <c r="BZ167" s="43">
        <f t="shared" si="299"/>
        <v>0</v>
      </c>
      <c r="CA167" s="43">
        <f t="shared" si="247"/>
        <v>0</v>
      </c>
      <c r="CB167" s="43">
        <f t="shared" si="300"/>
        <v>3.3750000000000002E-2</v>
      </c>
      <c r="CC167" s="43">
        <f t="shared" si="301"/>
        <v>0</v>
      </c>
      <c r="CD167" s="45">
        <v>0</v>
      </c>
      <c r="CE167" s="43">
        <f t="shared" si="302"/>
        <v>0</v>
      </c>
      <c r="CF167" s="43" t="str">
        <f t="shared" si="303"/>
        <v>NA</v>
      </c>
      <c r="CG167" s="45">
        <v>0</v>
      </c>
    </row>
    <row r="168" spans="1:90" ht="18" customHeight="1">
      <c r="A168" s="260" t="s">
        <v>2938</v>
      </c>
      <c r="B168" s="260" t="s">
        <v>1073</v>
      </c>
      <c r="C168" s="260" t="s">
        <v>100</v>
      </c>
      <c r="D168" s="260" t="s">
        <v>1074</v>
      </c>
      <c r="E168" s="260" t="s">
        <v>1075</v>
      </c>
      <c r="F168" s="260" t="s">
        <v>1076</v>
      </c>
      <c r="G168" s="260" t="s">
        <v>1077</v>
      </c>
      <c r="H168" s="260" t="s">
        <v>1087</v>
      </c>
      <c r="I168" s="260"/>
      <c r="J168" s="260"/>
      <c r="K168" s="260" t="s">
        <v>1088</v>
      </c>
      <c r="L168" s="260" t="s">
        <v>1089</v>
      </c>
      <c r="M168" s="260" t="s">
        <v>1090</v>
      </c>
      <c r="N168" s="260" t="s">
        <v>111</v>
      </c>
      <c r="O168" s="260" t="s">
        <v>112</v>
      </c>
      <c r="P168" s="10">
        <v>15</v>
      </c>
      <c r="Q168" s="11">
        <v>15</v>
      </c>
      <c r="R168" s="9">
        <f t="shared" si="290"/>
        <v>6</v>
      </c>
      <c r="S168" s="11" t="str">
        <f>VLOOKUP(K168,'1231 PAZ'!$K$13:$AK$15,9,0)</f>
        <v>Se diseñó proyecto de formación Se estableció articulación con JEP y FARC para la implementación de los TOAR con el acompañamiento de la ARN y misión de observación de la ONU.</v>
      </c>
      <c r="T168" s="11">
        <v>1</v>
      </c>
      <c r="U168" s="11">
        <v>0</v>
      </c>
      <c r="V168" s="11">
        <v>1</v>
      </c>
      <c r="W168" s="11">
        <v>0</v>
      </c>
      <c r="X168" s="11">
        <v>1</v>
      </c>
      <c r="Y168" s="11">
        <v>0</v>
      </c>
      <c r="Z168" s="11">
        <v>1</v>
      </c>
      <c r="AA168" s="11">
        <v>0</v>
      </c>
      <c r="AB168" s="11" t="s">
        <v>1091</v>
      </c>
      <c r="AC168" s="11">
        <v>0</v>
      </c>
      <c r="AD168" s="11">
        <v>6</v>
      </c>
      <c r="AE168" s="11">
        <v>0</v>
      </c>
      <c r="AF168" s="11">
        <f>VLOOKUP(K168,'1231 PAZ'!$K$13:$AK$15,22,0)</f>
        <v>5</v>
      </c>
      <c r="AG168" s="11">
        <f>VLOOKUP(K168,'1231 PAZ'!$K$13:$AK$15,23,0)</f>
        <v>0</v>
      </c>
      <c r="AH168" s="9">
        <f t="shared" si="291"/>
        <v>5</v>
      </c>
      <c r="AI168" s="9">
        <f>VLOOKUP(K168,'1231 PAZ'!$K$13:$AK$15,25,0)</f>
        <v>0</v>
      </c>
      <c r="AJ168" s="9" t="str">
        <f>VLOOKUP(K168,'1231 PAZ'!$K$13:$AK$15,26,0)</f>
        <v xml:space="preserve">Asistencia técnica para la formulación de proyectos, Acompañamiento a la presentación de proyectos TOAR ante la JEP Acompañamiento y asesoría de los informes destino JEP, </v>
      </c>
      <c r="AK168" s="9">
        <f>VLOOKUP(K168,'1231 PAZ'!$K$13:$AK$15,27,0)</f>
        <v>0</v>
      </c>
      <c r="AL168" s="11">
        <v>6</v>
      </c>
      <c r="AM168" s="11">
        <v>0</v>
      </c>
      <c r="AN168" s="11">
        <v>2</v>
      </c>
      <c r="AO168" s="11">
        <v>0</v>
      </c>
      <c r="AP168" s="11">
        <v>0</v>
      </c>
      <c r="AQ168" s="11">
        <v>0</v>
      </c>
      <c r="AR168" s="51">
        <v>12930000</v>
      </c>
      <c r="AS168" s="54">
        <v>0</v>
      </c>
      <c r="AT168" s="54">
        <f t="shared" si="242"/>
        <v>12930000</v>
      </c>
      <c r="AU168" s="51">
        <v>12930000</v>
      </c>
      <c r="AV168" s="89">
        <v>201769216</v>
      </c>
      <c r="AY168" s="89">
        <v>161500000</v>
      </c>
      <c r="AZ168" s="42">
        <f t="shared" si="292"/>
        <v>0.4</v>
      </c>
      <c r="BA168" s="44">
        <v>6.6699999999999995E-2</v>
      </c>
      <c r="BB168" s="44">
        <v>1</v>
      </c>
      <c r="BC168" s="42">
        <f t="shared" si="293"/>
        <v>0.4</v>
      </c>
      <c r="BD168" s="42" cm="1">
        <f t="array" ref="BD168">_xlfn.IFS(AD168=0,"NA",AD168&gt;0,AH168/AD168)</f>
        <v>0.83333333333333337</v>
      </c>
      <c r="BE168" s="42">
        <f t="shared" si="294"/>
        <v>0.4</v>
      </c>
      <c r="BF168" s="44">
        <v>0</v>
      </c>
      <c r="BG168" s="42">
        <f t="shared" si="295"/>
        <v>0.13333333333333333</v>
      </c>
      <c r="BH168" s="44">
        <v>0</v>
      </c>
      <c r="BI168" s="42">
        <f t="shared" si="296"/>
        <v>0</v>
      </c>
      <c r="BJ168" s="44" t="s">
        <v>115</v>
      </c>
      <c r="BK168" s="42">
        <f t="shared" si="243"/>
        <v>0.4</v>
      </c>
      <c r="BL168" s="44">
        <v>1</v>
      </c>
      <c r="BM168" s="42" cm="1">
        <f t="array" ref="BM168">_xlfn.IFS(BD168="NA","NA",BD168&gt;100%,"100%",BD168&lt;100,BD168)</f>
        <v>0.83333333333333337</v>
      </c>
      <c r="BN168" s="42" cm="1">
        <f t="array" ref="BN168">_xlfn.IFS(BF168="NA","NA",BF168&gt;100%,"100%",BF168&lt;100,BF168)</f>
        <v>0</v>
      </c>
      <c r="BO168" s="42" cm="1">
        <f t="array" ref="BO168">_xlfn.IFS(BH168="NA","NA",BH168&gt;100%,"100%",BH168&lt;100,BH168)</f>
        <v>0</v>
      </c>
      <c r="BP168" s="42" t="str" cm="1">
        <f t="array" ref="BP168">_xlfn.IFS(BJ168="NA","NA",BJ168&gt;100%,"100%",BJ168&lt;100,BJ168)</f>
        <v>NA</v>
      </c>
      <c r="BQ168" s="45">
        <v>0.22500000000000001</v>
      </c>
      <c r="BR168" s="43">
        <f t="shared" si="244"/>
        <v>9.0000000000000011E-2</v>
      </c>
      <c r="BS168" s="45">
        <v>1.4999999999999999E-2</v>
      </c>
      <c r="BT168" s="45">
        <v>1.4999999999999999E-2</v>
      </c>
      <c r="BU168" s="45">
        <v>1.4999999999999999E-2</v>
      </c>
      <c r="BV168" s="43">
        <f t="shared" si="297"/>
        <v>9.0000000000000011E-2</v>
      </c>
      <c r="BW168" s="43">
        <f t="shared" si="245"/>
        <v>7.5000000000000011E-2</v>
      </c>
      <c r="BX168" s="43">
        <f t="shared" si="246"/>
        <v>7.5000000000000011E-2</v>
      </c>
      <c r="BY168" s="43">
        <f t="shared" si="298"/>
        <v>9.0000000000000011E-2</v>
      </c>
      <c r="BZ168" s="43">
        <f t="shared" si="299"/>
        <v>0</v>
      </c>
      <c r="CA168" s="43">
        <f t="shared" si="247"/>
        <v>0</v>
      </c>
      <c r="CB168" s="43">
        <f t="shared" si="300"/>
        <v>3.0000000000000002E-2</v>
      </c>
      <c r="CC168" s="43">
        <f t="shared" si="301"/>
        <v>0</v>
      </c>
      <c r="CD168" s="45">
        <v>0</v>
      </c>
      <c r="CE168" s="43">
        <f t="shared" si="302"/>
        <v>0</v>
      </c>
      <c r="CF168" s="43" t="str">
        <f t="shared" si="303"/>
        <v>NA</v>
      </c>
      <c r="CG168" s="45">
        <v>0</v>
      </c>
    </row>
    <row r="169" spans="1:90" ht="18" customHeight="1">
      <c r="A169" s="260" t="s">
        <v>248</v>
      </c>
      <c r="B169" s="260" t="s">
        <v>249</v>
      </c>
      <c r="C169" s="260" t="s">
        <v>100</v>
      </c>
      <c r="D169" s="260" t="s">
        <v>1074</v>
      </c>
      <c r="E169" s="260" t="s">
        <v>1075</v>
      </c>
      <c r="F169" s="260" t="s">
        <v>1076</v>
      </c>
      <c r="G169" s="260" t="s">
        <v>1077</v>
      </c>
      <c r="H169" s="260" t="s">
        <v>1092</v>
      </c>
      <c r="I169" s="260"/>
      <c r="J169" s="260"/>
      <c r="K169" s="260" t="s">
        <v>1093</v>
      </c>
      <c r="L169" s="260" t="s">
        <v>1094</v>
      </c>
      <c r="M169" s="260" t="s">
        <v>1095</v>
      </c>
      <c r="N169" s="260" t="s">
        <v>111</v>
      </c>
      <c r="O169" s="260" t="s">
        <v>112</v>
      </c>
      <c r="P169" s="10">
        <v>40</v>
      </c>
      <c r="Q169" s="11">
        <v>40</v>
      </c>
      <c r="R169" s="9">
        <f t="shared" si="290"/>
        <v>20</v>
      </c>
      <c r="S169" s="11" t="str">
        <f>VLOOKUP(K169,'1208 Indeportes'!$K$13:$AK$39,9,0)</f>
        <v>La meta se encuentra en ejecución. Se han contratado monitores para llevar a cabo el desarrollo de esta meta. PRESTACIÓN DE SERVICIOS PARA DESARROLLAR ACTIVIDADES COMO PROMOTOR MUNICIPAL EN LA ESTRATEGIA “TODOS POR COLOMBIA" SEGUN CONVENIO COID N° 527-2020 MINISTERIO DEL DEPORTE. Se suscribió un convenio con el Ministerio del Deporte: COFINANCIACIÓN CONVENIO PARA EL DESARROLLO DEL PROYECTO DE RECREACIÓN, CON EL MINISTERIO DEL DEPORTE.Se contrató la logística para llevar a cabo esta meta: GERENCIA INTEGRAL DE PROYECTOS PARA LA PLANEACIÓN, ADMINISTRACIÓN Y EJECUCIÓN DE ACCIONES TENDIENTES A MEJORAR LA CALIDAD, LA COMPETITIVIDAD Y LA PROMOCIÓN DEL DEPORTE EN CUNDINAMARCA, DE ACUERDO CON LOS LINEAMIENTOS DEL PLAN DE DESARROLLO “CUNDINAMARCA REGIÓN QUE PROGRESA"</v>
      </c>
      <c r="T169" s="11">
        <v>5</v>
      </c>
      <c r="U169" s="11">
        <v>0</v>
      </c>
      <c r="V169" s="11">
        <v>5</v>
      </c>
      <c r="W169" s="11">
        <v>0</v>
      </c>
      <c r="X169" s="11">
        <v>7</v>
      </c>
      <c r="Y169" s="11">
        <v>0</v>
      </c>
      <c r="Z169" s="11">
        <v>7</v>
      </c>
      <c r="AA169" s="11">
        <v>0</v>
      </c>
      <c r="AB169" s="11" t="s">
        <v>1096</v>
      </c>
      <c r="AC169" s="11">
        <v>0</v>
      </c>
      <c r="AD169" s="11">
        <v>12</v>
      </c>
      <c r="AE169" s="11">
        <v>0</v>
      </c>
      <c r="AF169" s="11">
        <f>VLOOKUP(K169,'1208 Indeportes'!$K$13:$AH$39,22,0)</f>
        <v>13</v>
      </c>
      <c r="AG169" s="11">
        <f>VLOOKUP(K169,'1208 Indeportes'!$K$13:$AH$39,23,0)</f>
        <v>0</v>
      </c>
      <c r="AH169" s="9">
        <f t="shared" si="291"/>
        <v>13</v>
      </c>
      <c r="AI169" s="9">
        <f>VLOOKUP(K169,'1208 Indeportes'!$K$13:$AK$39,25,0)</f>
        <v>0</v>
      </c>
      <c r="AJ169" s="9" t="str">
        <f>VLOOKUP(K169,'1208 Indeportes'!$K$13:$AK$39,26,0)</f>
        <v xml:space="preserve">En el mes de septiembre realizamos reunión con la mesa departamental de participación de víctimas del conflicto armado, para definir el cronograma de ejecución de la meta de producto.
El 9 de septiembre se realizó evento dirigido a los niños y niñas víctimas del conflicto armado en el parque Mundo Aventura, con una participación de 250 niños, niñas jóvenes y adolescentes, provenientes de los municipios de: San Juan de Rioseco, Sesquilé, Agua de Dios, Guaduas, Fómeque, Nocaima, Pacho, Vergara, Viotá y Vianí.
En el mes de octubre realizamos eventos deportivos y recreativos con la población víctima del conflicto armado de los municipios de Gama, Chocontá, San Juan de Rioseco y Cambao, Une, Zipacón, Supatá, Beltrán, Guataquí y Caparrapí.
En el mes de noviembre realizamos eventos deportivos y recreativos con la población víctima del conflicto armado de los municipios de Quipile, Cabrera y Silvania. Se tiene programado realizar el último evento en el municipio del Peñón el 09 de diciembre.
</v>
      </c>
      <c r="AK169" s="9">
        <f>VLOOKUP(K169,'1208 Indeportes'!$K$13:$AK$39,27,0)</f>
        <v>0</v>
      </c>
      <c r="AL169" s="11">
        <v>10</v>
      </c>
      <c r="AM169" s="11">
        <v>0</v>
      </c>
      <c r="AN169" s="11">
        <v>11</v>
      </c>
      <c r="AO169" s="11">
        <v>0</v>
      </c>
      <c r="AP169" s="11">
        <v>0</v>
      </c>
      <c r="AQ169" s="11">
        <v>0</v>
      </c>
      <c r="AR169" s="51">
        <v>212085085</v>
      </c>
      <c r="AS169" s="54">
        <v>0</v>
      </c>
      <c r="AT169" s="54">
        <f t="shared" si="242"/>
        <v>212085085</v>
      </c>
      <c r="AU169" s="51">
        <v>79978296</v>
      </c>
      <c r="AV169" s="89">
        <v>80000000</v>
      </c>
      <c r="AY169" s="89">
        <v>0</v>
      </c>
      <c r="AZ169" s="42">
        <f t="shared" si="292"/>
        <v>0.5</v>
      </c>
      <c r="BA169" s="44">
        <v>0.125</v>
      </c>
      <c r="BB169" s="44">
        <v>1.4</v>
      </c>
      <c r="BC169" s="42">
        <f t="shared" si="293"/>
        <v>0.3</v>
      </c>
      <c r="BD169" s="42" cm="1">
        <f t="array" ref="BD169">_xlfn.IFS(AD169=0,"NA",AD169&gt;0,AH169/AD169)</f>
        <v>1.0833333333333333</v>
      </c>
      <c r="BE169" s="42">
        <f t="shared" si="294"/>
        <v>0.25</v>
      </c>
      <c r="BF169" s="44">
        <v>0</v>
      </c>
      <c r="BG169" s="42">
        <f t="shared" si="295"/>
        <v>0.27500000000000002</v>
      </c>
      <c r="BH169" s="44">
        <v>0</v>
      </c>
      <c r="BI169" s="42">
        <f t="shared" si="296"/>
        <v>0</v>
      </c>
      <c r="BJ169" s="44" t="s">
        <v>115</v>
      </c>
      <c r="BK169" s="42">
        <f t="shared" si="243"/>
        <v>0.5</v>
      </c>
      <c r="BL169" s="44">
        <v>1</v>
      </c>
      <c r="BM169" s="42" t="str" cm="1">
        <f t="array" ref="BM169">_xlfn.IFS(BD169="NA","NA",BD169&gt;100%,"100%",BD169&lt;100,BD169)</f>
        <v>100%</v>
      </c>
      <c r="BN169" s="42" cm="1">
        <f t="array" ref="BN169">_xlfn.IFS(BF169="NA","NA",BF169&gt;100%,"100%",BF169&lt;100,BF169)</f>
        <v>0</v>
      </c>
      <c r="BO169" s="42" cm="1">
        <f t="array" ref="BO169">_xlfn.IFS(BH169="NA","NA",BH169&gt;100%,"100%",BH169&lt;100,BH169)</f>
        <v>0</v>
      </c>
      <c r="BP169" s="42" t="str" cm="1">
        <f t="array" ref="BP169">_xlfn.IFS(BJ169="NA","NA",BJ169&gt;100%,"100%",BJ169&lt;100,BJ169)</f>
        <v>NA</v>
      </c>
      <c r="BQ169" s="45">
        <v>0.22500000000000001</v>
      </c>
      <c r="BR169" s="43">
        <f t="shared" si="244"/>
        <v>0.1125</v>
      </c>
      <c r="BS169" s="45">
        <v>2.81E-2</v>
      </c>
      <c r="BT169" s="45">
        <v>2.81E-2</v>
      </c>
      <c r="BU169" s="45">
        <v>3.9399999999999998E-2</v>
      </c>
      <c r="BV169" s="43">
        <f t="shared" si="297"/>
        <v>6.7500000000000004E-2</v>
      </c>
      <c r="BW169" s="43">
        <f t="shared" si="245"/>
        <v>6.7500000000000004E-2</v>
      </c>
      <c r="BX169" s="43">
        <f t="shared" si="246"/>
        <v>7.3099999999999998E-2</v>
      </c>
      <c r="BY169" s="43">
        <f t="shared" si="298"/>
        <v>5.6250000000000001E-2</v>
      </c>
      <c r="BZ169" s="43">
        <f t="shared" si="299"/>
        <v>0</v>
      </c>
      <c r="CA169" s="43">
        <f t="shared" si="247"/>
        <v>0</v>
      </c>
      <c r="CB169" s="43">
        <f t="shared" si="300"/>
        <v>6.1874999999999999E-2</v>
      </c>
      <c r="CC169" s="43">
        <f t="shared" si="301"/>
        <v>0</v>
      </c>
      <c r="CD169" s="45">
        <v>0</v>
      </c>
      <c r="CE169" s="43">
        <f t="shared" si="302"/>
        <v>0</v>
      </c>
      <c r="CF169" s="43" t="str">
        <f t="shared" si="303"/>
        <v>NA</v>
      </c>
      <c r="CG169" s="45">
        <v>0</v>
      </c>
    </row>
    <row r="170" spans="1:90" ht="18" customHeight="1">
      <c r="A170" s="260" t="s">
        <v>992</v>
      </c>
      <c r="B170" s="260" t="s">
        <v>993</v>
      </c>
      <c r="C170" s="260" t="s">
        <v>100</v>
      </c>
      <c r="D170" s="260" t="s">
        <v>1074</v>
      </c>
      <c r="E170" s="260" t="s">
        <v>1075</v>
      </c>
      <c r="F170" s="260" t="s">
        <v>1076</v>
      </c>
      <c r="G170" s="260" t="s">
        <v>1077</v>
      </c>
      <c r="H170" s="260" t="s">
        <v>1097</v>
      </c>
      <c r="I170" s="260"/>
      <c r="J170" s="260"/>
      <c r="K170" s="260" t="s">
        <v>1098</v>
      </c>
      <c r="L170" s="260" t="s">
        <v>1099</v>
      </c>
      <c r="M170" s="260" t="s">
        <v>1090</v>
      </c>
      <c r="N170" s="260" t="s">
        <v>111</v>
      </c>
      <c r="O170" s="260" t="s">
        <v>112</v>
      </c>
      <c r="P170" s="10">
        <v>3</v>
      </c>
      <c r="Q170" s="11">
        <v>12</v>
      </c>
      <c r="R170" s="9">
        <f t="shared" si="290"/>
        <v>0</v>
      </c>
      <c r="S170" s="11" t="str">
        <f>VLOOKUP(K170,'1105 Gobierno'!$K$12:$AK$31,9,0)</f>
        <v>Se ajustó y actualizó la estrategia de reconstrucción del tejido social al marco del posconflicto y la memoria histórica. El logro ha sido la articulación interinstitucional con la Agencia de Cundinamarca para la Paz y el Posconflicto para que la estrategia sea integral así como la presentación ante la mesa departamental de víctimas para aprobar la estrategia.</v>
      </c>
      <c r="T170" s="11">
        <v>0</v>
      </c>
      <c r="U170" s="11">
        <v>0</v>
      </c>
      <c r="V170" s="11">
        <v>0</v>
      </c>
      <c r="W170" s="11">
        <v>0</v>
      </c>
      <c r="X170" s="11">
        <v>0</v>
      </c>
      <c r="Y170" s="11">
        <v>0</v>
      </c>
      <c r="Z170" s="11">
        <v>0</v>
      </c>
      <c r="AA170" s="11">
        <v>0</v>
      </c>
      <c r="AB170" s="11" t="s">
        <v>1100</v>
      </c>
      <c r="AC170" s="11" t="s">
        <v>1101</v>
      </c>
      <c r="AD170" s="11">
        <v>3</v>
      </c>
      <c r="AE170" s="11">
        <v>0</v>
      </c>
      <c r="AF170" s="11">
        <f>VLOOKUP(K170,'1105 Gobierno'!$K$12:$AK$31,22,0)</f>
        <v>0</v>
      </c>
      <c r="AG170" s="11" t="str">
        <f>VLOOKUP(K170,'1105 Gobierno'!$K$12:$AK$31,23,0)</f>
        <v> </v>
      </c>
      <c r="AH170" s="9">
        <f t="shared" si="291"/>
        <v>0</v>
      </c>
      <c r="AI170" s="9" t="str">
        <f>VLOOKUP(K170,'1105 Gobierno'!$K$12:$AK$31,25,0)</f>
        <v xml:space="preserve">Asistencia técnica </v>
      </c>
      <c r="AJ170" s="9" t="str">
        <f>VLOOKUP(K170,'1105 Gobierno'!$K$12:$AK$31,26,0)</f>
        <v>Implementar la estrategia de tejido social, en el marco del posconflicto y memoria historica.</v>
      </c>
      <c r="AK170" s="9">
        <f>VLOOKUP(K170,'1105 Gobierno'!$K$12:$AK$31,27,0)</f>
        <v>0</v>
      </c>
      <c r="AL170" s="11">
        <v>5</v>
      </c>
      <c r="AM170" s="11">
        <v>0</v>
      </c>
      <c r="AN170" s="11">
        <v>4</v>
      </c>
      <c r="AO170" s="11">
        <v>0</v>
      </c>
      <c r="AP170" s="11">
        <v>0</v>
      </c>
      <c r="AQ170" s="11">
        <v>0</v>
      </c>
      <c r="AR170" s="51">
        <v>8960016</v>
      </c>
      <c r="AS170" s="54">
        <v>0</v>
      </c>
      <c r="AT170" s="54">
        <f t="shared" si="242"/>
        <v>8960016</v>
      </c>
      <c r="AU170" s="51">
        <v>8960016</v>
      </c>
      <c r="AV170" s="89">
        <v>100000000</v>
      </c>
      <c r="AY170" s="89">
        <v>0</v>
      </c>
      <c r="AZ170" s="42">
        <f t="shared" si="292"/>
        <v>0</v>
      </c>
      <c r="BA170" s="44">
        <v>0</v>
      </c>
      <c r="BB170" s="44" t="s">
        <v>115</v>
      </c>
      <c r="BC170" s="42">
        <f t="shared" si="293"/>
        <v>0.25</v>
      </c>
      <c r="BD170" s="42" cm="1">
        <f t="array" ref="BD170">_xlfn.IFS(AD170=0,"NA",AD170&gt;0,AH170/AD170)</f>
        <v>0</v>
      </c>
      <c r="BE170" s="42">
        <f t="shared" si="294"/>
        <v>0.41666666666666669</v>
      </c>
      <c r="BF170" s="44">
        <v>0</v>
      </c>
      <c r="BG170" s="42">
        <f t="shared" si="295"/>
        <v>0.33333333333333331</v>
      </c>
      <c r="BH170" s="44">
        <v>0</v>
      </c>
      <c r="BI170" s="42">
        <f t="shared" si="296"/>
        <v>0</v>
      </c>
      <c r="BJ170" s="44" t="s">
        <v>115</v>
      </c>
      <c r="BK170" s="42">
        <f t="shared" si="243"/>
        <v>0</v>
      </c>
      <c r="BL170" s="44" t="s">
        <v>115</v>
      </c>
      <c r="BM170" s="42" cm="1">
        <f t="array" ref="BM170">_xlfn.IFS(BD170="NA","NA",BD170&gt;100%,"100%",BD170&lt;100,BD170)</f>
        <v>0</v>
      </c>
      <c r="BN170" s="42" cm="1">
        <f t="array" ref="BN170">_xlfn.IFS(BF170="NA","NA",BF170&gt;100%,"100%",BF170&lt;100,BF170)</f>
        <v>0</v>
      </c>
      <c r="BO170" s="42" cm="1">
        <f t="array" ref="BO170">_xlfn.IFS(BH170="NA","NA",BH170&gt;100%,"100%",BH170&lt;100,BH170)</f>
        <v>0</v>
      </c>
      <c r="BP170" s="42" t="str" cm="1">
        <f t="array" ref="BP170">_xlfn.IFS(BJ170="NA","NA",BJ170&gt;100%,"100%",BJ170&lt;100,BJ170)</f>
        <v>NA</v>
      </c>
      <c r="BQ170" s="45">
        <v>0.22500000000000001</v>
      </c>
      <c r="BR170" s="43">
        <f t="shared" si="244"/>
        <v>0</v>
      </c>
      <c r="BS170" s="45">
        <v>0</v>
      </c>
      <c r="BT170" s="45" t="s">
        <v>115</v>
      </c>
      <c r="BU170" s="45">
        <v>0</v>
      </c>
      <c r="BV170" s="43">
        <f t="shared" si="297"/>
        <v>5.6250000000000001E-2</v>
      </c>
      <c r="BW170" s="43">
        <f t="shared" si="245"/>
        <v>0</v>
      </c>
      <c r="BX170" s="43">
        <f t="shared" si="246"/>
        <v>0</v>
      </c>
      <c r="BY170" s="43">
        <f t="shared" si="298"/>
        <v>9.375E-2</v>
      </c>
      <c r="BZ170" s="43">
        <f t="shared" si="299"/>
        <v>0</v>
      </c>
      <c r="CA170" s="43">
        <f t="shared" si="247"/>
        <v>0</v>
      </c>
      <c r="CB170" s="43">
        <f t="shared" si="300"/>
        <v>7.4999999999999997E-2</v>
      </c>
      <c r="CC170" s="43">
        <f t="shared" si="301"/>
        <v>0</v>
      </c>
      <c r="CD170" s="45">
        <v>0</v>
      </c>
      <c r="CE170" s="43">
        <f t="shared" si="302"/>
        <v>0</v>
      </c>
      <c r="CF170" s="43" t="str">
        <f t="shared" si="303"/>
        <v>NA</v>
      </c>
      <c r="CG170" s="45">
        <v>0</v>
      </c>
    </row>
    <row r="171" spans="1:90" ht="18" customHeight="1">
      <c r="A171" s="260" t="s">
        <v>992</v>
      </c>
      <c r="B171" s="260" t="s">
        <v>993</v>
      </c>
      <c r="C171" s="260" t="s">
        <v>100</v>
      </c>
      <c r="D171" s="260" t="s">
        <v>1074</v>
      </c>
      <c r="E171" s="260" t="s">
        <v>1075</v>
      </c>
      <c r="F171" s="260" t="s">
        <v>1076</v>
      </c>
      <c r="G171" s="260" t="s">
        <v>1077</v>
      </c>
      <c r="H171" s="260" t="s">
        <v>1102</v>
      </c>
      <c r="I171" s="260"/>
      <c r="J171" s="260"/>
      <c r="K171" s="260" t="s">
        <v>1103</v>
      </c>
      <c r="L171" s="260" t="s">
        <v>1104</v>
      </c>
      <c r="M171" s="260" t="s">
        <v>1105</v>
      </c>
      <c r="N171" s="260" t="s">
        <v>123</v>
      </c>
      <c r="O171" s="260" t="s">
        <v>124</v>
      </c>
      <c r="P171" s="10">
        <v>100</v>
      </c>
      <c r="Q171" s="11">
        <v>100</v>
      </c>
      <c r="R171" s="11">
        <f t="shared" ref="R171:R173" si="304">(Z171+AH171)/CL171</f>
        <v>50</v>
      </c>
      <c r="S171" s="11" t="str">
        <f>VLOOKUP(K171,'1105 Gobierno'!$K$12:$AK$31,9,0)</f>
        <v xml:space="preserve">Se realizó asistencia técnica a 360 funcionarios de los 116 municipios en las plataformas de información de la política pública de víctimas, dando a conocer los lineamientos de la política e impartiendo directrices normativas y el acompañamiento a los planes de prevención y protección de los 116 municipios junto con su caracterización. A través de la capacitación de 116 municipios en temas de sistemas de información, se fortaleció el departamento en herramientas digitales como son RUSICST, tablero PAT Vivanto, PAT, herramienta de caracterización y SIGO. De igual forma, se acompañaron 6 municipios en jornadas de caracterización con todos los protocolos de bioseguridad (Chaguaní, Vianí, Topaipí, Cabrera, Gutiérrez y Soacha). A su vez, se realizó el acompañamiento a los planes de prevención y protección a los 116 municipios. Asimismo se está realizando la actualización del plan de contigencia del departamento el cual está para su aprobación en el marco del subcomité de prevención y protección de no repetición. Adicional a ello se ha canalizado 25 solicitudes de presuntas amenazas de activación de ruta y la impresión de 500 cartillas de la ruta de prevención y protección en el departamento . </v>
      </c>
      <c r="T171" s="11">
        <v>0</v>
      </c>
      <c r="U171" s="11">
        <v>100</v>
      </c>
      <c r="V171" s="11">
        <v>0</v>
      </c>
      <c r="W171" s="11">
        <v>100</v>
      </c>
      <c r="X171" s="11" t="s">
        <v>115</v>
      </c>
      <c r="Y171" s="11">
        <v>100</v>
      </c>
      <c r="Z171" s="11">
        <v>100</v>
      </c>
      <c r="AA171" s="11" t="s">
        <v>1106</v>
      </c>
      <c r="AB171" s="11" t="s">
        <v>1107</v>
      </c>
      <c r="AC171" s="11" t="s">
        <v>1108</v>
      </c>
      <c r="AD171" s="11">
        <v>0</v>
      </c>
      <c r="AE171" s="11">
        <v>100</v>
      </c>
      <c r="AF171" s="11" t="str">
        <f>VLOOKUP(K171,'1105 Gobierno'!$K$12:$AK$31,22,0)</f>
        <v> </v>
      </c>
      <c r="AG171" s="11">
        <f>VLOOKUP(K171,'1105 Gobierno'!$K$12:$AK$31,23,0)</f>
        <v>100</v>
      </c>
      <c r="AH171" s="11">
        <f t="shared" ref="AH171:AH173" si="305">AG171</f>
        <v>100</v>
      </c>
      <c r="AI171" s="9" t="str">
        <f>VLOOKUP(K171,'1105 Gobierno'!$K$12:$AK$31,25,0)</f>
        <v xml:space="preserve">Solicitudes atentidas </v>
      </c>
      <c r="AJ171" s="9" t="str">
        <f>VLOOKUP(K171,'1105 Gobierno'!$K$12:$AK$31,26,0)</f>
        <v>Se realizó actualización del plan de contigencia del departamento el cual está para su aprobación en el marco del subcomité de prevención y protección de no repetición.  Adicional a ello se ha canalizado 25 solicitudes de presuntas amenazas de activación de ruta y la impresión de 500 cartillas de la ruta de prevención y protección en el departamento. Se realizo capacitación a la vez que se entrego cartillas como refuerzo de la inducción.  Se realizo seguimiento a alerta temprana 010 - 21 y  Se celebró el Segundo Subcomité de Prevención y Protección de Garantías de no Repetición. Se celebró la Sexta Sesón de la Mesa Técnica de Amanezados y se llevo a cabo seguimiento a alerta temprana 010 - 21, los Municipios beneficiados fueron Mosquera, Funza, Cota, Chía, Sopo, La Calera, Guasca, Choachií Ubaque, chipaque, se solicitaron los CDP Número: 7100011759 $31231847  - 7100012018 $31231847  - 7100012387 $ 4984281 - 7100015863 $ 7552025, con el fin de asesorias, asistencias tecnicas en la formulacion y actualizacion de los planes de prevencion, proteccion y de contingencia de los municipios y del departamento, Acompañamiento y asesoramiento a Comites de Justicia Transicional, Impresión y publicación documentos.</v>
      </c>
      <c r="AK171" s="9">
        <f>VLOOKUP(K171,'1105 Gobierno'!$K$12:$AK$31,27,0)</f>
        <v>0</v>
      </c>
      <c r="AL171" s="11">
        <v>0</v>
      </c>
      <c r="AM171" s="11">
        <v>100</v>
      </c>
      <c r="AN171" s="11">
        <v>0</v>
      </c>
      <c r="AO171" s="11">
        <v>100</v>
      </c>
      <c r="AP171" s="11">
        <v>0</v>
      </c>
      <c r="AQ171" s="11">
        <v>0</v>
      </c>
      <c r="AR171" s="51">
        <v>27626716</v>
      </c>
      <c r="AS171" s="54">
        <v>0</v>
      </c>
      <c r="AT171" s="54">
        <f t="shared" si="242"/>
        <v>27626716</v>
      </c>
      <c r="AU171" s="51">
        <v>27626716</v>
      </c>
      <c r="AV171" s="89">
        <v>75000000</v>
      </c>
      <c r="AY171" s="89">
        <v>0</v>
      </c>
      <c r="AZ171" s="44" cm="1">
        <f t="array" ref="AZ171">_xlfn.IFS((BA171=0),(BD171/CL171),(BA171&gt;0),((BB171+BD171)/CL171),(BE171&gt;0),((BB171+BD171+BE171)/CL171),(BG171&gt;0),((BB171+BD171+BE171+G171)/CL171))</f>
        <v>0.5</v>
      </c>
      <c r="BA171" s="44">
        <v>0.25</v>
      </c>
      <c r="BB171" s="44">
        <v>1</v>
      </c>
      <c r="BC171" s="44">
        <f t="shared" ref="BC171:BC173" si="306">IF(AE171&gt;0,(1/CL171),0)</f>
        <v>0.25</v>
      </c>
      <c r="BD171" s="44" cm="1">
        <f t="array" ref="BD171">_xlfn.IFS(AE171=0,"NA",AE171&gt;0,AH171/AE171)</f>
        <v>1</v>
      </c>
      <c r="BE171" s="44">
        <f t="shared" ref="BE171:BE173" si="307">IF(AM171&gt;0,(1/CL171),0)</f>
        <v>0.25</v>
      </c>
      <c r="BF171" s="44">
        <v>0</v>
      </c>
      <c r="BG171" s="44">
        <f t="shared" ref="BG171:BG173" si="308">IF(AO171&gt;0,(1/CL171),0)</f>
        <v>0.25</v>
      </c>
      <c r="BH171" s="44">
        <v>0</v>
      </c>
      <c r="BI171" s="44">
        <v>0</v>
      </c>
      <c r="BJ171" s="44" t="s">
        <v>115</v>
      </c>
      <c r="BK171" s="44">
        <f t="shared" si="243"/>
        <v>0.5</v>
      </c>
      <c r="BL171" s="44">
        <v>1</v>
      </c>
      <c r="BM171" s="42" cm="1">
        <f t="array" ref="BM171">_xlfn.IFS(BD171="NA","NA",BD171&gt;100%,"100%",BD171&lt;100,BD171)</f>
        <v>1</v>
      </c>
      <c r="BN171" s="44">
        <v>0</v>
      </c>
      <c r="BO171" s="44">
        <v>0</v>
      </c>
      <c r="BP171" s="44" t="s">
        <v>115</v>
      </c>
      <c r="BQ171" s="45">
        <v>0.22500000000000001</v>
      </c>
      <c r="BR171" s="43">
        <f t="shared" si="244"/>
        <v>0.1125</v>
      </c>
      <c r="BS171" s="45">
        <v>5.6300000000000003E-2</v>
      </c>
      <c r="BT171" s="45">
        <v>5.6300000000000003E-2</v>
      </c>
      <c r="BU171" s="45">
        <v>5.6300000000000003E-2</v>
      </c>
      <c r="BV171" s="45">
        <v>5.6300000000000003E-2</v>
      </c>
      <c r="BW171" s="43">
        <f t="shared" si="245"/>
        <v>5.6300000000000003E-2</v>
      </c>
      <c r="BX171" s="43">
        <f t="shared" si="246"/>
        <v>5.62E-2</v>
      </c>
      <c r="BY171" s="45">
        <v>5.6300000000000003E-2</v>
      </c>
      <c r="BZ171" s="45">
        <v>0</v>
      </c>
      <c r="CA171" s="43">
        <f t="shared" si="247"/>
        <v>0</v>
      </c>
      <c r="CB171" s="45">
        <v>5.6300000000000003E-2</v>
      </c>
      <c r="CC171" s="45">
        <v>0</v>
      </c>
      <c r="CD171" s="45">
        <v>0</v>
      </c>
      <c r="CE171" s="45">
        <v>0</v>
      </c>
      <c r="CF171" s="45" t="s">
        <v>115</v>
      </c>
      <c r="CG171" s="45">
        <v>0</v>
      </c>
      <c r="CH171">
        <f t="shared" ref="CH171:CH173" si="309">IF(W171&gt;0,1,0)</f>
        <v>1</v>
      </c>
      <c r="CI171">
        <f t="shared" ref="CI171:CI173" si="310">IF(AE171&gt;0,1,0)</f>
        <v>1</v>
      </c>
      <c r="CJ171">
        <f t="shared" ref="CJ171:CJ173" si="311">IF(AM171&gt;0,1,0)</f>
        <v>1</v>
      </c>
      <c r="CK171">
        <f t="shared" ref="CK171:CK173" si="312">IF(AO171&gt;0,1,0)</f>
        <v>1</v>
      </c>
      <c r="CL171">
        <f t="shared" ref="CL171:CL173" si="313">CH171+CI171+CJ171+CK171</f>
        <v>4</v>
      </c>
    </row>
    <row r="172" spans="1:90" ht="18" customHeight="1">
      <c r="A172" s="260" t="s">
        <v>992</v>
      </c>
      <c r="B172" s="260" t="s">
        <v>993</v>
      </c>
      <c r="C172" s="260" t="s">
        <v>100</v>
      </c>
      <c r="D172" s="260" t="s">
        <v>1074</v>
      </c>
      <c r="E172" s="260" t="s">
        <v>1075</v>
      </c>
      <c r="F172" s="260" t="s">
        <v>1076</v>
      </c>
      <c r="G172" s="260" t="s">
        <v>1077</v>
      </c>
      <c r="H172" s="260" t="s">
        <v>1109</v>
      </c>
      <c r="I172" s="260"/>
      <c r="J172" s="260"/>
      <c r="K172" s="260" t="s">
        <v>1110</v>
      </c>
      <c r="L172" s="260" t="s">
        <v>1111</v>
      </c>
      <c r="M172" s="260" t="s">
        <v>122</v>
      </c>
      <c r="N172" s="260" t="s">
        <v>123</v>
      </c>
      <c r="O172" s="260" t="s">
        <v>124</v>
      </c>
      <c r="P172" s="10">
        <v>100</v>
      </c>
      <c r="Q172" s="11">
        <v>100</v>
      </c>
      <c r="R172" s="11">
        <f t="shared" si="304"/>
        <v>50</v>
      </c>
      <c r="S172" s="11" t="str">
        <f>VLOOKUP(K172,'1105 Gobierno'!$K$12:$AK$31,9,0)</f>
        <v>Se han entregado 4400 ayudas humanitarias a población víctima del conflicto armado en articulación con la unidad de gestión de riesgos de desastres, lo anterior benefició a 13.200 víctimas del conflicto armado de 38 municipios. Adicional a ello, se realizó oferta y asistencia por parte de los profesionales a los 3 centros regionales en temas relacionados con asistencia humanitaria.  Para 2021 se está adelantando el proceso a través de la plataforma colombia compra eficiente por un valor de 100.000.000 para 1.000 mercados y se han visitado 20 municipios (Soacha, Albán, Fusagusagá, Vianí, Villapinzón, PuertoSalgar, Caparrapí, Pulí, Pasca, Guaduas, San Juan de Rioseco, Nilo, Ricaurte, La Peña, Quebradanegra, Guataquí, Sasaima, Utica, Facatativá y Girardot) de entrega de 505 mercados. Se está realizando el proceso contractual para la adqusicion de cerca de dos mil ayudas humanitarias en la vigencia del año 2021. Ya se cuenta con CDP, los respectivos conceptos precontractuales y estudios previos, con los que se busca beneficiar a las familias victimas del conflicto de los Municipios de: Nocaima, Apulo, Silvania, Villagomez, Cachipay, Simijaca, Venecia, Pandi, Guatavita, San Cayetano, Granada, Agua De Dios, Villeta, Chipaque, Medina, Guayabetal.</v>
      </c>
      <c r="T172" s="11">
        <v>0</v>
      </c>
      <c r="U172" s="11">
        <v>100</v>
      </c>
      <c r="V172" s="11">
        <v>0</v>
      </c>
      <c r="W172" s="11">
        <v>100</v>
      </c>
      <c r="X172" s="11" t="s">
        <v>115</v>
      </c>
      <c r="Y172" s="11">
        <v>100</v>
      </c>
      <c r="Z172" s="11">
        <v>100</v>
      </c>
      <c r="AA172" s="11" t="s">
        <v>1112</v>
      </c>
      <c r="AB172" s="11" t="s">
        <v>1113</v>
      </c>
      <c r="AC172" s="11">
        <v>0</v>
      </c>
      <c r="AD172" s="11">
        <v>0</v>
      </c>
      <c r="AE172" s="11">
        <v>100</v>
      </c>
      <c r="AF172" s="11" t="str">
        <f>VLOOKUP(K172,'1105 Gobierno'!$K$12:$AK$31,22,0)</f>
        <v> </v>
      </c>
      <c r="AG172" s="11">
        <f>VLOOKUP(K172,'1105 Gobierno'!$K$12:$AK$31,23,0)</f>
        <v>100</v>
      </c>
      <c r="AH172" s="11">
        <f t="shared" si="305"/>
        <v>100</v>
      </c>
      <c r="AI172" s="9" t="str">
        <f>VLOOKUP(K172,'1105 Gobierno'!$K$12:$AK$31,25,0)</f>
        <v xml:space="preserve">Mercados </v>
      </c>
      <c r="AJ172" s="9" t="str">
        <f>VLOOKUP(K172,'1105 Gobierno'!$K$12:$AK$31,26,0)</f>
        <v>Se está adelantando el proceso a través de la plataforma colombia compra eficiente por un valor de 195.000.000 con dos CDP No. 7100012311 por valor de  $ 100.000.000 y CDP No. 7100012685 por valor de $ 95.000.000 para 2.000 mercados y se han visitado 20 municipios (Soacha, Albán, Fusagusagá, Vianí, Villapinzón, PuertoSalgar, Caparrapí, Pulí,Pasca, Guaduas, San Juan de Rioseco, Nilo, Ricaurte, La Peña, Quebradanegra, Guataquí, Sasaima, Utica, Facatativá y Girardot) y se han entregado  505 mercados y se focalizo a la población mas vulnerable. Se está realizando el proceso contractual para la adqusicion de cerca de dos mil ayudas humanitarias en la vigencia del año 2021. Ya se cuenta con CDP, los respectivos conceptos precontractuales y estudios previos, se tienen priorizados los Municipios de:  Nocaima, Apulo, Silvania, Villagomez, Cachipay, Simijaca, Venecia, Pandi, Guatavita, San Cayetano, Granada, Agua De Dios, Villeta, Chipaque, Medina, Guayabetal. Se realizó la suscripcion del contrato sgo-sasi-302-2021 para la adquisicion de mercados como ayuda humanitaria para la poblacion victima. Los Municipios beneficiados estan por definirse, se estan ejecutando el contrato SGO-SASI-302-2021, por valor de $ 99.961.091 para la adquisición y entrega de mercados a victimas del conflcto armado, las cuales han sido previamente priorizadas.</v>
      </c>
      <c r="AK172" s="9">
        <f>VLOOKUP(K172,'1105 Gobierno'!$K$12:$AK$31,27,0)</f>
        <v>0</v>
      </c>
      <c r="AL172" s="11">
        <v>0</v>
      </c>
      <c r="AM172" s="11">
        <v>100</v>
      </c>
      <c r="AN172" s="11">
        <v>0</v>
      </c>
      <c r="AO172" s="11">
        <v>100</v>
      </c>
      <c r="AP172" s="11">
        <v>0</v>
      </c>
      <c r="AQ172" s="11">
        <v>0</v>
      </c>
      <c r="AR172" s="51">
        <v>39000000</v>
      </c>
      <c r="AS172" s="54">
        <v>0</v>
      </c>
      <c r="AT172" s="54">
        <f t="shared" si="242"/>
        <v>39000000</v>
      </c>
      <c r="AU172" s="51">
        <v>38951419</v>
      </c>
      <c r="AV172" s="89">
        <v>200000000</v>
      </c>
      <c r="AY172" s="89">
        <v>0</v>
      </c>
      <c r="AZ172" s="44" cm="1">
        <f t="array" ref="AZ172">_xlfn.IFS((BA172=0),(BD172/CL172),(BA172&gt;0),((BB172+BD172)/CL172),(BE172&gt;0),((BB172+BD172+BE172)/CL172),(BG172&gt;0),((BB172+BD172+BE172+G172)/CL172))</f>
        <v>0.5</v>
      </c>
      <c r="BA172" s="44">
        <v>0.25</v>
      </c>
      <c r="BB172" s="44">
        <v>1</v>
      </c>
      <c r="BC172" s="44">
        <f t="shared" si="306"/>
        <v>0.25</v>
      </c>
      <c r="BD172" s="44" cm="1">
        <f t="array" ref="BD172">_xlfn.IFS(AE172=0,"NA",AE172&gt;0,AH172/AE172)</f>
        <v>1</v>
      </c>
      <c r="BE172" s="44">
        <f t="shared" si="307"/>
        <v>0.25</v>
      </c>
      <c r="BF172" s="44">
        <v>0</v>
      </c>
      <c r="BG172" s="44">
        <f t="shared" si="308"/>
        <v>0.25</v>
      </c>
      <c r="BH172" s="44">
        <v>0</v>
      </c>
      <c r="BI172" s="44">
        <v>0</v>
      </c>
      <c r="BJ172" s="44" t="s">
        <v>115</v>
      </c>
      <c r="BK172" s="44">
        <f t="shared" si="243"/>
        <v>0.5</v>
      </c>
      <c r="BL172" s="44">
        <v>1</v>
      </c>
      <c r="BM172" s="42" cm="1">
        <f t="array" ref="BM172">_xlfn.IFS(BD172="NA","NA",BD172&gt;100%,"100%",BD172&lt;100,BD172)</f>
        <v>1</v>
      </c>
      <c r="BN172" s="44">
        <v>0</v>
      </c>
      <c r="BO172" s="44">
        <v>0</v>
      </c>
      <c r="BP172" s="44" t="s">
        <v>115</v>
      </c>
      <c r="BQ172" s="45">
        <v>0.22500000000000001</v>
      </c>
      <c r="BR172" s="43">
        <f t="shared" si="244"/>
        <v>0.1125</v>
      </c>
      <c r="BS172" s="45">
        <v>5.6300000000000003E-2</v>
      </c>
      <c r="BT172" s="45">
        <v>5.6300000000000003E-2</v>
      </c>
      <c r="BU172" s="45">
        <v>5.6300000000000003E-2</v>
      </c>
      <c r="BV172" s="45">
        <v>5.6300000000000003E-2</v>
      </c>
      <c r="BW172" s="43">
        <f t="shared" si="245"/>
        <v>5.6300000000000003E-2</v>
      </c>
      <c r="BX172" s="43">
        <f t="shared" si="246"/>
        <v>5.62E-2</v>
      </c>
      <c r="BY172" s="45">
        <v>5.6300000000000003E-2</v>
      </c>
      <c r="BZ172" s="45">
        <v>0</v>
      </c>
      <c r="CA172" s="43">
        <f t="shared" si="247"/>
        <v>0</v>
      </c>
      <c r="CB172" s="45">
        <v>5.6300000000000003E-2</v>
      </c>
      <c r="CC172" s="45">
        <v>0</v>
      </c>
      <c r="CD172" s="45">
        <v>0</v>
      </c>
      <c r="CE172" s="45">
        <v>0</v>
      </c>
      <c r="CF172" s="45" t="s">
        <v>115</v>
      </c>
      <c r="CG172" s="45">
        <v>0</v>
      </c>
      <c r="CH172">
        <f t="shared" si="309"/>
        <v>1</v>
      </c>
      <c r="CI172">
        <f t="shared" si="310"/>
        <v>1</v>
      </c>
      <c r="CJ172">
        <f t="shared" si="311"/>
        <v>1</v>
      </c>
      <c r="CK172">
        <f t="shared" si="312"/>
        <v>1</v>
      </c>
      <c r="CL172">
        <f t="shared" si="313"/>
        <v>4</v>
      </c>
    </row>
    <row r="173" spans="1:90" ht="18" customHeight="1">
      <c r="A173" s="260" t="s">
        <v>992</v>
      </c>
      <c r="B173" s="260" t="s">
        <v>993</v>
      </c>
      <c r="C173" s="260" t="s">
        <v>100</v>
      </c>
      <c r="D173" s="260" t="s">
        <v>1074</v>
      </c>
      <c r="E173" s="260" t="s">
        <v>1075</v>
      </c>
      <c r="F173" s="260" t="s">
        <v>1076</v>
      </c>
      <c r="G173" s="260" t="s">
        <v>1077</v>
      </c>
      <c r="H173" s="260" t="s">
        <v>1114</v>
      </c>
      <c r="I173" s="260"/>
      <c r="J173" s="260"/>
      <c r="K173" s="260" t="s">
        <v>1115</v>
      </c>
      <c r="L173" s="260" t="s">
        <v>1116</v>
      </c>
      <c r="M173" s="260" t="s">
        <v>1117</v>
      </c>
      <c r="N173" s="260" t="s">
        <v>123</v>
      </c>
      <c r="O173" s="260" t="s">
        <v>124</v>
      </c>
      <c r="P173" s="10">
        <v>100</v>
      </c>
      <c r="Q173" s="11">
        <v>100</v>
      </c>
      <c r="R173" s="11">
        <f t="shared" si="304"/>
        <v>41.65</v>
      </c>
      <c r="S173" s="11" t="str">
        <f>VLOOKUP(K173,'1105 Gobierno'!$K$12:$AK$31,9,0)</f>
        <v xml:space="preserve">En cumplimiento a la meta producto se ha realizado 21 mesas conjuntas de trabajo en 17 municipios del departamento 1 mesa de trabajo con el Ministerio de Medio ambiente, 1 mesa de trabajo con el juzgado de restitución de tierras y se ha hecho registro, seguimiento, control y asesoría en el cumplimiento de las ordenes emitidas dentro de los 166 procesos de restitución de tierras donde el departamento o sus entidades territoriales tiene ordenes judiciales por cumplir y apoyado a 20 municipios con procesos de restitución de tierras y actualización de rutas de cumplimiento judiciales logrando que las familias víctimas tengan mejorías con la informalidad en la tenencia de la tierra y en la estructura agraria inequitativa.Referente a asesorías, acompañamientos, estudios y análisis técnicos de los proyectos de generación de ingresos se han realizado el acompañamiento a 25 solicitudes. En 2021 se realizó una asistencia técnica a los 116 municipios beneficiando a 127 enlaces de víctimas y 15 asistencias provinciales de proceso para solicitud de generación de ingresos. Se realizo asesoría y acompañamiento en la formulación de proyectos de generación de ingresos en MGA para vincular en el banco de proyectos a 5 Municipios: Viota, Gutierrez, Pandi, Facatativa y Gachala. Los días 16 y 27 de abril y 6 y 14 de mayo de 2021 se asistio a las  mesas técnicas con la URT, la Procuraduría, la Defensoría del Pueblo y el Juzgado de restitución de tierras con la finalidad de revisar la estrategia y evento de la feria de servicios en los municipios de La Palma y Yacopí . se genero reporte de cumplimiento dentro de los procesos de restitución de tierras,  realizaron mesa de trabajo con el enlace municipal de víctimas del municipio Yacopí, donde se identificaron las posibles estrategias para socializar el protocolo ante la población víctima. Se realizorevisión, registro y traslado de los autos y sentencias notificadas al departamento de Cundinamarca provenientes de los juzgados de restitución de tierras, se  Realizo la revisión de los procesos de restitución de tierras donde los municipios han reportado que no han podido cumplir la orden de exoneración del pago del impuesto predial a causa de la falta de actualización por parte del IGAC o de notariado y registro. Se realizó una mesa de trabajo con la Unidad de Restitución de Tierras donde se revisó uno a uno los procesos, Se asistio a mesa de trabajo con la Agencias para la Paz y el Posconflicto de Cundinamarca para revisar el cumplimiento de las ordenes emitidas dentro de los procesos de justicia y paz, se brindo asesoría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Brinde asesoría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mesa técnica con la CAR, Gestión del Riesgo, Secretaría del Medio Ambiente y Gobierno para revisar los avances en el cumplimiento del proceso 2015-00015-00. mesa técnica convocada por la URT, el Juzgado de Restitución de Tierras, la Procuraduría, la Agencia Catastral de Cundinamarca y Dirección de Víctimas para revisar el avance en el cumplimiento de ordenes respecto de catastro. Convoque y realicé la primera sesión del  grupo interinstitucional para el seguimiento  cumplimiento de las ordenes judiciales emanadas de los procesos de restitución de tierras del departamento de Cundinamarca.  Comité Territorial de Justicia Transicional del municipio de La Palma. asesoría a los enlaces municipales de víctimas de Bituima y La Calera sobre el proceso y procedimiento que se debe adelantar para la exoneración del pago del impuesto predial de los predios restituidos.  Realice la revisiónen la plataforma de la rama judicial de los procesos de restitución de tierras donde los municipios han reportado imposibilidad en la exoneración del pago del impuesto predial de los procesos. </v>
      </c>
      <c r="T173" s="11">
        <v>0</v>
      </c>
      <c r="U173" s="11">
        <v>100</v>
      </c>
      <c r="V173" s="11">
        <v>0</v>
      </c>
      <c r="W173" s="11">
        <v>100</v>
      </c>
      <c r="X173" s="11" t="s">
        <v>115</v>
      </c>
      <c r="Y173" s="11">
        <v>66.599999999999994</v>
      </c>
      <c r="Z173" s="11">
        <v>66.599999999999994</v>
      </c>
      <c r="AA173" s="11" t="s">
        <v>1106</v>
      </c>
      <c r="AB173" s="11" t="s">
        <v>1118</v>
      </c>
      <c r="AC173" s="11" t="s">
        <v>1119</v>
      </c>
      <c r="AD173" s="11">
        <v>0</v>
      </c>
      <c r="AE173" s="11">
        <v>100</v>
      </c>
      <c r="AF173" s="11" t="str">
        <f>VLOOKUP(K173,'1105 Gobierno'!$K$12:$AK$31,22,0)</f>
        <v> </v>
      </c>
      <c r="AG173" s="11">
        <f>VLOOKUP(K173,'1105 Gobierno'!$K$12:$AK$31,23,0)</f>
        <v>100</v>
      </c>
      <c r="AH173" s="11">
        <f t="shared" si="305"/>
        <v>100</v>
      </c>
      <c r="AI173" s="9" t="str">
        <f>VLOOKUP(K173,'1105 Gobierno'!$K$12:$AK$31,25,0)</f>
        <v xml:space="preserve">Asistencia técnica </v>
      </c>
      <c r="AJ173" s="9" t="str">
        <f>VLOOKUP(K173,'1105 Gobierno'!$K$12:$AK$31,26,0)</f>
        <v>Se brindó asistencia técnica a los 116 municipios con una asistencia de 127  enlaces municipales de víctimas para lo relacionado con los trámites del proceso de restitución de tierras y se realizó una capacitación de la ruta y la metodología para la presentación de proyectos de generación de ingresos con una asistencia de 97 enlaces. Se realizan asesorias y acompañamientos relacionados con la formulacion de proyectos de generacion de ingresos en MGA para vincular en el banco de proyectos a 5 municipios  a de Viota, Gutierrez, Pandi, Facatativa y Gachala.  Mesas técnicas con la URT, la Procuraduría, la Defensoría del Pueblo y el Juzgado de restitución de tierras con la finalidad de revisar la estrategia y evento de la feria de servicios en los municipios de La Palma y Yacopí donde se va a capacitar a la población sobre los proyectos de generación de ingresos. revisión, registro y traslado de los autos y sentencias notificadas al departamento de Cundinamarca provenientes de los juzgados de restitución de tierras, revisión de los procesos de restitución de tierras donde los municipios han reportado que no han podido cumplir la orden de exoneración del pago del impuesto predial a causa de la falta de actualización por parte del IGAC o de notariado y registro. Mesa de trabajo con la Agencias para la Paz y el Posconflicto de Cundinamarca para revisar el cumplimiento de las ordenes emitidas dentro de los procesos de justicia y paz. aAesoría al enlace para el proceso de restitución de tierras del ICCU respecto del cumplimiento y reporte de las ordenes emitidas dentro del proceso de restitución de tierras número 2019-00026. Comité Territorial de Justicia Transicional del departamento de Cundinamarca, donde la Dirección de víctimas realizó el reporte del avance en el cumplimiento de las metas del plan de desarrollo. SeCONTRATO- Sonia Lizeth Lombana
RPC 4600006338 SONIA LIZETH LOMBANA AMORTEGUI. Se realizo mesa de trabajo con el enlace municipal de víctimas de Yacopí donde revisamos unos a unos los procesos de restitución de tierras donde se tienen pendientes por cumplir, Asistí a la mesa técnica con la CAR, Gestión del Riesgo, Secretaría del Medio Ambiente y Gobierno para revisar los avances en el cumplimiento del proceso 2015-00015-00.
Asistí a mesa técnica convocada por la URT, el Juzgado de Restitución de Tierras, la Procuraduría, la Agencia Catastral de Cundinamarca y Dirección de Víctimas para revisar el avance en el cumplimiento de ordenes respecto de catastro. Convoque y realicé la primera sesión del  grupo interinstitucional para el seguimiento  cumplimiento de las ordenes judiciales emanadas de los procesos de restitución de tierras del departamento de Cundinamarca. Asistí a la continuación del Comité Territorial de Justicia Transicional del municipio de La Palma. Brinde asesoría a los enlaces municipales de víctimas de Bituima y La Calera sobre el proceso y procedimiento que se debe adelantar para la exoneración del pago del impuesto predial de los predios restituidos.  Realice la revisiónen la plataforma de la rama judicial de los procesos de restitución de tierras donde los municipios han reportado imposibilidad en la exoneración del pago del impuesto predial, Municipios beneficiados La Palma, Yacopí, Quipile, Puerto Salgar, Bituima y Pacho. Se realizo solicitud de CDP Número 7100017788 por valor de $ 50.000.000 para el Municipio de Pulí dentro del Proyecto de generación de ingresos para familias victimas de la violencia, así mismo se solicicto RPC Número 4600007812 para el Municipio de Granada por valor de $ 32.000.000 con el fin de apoyar proyectos de generación de ingresos para familias victimas del conflicto armado.</v>
      </c>
      <c r="AK173" s="9">
        <f>VLOOKUP(K173,'1105 Gobierno'!$K$12:$AK$31,27,0)</f>
        <v>0</v>
      </c>
      <c r="AL173" s="11">
        <v>0</v>
      </c>
      <c r="AM173" s="11">
        <v>100</v>
      </c>
      <c r="AN173" s="11">
        <v>0</v>
      </c>
      <c r="AO173" s="11">
        <v>100</v>
      </c>
      <c r="AP173" s="11">
        <v>0</v>
      </c>
      <c r="AQ173" s="11">
        <v>0</v>
      </c>
      <c r="AR173" s="51">
        <v>11200020</v>
      </c>
      <c r="AS173" s="54">
        <v>0</v>
      </c>
      <c r="AT173" s="54">
        <f t="shared" si="242"/>
        <v>11200020</v>
      </c>
      <c r="AU173" s="51">
        <v>11200020</v>
      </c>
      <c r="AV173" s="89">
        <v>500000000</v>
      </c>
      <c r="AY173" s="89">
        <v>0</v>
      </c>
      <c r="AZ173" s="44" cm="1">
        <f t="array" ref="AZ173">_xlfn.IFS((BA173=0),(BD173/CL173),(BA173&gt;0),((BB173+BD173)/CL173),(BE173&gt;0),((BB173+BD173+BE173)/CL173),(BG173&gt;0),((BB173+BD173+BE173+G173)/CL173))</f>
        <v>0.41649999999999998</v>
      </c>
      <c r="BA173" s="44">
        <v>0.25</v>
      </c>
      <c r="BB173" s="44">
        <v>0.66600000000000004</v>
      </c>
      <c r="BC173" s="44">
        <f t="shared" si="306"/>
        <v>0.25</v>
      </c>
      <c r="BD173" s="44" cm="1">
        <f t="array" ref="BD173">_xlfn.IFS(AE173=0,"NA",AE173&gt;0,AH173/AE173)</f>
        <v>1</v>
      </c>
      <c r="BE173" s="44">
        <f t="shared" si="307"/>
        <v>0.25</v>
      </c>
      <c r="BF173" s="44">
        <v>0</v>
      </c>
      <c r="BG173" s="44">
        <f t="shared" si="308"/>
        <v>0.25</v>
      </c>
      <c r="BH173" s="44">
        <v>0</v>
      </c>
      <c r="BI173" s="44">
        <v>0</v>
      </c>
      <c r="BJ173" s="44" t="s">
        <v>115</v>
      </c>
      <c r="BK173" s="44">
        <f t="shared" si="243"/>
        <v>0.41649999999999998</v>
      </c>
      <c r="BL173" s="44">
        <v>0.66600000000000004</v>
      </c>
      <c r="BM173" s="42" cm="1">
        <f t="array" ref="BM173">_xlfn.IFS(BD173="NA","NA",BD173&gt;100%,"100%",BD173&lt;100,BD173)</f>
        <v>1</v>
      </c>
      <c r="BN173" s="44">
        <v>0</v>
      </c>
      <c r="BO173" s="44">
        <v>0</v>
      </c>
      <c r="BP173" s="44" t="s">
        <v>115</v>
      </c>
      <c r="BQ173" s="45">
        <v>0.22500000000000001</v>
      </c>
      <c r="BR173" s="43">
        <f t="shared" si="244"/>
        <v>9.3712500000000004E-2</v>
      </c>
      <c r="BS173" s="45">
        <v>5.6300000000000003E-2</v>
      </c>
      <c r="BT173" s="45">
        <v>3.7499999999999999E-2</v>
      </c>
      <c r="BU173" s="45">
        <v>3.7499999999999999E-2</v>
      </c>
      <c r="BV173" s="45">
        <v>5.6300000000000003E-2</v>
      </c>
      <c r="BW173" s="43">
        <f t="shared" si="245"/>
        <v>5.6300000000000003E-2</v>
      </c>
      <c r="BX173" s="43">
        <f t="shared" si="246"/>
        <v>5.6212500000000006E-2</v>
      </c>
      <c r="BY173" s="45">
        <v>5.6300000000000003E-2</v>
      </c>
      <c r="BZ173" s="45">
        <v>0</v>
      </c>
      <c r="CA173" s="43">
        <f t="shared" si="247"/>
        <v>0</v>
      </c>
      <c r="CB173" s="45">
        <v>5.6300000000000003E-2</v>
      </c>
      <c r="CC173" s="45">
        <v>0</v>
      </c>
      <c r="CD173" s="45">
        <v>0</v>
      </c>
      <c r="CE173" s="45">
        <v>0</v>
      </c>
      <c r="CF173" s="45" t="s">
        <v>115</v>
      </c>
      <c r="CG173" s="45">
        <v>0</v>
      </c>
      <c r="CH173">
        <f t="shared" si="309"/>
        <v>1</v>
      </c>
      <c r="CI173">
        <f t="shared" si="310"/>
        <v>1</v>
      </c>
      <c r="CJ173">
        <f t="shared" si="311"/>
        <v>1</v>
      </c>
      <c r="CK173">
        <f t="shared" si="312"/>
        <v>1</v>
      </c>
      <c r="CL173">
        <f t="shared" si="313"/>
        <v>4</v>
      </c>
    </row>
    <row r="174" spans="1:90" ht="18" customHeight="1">
      <c r="A174" s="260" t="s">
        <v>992</v>
      </c>
      <c r="B174" s="260" t="s">
        <v>993</v>
      </c>
      <c r="C174" s="260" t="s">
        <v>100</v>
      </c>
      <c r="D174" s="260" t="s">
        <v>1074</v>
      </c>
      <c r="E174" s="260" t="s">
        <v>1075</v>
      </c>
      <c r="F174" s="260" t="s">
        <v>1076</v>
      </c>
      <c r="G174" s="260" t="s">
        <v>1077</v>
      </c>
      <c r="H174" s="260" t="s">
        <v>1120</v>
      </c>
      <c r="I174" s="260"/>
      <c r="J174" s="260"/>
      <c r="K174" s="260" t="s">
        <v>1121</v>
      </c>
      <c r="L174" s="260" t="s">
        <v>1122</v>
      </c>
      <c r="M174" s="260" t="s">
        <v>1123</v>
      </c>
      <c r="N174" s="260" t="s">
        <v>123</v>
      </c>
      <c r="O174" s="260" t="s">
        <v>112</v>
      </c>
      <c r="P174" s="10">
        <v>100</v>
      </c>
      <c r="Q174" s="11">
        <v>100</v>
      </c>
      <c r="R174" s="9">
        <f t="shared" ref="R174:R175" si="314">Z174+AH174</f>
        <v>20</v>
      </c>
      <c r="S174" s="11" t="str">
        <f>VLOOKUP(K174,'1105 Gobierno'!$K$12:$AK$31,9,0)</f>
        <v>Durante la vigencia se ha realizado el reconocimiento y garantía frente a los escenarios de participación a las víctimas enmarcados en las disposiciones legales. Asimismo se realizó la conmemoración del día de la memoria y la solidaridad de las víctimas de conflicto armado, y se ha brindado apoyo, asistencia técnica, asesorías y capacitación a los 25 miembros de la mesa de participación. A su vez, se realizó rendición de cuentas en el marco del diálogo de más bienestar. Actualmente se están realizando compras de computadores y elementos de identificación a las víctimas representantes de la mesa.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Desde la Dirección de Atención Integral a Victimas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v>
      </c>
      <c r="T174" s="11">
        <v>20</v>
      </c>
      <c r="U174" s="11">
        <v>0</v>
      </c>
      <c r="V174" s="11">
        <v>20</v>
      </c>
      <c r="W174" s="11">
        <v>0</v>
      </c>
      <c r="X174" s="11">
        <v>20</v>
      </c>
      <c r="Y174" s="11">
        <v>0</v>
      </c>
      <c r="Z174" s="11">
        <v>20</v>
      </c>
      <c r="AA174" s="11" t="s">
        <v>1124</v>
      </c>
      <c r="AB174" s="11" t="s">
        <v>1125</v>
      </c>
      <c r="AC174" s="11">
        <v>0</v>
      </c>
      <c r="AD174" s="11">
        <v>30</v>
      </c>
      <c r="AE174" s="11">
        <v>0</v>
      </c>
      <c r="AF174" s="11">
        <f>VLOOKUP(K174,'1105 Gobierno'!$K$12:$AK$31,22,0)</f>
        <v>0</v>
      </c>
      <c r="AG174" s="11">
        <f>VLOOKUP(K174,'1105 Gobierno'!$K$12:$AK$31,23,0)</f>
        <v>100</v>
      </c>
      <c r="AH174" s="9">
        <f t="shared" ref="AH174:AH175" si="315">AF174</f>
        <v>0</v>
      </c>
      <c r="AI174" s="9" t="str">
        <f>VLOOKUP(K174,'1105 Gobierno'!$K$12:$AK$31,25,0)</f>
        <v xml:space="preserve">Garantía de participación a víctimas </v>
      </c>
      <c r="AJ174" s="9" t="str">
        <f>VLOOKUP(K174,'1105 Gobierno'!$K$12:$AK$31,26,0)</f>
        <v>Se ha avanzado en 3 asistencias técnicas a los miembros de la mesa departamental de víctimas. Se ha realizado el pago de tres resoluciones a los miembros de la mesa departamental de Participación efectiva de victimas.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 Se han pagado las garantias de participacion de las actividades del mes de marzo, abril y mayo del 2021 de los miembros de la Mesa Departamental de Participación efectiva de victimas. Estas garantías se traducen en pago del apoyo compensatorio, alimentación, conectividad y plataforma digital. Los pagos se realizan a las cuentas bancarias de los miembros de la MDPEV,  por medio de una resolución de pago. A la fecha, se han remitido 4 resoluciones de pago. Los beneficiarios son los 26 miembros de la Mesa Departamental de Participación Efectiva de Victimas, de acuerdo a la ley 1448 de 2011 y sus decretos reglamentarios. Desde la Dirección de Atención Integral a Victimas se adelantó la adqusicion de 26 equipos de computo (portatiles) como dotacion de la herramienta tecnologica para garantizar la conexión de los miembros de la Mesa Departamental de Participación Efectiva de Victimas, a los diferentes espacios institucuionales a los que sean convocados y se procedió a realizar la entrega de los equipos a los miembros de la MDEPV. Tambien se adelantó el proceso contractual para la adqusicion de 26 carnets y 26 chalecos para la identificacion de los miembros de la MDPEV. Se realizó convenio con los municipios de VILLETA y RICAURTE para la conmemoracion del dia de la memoria y solidaridad con las victimas. Los beneficiarios son los 26 miembros de la Mesa Departamental de Participación Efectiva de Victimas, de acuerdo a la ley 1448 de 2011 y sus decretos reglamentarios, se ejecutarón los contratos Número: SGO-CDCVI-309-2021 con el Municipio de Villeta por valor de $ 20.000.000 para la conmemoración del día de la memoría y solidaridad con las victimas y contrato Número SGO-CDCVI-310-2021 con el Municipio de Ricaurte por valor de $ 20.000.000 para la conmemoración del día de la memoría y solidaridad con las victimas, se realizo contrato Número SGO-CMC-270-2021 con Excellence Colombia SAS por valor de $ 4.000.000 para el Desarrollo de los requerimientos para la ejecucion del plan de trabajo de la Mesa Departamental. pago de la resolución Número 68 de 2021 por valor de $ 30.570.713 para los integrantes de la Mesa Departamental de Victimas.</v>
      </c>
      <c r="AK174" s="9">
        <f>VLOOKUP(K174,'1105 Gobierno'!$K$12:$AK$31,27,0)</f>
        <v>0</v>
      </c>
      <c r="AL174" s="11">
        <v>40</v>
      </c>
      <c r="AM174" s="11">
        <v>0</v>
      </c>
      <c r="AN174" s="11">
        <v>10</v>
      </c>
      <c r="AO174" s="11">
        <v>0</v>
      </c>
      <c r="AP174" s="11">
        <v>0</v>
      </c>
      <c r="AQ174" s="11">
        <v>0</v>
      </c>
      <c r="AR174" s="51">
        <v>50000000</v>
      </c>
      <c r="AS174" s="54">
        <v>0</v>
      </c>
      <c r="AT174" s="54">
        <f t="shared" si="242"/>
        <v>50000000</v>
      </c>
      <c r="AU174" s="51">
        <v>36073360</v>
      </c>
      <c r="AV174" s="89">
        <v>400000000</v>
      </c>
      <c r="AY174" s="89">
        <v>13683176</v>
      </c>
      <c r="AZ174" s="42">
        <f t="shared" ref="AZ174:AZ175" si="316">R174/Q174</f>
        <v>0.2</v>
      </c>
      <c r="BA174" s="44">
        <v>0.2</v>
      </c>
      <c r="BB174" s="44">
        <v>1</v>
      </c>
      <c r="BC174" s="42">
        <f t="shared" ref="BC174:BC175" si="317">AD174/Q174</f>
        <v>0.3</v>
      </c>
      <c r="BD174" s="42" cm="1">
        <f t="array" ref="BD174">_xlfn.IFS(AD174=0,"NA",AD174&gt;0,AH174/AD174)</f>
        <v>0</v>
      </c>
      <c r="BE174" s="42">
        <f t="shared" ref="BE174:BE175" si="318">AL174/Q174</f>
        <v>0.4</v>
      </c>
      <c r="BF174" s="44">
        <v>0</v>
      </c>
      <c r="BG174" s="42">
        <f t="shared" ref="BG174:BG175" si="319">AN174/Q174</f>
        <v>0.1</v>
      </c>
      <c r="BH174" s="44">
        <v>0</v>
      </c>
      <c r="BI174" s="42">
        <f t="shared" ref="BI174:BI175" si="320">AP174/Q174</f>
        <v>0</v>
      </c>
      <c r="BJ174" s="44" t="s">
        <v>115</v>
      </c>
      <c r="BK174" s="42">
        <f t="shared" si="243"/>
        <v>0.2</v>
      </c>
      <c r="BL174" s="44">
        <v>1</v>
      </c>
      <c r="BM174" s="42" cm="1">
        <f t="array" ref="BM174">_xlfn.IFS(BD174="NA","NA",BD174&gt;100%,"100%",BD174&lt;100,BD174)</f>
        <v>0</v>
      </c>
      <c r="BN174" s="42" cm="1">
        <f t="array" ref="BN174">_xlfn.IFS(BF174="NA","NA",BF174&gt;100%,"100%",BF174&lt;100,BF174)</f>
        <v>0</v>
      </c>
      <c r="BO174" s="42" cm="1">
        <f t="array" ref="BO174">_xlfn.IFS(BH174="NA","NA",BH174&gt;100%,"100%",BH174&lt;100,BH174)</f>
        <v>0</v>
      </c>
      <c r="BP174" s="42" t="str" cm="1">
        <f t="array" ref="BP174">_xlfn.IFS(BJ174="NA","NA",BJ174&gt;100%,"100%",BJ174&lt;100,BJ174)</f>
        <v>NA</v>
      </c>
      <c r="BQ174" s="45">
        <v>0.22500000000000001</v>
      </c>
      <c r="BR174" s="43">
        <f t="shared" si="244"/>
        <v>4.5000000000000005E-2</v>
      </c>
      <c r="BS174" s="45">
        <v>4.4999999999999998E-2</v>
      </c>
      <c r="BT174" s="45">
        <v>4.4999999999999998E-2</v>
      </c>
      <c r="BU174" s="45">
        <v>4.4999999999999998E-2</v>
      </c>
      <c r="BV174" s="43">
        <f t="shared" ref="BV174:BV175" si="321">(AD174*BQ174)/Q174</f>
        <v>6.7500000000000004E-2</v>
      </c>
      <c r="BW174" s="43">
        <f t="shared" si="245"/>
        <v>0</v>
      </c>
      <c r="BX174" s="43">
        <f t="shared" si="246"/>
        <v>0</v>
      </c>
      <c r="BY174" s="43">
        <f t="shared" ref="BY174:BY175" si="322">(AL174*BQ174)/Q174</f>
        <v>0.09</v>
      </c>
      <c r="BZ174" s="43">
        <f t="shared" ref="BZ174:BZ175" si="323">IF(BN174="NA","NA",BN174*BY174)</f>
        <v>0</v>
      </c>
      <c r="CA174" s="43">
        <f t="shared" si="247"/>
        <v>6.9388939039072284E-18</v>
      </c>
      <c r="CB174" s="43">
        <f t="shared" ref="CB174:CB175" si="324">(AN174*BQ174)/Q174</f>
        <v>2.2499999999999999E-2</v>
      </c>
      <c r="CC174" s="43">
        <f t="shared" ref="CC174:CC175" si="325">IF(BO174="NA","NA",BO174*CB174)</f>
        <v>0</v>
      </c>
      <c r="CD174" s="45">
        <v>0</v>
      </c>
      <c r="CE174" s="43">
        <f t="shared" ref="CE174:CE175" si="326">(AP174*BQ174)/Q174</f>
        <v>0</v>
      </c>
      <c r="CF174" s="43" t="str">
        <f t="shared" ref="CF174:CF175" si="327">IF(BP174="NA","NA",BP174*CE174)</f>
        <v>NA</v>
      </c>
      <c r="CG174" s="45">
        <v>0</v>
      </c>
    </row>
    <row r="175" spans="1:90" ht="18" customHeight="1">
      <c r="A175" s="260" t="s">
        <v>98</v>
      </c>
      <c r="B175" s="260" t="s">
        <v>99</v>
      </c>
      <c r="C175" s="260" t="s">
        <v>100</v>
      </c>
      <c r="D175" s="260" t="s">
        <v>1074</v>
      </c>
      <c r="E175" s="260" t="s">
        <v>1075</v>
      </c>
      <c r="F175" s="260" t="s">
        <v>1076</v>
      </c>
      <c r="G175" s="260" t="s">
        <v>1077</v>
      </c>
      <c r="H175" s="260" t="s">
        <v>1126</v>
      </c>
      <c r="I175" s="260"/>
      <c r="J175" s="12" t="s">
        <v>1127</v>
      </c>
      <c r="K175" s="260" t="s">
        <v>1128</v>
      </c>
      <c r="L175" s="260" t="s">
        <v>1129</v>
      </c>
      <c r="M175" s="260" t="s">
        <v>1130</v>
      </c>
      <c r="N175" s="260" t="s">
        <v>111</v>
      </c>
      <c r="O175" s="260" t="s">
        <v>112</v>
      </c>
      <c r="P175" s="10">
        <v>0</v>
      </c>
      <c r="Q175" s="11">
        <v>6</v>
      </c>
      <c r="R175" s="9">
        <f t="shared" si="314"/>
        <v>3</v>
      </c>
      <c r="S175" s="9" t="str">
        <f>VLOOKUP(K175,'1197 Salud'!$K$13:$AK$54,9,0)</f>
        <v xml:space="preserve">Implementación  del  protocolo  atención integral en salud con  enfoque psicosocial y diferencial diseñado por el Ministerio de Salud con base en la ley 1448 de 2011.en   el muncipios de La palma y avance en Soacha y zipaquira </v>
      </c>
      <c r="T175" s="11">
        <v>1</v>
      </c>
      <c r="U175" s="11">
        <v>0</v>
      </c>
      <c r="V175" s="11">
        <v>1</v>
      </c>
      <c r="W175" s="11">
        <v>0</v>
      </c>
      <c r="X175" s="11">
        <v>1</v>
      </c>
      <c r="Y175" s="11">
        <v>0</v>
      </c>
      <c r="Z175" s="11">
        <v>1</v>
      </c>
      <c r="AA175" s="11" t="s">
        <v>1131</v>
      </c>
      <c r="AB175" s="11" t="s">
        <v>1132</v>
      </c>
      <c r="AC175" s="11" t="s">
        <v>1133</v>
      </c>
      <c r="AD175" s="11">
        <v>2</v>
      </c>
      <c r="AE175" s="11">
        <v>0</v>
      </c>
      <c r="AF175" s="9">
        <f>VLOOKUP(K175,'1197 Salud'!$K$13:$AK$54,22,0)</f>
        <v>2</v>
      </c>
      <c r="AG175" s="9">
        <f>VLOOKUP(K175,'1197 Salud'!$K$13:$AK$54,23,0)</f>
        <v>0</v>
      </c>
      <c r="AH175" s="9">
        <f t="shared" si="315"/>
        <v>2</v>
      </c>
      <c r="AI175" s="9" t="str">
        <f>VLOOKUP(K175,'1197 Salud'!$K$13:$AK$54,25,0)</f>
        <v>municipio con la implementación del protocolo  atención integral en salud con  enfoque psicosocial y diferencial diseñado por el Ministerio de Salud con base en la ley 1448 de 2011.</v>
      </c>
      <c r="AJ175" s="9">
        <f>VLOOKUP(K175,'1197 Salud'!$K$13:$AK$54,26,0)</f>
        <v>0</v>
      </c>
      <c r="AK175" s="9" t="str">
        <f>VLOOKUP(K175,'1197 Salud'!$K$13:$AK$54,27,0)</f>
        <v>N/A</v>
      </c>
      <c r="AL175" s="11">
        <v>2</v>
      </c>
      <c r="AM175" s="11">
        <v>0</v>
      </c>
      <c r="AN175" s="11">
        <v>1</v>
      </c>
      <c r="AO175" s="11">
        <v>0</v>
      </c>
      <c r="AP175" s="11">
        <v>0</v>
      </c>
      <c r="AQ175" s="11">
        <v>0</v>
      </c>
      <c r="AR175" s="51">
        <v>466259449</v>
      </c>
      <c r="AS175" s="54">
        <v>0</v>
      </c>
      <c r="AT175" s="54">
        <f t="shared" si="242"/>
        <v>466259449</v>
      </c>
      <c r="AU175" s="51">
        <v>448828397</v>
      </c>
      <c r="AV175" s="89">
        <v>634237353</v>
      </c>
      <c r="AY175" s="89">
        <v>260013234</v>
      </c>
      <c r="AZ175" s="42">
        <f t="shared" si="316"/>
        <v>0.5</v>
      </c>
      <c r="BA175" s="44">
        <v>0.16669999999999999</v>
      </c>
      <c r="BB175" s="44">
        <v>1</v>
      </c>
      <c r="BC175" s="42">
        <f t="shared" si="317"/>
        <v>0.33333333333333331</v>
      </c>
      <c r="BD175" s="42" cm="1">
        <f t="array" ref="BD175">_xlfn.IFS(AD175=0,"NA",AD175&gt;0,AH175/AD175)</f>
        <v>1</v>
      </c>
      <c r="BE175" s="42">
        <f t="shared" si="318"/>
        <v>0.33333333333333331</v>
      </c>
      <c r="BF175" s="44">
        <v>0</v>
      </c>
      <c r="BG175" s="42">
        <f t="shared" si="319"/>
        <v>0.16666666666666666</v>
      </c>
      <c r="BH175" s="44">
        <v>0</v>
      </c>
      <c r="BI175" s="42">
        <f t="shared" si="320"/>
        <v>0</v>
      </c>
      <c r="BJ175" s="44" t="s">
        <v>115</v>
      </c>
      <c r="BK175" s="42">
        <f t="shared" si="243"/>
        <v>0.5</v>
      </c>
      <c r="BL175" s="44">
        <v>1</v>
      </c>
      <c r="BM175" s="42" cm="1">
        <f t="array" ref="BM175">_xlfn.IFS(BD175="NA","NA",BD175&gt;100%,"100%",BD175&lt;100,BD175)</f>
        <v>1</v>
      </c>
      <c r="BN175" s="42" cm="1">
        <f t="array" ref="BN175">_xlfn.IFS(BF175="NA","NA",BF175&gt;100%,"100%",BF175&lt;100,BF175)</f>
        <v>0</v>
      </c>
      <c r="BO175" s="42" cm="1">
        <f t="array" ref="BO175">_xlfn.IFS(BH175="NA","NA",BH175&gt;100%,"100%",BH175&lt;100,BH175)</f>
        <v>0</v>
      </c>
      <c r="BP175" s="42" t="str" cm="1">
        <f t="array" ref="BP175">_xlfn.IFS(BJ175="NA","NA",BJ175&gt;100%,"100%",BJ175&lt;100,BJ175)</f>
        <v>NA</v>
      </c>
      <c r="BQ175" s="45">
        <v>0.22500000000000001</v>
      </c>
      <c r="BR175" s="43">
        <f t="shared" si="244"/>
        <v>0.1125</v>
      </c>
      <c r="BS175" s="45">
        <v>3.7499999999999999E-2</v>
      </c>
      <c r="BT175" s="45">
        <v>3.7499999999999999E-2</v>
      </c>
      <c r="BU175" s="45">
        <v>3.7499999999999999E-2</v>
      </c>
      <c r="BV175" s="43">
        <f t="shared" si="321"/>
        <v>7.4999999999999997E-2</v>
      </c>
      <c r="BW175" s="43">
        <f t="shared" si="245"/>
        <v>7.4999999999999997E-2</v>
      </c>
      <c r="BX175" s="43">
        <f t="shared" si="246"/>
        <v>7.5000000000000011E-2</v>
      </c>
      <c r="BY175" s="43">
        <f t="shared" si="322"/>
        <v>7.4999999999999997E-2</v>
      </c>
      <c r="BZ175" s="43">
        <f t="shared" si="323"/>
        <v>0</v>
      </c>
      <c r="CA175" s="43">
        <f t="shared" si="247"/>
        <v>0</v>
      </c>
      <c r="CB175" s="43">
        <f t="shared" si="324"/>
        <v>3.7499999999999999E-2</v>
      </c>
      <c r="CC175" s="43">
        <f t="shared" si="325"/>
        <v>0</v>
      </c>
      <c r="CD175" s="45">
        <v>0</v>
      </c>
      <c r="CE175" s="43">
        <f t="shared" si="326"/>
        <v>0</v>
      </c>
      <c r="CF175" s="43" t="str">
        <f t="shared" si="327"/>
        <v>NA</v>
      </c>
      <c r="CG175" s="45">
        <v>0</v>
      </c>
    </row>
    <row r="176" spans="1:90" ht="18" customHeight="1">
      <c r="A176" s="260" t="s">
        <v>907</v>
      </c>
      <c r="B176" s="260" t="s">
        <v>908</v>
      </c>
      <c r="C176" s="260" t="s">
        <v>100</v>
      </c>
      <c r="D176" s="260" t="s">
        <v>1074</v>
      </c>
      <c r="E176" s="260" t="s">
        <v>1134</v>
      </c>
      <c r="F176" s="260" t="s">
        <v>1217</v>
      </c>
      <c r="G176" s="260" t="s">
        <v>1218</v>
      </c>
      <c r="H176" s="260" t="s">
        <v>1137</v>
      </c>
      <c r="I176" s="260" t="s">
        <v>973</v>
      </c>
      <c r="J176" s="260"/>
      <c r="K176" s="260" t="s">
        <v>1138</v>
      </c>
      <c r="L176" s="260" t="s">
        <v>2943</v>
      </c>
      <c r="M176" s="260" t="s">
        <v>1140</v>
      </c>
      <c r="N176" s="260" t="s">
        <v>111</v>
      </c>
      <c r="O176" s="260" t="s">
        <v>124</v>
      </c>
      <c r="P176" s="10">
        <v>1500</v>
      </c>
      <c r="Q176" s="11">
        <v>1500</v>
      </c>
      <c r="R176" s="11">
        <f>(Z176+AH176)/CL176</f>
        <v>674.75</v>
      </c>
      <c r="S176" s="11" t="str">
        <f>VLOOKUP(K176,'1207 Beneficencia'!$K$13:$AK$15,9,0)</f>
        <v xml:space="preserve">1311 personas con discapacidad mental y cognitiva mayores de 18 años, víctimas de una o más violencias, viviendo en medio seguro y con el disfrute de sus derechos fundamentales en tres centros de la Beneficencia </v>
      </c>
      <c r="T176" s="11">
        <v>0</v>
      </c>
      <c r="U176" s="11">
        <v>1500</v>
      </c>
      <c r="V176" s="11">
        <v>0</v>
      </c>
      <c r="W176" s="11">
        <v>1500</v>
      </c>
      <c r="X176" s="11" t="s">
        <v>115</v>
      </c>
      <c r="Y176" s="11">
        <v>1365</v>
      </c>
      <c r="Z176" s="11">
        <v>1365</v>
      </c>
      <c r="AA176" s="11" t="s">
        <v>1141</v>
      </c>
      <c r="AB176" s="11" t="s">
        <v>1142</v>
      </c>
      <c r="AC176" s="11" t="s">
        <v>1143</v>
      </c>
      <c r="AD176" s="11">
        <v>0</v>
      </c>
      <c r="AE176" s="11">
        <v>1500</v>
      </c>
      <c r="AF176" s="11" t="str">
        <f>VLOOKUP(K176,'1207 Beneficencia'!$K$13:$AK$15,22,0)</f>
        <v>NA</v>
      </c>
      <c r="AG176" s="11">
        <f>VLOOKUP(K176,'1207 Beneficencia'!$K$13:$AK$15,23,0)</f>
        <v>1334</v>
      </c>
      <c r="AH176" s="11">
        <f>AG176</f>
        <v>1334</v>
      </c>
      <c r="AI176" s="9" t="str">
        <f>VLOOKUP(K176,'1207 Beneficencia'!$K$13:$AK$15,25,0)</f>
        <v>Protección integral institucionalizada donde reciben alojamiento, alimentación, vestido, dotación personal de elementos de aseo, atención especializada en psiquiatría,  psicología, trabajo social, gerontología, enfermería, terapias física y ocupacional, nutrición, talleres ocupacionales, recreación, acceso a servicios de salud y funerarios</v>
      </c>
      <c r="AJ176" s="9" t="str">
        <f>VLOOKUP(K176,'1207 Beneficencia'!$K$13:$AK$15,26,0)</f>
        <v>Se han atendido durante la vigencia 660 mujeres y 674 hombres mayores de 18 años, con discapacidad mental y cognitiva, víctimas de una o más violencias, quienes disfrutan de sus derechos fundamentales en 3 centros de la Beneficencia de Cundinamarca</v>
      </c>
      <c r="AK176" s="9" t="str">
        <f>VLOOKUP(K176,'1207 Beneficencia'!$K$13:$AK$15,27,0)</f>
        <v>Los recursos económicos propios de la entidad son insuficientes y se requiere de la articulación y cofinanciación con el Departamento para cumplir a cabalidad con la inversión social en estas metas</v>
      </c>
      <c r="AL176" s="11">
        <v>0</v>
      </c>
      <c r="AM176" s="11">
        <v>1500</v>
      </c>
      <c r="AN176" s="11">
        <v>0</v>
      </c>
      <c r="AO176" s="11">
        <v>1500</v>
      </c>
      <c r="AP176" s="11">
        <v>0</v>
      </c>
      <c r="AQ176" s="11">
        <v>0</v>
      </c>
      <c r="AR176" s="51">
        <v>1560437718</v>
      </c>
      <c r="AS176" s="54">
        <v>3939290206</v>
      </c>
      <c r="AT176" s="54">
        <f t="shared" si="242"/>
        <v>5499727924</v>
      </c>
      <c r="AU176" s="51">
        <v>1560437718</v>
      </c>
      <c r="AV176" s="89">
        <v>38000000000</v>
      </c>
      <c r="AY176" s="89">
        <v>14408299507</v>
      </c>
      <c r="AZ176" s="44" cm="1">
        <f t="array" ref="AZ176">_xlfn.IFS((BA176=0),(BD176/CL176),(BA176&gt;0),((BB176+BD176)/CL176),(BE176&gt;0),((BB176+BD176+BE176)/CL176),(BG176&gt;0),((BB176+BD176+BE176+G176)/CL176))</f>
        <v>0.44983333333333331</v>
      </c>
      <c r="BA176" s="44">
        <v>0.25</v>
      </c>
      <c r="BB176" s="44">
        <v>0.91</v>
      </c>
      <c r="BC176" s="44">
        <f>IF(AE176&gt;0,(1/CL176),0)</f>
        <v>0.25</v>
      </c>
      <c r="BD176" s="44" cm="1">
        <f t="array" ref="BD176">_xlfn.IFS(AE176=0,"NA",AE176&gt;0,AH176/AE176)</f>
        <v>0.88933333333333331</v>
      </c>
      <c r="BE176" s="44">
        <f>IF(AM176&gt;0,(1/CL176),0)</f>
        <v>0.25</v>
      </c>
      <c r="BF176" s="44">
        <v>0</v>
      </c>
      <c r="BG176" s="44">
        <f>IF(AO176&gt;0,(1/CL176),0)</f>
        <v>0.25</v>
      </c>
      <c r="BH176" s="44">
        <v>0</v>
      </c>
      <c r="BI176" s="44">
        <v>0</v>
      </c>
      <c r="BJ176" s="44" t="s">
        <v>115</v>
      </c>
      <c r="BK176" s="44">
        <f t="shared" si="243"/>
        <v>0.44983333333333331</v>
      </c>
      <c r="BL176" s="44">
        <v>0.91</v>
      </c>
      <c r="BM176" s="42" cm="1">
        <f t="array" ref="BM176">_xlfn.IFS(BD176="NA","NA",BD176&gt;100%,"100%",BD176&lt;100,BD176)</f>
        <v>0.88933333333333331</v>
      </c>
      <c r="BN176" s="44">
        <v>0</v>
      </c>
      <c r="BO176" s="44">
        <v>0</v>
      </c>
      <c r="BP176" s="44" t="s">
        <v>115</v>
      </c>
      <c r="BQ176" s="45">
        <v>0.22500000000000001</v>
      </c>
      <c r="BR176" s="43">
        <f t="shared" si="244"/>
        <v>0.1012125</v>
      </c>
      <c r="BS176" s="45">
        <v>5.6300000000000003E-2</v>
      </c>
      <c r="BT176" s="45">
        <v>5.1200000000000002E-2</v>
      </c>
      <c r="BU176" s="45">
        <v>5.1200000000000002E-2</v>
      </c>
      <c r="BV176" s="45">
        <v>5.6300000000000003E-2</v>
      </c>
      <c r="BW176" s="43">
        <f t="shared" si="245"/>
        <v>5.0069466666666666E-2</v>
      </c>
      <c r="BX176" s="43">
        <f t="shared" si="246"/>
        <v>5.0012499999999994E-2</v>
      </c>
      <c r="BY176" s="45">
        <v>5.6300000000000003E-2</v>
      </c>
      <c r="BZ176" s="45">
        <v>0</v>
      </c>
      <c r="CA176" s="43">
        <f t="shared" si="247"/>
        <v>0</v>
      </c>
      <c r="CB176" s="45">
        <v>5.6300000000000003E-2</v>
      </c>
      <c r="CC176" s="45">
        <v>0</v>
      </c>
      <c r="CD176" s="45">
        <v>0</v>
      </c>
      <c r="CE176" s="45">
        <v>0</v>
      </c>
      <c r="CF176" s="45" t="s">
        <v>115</v>
      </c>
      <c r="CG176" s="45">
        <v>0</v>
      </c>
      <c r="CH176">
        <f>IF(W176&gt;0,1,0)</f>
        <v>1</v>
      </c>
      <c r="CI176">
        <f>IF(AE176&gt;0,1,0)</f>
        <v>1</v>
      </c>
      <c r="CJ176">
        <f>IF(AM176&gt;0,1,0)</f>
        <v>1</v>
      </c>
      <c r="CK176">
        <f>IF(AO176&gt;0,1,0)</f>
        <v>1</v>
      </c>
      <c r="CL176">
        <f>CH176+CI176+CJ176+CK176</f>
        <v>4</v>
      </c>
    </row>
    <row r="177" spans="1:90" ht="18" customHeight="1">
      <c r="A177" s="260" t="s">
        <v>221</v>
      </c>
      <c r="B177" s="260" t="s">
        <v>222</v>
      </c>
      <c r="C177" s="260" t="s">
        <v>100</v>
      </c>
      <c r="D177" s="260" t="s">
        <v>1074</v>
      </c>
      <c r="E177" s="260" t="s">
        <v>1134</v>
      </c>
      <c r="F177" s="260" t="s">
        <v>1217</v>
      </c>
      <c r="G177" s="260" t="s">
        <v>1218</v>
      </c>
      <c r="H177" s="260" t="s">
        <v>1144</v>
      </c>
      <c r="I177" s="260"/>
      <c r="J177" s="260"/>
      <c r="K177" s="260" t="s">
        <v>1145</v>
      </c>
      <c r="L177" s="260" t="s">
        <v>1146</v>
      </c>
      <c r="M177" s="260" t="s">
        <v>1147</v>
      </c>
      <c r="N177" s="260" t="s">
        <v>111</v>
      </c>
      <c r="O177" s="260" t="s">
        <v>112</v>
      </c>
      <c r="P177" s="10">
        <v>0</v>
      </c>
      <c r="Q177" s="11">
        <v>6</v>
      </c>
      <c r="R177" s="9">
        <f t="shared" ref="R177:R178" ca="1" si="328">Z177+AH177</f>
        <v>2</v>
      </c>
      <c r="S177" s="11" t="str">
        <f ca="1">VLOOKUP(K177,'1220 IDECUT'!$K$13:$AK$48,9,0)</f>
        <v xml:space="preserve">En el 2020 se aunaron esfuerzos con el municipio de Fusagasugá para el fortalecimiento de los procesos de formación artística dirigida a la población en condición de discapacidad a través de la suscripción de un convenio para la  dotación de elementos acorde con las necesidades de las áreas artísticas, con el cual se benefició a 278 personas en condición de discapacidad física, sensorial auditiva, sensorial visual, sistémica, cognitiva, mental, psicosocial y múltiple. En 2021. Se ha apoyado un proceso cultural que beneficie a la población en condicion de discapacidad, especificamente en el municipio de Funza, el cual se encuentra en etapa de  convocatoria y tramite administrativo para firma. EL proyecto que tiene como objeto la creación de  "el vuelo de las aves"como un espacio  para la creacion de  artes escénicas y medios de comunicación con personas en discapacidad. </v>
      </c>
      <c r="T177" s="11">
        <v>1</v>
      </c>
      <c r="U177" s="11">
        <v>0</v>
      </c>
      <c r="V177" s="11">
        <v>1</v>
      </c>
      <c r="W177" s="11">
        <v>0</v>
      </c>
      <c r="X177" s="11">
        <v>1</v>
      </c>
      <c r="Y177" s="11">
        <v>0</v>
      </c>
      <c r="Z177" s="11">
        <v>1</v>
      </c>
      <c r="AA177" s="11" t="s">
        <v>1148</v>
      </c>
      <c r="AB177" s="11" t="s">
        <v>1149</v>
      </c>
      <c r="AC177" s="11" t="s">
        <v>1150</v>
      </c>
      <c r="AD177" s="11">
        <v>2</v>
      </c>
      <c r="AE177" s="11">
        <v>0</v>
      </c>
      <c r="AF177" s="11">
        <f ca="1">VLOOKUP(K177,'1220 IDECUT'!$K$13:$AK$48,22,0)</f>
        <v>1</v>
      </c>
      <c r="AG177" s="11">
        <f ca="1">VLOOKUP(K177,'1220 IDECUT'!$K$13:$AK$48,23,0)</f>
        <v>0</v>
      </c>
      <c r="AH177" s="9">
        <f t="shared" ref="AH177:AH178" ca="1" si="329">AF177</f>
        <v>1</v>
      </c>
      <c r="AI177" s="9" t="str">
        <f ca="1">VLOOKUP(K177,'1220 IDECUT'!$K$13:$AK$48,25,0)</f>
        <v>Proceso</v>
      </c>
      <c r="AJ177" s="9" t="str">
        <f ca="1">VLOOKUP(K177,'1220 IDECUT'!$K$13:$AK$48,26,0)</f>
        <v xml:space="preserve">Se ha apoyado un proceso cultural que beneficie a la población en condicion de discapacidad, especificamente en el municipio de Funza, el cual se encuentra en etapa de  convocatoria y tramite administrativo para firma. EL proyecto que tiene como objeto la creación de  "el vuelo de las aves"como un espacio  para la creacion de  artes escénicas y medios de comunicación con personas en discapacidad. </v>
      </c>
      <c r="AK177" s="9">
        <f ca="1">VLOOKUP(K177,'1220 IDECUT'!$K$13:$AK$48,27,0)</f>
        <v>0</v>
      </c>
      <c r="AL177" s="11">
        <v>2</v>
      </c>
      <c r="AM177" s="11">
        <v>0</v>
      </c>
      <c r="AN177" s="11">
        <v>1</v>
      </c>
      <c r="AO177" s="11">
        <v>0</v>
      </c>
      <c r="AP177" s="11">
        <v>0</v>
      </c>
      <c r="AQ177" s="11">
        <v>0</v>
      </c>
      <c r="AR177" s="51">
        <v>20000000</v>
      </c>
      <c r="AS177" s="54">
        <v>0</v>
      </c>
      <c r="AT177" s="54">
        <f t="shared" si="242"/>
        <v>20000000</v>
      </c>
      <c r="AU177" s="51">
        <v>20000000</v>
      </c>
      <c r="AV177" s="89">
        <v>71518220</v>
      </c>
      <c r="AY177" s="89">
        <v>0</v>
      </c>
      <c r="AZ177" s="42">
        <f t="shared" ref="AZ177:AZ178" ca="1" si="330">R177/Q177</f>
        <v>0.33333333333333331</v>
      </c>
      <c r="BA177" s="44">
        <v>0.16669999999999999</v>
      </c>
      <c r="BB177" s="44">
        <v>1</v>
      </c>
      <c r="BC177" s="42">
        <f t="shared" ref="BC177:BC178" si="331">AD177/Q177</f>
        <v>0.33333333333333331</v>
      </c>
      <c r="BD177" s="42" cm="1">
        <f t="array" aca="1" ref="BD177" ca="1">_xlfn.IFS(AD177=0,"NA",AD177&gt;0,AH177/AD177)</f>
        <v>0.5</v>
      </c>
      <c r="BE177" s="42">
        <f t="shared" ref="BE177:BE178" si="332">AL177/Q177</f>
        <v>0.33333333333333331</v>
      </c>
      <c r="BF177" s="44">
        <v>0</v>
      </c>
      <c r="BG177" s="42">
        <f t="shared" ref="BG177:BG178" si="333">AN177/Q177</f>
        <v>0.16666666666666666</v>
      </c>
      <c r="BH177" s="44">
        <v>0</v>
      </c>
      <c r="BI177" s="42">
        <f t="shared" ref="BI177:BI178" si="334">AP177/Q177</f>
        <v>0</v>
      </c>
      <c r="BJ177" s="44" t="s">
        <v>115</v>
      </c>
      <c r="BK177" s="42">
        <f t="shared" ca="1" si="243"/>
        <v>0.33333333333333331</v>
      </c>
      <c r="BL177" s="44">
        <v>1</v>
      </c>
      <c r="BM177" s="42" cm="1">
        <f t="array" aca="1" ref="BM177" ca="1">_xlfn.IFS(BD177="NA","NA",BD177&gt;100%,"100%",BD177&lt;100,BD177)</f>
        <v>0.5</v>
      </c>
      <c r="BN177" s="42" cm="1">
        <f t="array" ref="BN177">_xlfn.IFS(BF177="NA","NA",BF177&gt;100%,"100%",BF177&lt;100,BF177)</f>
        <v>0</v>
      </c>
      <c r="BO177" s="42" cm="1">
        <f t="array" ref="BO177">_xlfn.IFS(BH177="NA","NA",BH177&gt;100%,"100%",BH177&lt;100,BH177)</f>
        <v>0</v>
      </c>
      <c r="BP177" s="42" t="str" cm="1">
        <f t="array" ref="BP177">_xlfn.IFS(BJ177="NA","NA",BJ177&gt;100%,"100%",BJ177&lt;100,BJ177)</f>
        <v>NA</v>
      </c>
      <c r="BQ177" s="45">
        <v>0.22500000000000001</v>
      </c>
      <c r="BR177" s="43">
        <f t="shared" ca="1" si="244"/>
        <v>7.4999999999999997E-2</v>
      </c>
      <c r="BS177" s="45">
        <v>3.7499999999999999E-2</v>
      </c>
      <c r="BT177" s="45">
        <v>3.7499999999999999E-2</v>
      </c>
      <c r="BU177" s="45">
        <v>3.7499999999999999E-2</v>
      </c>
      <c r="BV177" s="43">
        <f t="shared" ref="BV177:BV178" si="335">(AD177*BQ177)/Q177</f>
        <v>7.4999999999999997E-2</v>
      </c>
      <c r="BW177" s="43">
        <f t="shared" ca="1" si="245"/>
        <v>3.7499999999999999E-2</v>
      </c>
      <c r="BX177" s="43">
        <f t="shared" ca="1" si="246"/>
        <v>3.7499999999999999E-2</v>
      </c>
      <c r="BY177" s="43">
        <f t="shared" ref="BY177:BY178" si="336">(AL177*BQ177)/Q177</f>
        <v>7.4999999999999997E-2</v>
      </c>
      <c r="BZ177" s="43">
        <f t="shared" ref="BZ177:BZ178" si="337">IF(BN177="NA","NA",BN177*BY177)</f>
        <v>0</v>
      </c>
      <c r="CA177" s="43">
        <f t="shared" ca="1" si="247"/>
        <v>0</v>
      </c>
      <c r="CB177" s="43">
        <f t="shared" ref="CB177:CB178" si="338">(AN177*BQ177)/Q177</f>
        <v>3.7499999999999999E-2</v>
      </c>
      <c r="CC177" s="43">
        <f t="shared" ref="CC177:CC178" si="339">IF(BO177="NA","NA",BO177*CB177)</f>
        <v>0</v>
      </c>
      <c r="CD177" s="45">
        <v>0</v>
      </c>
      <c r="CE177" s="43">
        <f t="shared" ref="CE177:CE178" si="340">(AP177*BQ177)/Q177</f>
        <v>0</v>
      </c>
      <c r="CF177" s="43" t="str">
        <f t="shared" ref="CF177:CF178" si="341">IF(BP177="NA","NA",BP177*CE177)</f>
        <v>NA</v>
      </c>
      <c r="CG177" s="45">
        <v>0</v>
      </c>
    </row>
    <row r="178" spans="1:90" ht="18" customHeight="1">
      <c r="A178" s="260" t="s">
        <v>248</v>
      </c>
      <c r="B178" s="260" t="s">
        <v>249</v>
      </c>
      <c r="C178" s="260" t="s">
        <v>100</v>
      </c>
      <c r="D178" s="260" t="s">
        <v>1074</v>
      </c>
      <c r="E178" s="260" t="s">
        <v>1134</v>
      </c>
      <c r="F178" s="260" t="s">
        <v>1217</v>
      </c>
      <c r="G178" s="260" t="s">
        <v>1218</v>
      </c>
      <c r="H178" s="260" t="s">
        <v>1151</v>
      </c>
      <c r="I178" s="260" t="s">
        <v>106</v>
      </c>
      <c r="J178" s="260"/>
      <c r="K178" s="260" t="s">
        <v>1152</v>
      </c>
      <c r="L178" s="260" t="s">
        <v>1153</v>
      </c>
      <c r="M178" s="260" t="s">
        <v>1154</v>
      </c>
      <c r="N178" s="260" t="s">
        <v>111</v>
      </c>
      <c r="O178" s="260" t="s">
        <v>112</v>
      </c>
      <c r="P178" s="10">
        <v>10</v>
      </c>
      <c r="Q178" s="11">
        <v>13</v>
      </c>
      <c r="R178" s="9">
        <f t="shared" si="328"/>
        <v>17</v>
      </c>
      <c r="S178" s="11" t="str">
        <f>VLOOKUP(K178,'1208 Indeportes'!$K$13:$AK$39,9,0)</f>
        <v>ACTIVATE LIVE; PROGRAMA EL CUAL SE TRASMITE POR MEDIO DE LA PAGINA DE FACEBOOK “INDEPORTES CUNDINAMARCA”.VACACIONES RECREATIVAS.MARATÓN DE RUMBA  AERÓBICA. ACERCAMIENTO CON LOS CENTROS DE APOYO PARA DISCAPACIDAD.</v>
      </c>
      <c r="T178" s="11">
        <v>13</v>
      </c>
      <c r="U178" s="11">
        <v>0</v>
      </c>
      <c r="V178" s="11">
        <v>13</v>
      </c>
      <c r="W178" s="11">
        <v>0</v>
      </c>
      <c r="X178" s="11">
        <v>6</v>
      </c>
      <c r="Y178" s="11">
        <v>0</v>
      </c>
      <c r="Z178" s="11">
        <v>6</v>
      </c>
      <c r="AA178" s="11">
        <v>0</v>
      </c>
      <c r="AB178" s="11" t="s">
        <v>1155</v>
      </c>
      <c r="AC178" s="11">
        <v>0</v>
      </c>
      <c r="AD178" s="11">
        <v>13</v>
      </c>
      <c r="AE178" s="11">
        <v>0</v>
      </c>
      <c r="AF178" s="11">
        <f>VLOOKUP(K178,'1208 Indeportes'!$K$13:$AH$39,22,0)</f>
        <v>11</v>
      </c>
      <c r="AG178" s="11">
        <f>VLOOKUP(K178,'1208 Indeportes'!$K$13:$AH$39,23,0)</f>
        <v>0</v>
      </c>
      <c r="AH178" s="9">
        <f t="shared" si="329"/>
        <v>11</v>
      </c>
      <c r="AI178" s="9">
        <f>VLOOKUP(K178,'1208 Indeportes'!$K$13:$AK$39,25,0)</f>
        <v>0</v>
      </c>
      <c r="AJ178" s="9" t="str">
        <f>VLOOKUP(K178,'1208 Indeportes'!$K$13:$AK$39,26,0)</f>
        <v xml:space="preserve">Se suscribieron convenios con los Municipios de San Juan de Rioseco, Guayabal de Síquima, Machetá y Chaguaní.
Se entregaron dotaciones compuestas de balones medicinales, mancuernas, balón de futbol de salón laminado, balón de baloncesto, Ula Ula, pelotas de caucho, conos de 20 cm, escaleras de agilidad, vallas de saltabilidad y colchonetas a las escuelas de formación deportiva discapacidad de Cota, Silvania, Soacha, Sibaté, Fusagasugá, Fúquene y Ubaté.
</v>
      </c>
      <c r="AK178" s="9">
        <f>VLOOKUP(K178,'1208 Indeportes'!$K$13:$AK$39,27,0)</f>
        <v>0</v>
      </c>
      <c r="AL178" s="11">
        <v>13</v>
      </c>
      <c r="AM178" s="11">
        <v>0</v>
      </c>
      <c r="AN178" s="11">
        <v>13</v>
      </c>
      <c r="AO178" s="11">
        <v>0</v>
      </c>
      <c r="AP178" s="11">
        <v>0</v>
      </c>
      <c r="AQ178" s="11">
        <v>0</v>
      </c>
      <c r="AR178" s="51">
        <v>92085085</v>
      </c>
      <c r="AS178" s="54">
        <v>0</v>
      </c>
      <c r="AT178" s="54">
        <f t="shared" si="242"/>
        <v>92085085</v>
      </c>
      <c r="AU178" s="51">
        <v>77226908</v>
      </c>
      <c r="AV178" s="89">
        <v>93170000</v>
      </c>
      <c r="AY178" s="89">
        <v>0</v>
      </c>
      <c r="AZ178" s="42">
        <f t="shared" si="330"/>
        <v>1.3076923076923077</v>
      </c>
      <c r="BA178" s="44">
        <v>1</v>
      </c>
      <c r="BB178" s="44">
        <v>0.46150000000000002</v>
      </c>
      <c r="BC178" s="42">
        <f t="shared" si="331"/>
        <v>1</v>
      </c>
      <c r="BD178" s="42" cm="1">
        <f t="array" ref="BD178">_xlfn.IFS(AD178=0,"NA",AD178&gt;0,AH178/AD178)</f>
        <v>0.84615384615384615</v>
      </c>
      <c r="BE178" s="42">
        <f t="shared" si="332"/>
        <v>1</v>
      </c>
      <c r="BF178" s="44">
        <v>0</v>
      </c>
      <c r="BG178" s="42">
        <f t="shared" si="333"/>
        <v>1</v>
      </c>
      <c r="BH178" s="44">
        <v>0</v>
      </c>
      <c r="BI178" s="42">
        <f t="shared" si="334"/>
        <v>0</v>
      </c>
      <c r="BJ178" s="44" t="s">
        <v>115</v>
      </c>
      <c r="BK178" s="42" t="str">
        <f t="shared" si="243"/>
        <v>100%</v>
      </c>
      <c r="BL178" s="44">
        <v>0.46150000000000002</v>
      </c>
      <c r="BM178" s="42" cm="1">
        <f t="array" ref="BM178">_xlfn.IFS(BD178="NA","NA",BD178&gt;100%,"100%",BD178&lt;100,BD178)</f>
        <v>0.84615384615384615</v>
      </c>
      <c r="BN178" s="42" cm="1">
        <f t="array" ref="BN178">_xlfn.IFS(BF178="NA","NA",BF178&gt;100%,"100%",BF178&lt;100,BF178)</f>
        <v>0</v>
      </c>
      <c r="BO178" s="42" cm="1">
        <f t="array" ref="BO178">_xlfn.IFS(BH178="NA","NA",BH178&gt;100%,"100%",BH178&lt;100,BH178)</f>
        <v>0</v>
      </c>
      <c r="BP178" s="42" t="str" cm="1">
        <f t="array" ref="BP178">_xlfn.IFS(BJ178="NA","NA",BJ178&gt;100%,"100%",BJ178&lt;100,BJ178)</f>
        <v>NA</v>
      </c>
      <c r="BQ178" s="45">
        <v>0.22500000000000001</v>
      </c>
      <c r="BR178" s="43">
        <f t="shared" si="244"/>
        <v>0.22500000000000001</v>
      </c>
      <c r="BS178" s="45">
        <v>0.22500000000000001</v>
      </c>
      <c r="BT178" s="45">
        <v>0.1038</v>
      </c>
      <c r="BU178" s="45">
        <v>0.1038</v>
      </c>
      <c r="BV178" s="43">
        <f t="shared" si="335"/>
        <v>0.22500000000000003</v>
      </c>
      <c r="BW178" s="43">
        <f t="shared" si="245"/>
        <v>0.1903846153846154</v>
      </c>
      <c r="BX178" s="43">
        <f t="shared" si="246"/>
        <v>0.1212</v>
      </c>
      <c r="BY178" s="43">
        <f t="shared" si="336"/>
        <v>0.22500000000000003</v>
      </c>
      <c r="BZ178" s="43">
        <f t="shared" si="337"/>
        <v>0</v>
      </c>
      <c r="CA178" s="43">
        <f t="shared" si="247"/>
        <v>0</v>
      </c>
      <c r="CB178" s="43">
        <f t="shared" si="338"/>
        <v>0.22500000000000003</v>
      </c>
      <c r="CC178" s="43">
        <f t="shared" si="339"/>
        <v>0</v>
      </c>
      <c r="CD178" s="45">
        <v>0</v>
      </c>
      <c r="CE178" s="43">
        <f t="shared" si="340"/>
        <v>0</v>
      </c>
      <c r="CF178" s="43" t="str">
        <f t="shared" si="341"/>
        <v>NA</v>
      </c>
      <c r="CG178" s="45">
        <v>0</v>
      </c>
    </row>
    <row r="179" spans="1:90" ht="18" customHeight="1">
      <c r="A179" s="260" t="s">
        <v>144</v>
      </c>
      <c r="B179" s="260" t="s">
        <v>145</v>
      </c>
      <c r="C179" s="260" t="s">
        <v>100</v>
      </c>
      <c r="D179" s="260" t="s">
        <v>1074</v>
      </c>
      <c r="E179" s="260" t="s">
        <v>1134</v>
      </c>
      <c r="F179" s="260" t="s">
        <v>1217</v>
      </c>
      <c r="G179" s="260" t="s">
        <v>1218</v>
      </c>
      <c r="H179" s="260" t="s">
        <v>1156</v>
      </c>
      <c r="I179" s="260" t="s">
        <v>973</v>
      </c>
      <c r="J179" s="260"/>
      <c r="K179" s="260" t="s">
        <v>1157</v>
      </c>
      <c r="L179" s="260" t="s">
        <v>1158</v>
      </c>
      <c r="M179" s="260" t="s">
        <v>1159</v>
      </c>
      <c r="N179" s="260" t="s">
        <v>111</v>
      </c>
      <c r="O179" s="260" t="s">
        <v>124</v>
      </c>
      <c r="P179" s="10">
        <v>116</v>
      </c>
      <c r="Q179" s="11">
        <v>116</v>
      </c>
      <c r="R179" s="11">
        <f t="shared" ref="R179:R180" si="342">(Z179+AH179)/CL179</f>
        <v>54.5</v>
      </c>
      <c r="S179" s="11" t="str">
        <f>VLOOKUP(K179,'1126 Desarrollo Social'!$K$13:$S$58,9,0)</f>
        <v>Diagnostico del funcionamiento de los consejos de discapacidadCapacitación en el tema de registro de localización y caracterización de personas con discapacidad.El personal contratado para el desarrollo de las actividades de esta meta con vigencia del plan de desarrollo 2016-2020</v>
      </c>
      <c r="T179" s="11">
        <v>0</v>
      </c>
      <c r="U179" s="11">
        <v>116</v>
      </c>
      <c r="V179" s="11">
        <v>0</v>
      </c>
      <c r="W179" s="11">
        <v>116</v>
      </c>
      <c r="X179" s="11" t="s">
        <v>115</v>
      </c>
      <c r="Y179" s="11">
        <v>116</v>
      </c>
      <c r="Z179" s="11">
        <v>116</v>
      </c>
      <c r="AA179" s="11" t="s">
        <v>1160</v>
      </c>
      <c r="AB179" s="11" t="s">
        <v>1161</v>
      </c>
      <c r="AC179" s="11">
        <v>0</v>
      </c>
      <c r="AD179" s="11">
        <v>0</v>
      </c>
      <c r="AE179" s="11">
        <v>116</v>
      </c>
      <c r="AF179" s="11">
        <f>VLOOKUP(K179,'1126 Desarrollo Social'!$K$13:$AK$58,22,0)</f>
        <v>0</v>
      </c>
      <c r="AG179" s="11">
        <f>VLOOKUP(K179,'1126 Desarrollo Social'!$K$13:$AK$58,23,0)</f>
        <v>102</v>
      </c>
      <c r="AH179" s="11">
        <f t="shared" ref="AH179:AH180" si="343">AG179</f>
        <v>102</v>
      </c>
      <c r="AI179" s="9">
        <f>VLOOKUP(K179,'1126 Desarrollo Social'!$K$13:$AK$58,25,0)</f>
        <v>0</v>
      </c>
      <c r="AJ179" s="9" t="str">
        <f>VLOOKUP(K179,'1126 Desarrollo Social'!$K$13:$AK$58,26,0)</f>
        <v>se realizaron 102 certificaciones de Consejos de discapacidad con garantía de funcionamiento</v>
      </c>
      <c r="AK179" s="9">
        <f>VLOOKUP(K179,'1126 Desarrollo Social'!$K$13:$AK$58,27,0)</f>
        <v>0</v>
      </c>
      <c r="AL179" s="11">
        <v>0</v>
      </c>
      <c r="AM179" s="11">
        <v>116</v>
      </c>
      <c r="AN179" s="11">
        <v>0</v>
      </c>
      <c r="AO179" s="11">
        <v>116</v>
      </c>
      <c r="AP179" s="11">
        <v>0</v>
      </c>
      <c r="AQ179" s="11">
        <v>0</v>
      </c>
      <c r="AR179" s="51">
        <v>29400000</v>
      </c>
      <c r="AS179" s="54">
        <v>0</v>
      </c>
      <c r="AT179" s="54">
        <f t="shared" si="242"/>
        <v>29400000</v>
      </c>
      <c r="AU179" s="51">
        <v>20566665</v>
      </c>
      <c r="AV179" s="89">
        <v>60328072</v>
      </c>
      <c r="AY179" s="89">
        <v>0</v>
      </c>
      <c r="AZ179" s="44" cm="1">
        <f t="array" ref="AZ179">_xlfn.IFS((BA179=0),(BD179/CL179),(BA179&gt;0),((BB179+BD179)/CL179),(BE179&gt;0),((BB179+BD179+BE179)/CL179),(BG179&gt;0),((BB179+BD179+BE179+G179)/CL179))</f>
        <v>0.46982758620689657</v>
      </c>
      <c r="BA179" s="44">
        <v>0.25</v>
      </c>
      <c r="BB179" s="44">
        <v>1</v>
      </c>
      <c r="BC179" s="44">
        <f t="shared" ref="BC179:BC180" si="344">IF(AE179&gt;0,(1/CL179),0)</f>
        <v>0.25</v>
      </c>
      <c r="BD179" s="44" cm="1">
        <f t="array" ref="BD179">_xlfn.IFS(AE179=0,"NA",AE179&gt;0,AH179/AE179)</f>
        <v>0.87931034482758619</v>
      </c>
      <c r="BE179" s="44">
        <f t="shared" ref="BE179:BE180" si="345">IF(AM179&gt;0,(1/CL179),0)</f>
        <v>0.25</v>
      </c>
      <c r="BF179" s="44">
        <v>0</v>
      </c>
      <c r="BG179" s="44">
        <f t="shared" ref="BG179:BG180" si="346">IF(AO179&gt;0,(1/CL179),0)</f>
        <v>0.25</v>
      </c>
      <c r="BH179" s="44">
        <v>0</v>
      </c>
      <c r="BI179" s="44">
        <v>0</v>
      </c>
      <c r="BJ179" s="44" t="s">
        <v>115</v>
      </c>
      <c r="BK179" s="44">
        <f t="shared" si="243"/>
        <v>0.46982758620689657</v>
      </c>
      <c r="BL179" s="44">
        <v>1</v>
      </c>
      <c r="BM179" s="42" cm="1">
        <f t="array" ref="BM179">_xlfn.IFS(BD179="NA","NA",BD179&gt;100%,"100%",BD179&lt;100,BD179)</f>
        <v>0.87931034482758619</v>
      </c>
      <c r="BN179" s="44">
        <v>0</v>
      </c>
      <c r="BO179" s="44">
        <v>0</v>
      </c>
      <c r="BP179" s="44" t="s">
        <v>115</v>
      </c>
      <c r="BQ179" s="45">
        <v>0.22500000000000001</v>
      </c>
      <c r="BR179" s="43">
        <f t="shared" si="244"/>
        <v>0.10571120689655174</v>
      </c>
      <c r="BS179" s="45">
        <v>5.6300000000000003E-2</v>
      </c>
      <c r="BT179" s="45">
        <v>5.6300000000000003E-2</v>
      </c>
      <c r="BU179" s="45">
        <v>5.6300000000000003E-2</v>
      </c>
      <c r="BV179" s="45">
        <v>5.6300000000000003E-2</v>
      </c>
      <c r="BW179" s="43">
        <f t="shared" si="245"/>
        <v>4.9505172413793104E-2</v>
      </c>
      <c r="BX179" s="43">
        <f t="shared" si="246"/>
        <v>4.9411206896551735E-2</v>
      </c>
      <c r="BY179" s="45">
        <v>5.6300000000000003E-2</v>
      </c>
      <c r="BZ179" s="45">
        <v>0</v>
      </c>
      <c r="CA179" s="43">
        <f t="shared" si="247"/>
        <v>0</v>
      </c>
      <c r="CB179" s="45">
        <v>5.6300000000000003E-2</v>
      </c>
      <c r="CC179" s="45">
        <v>0</v>
      </c>
      <c r="CD179" s="45">
        <v>0</v>
      </c>
      <c r="CE179" s="45">
        <v>0</v>
      </c>
      <c r="CF179" s="45" t="s">
        <v>115</v>
      </c>
      <c r="CG179" s="45">
        <v>0</v>
      </c>
      <c r="CH179">
        <f t="shared" ref="CH179:CH180" si="347">IF(W179&gt;0,1,0)</f>
        <v>1</v>
      </c>
      <c r="CI179">
        <f t="shared" ref="CI179:CI180" si="348">IF(AE179&gt;0,1,0)</f>
        <v>1</v>
      </c>
      <c r="CJ179">
        <f t="shared" ref="CJ179:CJ180" si="349">IF(AM179&gt;0,1,0)</f>
        <v>1</v>
      </c>
      <c r="CK179">
        <f t="shared" ref="CK179:CK180" si="350">IF(AO179&gt;0,1,0)</f>
        <v>1</v>
      </c>
      <c r="CL179">
        <f t="shared" ref="CL179:CL180" si="351">CH179+CI179+CJ179+CK179</f>
        <v>4</v>
      </c>
    </row>
    <row r="180" spans="1:90" ht="18" customHeight="1">
      <c r="A180" s="260" t="s">
        <v>144</v>
      </c>
      <c r="B180" s="260" t="s">
        <v>145</v>
      </c>
      <c r="C180" s="260" t="s">
        <v>100</v>
      </c>
      <c r="D180" s="260" t="s">
        <v>1074</v>
      </c>
      <c r="E180" s="260" t="s">
        <v>1134</v>
      </c>
      <c r="F180" s="260" t="s">
        <v>1217</v>
      </c>
      <c r="G180" s="260" t="s">
        <v>1218</v>
      </c>
      <c r="H180" s="260" t="s">
        <v>1162</v>
      </c>
      <c r="I180" s="260" t="s">
        <v>973</v>
      </c>
      <c r="J180" s="260"/>
      <c r="K180" s="260" t="s">
        <v>1163</v>
      </c>
      <c r="L180" s="260" t="s">
        <v>2944</v>
      </c>
      <c r="M180" s="260" t="s">
        <v>1165</v>
      </c>
      <c r="N180" s="260" t="s">
        <v>111</v>
      </c>
      <c r="O180" s="260" t="s">
        <v>124</v>
      </c>
      <c r="P180" s="10">
        <v>2000</v>
      </c>
      <c r="Q180" s="11">
        <v>2000</v>
      </c>
      <c r="R180" s="11">
        <f t="shared" si="342"/>
        <v>965.5</v>
      </c>
      <c r="S180" s="11" t="str">
        <f>VLOOKUP(K180,'1126 Desarrollo Social'!$K$13:$S$58,9,0)</f>
        <v>Se garantizo el giro del periodo de mayo y junio Caracterización de los beneficiariosDiagnostico del funcionamiento de los consejos de discapacidadCapacitación en el tema de registro de localización y caracterización de personas con discapacidad.El personal contratado para el desarrollo de las actividades de esta meta con vigencia del plan de desarrollo 2016-2020</v>
      </c>
      <c r="T180" s="11">
        <v>0</v>
      </c>
      <c r="U180" s="11">
        <v>2000</v>
      </c>
      <c r="V180" s="11">
        <v>0</v>
      </c>
      <c r="W180" s="11">
        <v>2000</v>
      </c>
      <c r="X180" s="11" t="s">
        <v>115</v>
      </c>
      <c r="Y180" s="11">
        <v>1970</v>
      </c>
      <c r="Z180" s="11">
        <v>1970</v>
      </c>
      <c r="AA180" s="11" t="s">
        <v>1166</v>
      </c>
      <c r="AB180" s="11" t="s">
        <v>1167</v>
      </c>
      <c r="AC180" s="11" t="s">
        <v>1168</v>
      </c>
      <c r="AD180" s="11">
        <v>0</v>
      </c>
      <c r="AE180" s="11">
        <v>2000</v>
      </c>
      <c r="AF180" s="11">
        <f>VLOOKUP(K180,'1126 Desarrollo Social'!$K$13:$AK$58,22,0)</f>
        <v>0</v>
      </c>
      <c r="AG180" s="11">
        <f>VLOOKUP(K180,'1126 Desarrollo Social'!$K$13:$AK$58,23,0)</f>
        <v>1892</v>
      </c>
      <c r="AH180" s="11">
        <f t="shared" si="343"/>
        <v>1892</v>
      </c>
      <c r="AI180" s="9" t="str">
        <f>VLOOKUP(K180,'1126 Desarrollo Social'!$K$13:$AK$58,25,0)</f>
        <v>subsidio</v>
      </c>
      <c r="AJ180" s="9" t="str">
        <f>VLOOKUP(K180,'1126 Desarrollo Social'!$K$13:$AK$58,26,0)</f>
        <v xml:space="preserve">Actualización de Base de datos de beneficiarios. Se realizo giros a 1982 personas con discapacidad o cuidadres
Socializacion ordenanza 037 a los 116 municipios
Se aprobó proyecto de ordenanza 054 por parte de la asamblea departamental para poder ejecutar los recursos </v>
      </c>
      <c r="AK180" s="9">
        <f>VLOOKUP(K180,'1126 Desarrollo Social'!$K$13:$AK$58,27,0)</f>
        <v>0</v>
      </c>
      <c r="AL180" s="11">
        <v>0</v>
      </c>
      <c r="AM180" s="11">
        <v>2000</v>
      </c>
      <c r="AN180" s="11">
        <v>0</v>
      </c>
      <c r="AO180" s="11">
        <v>2000</v>
      </c>
      <c r="AP180" s="11">
        <v>0</v>
      </c>
      <c r="AQ180" s="11">
        <v>0</v>
      </c>
      <c r="AR180" s="51">
        <v>698802356</v>
      </c>
      <c r="AS180" s="54">
        <v>0</v>
      </c>
      <c r="AT180" s="54">
        <f t="shared" si="242"/>
        <v>698802356</v>
      </c>
      <c r="AU180" s="51">
        <v>349401178</v>
      </c>
      <c r="AV180" s="89">
        <v>1200000000</v>
      </c>
      <c r="AY180" s="89">
        <v>96702000</v>
      </c>
      <c r="AZ180" s="44" cm="1">
        <f t="array" ref="AZ180">_xlfn.IFS((BA180=0),(BD180/CL180),(BA180&gt;0),((BB180+BD180)/CL180),(BE180&gt;0),((BB180+BD180+BE180)/CL180),(BG180&gt;0),((BB180+BD180+BE180+G180)/CL180))</f>
        <v>0.48275000000000001</v>
      </c>
      <c r="BA180" s="44">
        <v>0.25</v>
      </c>
      <c r="BB180" s="44">
        <v>0.98499999999999999</v>
      </c>
      <c r="BC180" s="44">
        <f t="shared" si="344"/>
        <v>0.25</v>
      </c>
      <c r="BD180" s="44" cm="1">
        <f t="array" ref="BD180">_xlfn.IFS(AE180=0,"NA",AE180&gt;0,AH180/AE180)</f>
        <v>0.94599999999999995</v>
      </c>
      <c r="BE180" s="44">
        <f t="shared" si="345"/>
        <v>0.25</v>
      </c>
      <c r="BF180" s="44">
        <v>0</v>
      </c>
      <c r="BG180" s="44">
        <f t="shared" si="346"/>
        <v>0.25</v>
      </c>
      <c r="BH180" s="44">
        <v>0</v>
      </c>
      <c r="BI180" s="44">
        <v>0</v>
      </c>
      <c r="BJ180" s="44" t="s">
        <v>115</v>
      </c>
      <c r="BK180" s="44">
        <f t="shared" si="243"/>
        <v>0.48275000000000001</v>
      </c>
      <c r="BL180" s="44">
        <v>0.98499999999999999</v>
      </c>
      <c r="BM180" s="42" cm="1">
        <f t="array" ref="BM180">_xlfn.IFS(BD180="NA","NA",BD180&gt;100%,"100%",BD180&lt;100,BD180)</f>
        <v>0.94599999999999995</v>
      </c>
      <c r="BN180" s="44">
        <v>0</v>
      </c>
      <c r="BO180" s="44">
        <v>0</v>
      </c>
      <c r="BP180" s="44" t="s">
        <v>115</v>
      </c>
      <c r="BQ180" s="45">
        <v>0.22500000000000001</v>
      </c>
      <c r="BR180" s="43">
        <f t="shared" si="244"/>
        <v>0.10861875</v>
      </c>
      <c r="BS180" s="45">
        <v>5.6300000000000003E-2</v>
      </c>
      <c r="BT180" s="45">
        <v>5.5500000000000001E-2</v>
      </c>
      <c r="BU180" s="45">
        <v>5.5399999999999998E-2</v>
      </c>
      <c r="BV180" s="45">
        <v>5.6300000000000003E-2</v>
      </c>
      <c r="BW180" s="43">
        <f t="shared" si="245"/>
        <v>5.3259800000000003E-2</v>
      </c>
      <c r="BX180" s="43">
        <f t="shared" si="246"/>
        <v>5.3218750000000002E-2</v>
      </c>
      <c r="BY180" s="45">
        <v>5.6300000000000003E-2</v>
      </c>
      <c r="BZ180" s="45">
        <v>0</v>
      </c>
      <c r="CA180" s="43">
        <f t="shared" si="247"/>
        <v>0</v>
      </c>
      <c r="CB180" s="45">
        <v>5.6300000000000003E-2</v>
      </c>
      <c r="CC180" s="45">
        <v>0</v>
      </c>
      <c r="CD180" s="45">
        <v>0</v>
      </c>
      <c r="CE180" s="45">
        <v>0</v>
      </c>
      <c r="CF180" s="45" t="s">
        <v>115</v>
      </c>
      <c r="CG180" s="45">
        <v>0</v>
      </c>
      <c r="CH180">
        <f t="shared" si="347"/>
        <v>1</v>
      </c>
      <c r="CI180">
        <f t="shared" si="348"/>
        <v>1</v>
      </c>
      <c r="CJ180">
        <f t="shared" si="349"/>
        <v>1</v>
      </c>
      <c r="CK180">
        <f t="shared" si="350"/>
        <v>1</v>
      </c>
      <c r="CL180">
        <f t="shared" si="351"/>
        <v>4</v>
      </c>
    </row>
    <row r="181" spans="1:90" ht="18" customHeight="1">
      <c r="A181" s="260" t="s">
        <v>144</v>
      </c>
      <c r="B181" s="260" t="s">
        <v>145</v>
      </c>
      <c r="C181" s="260" t="s">
        <v>100</v>
      </c>
      <c r="D181" s="260" t="s">
        <v>1074</v>
      </c>
      <c r="E181" s="260" t="s">
        <v>1134</v>
      </c>
      <c r="F181" s="260" t="s">
        <v>1217</v>
      </c>
      <c r="G181" s="260" t="s">
        <v>1218</v>
      </c>
      <c r="H181" s="260" t="s">
        <v>1169</v>
      </c>
      <c r="I181" s="260" t="s">
        <v>973</v>
      </c>
      <c r="J181" s="260"/>
      <c r="K181" s="260" t="s">
        <v>1170</v>
      </c>
      <c r="L181" s="260" t="s">
        <v>1171</v>
      </c>
      <c r="M181" s="260" t="s">
        <v>1172</v>
      </c>
      <c r="N181" s="260" t="s">
        <v>111</v>
      </c>
      <c r="O181" s="260" t="s">
        <v>112</v>
      </c>
      <c r="P181" s="10">
        <v>0</v>
      </c>
      <c r="Q181" s="11">
        <v>15</v>
      </c>
      <c r="R181" s="9">
        <f t="shared" ref="R181:R183" si="352">Z181+AH181</f>
        <v>0</v>
      </c>
      <c r="S181" s="11">
        <f>VLOOKUP(K181,'1126 Desarrollo Social'!$K$13:$S$58,9,0)</f>
        <v>0</v>
      </c>
      <c r="T181" s="11">
        <v>1</v>
      </c>
      <c r="U181" s="11">
        <v>0</v>
      </c>
      <c r="V181" s="11">
        <v>1</v>
      </c>
      <c r="W181" s="11">
        <v>0</v>
      </c>
      <c r="X181" s="11">
        <v>0</v>
      </c>
      <c r="Y181" s="11">
        <v>0</v>
      </c>
      <c r="Z181" s="11">
        <v>0</v>
      </c>
      <c r="AA181" s="11">
        <v>0</v>
      </c>
      <c r="AB181" s="11" t="s">
        <v>1173</v>
      </c>
      <c r="AC181" s="11">
        <v>0</v>
      </c>
      <c r="AD181" s="11">
        <v>4</v>
      </c>
      <c r="AE181" s="11">
        <v>0</v>
      </c>
      <c r="AF181" s="11">
        <f>VLOOKUP(K181,'1126 Desarrollo Social'!$K$13:$AK$58,22,0)</f>
        <v>0</v>
      </c>
      <c r="AG181" s="11">
        <f>VLOOKUP(K181,'1126 Desarrollo Social'!$K$13:$AK$58,23,0)</f>
        <v>0</v>
      </c>
      <c r="AH181" s="9">
        <f t="shared" ref="AH181:AH183" si="353">AF181</f>
        <v>0</v>
      </c>
      <c r="AI181" s="9">
        <f>VLOOKUP(K181,'1126 Desarrollo Social'!$K$13:$AK$58,25,0)</f>
        <v>0</v>
      </c>
      <c r="AJ181" s="9" t="str">
        <f>VLOOKUP(K181,'1126 Desarrollo Social'!$K$13:$AK$58,26,0)</f>
        <v xml:space="preserve">Registro completo del proyecto del municipio de Silvania, y en verificación por parte del ICCU los municippios de Alban y Guasca  </v>
      </c>
      <c r="AK181" s="9">
        <f>VLOOKUP(K181,'1126 Desarrollo Social'!$K$13:$AK$58,27,0)</f>
        <v>0</v>
      </c>
      <c r="AL181" s="11">
        <v>6</v>
      </c>
      <c r="AM181" s="11">
        <v>0</v>
      </c>
      <c r="AN181" s="11">
        <v>5</v>
      </c>
      <c r="AO181" s="11">
        <v>0</v>
      </c>
      <c r="AP181" s="11">
        <v>0</v>
      </c>
      <c r="AQ181" s="11">
        <v>0</v>
      </c>
      <c r="AR181" s="52"/>
      <c r="AS181" s="54">
        <v>300000000</v>
      </c>
      <c r="AT181" s="54">
        <f t="shared" si="242"/>
        <v>300000000</v>
      </c>
      <c r="AU181" s="52"/>
      <c r="AV181" s="89">
        <v>300000000</v>
      </c>
      <c r="AY181" s="89">
        <v>0</v>
      </c>
      <c r="AZ181" s="42">
        <f t="shared" ref="AZ181:AZ183" si="354">R181/Q181</f>
        <v>0</v>
      </c>
      <c r="BA181" s="44">
        <v>6.6699999999999995E-2</v>
      </c>
      <c r="BB181" s="44">
        <v>0</v>
      </c>
      <c r="BC181" s="42">
        <f t="shared" ref="BC181:BC183" si="355">AD181/Q181</f>
        <v>0.26666666666666666</v>
      </c>
      <c r="BD181" s="42" cm="1">
        <f t="array" ref="BD181">_xlfn.IFS(AD181=0,"NA",AD181&gt;0,AH181/AD181)</f>
        <v>0</v>
      </c>
      <c r="BE181" s="42">
        <f t="shared" ref="BE181:BE183" si="356">AL181/Q181</f>
        <v>0.4</v>
      </c>
      <c r="BF181" s="44">
        <v>0</v>
      </c>
      <c r="BG181" s="42">
        <f t="shared" ref="BG181:BG183" si="357">AN181/Q181</f>
        <v>0.33333333333333331</v>
      </c>
      <c r="BH181" s="44">
        <v>0</v>
      </c>
      <c r="BI181" s="42">
        <f t="shared" ref="BI181:BI183" si="358">AP181/Q181</f>
        <v>0</v>
      </c>
      <c r="BJ181" s="44" t="s">
        <v>115</v>
      </c>
      <c r="BK181" s="42">
        <f t="shared" si="243"/>
        <v>0</v>
      </c>
      <c r="BL181" s="44">
        <v>0</v>
      </c>
      <c r="BM181" s="42" cm="1">
        <f t="array" ref="BM181">_xlfn.IFS(BD181="NA","NA",BD181&gt;100%,"100%",BD181&lt;100,BD181)</f>
        <v>0</v>
      </c>
      <c r="BN181" s="42" cm="1">
        <f t="array" ref="BN181">_xlfn.IFS(BF181="NA","NA",BF181&gt;100%,"100%",BF181&lt;100,BF181)</f>
        <v>0</v>
      </c>
      <c r="BO181" s="42" cm="1">
        <f t="array" ref="BO181">_xlfn.IFS(BH181="NA","NA",BH181&gt;100%,"100%",BH181&lt;100,BH181)</f>
        <v>0</v>
      </c>
      <c r="BP181" s="42" t="str" cm="1">
        <f t="array" ref="BP181">_xlfn.IFS(BJ181="NA","NA",BJ181&gt;100%,"100%",BJ181&lt;100,BJ181)</f>
        <v>NA</v>
      </c>
      <c r="BQ181" s="45">
        <v>0.22500000000000001</v>
      </c>
      <c r="BR181" s="43">
        <f t="shared" si="244"/>
        <v>0</v>
      </c>
      <c r="BS181" s="45">
        <v>1.4999999999999999E-2</v>
      </c>
      <c r="BT181" s="45">
        <v>0</v>
      </c>
      <c r="BU181" s="45">
        <v>0</v>
      </c>
      <c r="BV181" s="43">
        <f t="shared" ref="BV181:BV183" si="359">(AD181*BQ181)/Q181</f>
        <v>6.0000000000000005E-2</v>
      </c>
      <c r="BW181" s="43">
        <f t="shared" si="245"/>
        <v>0</v>
      </c>
      <c r="BX181" s="43">
        <f t="shared" si="246"/>
        <v>0</v>
      </c>
      <c r="BY181" s="43">
        <f t="shared" ref="BY181:BY183" si="360">(AL181*BQ181)/Q181</f>
        <v>9.0000000000000011E-2</v>
      </c>
      <c r="BZ181" s="43">
        <f t="shared" ref="BZ181:BZ183" si="361">IF(BN181="NA","NA",BN181*BY181)</f>
        <v>0</v>
      </c>
      <c r="CA181" s="43">
        <f t="shared" si="247"/>
        <v>0</v>
      </c>
      <c r="CB181" s="43">
        <f t="shared" ref="CB181:CB183" si="362">(AN181*BQ181)/Q181</f>
        <v>7.4999999999999997E-2</v>
      </c>
      <c r="CC181" s="43">
        <f t="shared" ref="CC181:CC183" si="363">IF(BO181="NA","NA",BO181*CB181)</f>
        <v>0</v>
      </c>
      <c r="CD181" s="45">
        <v>0</v>
      </c>
      <c r="CE181" s="43">
        <f t="shared" ref="CE181:CE183" si="364">(AP181*BQ181)/Q181</f>
        <v>0</v>
      </c>
      <c r="CF181" s="43" t="str">
        <f t="shared" ref="CF181:CF183" si="365">IF(BP181="NA","NA",BP181*CE181)</f>
        <v>NA</v>
      </c>
      <c r="CG181" s="45">
        <v>0</v>
      </c>
    </row>
    <row r="182" spans="1:90" ht="18" customHeight="1">
      <c r="A182" s="260" t="s">
        <v>144</v>
      </c>
      <c r="B182" s="260" t="s">
        <v>145</v>
      </c>
      <c r="C182" s="260" t="s">
        <v>100</v>
      </c>
      <c r="D182" s="260" t="s">
        <v>1074</v>
      </c>
      <c r="E182" s="260" t="s">
        <v>1134</v>
      </c>
      <c r="F182" s="260" t="s">
        <v>1217</v>
      </c>
      <c r="G182" s="260" t="s">
        <v>1218</v>
      </c>
      <c r="H182" s="260" t="s">
        <v>1174</v>
      </c>
      <c r="I182" s="260" t="s">
        <v>973</v>
      </c>
      <c r="J182" s="260"/>
      <c r="K182" s="260" t="s">
        <v>1175</v>
      </c>
      <c r="L182" s="260" t="s">
        <v>2945</v>
      </c>
      <c r="M182" s="260" t="s">
        <v>2946</v>
      </c>
      <c r="N182" s="260" t="s">
        <v>111</v>
      </c>
      <c r="O182" s="260" t="s">
        <v>112</v>
      </c>
      <c r="P182" s="10">
        <v>15</v>
      </c>
      <c r="Q182" s="11">
        <v>15</v>
      </c>
      <c r="R182" s="9">
        <f t="shared" si="352"/>
        <v>6</v>
      </c>
      <c r="S182" s="11">
        <f>VLOOKUP(K182,'1126 Desarrollo Social'!$K$13:$S$58,9,0)</f>
        <v>0</v>
      </c>
      <c r="T182" s="11">
        <v>3</v>
      </c>
      <c r="U182" s="11">
        <v>0</v>
      </c>
      <c r="V182" s="11">
        <v>0</v>
      </c>
      <c r="W182" s="11">
        <v>0</v>
      </c>
      <c r="X182" s="11">
        <v>0</v>
      </c>
      <c r="Y182" s="11">
        <v>0</v>
      </c>
      <c r="Z182" s="11">
        <v>0</v>
      </c>
      <c r="AA182" s="11">
        <v>0</v>
      </c>
      <c r="AB182" s="11" t="s">
        <v>1178</v>
      </c>
      <c r="AC182" s="11" t="s">
        <v>1179</v>
      </c>
      <c r="AD182" s="11">
        <v>5</v>
      </c>
      <c r="AE182" s="11">
        <v>0</v>
      </c>
      <c r="AF182" s="11">
        <f>VLOOKUP(K182,'1126 Desarrollo Social'!$K$13:$AK$58,22,0)</f>
        <v>6</v>
      </c>
      <c r="AG182" s="11">
        <f>VLOOKUP(K182,'1126 Desarrollo Social'!$K$13:$AK$58,23,0)</f>
        <v>0</v>
      </c>
      <c r="AH182" s="9">
        <f t="shared" si="353"/>
        <v>6</v>
      </c>
      <c r="AI182" s="9" t="str">
        <f>VLOOKUP(K182,'1126 Desarrollo Social'!$K$13:$AK$58,25,0)</f>
        <v>Se reportan 6 provincias con coadyuda para operaciones centros vida sensorial.</v>
      </c>
      <c r="AJ182" s="9" t="str">
        <f>VLOOKUP(K182,'1126 Desarrollo Social'!$K$13:$AK$58,26,0)</f>
        <v xml:space="preserve"> Se determino el kit de dotacion para Centros de vida sensorial que se realizo contrato y se encuentra en ejecución para la posterior entrega </v>
      </c>
      <c r="AK182" s="9">
        <f>VLOOKUP(K182,'1126 Desarrollo Social'!$K$13:$AK$58,27,0)</f>
        <v>0</v>
      </c>
      <c r="AL182" s="11">
        <v>7</v>
      </c>
      <c r="AM182" s="11">
        <v>0</v>
      </c>
      <c r="AN182" s="11">
        <v>3</v>
      </c>
      <c r="AO182" s="11">
        <v>0</v>
      </c>
      <c r="AP182" s="11">
        <v>0</v>
      </c>
      <c r="AQ182" s="11">
        <v>0</v>
      </c>
      <c r="AR182" s="51">
        <v>2186800</v>
      </c>
      <c r="AS182" s="54">
        <v>0</v>
      </c>
      <c r="AT182" s="54">
        <f t="shared" si="242"/>
        <v>2186800</v>
      </c>
      <c r="AU182" s="51">
        <v>2186800</v>
      </c>
      <c r="AV182" s="89">
        <v>295000000</v>
      </c>
      <c r="AY182" s="89">
        <v>0</v>
      </c>
      <c r="AZ182" s="42">
        <f t="shared" si="354"/>
        <v>0.4</v>
      </c>
      <c r="BA182" s="44">
        <v>0</v>
      </c>
      <c r="BB182" s="44" t="s">
        <v>115</v>
      </c>
      <c r="BC182" s="42">
        <f t="shared" si="355"/>
        <v>0.33333333333333331</v>
      </c>
      <c r="BD182" s="42" cm="1">
        <f t="array" ref="BD182">_xlfn.IFS(AD182=0,"NA",AD182&gt;0,AH182/AD182)</f>
        <v>1.2</v>
      </c>
      <c r="BE182" s="42">
        <f t="shared" si="356"/>
        <v>0.46666666666666667</v>
      </c>
      <c r="BF182" s="44">
        <v>0</v>
      </c>
      <c r="BG182" s="42">
        <f t="shared" si="357"/>
        <v>0.2</v>
      </c>
      <c r="BH182" s="44">
        <v>0</v>
      </c>
      <c r="BI182" s="42">
        <f t="shared" si="358"/>
        <v>0</v>
      </c>
      <c r="BJ182" s="44" t="s">
        <v>115</v>
      </c>
      <c r="BK182" s="42">
        <f t="shared" si="243"/>
        <v>0.4</v>
      </c>
      <c r="BL182" s="44" t="s">
        <v>115</v>
      </c>
      <c r="BM182" s="42" t="str" cm="1">
        <f t="array" ref="BM182">_xlfn.IFS(BD182="NA","NA",BD182&gt;100%,"100%",BD182&lt;100,BD182)</f>
        <v>100%</v>
      </c>
      <c r="BN182" s="42" cm="1">
        <f t="array" ref="BN182">_xlfn.IFS(BF182="NA","NA",BF182&gt;100%,"100%",BF182&lt;100,BF182)</f>
        <v>0</v>
      </c>
      <c r="BO182" s="42" cm="1">
        <f t="array" ref="BO182">_xlfn.IFS(BH182="NA","NA",BH182&gt;100%,"100%",BH182&lt;100,BH182)</f>
        <v>0</v>
      </c>
      <c r="BP182" s="42" t="str" cm="1">
        <f t="array" ref="BP182">_xlfn.IFS(BJ182="NA","NA",BJ182&gt;100%,"100%",BJ182&lt;100,BJ182)</f>
        <v>NA</v>
      </c>
      <c r="BQ182" s="45">
        <v>0.22500000000000001</v>
      </c>
      <c r="BR182" s="43">
        <f t="shared" si="244"/>
        <v>9.0000000000000011E-2</v>
      </c>
      <c r="BS182" s="45">
        <v>0</v>
      </c>
      <c r="BT182" s="45" t="s">
        <v>115</v>
      </c>
      <c r="BU182" s="45">
        <v>0</v>
      </c>
      <c r="BV182" s="43">
        <f t="shared" si="359"/>
        <v>7.4999999999999997E-2</v>
      </c>
      <c r="BW182" s="43">
        <f t="shared" si="245"/>
        <v>7.4999999999999997E-2</v>
      </c>
      <c r="BX182" s="43">
        <f t="shared" si="246"/>
        <v>9.0000000000000011E-2</v>
      </c>
      <c r="BY182" s="43">
        <f t="shared" si="360"/>
        <v>0.105</v>
      </c>
      <c r="BZ182" s="43">
        <f t="shared" si="361"/>
        <v>0</v>
      </c>
      <c r="CA182" s="43">
        <f t="shared" si="247"/>
        <v>0</v>
      </c>
      <c r="CB182" s="43">
        <f t="shared" si="362"/>
        <v>4.5000000000000005E-2</v>
      </c>
      <c r="CC182" s="43">
        <f t="shared" si="363"/>
        <v>0</v>
      </c>
      <c r="CD182" s="45">
        <v>0</v>
      </c>
      <c r="CE182" s="43">
        <f t="shared" si="364"/>
        <v>0</v>
      </c>
      <c r="CF182" s="43" t="str">
        <f t="shared" si="365"/>
        <v>NA</v>
      </c>
      <c r="CG182" s="45">
        <v>0</v>
      </c>
    </row>
    <row r="183" spans="1:90" ht="18" customHeight="1">
      <c r="A183" s="260" t="s">
        <v>144</v>
      </c>
      <c r="B183" s="260" t="s">
        <v>145</v>
      </c>
      <c r="C183" s="260" t="s">
        <v>100</v>
      </c>
      <c r="D183" s="260" t="s">
        <v>1074</v>
      </c>
      <c r="E183" s="260" t="s">
        <v>1134</v>
      </c>
      <c r="F183" s="260" t="s">
        <v>1217</v>
      </c>
      <c r="G183" s="260" t="s">
        <v>1218</v>
      </c>
      <c r="H183" s="260" t="s">
        <v>1180</v>
      </c>
      <c r="I183" s="260" t="s">
        <v>1181</v>
      </c>
      <c r="J183" s="260"/>
      <c r="K183" s="260" t="s">
        <v>1182</v>
      </c>
      <c r="L183" s="260" t="s">
        <v>1183</v>
      </c>
      <c r="M183" s="260" t="s">
        <v>1184</v>
      </c>
      <c r="N183" s="260" t="s">
        <v>111</v>
      </c>
      <c r="O183" s="260" t="s">
        <v>112</v>
      </c>
      <c r="P183" s="10">
        <v>1</v>
      </c>
      <c r="Q183" s="11">
        <v>1</v>
      </c>
      <c r="R183" s="9">
        <f t="shared" si="352"/>
        <v>1</v>
      </c>
      <c r="S183" s="11">
        <f>VLOOKUP(K183,'1126 Desarrollo Social'!$K$13:$S$58,9,0)</f>
        <v>0</v>
      </c>
      <c r="T183" s="11">
        <v>0</v>
      </c>
      <c r="U183" s="11">
        <v>0</v>
      </c>
      <c r="V183" s="11">
        <v>0.1</v>
      </c>
      <c r="W183" s="11">
        <v>0</v>
      </c>
      <c r="X183" s="11">
        <v>0.1</v>
      </c>
      <c r="Y183" s="11">
        <v>0</v>
      </c>
      <c r="Z183" s="11">
        <v>0.1</v>
      </c>
      <c r="AA183" s="11">
        <v>0</v>
      </c>
      <c r="AB183" s="11" t="s">
        <v>1185</v>
      </c>
      <c r="AC183" s="11">
        <v>0</v>
      </c>
      <c r="AD183" s="11">
        <v>0.9</v>
      </c>
      <c r="AE183" s="11">
        <v>0</v>
      </c>
      <c r="AF183" s="11">
        <f>VLOOKUP(K183,'1126 Desarrollo Social'!$K$13:$AK$58,22,0)</f>
        <v>0.9</v>
      </c>
      <c r="AG183" s="11">
        <f>VLOOKUP(K183,'1126 Desarrollo Social'!$K$13:$AK$58,23,0)</f>
        <v>0</v>
      </c>
      <c r="AH183" s="9">
        <f t="shared" si="353"/>
        <v>0.9</v>
      </c>
      <c r="AI183" s="9" t="str">
        <f>VLOOKUP(K183,'1126 Desarrollo Social'!$K$13:$AK$58,25,0)</f>
        <v>La articulación para la publicación de hojas de vida en el portal de empleo a personas en condicion de discapacidad</v>
      </c>
      <c r="AJ183" s="9" t="str">
        <f>VLOOKUP(K183,'1126 Desarrollo Social'!$K$13:$AK$58,26,0)</f>
        <v>Capacitaciones con alta Consejeria para la Discapacidad y se establecio mediante acta de compromiso de cooperación con colsubsidio la implementación de envio de hojas de vida para la vinculación laboral en la plataforfa de la caja de compensación familiar.</v>
      </c>
      <c r="AK183" s="9">
        <f>VLOOKUP(K183,'1126 Desarrollo Social'!$K$13:$AK$58,27,0)</f>
        <v>0</v>
      </c>
      <c r="AL183" s="11">
        <v>0</v>
      </c>
      <c r="AM183" s="11">
        <v>0</v>
      </c>
      <c r="AN183" s="11">
        <v>0</v>
      </c>
      <c r="AO183" s="11">
        <v>0</v>
      </c>
      <c r="AP183" s="11">
        <v>0</v>
      </c>
      <c r="AQ183" s="11">
        <v>0</v>
      </c>
      <c r="AR183" s="52"/>
      <c r="AS183" s="54">
        <v>0</v>
      </c>
      <c r="AT183" s="54">
        <f t="shared" si="242"/>
        <v>0</v>
      </c>
      <c r="AU183" s="52"/>
      <c r="AV183" s="89">
        <v>30000000</v>
      </c>
      <c r="AY183" s="89">
        <v>0</v>
      </c>
      <c r="AZ183" s="42">
        <f t="shared" si="354"/>
        <v>1</v>
      </c>
      <c r="BA183" s="44">
        <v>0.1</v>
      </c>
      <c r="BB183" s="44">
        <v>1</v>
      </c>
      <c r="BC183" s="42">
        <f t="shared" si="355"/>
        <v>0.9</v>
      </c>
      <c r="BD183" s="42" cm="1">
        <f t="array" ref="BD183">_xlfn.IFS(AD183=0,"NA",AD183&gt;0,AH183/AD183)</f>
        <v>1</v>
      </c>
      <c r="BE183" s="42">
        <f t="shared" si="356"/>
        <v>0</v>
      </c>
      <c r="BF183" s="44" t="s">
        <v>115</v>
      </c>
      <c r="BG183" s="42">
        <f t="shared" si="357"/>
        <v>0</v>
      </c>
      <c r="BH183" s="44" t="s">
        <v>115</v>
      </c>
      <c r="BI183" s="42">
        <f t="shared" si="358"/>
        <v>0</v>
      </c>
      <c r="BJ183" s="44" t="s">
        <v>115</v>
      </c>
      <c r="BK183" s="42">
        <f t="shared" si="243"/>
        <v>1</v>
      </c>
      <c r="BL183" s="44">
        <v>1</v>
      </c>
      <c r="BM183" s="42" cm="1">
        <f t="array" ref="BM183">_xlfn.IFS(BD183="NA","NA",BD183&gt;100%,"100%",BD183&lt;100,BD183)</f>
        <v>1</v>
      </c>
      <c r="BN183" s="42" t="str" cm="1">
        <f t="array" ref="BN183">_xlfn.IFS(BF183="NA","NA",BF183&gt;100%,"100%",BF183&lt;100,BF183)</f>
        <v>NA</v>
      </c>
      <c r="BO183" s="42" t="str" cm="1">
        <f t="array" ref="BO183">_xlfn.IFS(BH183="NA","NA",BH183&gt;100%,"100%",BH183&lt;100,BH183)</f>
        <v>NA</v>
      </c>
      <c r="BP183" s="42" t="str" cm="1">
        <f t="array" ref="BP183">_xlfn.IFS(BJ183="NA","NA",BJ183&gt;100%,"100%",BJ183&lt;100,BJ183)</f>
        <v>NA</v>
      </c>
      <c r="BQ183" s="45">
        <v>0.22500000000000001</v>
      </c>
      <c r="BR183" s="43">
        <f t="shared" si="244"/>
        <v>0.22500000000000001</v>
      </c>
      <c r="BS183" s="45">
        <v>2.2499999999999999E-2</v>
      </c>
      <c r="BT183" s="45">
        <v>2.2499999999999999E-2</v>
      </c>
      <c r="BU183" s="45">
        <v>2.2499999999999999E-2</v>
      </c>
      <c r="BV183" s="43">
        <f t="shared" si="359"/>
        <v>0.20250000000000001</v>
      </c>
      <c r="BW183" s="43">
        <f t="shared" si="245"/>
        <v>0.20250000000000001</v>
      </c>
      <c r="BX183" s="43">
        <f t="shared" si="246"/>
        <v>0.20250000000000001</v>
      </c>
      <c r="BY183" s="43">
        <f t="shared" si="360"/>
        <v>0</v>
      </c>
      <c r="BZ183" s="43" t="str">
        <f t="shared" si="361"/>
        <v>NA</v>
      </c>
      <c r="CA183" s="43">
        <f t="shared" si="247"/>
        <v>0</v>
      </c>
      <c r="CB183" s="43">
        <f t="shared" si="362"/>
        <v>0</v>
      </c>
      <c r="CC183" s="43" t="str">
        <f t="shared" si="363"/>
        <v>NA</v>
      </c>
      <c r="CD183" s="45">
        <v>0</v>
      </c>
      <c r="CE183" s="43">
        <f t="shared" si="364"/>
        <v>0</v>
      </c>
      <c r="CF183" s="43" t="str">
        <f t="shared" si="365"/>
        <v>NA</v>
      </c>
      <c r="CG183" s="45">
        <v>0</v>
      </c>
    </row>
    <row r="184" spans="1:90" ht="18" customHeight="1">
      <c r="A184" s="260" t="s">
        <v>144</v>
      </c>
      <c r="B184" s="260" t="s">
        <v>145</v>
      </c>
      <c r="C184" s="260" t="s">
        <v>100</v>
      </c>
      <c r="D184" s="260" t="s">
        <v>1074</v>
      </c>
      <c r="E184" s="260" t="s">
        <v>1134</v>
      </c>
      <c r="F184" s="260" t="s">
        <v>1217</v>
      </c>
      <c r="G184" s="260" t="s">
        <v>1218</v>
      </c>
      <c r="H184" s="260" t="s">
        <v>1186</v>
      </c>
      <c r="I184" s="260" t="s">
        <v>973</v>
      </c>
      <c r="J184" s="260"/>
      <c r="K184" s="260" t="s">
        <v>1187</v>
      </c>
      <c r="L184" s="260" t="s">
        <v>1188</v>
      </c>
      <c r="M184" s="260" t="s">
        <v>1189</v>
      </c>
      <c r="N184" s="260" t="s">
        <v>123</v>
      </c>
      <c r="O184" s="260" t="s">
        <v>124</v>
      </c>
      <c r="P184" s="10">
        <v>70</v>
      </c>
      <c r="Q184" s="11">
        <v>90</v>
      </c>
      <c r="R184" s="11">
        <f>(Z184+AH184)/CL184</f>
        <v>45</v>
      </c>
      <c r="S184" s="11" t="str">
        <f>VLOOKUP(K184,'1126 Desarrollo Social'!$K$13:$S$58,9,0)</f>
        <v>Socialización del formato de ayudas técnicaslevantamiento de ayudas técnicas disponibleEl personal contratado para el desarrollo de las actividades de esta meta con vigencia del plan de desarrollo 2016-2020</v>
      </c>
      <c r="T184" s="11">
        <v>0</v>
      </c>
      <c r="U184" s="11">
        <v>90</v>
      </c>
      <c r="V184" s="11">
        <v>0</v>
      </c>
      <c r="W184" s="11">
        <v>90</v>
      </c>
      <c r="X184" s="11" t="s">
        <v>115</v>
      </c>
      <c r="Y184" s="11">
        <v>90</v>
      </c>
      <c r="Z184" s="11">
        <v>90</v>
      </c>
      <c r="AA184" s="11">
        <v>0</v>
      </c>
      <c r="AB184" s="11" t="s">
        <v>1190</v>
      </c>
      <c r="AC184" s="11">
        <v>0</v>
      </c>
      <c r="AD184" s="11">
        <v>0</v>
      </c>
      <c r="AE184" s="11">
        <v>90</v>
      </c>
      <c r="AF184" s="11">
        <f>VLOOKUP(K184,'1126 Desarrollo Social'!$K$13:$AK$58,22,0)</f>
        <v>0</v>
      </c>
      <c r="AG184" s="11">
        <f>VLOOKUP(K184,'1126 Desarrollo Social'!$K$13:$AK$58,23,0)</f>
        <v>90</v>
      </c>
      <c r="AH184" s="11">
        <f>AG184</f>
        <v>90</v>
      </c>
      <c r="AI184" s="9" t="str">
        <f>VLOOKUP(K184,'1126 Desarrollo Social'!$K$13:$AK$58,25,0)</f>
        <v>Ayudas tecnicas</v>
      </c>
      <c r="AJ184" s="9" t="str">
        <f>VLOOKUP(K184,'1126 Desarrollo Social'!$K$13:$AK$58,26,0)</f>
        <v>Entrega de ayudas técnicas de solicitudes realizadas a la secretria durante el año 2021 y en los bancos de ayudas entregados a las alcaldias firma de contrato de ayudas en el 2021</v>
      </c>
      <c r="AK184" s="9">
        <f>VLOOKUP(K184,'1126 Desarrollo Social'!$K$13:$AK$58,27,0)</f>
        <v>0</v>
      </c>
      <c r="AL184" s="11">
        <v>0</v>
      </c>
      <c r="AM184" s="11">
        <v>90</v>
      </c>
      <c r="AN184" s="11">
        <v>0</v>
      </c>
      <c r="AO184" s="11">
        <v>90</v>
      </c>
      <c r="AP184" s="11">
        <v>0</v>
      </c>
      <c r="AQ184" s="11">
        <v>0</v>
      </c>
      <c r="AR184" s="51">
        <v>20343000</v>
      </c>
      <c r="AS184" s="54">
        <v>0</v>
      </c>
      <c r="AT184" s="54">
        <f t="shared" si="242"/>
        <v>20343000</v>
      </c>
      <c r="AU184" s="51">
        <v>3884000</v>
      </c>
      <c r="AV184" s="89">
        <v>143000000</v>
      </c>
      <c r="AY184" s="89">
        <v>0</v>
      </c>
      <c r="AZ184" s="44" cm="1">
        <f t="array" ref="AZ184">_xlfn.IFS((BA184=0),(BD184/CL184),(BA184&gt;0),((BB184+BD184)/CL184),(BE184&gt;0),((BB184+BD184+BE184)/CL184),(BG184&gt;0),((BB184+BD184+BE184+G184)/CL184))</f>
        <v>0.5</v>
      </c>
      <c r="BA184" s="44">
        <v>0.25</v>
      </c>
      <c r="BB184" s="44">
        <v>1</v>
      </c>
      <c r="BC184" s="44">
        <f>IF(AE184&gt;0,(1/CL184),0)</f>
        <v>0.25</v>
      </c>
      <c r="BD184" s="44" cm="1">
        <f t="array" ref="BD184">_xlfn.IFS(AE184=0,"NA",AE184&gt;0,AH184/AE184)</f>
        <v>1</v>
      </c>
      <c r="BE184" s="44">
        <f>IF(AM184&gt;0,(1/CL184),0)</f>
        <v>0.25</v>
      </c>
      <c r="BF184" s="44">
        <v>0</v>
      </c>
      <c r="BG184" s="44">
        <f>IF(AO184&gt;0,(1/CL184),0)</f>
        <v>0.25</v>
      </c>
      <c r="BH184" s="44">
        <v>0</v>
      </c>
      <c r="BI184" s="44">
        <v>0</v>
      </c>
      <c r="BJ184" s="44" t="s">
        <v>115</v>
      </c>
      <c r="BK184" s="44">
        <f t="shared" si="243"/>
        <v>0.5</v>
      </c>
      <c r="BL184" s="44">
        <v>1</v>
      </c>
      <c r="BM184" s="42" cm="1">
        <f t="array" ref="BM184">_xlfn.IFS(BD184="NA","NA",BD184&gt;100%,"100%",BD184&lt;100,BD184)</f>
        <v>1</v>
      </c>
      <c r="BN184" s="44">
        <v>0</v>
      </c>
      <c r="BO184" s="44">
        <v>0</v>
      </c>
      <c r="BP184" s="44" t="s">
        <v>115</v>
      </c>
      <c r="BQ184" s="45">
        <v>0.22500000000000001</v>
      </c>
      <c r="BR184" s="43">
        <f t="shared" si="244"/>
        <v>0.1125</v>
      </c>
      <c r="BS184" s="45">
        <v>5.6300000000000003E-2</v>
      </c>
      <c r="BT184" s="45">
        <v>5.6300000000000003E-2</v>
      </c>
      <c r="BU184" s="45">
        <v>5.6300000000000003E-2</v>
      </c>
      <c r="BV184" s="45">
        <v>5.6300000000000003E-2</v>
      </c>
      <c r="BW184" s="43">
        <f t="shared" si="245"/>
        <v>5.6300000000000003E-2</v>
      </c>
      <c r="BX184" s="43">
        <f t="shared" si="246"/>
        <v>5.62E-2</v>
      </c>
      <c r="BY184" s="45">
        <v>5.6300000000000003E-2</v>
      </c>
      <c r="BZ184" s="45">
        <v>0</v>
      </c>
      <c r="CA184" s="43">
        <f t="shared" si="247"/>
        <v>0</v>
      </c>
      <c r="CB184" s="45">
        <v>5.6300000000000003E-2</v>
      </c>
      <c r="CC184" s="45">
        <v>0</v>
      </c>
      <c r="CD184" s="45">
        <v>0</v>
      </c>
      <c r="CE184" s="45">
        <v>0</v>
      </c>
      <c r="CF184" s="45" t="s">
        <v>115</v>
      </c>
      <c r="CG184" s="45">
        <v>0</v>
      </c>
      <c r="CH184">
        <f>IF(W184&gt;0,1,0)</f>
        <v>1</v>
      </c>
      <c r="CI184">
        <f>IF(AE184&gt;0,1,0)</f>
        <v>1</v>
      </c>
      <c r="CJ184">
        <f>IF(AM184&gt;0,1,0)</f>
        <v>1</v>
      </c>
      <c r="CK184">
        <f>IF(AO184&gt;0,1,0)</f>
        <v>1</v>
      </c>
      <c r="CL184">
        <f>CH184+CI184+CJ184+CK184</f>
        <v>4</v>
      </c>
    </row>
    <row r="185" spans="1:90" ht="18" customHeight="1">
      <c r="A185" s="260" t="s">
        <v>144</v>
      </c>
      <c r="B185" s="260" t="s">
        <v>145</v>
      </c>
      <c r="C185" s="260" t="s">
        <v>100</v>
      </c>
      <c r="D185" s="260" t="s">
        <v>1074</v>
      </c>
      <c r="E185" s="260" t="s">
        <v>1134</v>
      </c>
      <c r="F185" s="260" t="s">
        <v>1217</v>
      </c>
      <c r="G185" s="260" t="s">
        <v>1218</v>
      </c>
      <c r="H185" s="260" t="s">
        <v>1191</v>
      </c>
      <c r="I185" s="260" t="s">
        <v>1181</v>
      </c>
      <c r="J185" s="260"/>
      <c r="K185" s="260" t="s">
        <v>1192</v>
      </c>
      <c r="L185" s="260" t="s">
        <v>1193</v>
      </c>
      <c r="M185" s="260" t="s">
        <v>1194</v>
      </c>
      <c r="N185" s="260" t="s">
        <v>111</v>
      </c>
      <c r="O185" s="260" t="s">
        <v>112</v>
      </c>
      <c r="P185" s="10">
        <v>15</v>
      </c>
      <c r="Q185" s="11">
        <v>15</v>
      </c>
      <c r="R185" s="9">
        <f t="shared" ref="R185:R186" si="366">Z185+AH185</f>
        <v>0.5</v>
      </c>
      <c r="S185" s="11" t="str">
        <f>VLOOKUP(K185,'1126 Desarrollo Social'!$K$13:$S$58,9,0)</f>
        <v>Reglamentación del proceso de selección de los proyectos productivos de personas con discapacidadEl personal contratado para el desarrollo de las actividades de esta meta con vigencia del plan de desarrollo 2016-2020</v>
      </c>
      <c r="T185" s="11">
        <v>5</v>
      </c>
      <c r="U185" s="11">
        <v>0</v>
      </c>
      <c r="V185" s="11">
        <v>2</v>
      </c>
      <c r="W185" s="11">
        <v>0</v>
      </c>
      <c r="X185" s="11">
        <v>0.5</v>
      </c>
      <c r="Y185" s="11">
        <v>0</v>
      </c>
      <c r="Z185" s="11">
        <v>0.5</v>
      </c>
      <c r="AA185" s="11" t="s">
        <v>1195</v>
      </c>
      <c r="AB185" s="11" t="s">
        <v>1196</v>
      </c>
      <c r="AC185" s="11" t="s">
        <v>1197</v>
      </c>
      <c r="AD185" s="11">
        <v>5.5</v>
      </c>
      <c r="AE185" s="11">
        <v>0</v>
      </c>
      <c r="AF185" s="11">
        <f>VLOOKUP(K185,'1126 Desarrollo Social'!$K$13:$AK$58,22,0)</f>
        <v>0</v>
      </c>
      <c r="AG185" s="11">
        <f>VLOOKUP(K185,'1126 Desarrollo Social'!$K$13:$AK$58,23,0)</f>
        <v>0</v>
      </c>
      <c r="AH185" s="9">
        <f t="shared" ref="AH185:AH186" si="367">AF185</f>
        <v>0</v>
      </c>
      <c r="AI185" s="9">
        <f>VLOOKUP(K185,'1126 Desarrollo Social'!$K$13:$AK$58,25,0)</f>
        <v>0</v>
      </c>
      <c r="AJ185" s="9" t="str">
        <f>VLOOKUP(K185,'1126 Desarrollo Social'!$K$13:$AK$58,26,0)</f>
        <v>Se tienen priorizados 19 proyectos productivos y la contartación se encuentra publicación</v>
      </c>
      <c r="AK185" s="9">
        <f>VLOOKUP(K185,'1126 Desarrollo Social'!$K$13:$AK$58,27,0)</f>
        <v>0</v>
      </c>
      <c r="AL185" s="11">
        <v>5</v>
      </c>
      <c r="AM185" s="11">
        <v>0</v>
      </c>
      <c r="AN185" s="11">
        <v>4</v>
      </c>
      <c r="AO185" s="11">
        <v>0</v>
      </c>
      <c r="AP185" s="11">
        <v>0</v>
      </c>
      <c r="AQ185" s="11">
        <v>0</v>
      </c>
      <c r="AR185" s="51">
        <v>44572200</v>
      </c>
      <c r="AS185" s="54">
        <v>0</v>
      </c>
      <c r="AT185" s="54">
        <f t="shared" si="242"/>
        <v>44572200</v>
      </c>
      <c r="AU185" s="51">
        <v>4475000</v>
      </c>
      <c r="AV185" s="89">
        <v>140289121</v>
      </c>
      <c r="AY185" s="89">
        <v>14019000</v>
      </c>
      <c r="AZ185" s="42">
        <f t="shared" ref="AZ185:AZ186" si="368">R185/Q185</f>
        <v>3.3333333333333333E-2</v>
      </c>
      <c r="BA185" s="44">
        <v>0.1333</v>
      </c>
      <c r="BB185" s="44">
        <v>0.25</v>
      </c>
      <c r="BC185" s="42">
        <f t="shared" ref="BC185:BC186" si="369">AD185/Q185</f>
        <v>0.36666666666666664</v>
      </c>
      <c r="BD185" s="42" cm="1">
        <f t="array" ref="BD185">_xlfn.IFS(AD185=0,"NA",AD185&gt;0,AH185/AD185)</f>
        <v>0</v>
      </c>
      <c r="BE185" s="42">
        <f t="shared" ref="BE185:BE186" si="370">AL185/Q185</f>
        <v>0.33333333333333331</v>
      </c>
      <c r="BF185" s="44">
        <v>0</v>
      </c>
      <c r="BG185" s="42">
        <f t="shared" ref="BG185:BG186" si="371">AN185/Q185</f>
        <v>0.26666666666666666</v>
      </c>
      <c r="BH185" s="44">
        <v>0</v>
      </c>
      <c r="BI185" s="42">
        <f t="shared" ref="BI185:BI186" si="372">AP185/Q185</f>
        <v>0</v>
      </c>
      <c r="BJ185" s="44" t="s">
        <v>115</v>
      </c>
      <c r="BK185" s="42">
        <f t="shared" si="243"/>
        <v>3.3333333333333333E-2</v>
      </c>
      <c r="BL185" s="44">
        <v>0.25</v>
      </c>
      <c r="BM185" s="42" cm="1">
        <f t="array" ref="BM185">_xlfn.IFS(BD185="NA","NA",BD185&gt;100%,"100%",BD185&lt;100,BD185)</f>
        <v>0</v>
      </c>
      <c r="BN185" s="42" cm="1">
        <f t="array" ref="BN185">_xlfn.IFS(BF185="NA","NA",BF185&gt;100%,"100%",BF185&lt;100,BF185)</f>
        <v>0</v>
      </c>
      <c r="BO185" s="42" cm="1">
        <f t="array" ref="BO185">_xlfn.IFS(BH185="NA","NA",BH185&gt;100%,"100%",BH185&lt;100,BH185)</f>
        <v>0</v>
      </c>
      <c r="BP185" s="42" t="str" cm="1">
        <f t="array" ref="BP185">_xlfn.IFS(BJ185="NA","NA",BJ185&gt;100%,"100%",BJ185&lt;100,BJ185)</f>
        <v>NA</v>
      </c>
      <c r="BQ185" s="45">
        <v>0.22500000000000001</v>
      </c>
      <c r="BR185" s="43">
        <f t="shared" si="244"/>
        <v>7.4999999999999997E-3</v>
      </c>
      <c r="BS185" s="45">
        <v>0.03</v>
      </c>
      <c r="BT185" s="45">
        <v>7.4999999999999997E-3</v>
      </c>
      <c r="BU185" s="45">
        <v>7.4999999999999997E-3</v>
      </c>
      <c r="BV185" s="43">
        <f t="shared" ref="BV185:BV186" si="373">(AD185*BQ185)/Q185</f>
        <v>8.2500000000000004E-2</v>
      </c>
      <c r="BW185" s="43">
        <f t="shared" si="245"/>
        <v>0</v>
      </c>
      <c r="BX185" s="43">
        <f t="shared" si="246"/>
        <v>0</v>
      </c>
      <c r="BY185" s="43">
        <f t="shared" ref="BY185:BY186" si="374">(AL185*BQ185)/Q185</f>
        <v>7.4999999999999997E-2</v>
      </c>
      <c r="BZ185" s="43">
        <f t="shared" ref="BZ185:BZ186" si="375">IF(BN185="NA","NA",BN185*BY185)</f>
        <v>0</v>
      </c>
      <c r="CA185" s="43">
        <f t="shared" si="247"/>
        <v>0</v>
      </c>
      <c r="CB185" s="43">
        <f t="shared" ref="CB185:CB186" si="376">(AN185*BQ185)/Q185</f>
        <v>6.0000000000000005E-2</v>
      </c>
      <c r="CC185" s="43">
        <f t="shared" ref="CC185:CC186" si="377">IF(BO185="NA","NA",BO185*CB185)</f>
        <v>0</v>
      </c>
      <c r="CD185" s="45">
        <v>0</v>
      </c>
      <c r="CE185" s="43">
        <f t="shared" ref="CE185:CE186" si="378">(AP185*BQ185)/Q185</f>
        <v>0</v>
      </c>
      <c r="CF185" s="43" t="str">
        <f t="shared" ref="CF185:CF186" si="379">IF(BP185="NA","NA",BP185*CE185)</f>
        <v>NA</v>
      </c>
      <c r="CG185" s="45">
        <v>0</v>
      </c>
    </row>
    <row r="186" spans="1:90" ht="18" customHeight="1">
      <c r="A186" s="260" t="s">
        <v>144</v>
      </c>
      <c r="B186" s="260" t="s">
        <v>145</v>
      </c>
      <c r="C186" s="260" t="s">
        <v>100</v>
      </c>
      <c r="D186" s="260" t="s">
        <v>1074</v>
      </c>
      <c r="E186" s="260" t="s">
        <v>1134</v>
      </c>
      <c r="F186" s="260" t="s">
        <v>1217</v>
      </c>
      <c r="G186" s="260" t="s">
        <v>1218</v>
      </c>
      <c r="H186" s="260" t="s">
        <v>1198</v>
      </c>
      <c r="I186" s="260" t="s">
        <v>200</v>
      </c>
      <c r="J186" s="260"/>
      <c r="K186" s="260" t="s">
        <v>1199</v>
      </c>
      <c r="L186" s="260" t="s">
        <v>1200</v>
      </c>
      <c r="M186" s="260" t="s">
        <v>1201</v>
      </c>
      <c r="N186" s="260" t="s">
        <v>111</v>
      </c>
      <c r="O186" s="260" t="s">
        <v>112</v>
      </c>
      <c r="P186" s="10">
        <v>15</v>
      </c>
      <c r="Q186" s="11">
        <v>15</v>
      </c>
      <c r="R186" s="9">
        <f t="shared" si="366"/>
        <v>5</v>
      </c>
      <c r="S186" s="11">
        <f>VLOOKUP(K186,'1126 Desarrollo Social'!$K$13:$S$58,9,0)</f>
        <v>0</v>
      </c>
      <c r="T186" s="11">
        <v>2</v>
      </c>
      <c r="U186" s="11">
        <v>0</v>
      </c>
      <c r="V186" s="11">
        <v>2</v>
      </c>
      <c r="W186" s="11">
        <v>0</v>
      </c>
      <c r="X186" s="11">
        <v>2</v>
      </c>
      <c r="Y186" s="11">
        <v>0</v>
      </c>
      <c r="Z186" s="11">
        <v>2</v>
      </c>
      <c r="AA186" s="11">
        <v>0</v>
      </c>
      <c r="AB186" s="11" t="s">
        <v>1202</v>
      </c>
      <c r="AC186" s="11">
        <v>0</v>
      </c>
      <c r="AD186" s="11">
        <v>3</v>
      </c>
      <c r="AE186" s="11">
        <v>0</v>
      </c>
      <c r="AF186" s="11">
        <f>VLOOKUP(K186,'1126 Desarrollo Social'!$K$13:$AK$58,22,0)</f>
        <v>3</v>
      </c>
      <c r="AG186" s="11">
        <f>VLOOKUP(K186,'1126 Desarrollo Social'!$K$13:$AK$58,23,0)</f>
        <v>0</v>
      </c>
      <c r="AH186" s="9">
        <f t="shared" si="367"/>
        <v>3</v>
      </c>
      <c r="AI186" s="9">
        <f>VLOOKUP(K186,'1126 Desarrollo Social'!$K$13:$AK$58,25,0)</f>
        <v>0</v>
      </c>
      <c r="AJ186" s="9" t="str">
        <f>VLOOKUP(K186,'1126 Desarrollo Social'!$K$13:$AK$58,26,0)</f>
        <v>Socialización de los manuales de accesibilidad en todos los municipios de las provincias: de ubate, sumapaz y provincia del Guavio</v>
      </c>
      <c r="AK186" s="9">
        <f>VLOOKUP(K186,'1126 Desarrollo Social'!$K$13:$AK$58,27,0)</f>
        <v>0</v>
      </c>
      <c r="AL186" s="11">
        <v>5</v>
      </c>
      <c r="AM186" s="11">
        <v>0</v>
      </c>
      <c r="AN186" s="11">
        <v>5</v>
      </c>
      <c r="AO186" s="11">
        <v>0</v>
      </c>
      <c r="AP186" s="11">
        <v>0</v>
      </c>
      <c r="AQ186" s="11">
        <v>0</v>
      </c>
      <c r="AR186" s="52"/>
      <c r="AS186" s="54">
        <v>0</v>
      </c>
      <c r="AT186" s="54">
        <f t="shared" si="242"/>
        <v>0</v>
      </c>
      <c r="AU186" s="52"/>
      <c r="AV186" s="89">
        <v>17867332</v>
      </c>
      <c r="AY186" s="89">
        <v>12492000</v>
      </c>
      <c r="AZ186" s="42">
        <f t="shared" si="368"/>
        <v>0.33333333333333331</v>
      </c>
      <c r="BA186" s="44">
        <v>0.1333</v>
      </c>
      <c r="BB186" s="44">
        <v>1</v>
      </c>
      <c r="BC186" s="42">
        <f t="shared" si="369"/>
        <v>0.2</v>
      </c>
      <c r="BD186" s="42" cm="1">
        <f t="array" ref="BD186">_xlfn.IFS(AD186=0,"NA",AD186&gt;0,AH186/AD186)</f>
        <v>1</v>
      </c>
      <c r="BE186" s="42">
        <f t="shared" si="370"/>
        <v>0.33333333333333331</v>
      </c>
      <c r="BF186" s="44">
        <v>0</v>
      </c>
      <c r="BG186" s="42">
        <f t="shared" si="371"/>
        <v>0.33333333333333331</v>
      </c>
      <c r="BH186" s="44">
        <v>0</v>
      </c>
      <c r="BI186" s="42">
        <f t="shared" si="372"/>
        <v>0</v>
      </c>
      <c r="BJ186" s="44" t="s">
        <v>115</v>
      </c>
      <c r="BK186" s="42">
        <f t="shared" si="243"/>
        <v>0.33333333333333331</v>
      </c>
      <c r="BL186" s="44">
        <v>1</v>
      </c>
      <c r="BM186" s="42" cm="1">
        <f t="array" ref="BM186">_xlfn.IFS(BD186="NA","NA",BD186&gt;100%,"100%",BD186&lt;100,BD186)</f>
        <v>1</v>
      </c>
      <c r="BN186" s="42" cm="1">
        <f t="array" ref="BN186">_xlfn.IFS(BF186="NA","NA",BF186&gt;100%,"100%",BF186&lt;100,BF186)</f>
        <v>0</v>
      </c>
      <c r="BO186" s="42" cm="1">
        <f t="array" ref="BO186">_xlfn.IFS(BH186="NA","NA",BH186&gt;100%,"100%",BH186&lt;100,BH186)</f>
        <v>0</v>
      </c>
      <c r="BP186" s="42" t="str" cm="1">
        <f t="array" ref="BP186">_xlfn.IFS(BJ186="NA","NA",BJ186&gt;100%,"100%",BJ186&lt;100,BJ186)</f>
        <v>NA</v>
      </c>
      <c r="BQ186" s="45">
        <v>0.22500000000000001</v>
      </c>
      <c r="BR186" s="43">
        <f t="shared" si="244"/>
        <v>7.4999999999999997E-2</v>
      </c>
      <c r="BS186" s="45">
        <v>0.03</v>
      </c>
      <c r="BT186" s="45">
        <v>0.03</v>
      </c>
      <c r="BU186" s="45">
        <v>0.03</v>
      </c>
      <c r="BV186" s="43">
        <f t="shared" si="373"/>
        <v>4.5000000000000005E-2</v>
      </c>
      <c r="BW186" s="43">
        <f t="shared" si="245"/>
        <v>4.5000000000000005E-2</v>
      </c>
      <c r="BX186" s="43">
        <f t="shared" si="246"/>
        <v>4.4999999999999998E-2</v>
      </c>
      <c r="BY186" s="43">
        <f t="shared" si="374"/>
        <v>7.4999999999999997E-2</v>
      </c>
      <c r="BZ186" s="43">
        <f t="shared" si="375"/>
        <v>0</v>
      </c>
      <c r="CA186" s="43">
        <f t="shared" si="247"/>
        <v>0</v>
      </c>
      <c r="CB186" s="43">
        <f t="shared" si="376"/>
        <v>7.4999999999999997E-2</v>
      </c>
      <c r="CC186" s="43">
        <f t="shared" si="377"/>
        <v>0</v>
      </c>
      <c r="CD186" s="45">
        <v>0</v>
      </c>
      <c r="CE186" s="43">
        <f t="shared" si="378"/>
        <v>0</v>
      </c>
      <c r="CF186" s="43" t="str">
        <f t="shared" si="379"/>
        <v>NA</v>
      </c>
      <c r="CG186" s="45">
        <v>0</v>
      </c>
    </row>
    <row r="187" spans="1:90" ht="18" customHeight="1">
      <c r="A187" s="260" t="s">
        <v>292</v>
      </c>
      <c r="B187" s="260" t="s">
        <v>293</v>
      </c>
      <c r="C187" s="260" t="s">
        <v>100</v>
      </c>
      <c r="D187" s="260" t="s">
        <v>1074</v>
      </c>
      <c r="E187" s="260" t="s">
        <v>1134</v>
      </c>
      <c r="F187" s="260" t="s">
        <v>1217</v>
      </c>
      <c r="G187" s="260" t="s">
        <v>1218</v>
      </c>
      <c r="H187" s="260" t="s">
        <v>1204</v>
      </c>
      <c r="I187" s="260" t="s">
        <v>255</v>
      </c>
      <c r="J187" s="260" t="s">
        <v>607</v>
      </c>
      <c r="K187" s="260" t="s">
        <v>1205</v>
      </c>
      <c r="L187" s="260" t="s">
        <v>1206</v>
      </c>
      <c r="M187" s="260" t="s">
        <v>1207</v>
      </c>
      <c r="N187" s="260" t="s">
        <v>123</v>
      </c>
      <c r="O187" s="260" t="s">
        <v>124</v>
      </c>
      <c r="P187" s="10">
        <v>49.8</v>
      </c>
      <c r="Q187" s="11">
        <v>100</v>
      </c>
      <c r="R187" s="11">
        <f>(Z187+AH187)/CL187</f>
        <v>30.93</v>
      </c>
      <c r="S187" s="11" t="str">
        <f>VLOOKUP(K187,'1108 Educación'!$K$13:$AK$40,9,0)</f>
        <v>Se logró la contratatación de dos  profesionales para conformar el  equipo de inclusión educativa de la Secretaría de Educación para apoyar  en la organización y debida ejecución  del programa  y el  acompañamiento a las IED con asistencias técnicas  para la atención de estudiantes con discapacidad, capacidades y talentos excepcionales, igualmente Se   logrado dar inicio a asistencias técnicas a las IED, con el fin de orientar a los directivos y personal administrativo sobre el registro de los estudiantes en SIMAT de acuerdo a la nueva  categorizacion de discapacidad y trastornos del aprendizaje y del comportamiento.  Se inicia con el proceso público para contratación de operador para el desarrollo del programa de educación inclusiva.Se logra continuar con las asistencias tecnicas a las IED, con el fin de oriengtar a los directivos y personal administrativo sobre el registro de los estudiantes en "SIMAT" de acuedo a la nueva categorizacion de discapacidad y trastornos de la apredizaje y de comportamineto , se logro la articulacion con "CARC" para capacitar a 30 docentes IED que reportan estudiantes con discapacidad visual se logro articulacion para adelantar el proceso de adopcion mediante adminsitrativos  de la planta temporal de docentes de apoyo para el acompañamiento de 29 IED en educacion inclusiva. Se logra dar repuesta oportuna a los requerimiento interpuestos por parte de la IED ciudadanos y  entes de control. continua con las  asistencias técnicas a las IED, con el fin de orientar a los directivos y personal administrativo sobre el registro de los estudiantes en SIMAT de acuerdo a la nueva  categorizacion de discapacidad y trastornos del aprendizaje y del comportamiento. Se adelanto el proceso de adopción de la planta temporal de docentes de apoyo mediante la resolución 001366 de 14 de abril de 2021 y se está en el proceso de convocatoria y seleccion de 29 docentres de apoyo pedagógico, adicional a esto, la  Secretaría  de  Educación  se  encuentra  en espera de que la unidd de contratación de de viabilidad al procesode licitación pública para seleccionar el oferente idóneo para  la  prestación  del  servicio  de  profesionales  de apoyo  que  se  encargarán  de  asesorar  pedagógicamente  a  los  docentes  de aula  frente  a  la atención de los estudiantes con discapacidad, capacidades y/o talentos excepcionales en 247 establecimientos educativos oficiales del Departamento.  Se realizó taller de capacitacion orientado por el El Centro de Rehabilitación para Adultos Ciegos- CRAC,dirgido  a 30 docentes de IE que atienden estudiantes con discapacidad visual.  en el mes de julio El logro significativo fue el iniciar el acompañamientoa 23 IED  con docentes de apoyo pedagógico,  nombrados por planta temporal en las IE con el mayor número de estudiantes con discapacidad, beneficiando a 1650 niños, niñas jovenes y adultos.  Se logra dar acompañamiento a 13 con asistencias tecnicas orientando a los rectores, orientadores y personal encargado del registro en el SIMAT  sobre sobre historia escolar, PIAR, registro de estudiantes con discapacidad,  trastornos del aprendizaje y del comportamiento, talentos excepcionales.</v>
      </c>
      <c r="T187" s="11">
        <v>0</v>
      </c>
      <c r="U187" s="11">
        <v>100</v>
      </c>
      <c r="V187" s="11">
        <v>0</v>
      </c>
      <c r="W187" s="11">
        <v>100</v>
      </c>
      <c r="X187" s="11" t="s">
        <v>115</v>
      </c>
      <c r="Y187" s="11">
        <v>98</v>
      </c>
      <c r="Z187" s="11">
        <v>98</v>
      </c>
      <c r="AA187" s="11" t="s">
        <v>1208</v>
      </c>
      <c r="AB187" s="11" t="s">
        <v>1209</v>
      </c>
      <c r="AC187" s="11">
        <v>0</v>
      </c>
      <c r="AD187" s="11">
        <v>0</v>
      </c>
      <c r="AE187" s="11">
        <v>100</v>
      </c>
      <c r="AF187" s="11">
        <f>VLOOKUP(K187,'1108 Educación'!$K$13:$AK$40,22,0)</f>
        <v>0</v>
      </c>
      <c r="AG187" s="11">
        <f>VLOOKUP(K187,'1108 Educación'!$K$13:$AK$40,23,0)</f>
        <v>25.72</v>
      </c>
      <c r="AH187" s="11">
        <f>AG187</f>
        <v>25.72</v>
      </c>
      <c r="AI187" s="9">
        <f>VLOOKUP(K187,'1108 Educación'!$K$13:$AK$40,25,0)</f>
        <v>0</v>
      </c>
      <c r="AJ187" s="9" t="str">
        <f>VLOOKUP(K187,'1108 Educación'!$K$13:$AK$40,26,0)</f>
        <v>Se logró la contratatación de quince  profesionales para conformar el  equipo de inclusión educativa de la Secretaría de Educación para apoyar  en la organización y debida ejecución  del programa  y el  acompañamiento a las IED con asistencias técnicas  para la atención de estudiantes con discapacidad, capacidades y talentos excepcionales, igualmente Se logra dar inicio a asistencias técnicas a las IED, con el fin de orientar a los directivos y personal administrativo sobre el registro de los estudiantes en SIMAT de acuerdo a la nueva  categorizacion de discapacidad y trastornos del aprendizaje y del comportamiento.  Se inicia con el proceso público para contratación de operador para el desarrollo del programa de educación inclusiva.Se logra continuar con las asistencias tecnicas a las IED, con el fin de oriengtar a los directivos y personal administrativo sobre el registro de los estudiantes en "SIMAT" de acuedo a la nueva categorizacion de discapacidad y trastornos de la apredizaje y de comportamineto , se logro la articulacion con "CARC" para capacitar a 30 docentes IED que reportan estudiantes con discapacidad visual se logro articulacion para adelantar el proceso de adopcion mediante adminsitrativos  de la planta temporal de docentes de apoyo para el acompañamiento de 29 IED en educacion inclusiva. Se logra dar repuesta oportuna a los requerimiento interpuestos por parte de la IED ciudadanos y  entes de control. continua con las  asistencias técnicas a las IED, con el fin de orientar a los directivos y personal administrativo sobre el registro de los estudiantes en SIMAT de acuerdo a la nueva  categorizacion de discapacidad y trastornos del aprendizaje y del comportamiento. Se adelanto el proceso de adopción de la planta temporal de docentes de apoyo mediante la resolución 001366 de 14 de abril de 2021 y se está en el proceso de convocatoria y seleccion de 29 docentres de apoyo pedagógico, adicional a esto, la  Secretaría  de  Educación  se  encuentra  en espera de que la unidd de contratación de de viabilidad al procesode licitación pública para seleccionar el oferente idóneo para  la  prestación  del  servicio  de  profesionales  de apoyo  que  se  encargarán  de  asesorar  pedagógicamente  a  los  docentes  de aula  frente  a  la atención de los estudiantes con discapacidad, capacidades y/o talentos excepcionales en 247 establecimientos educativos oficiales del Departamento.  Se realizó taller de capacitacion orientado por el El Centro de Rehabilitación para Adultos Ciegos- CRAC,dirgido  a 30 docentes de IE que atienden estudiantes con discapacidad visual.  en el mes de julio El logro significativo fue el iniciar el acompañamientoa 23 IED  con docentes de apoyo pedagógico,  nombrados por planta temporal en las IE con el mayor número de estudiantes con discapacidad, beneficiando a 1650 niños, niñas jovenes y adultos.  Se logra dar acompañamiento a 13 con asistencias tecnicas orientando a los rectores, orientadores y personal encargado del registro en el SIMAT  sobre sobre historia escolar, PIAR, registro de estudiantes con discapacidad,  trastornos del aprendizaje y del comportamiento, talentos excepcionales.para el mes de octubreel  logro significativo fue la adopción de la planta temporal de docentes de apoyo pedagógico que iniciaron acompañamiento a 29 IE, en los procesos de educacion inclusiva para estudiantes con discapacidad, capacidades y telentos excepionales.  Se hizo traslado de recursos SGP a la direcciòn de personal docente para cubrir esta nómina.  Se logro hacer acompañameitno mediante asistencias técnias a IED.</v>
      </c>
      <c r="AK187" s="9" t="str">
        <f>VLOOKUP(K187,'1108 Educación'!$K$13:$AK$40,27,0)</f>
        <v xml:space="preserve">No se logro la contratacion de la totalidad de los  25 profesionales de apoyo pedagogico  proyectados por lo que no se logra acompañar a la totalidad de las IE en temas de inclusion educativa. </v>
      </c>
      <c r="AL187" s="11">
        <v>0</v>
      </c>
      <c r="AM187" s="11">
        <v>100</v>
      </c>
      <c r="AN187" s="11">
        <v>0</v>
      </c>
      <c r="AO187" s="11">
        <v>100</v>
      </c>
      <c r="AP187" s="11">
        <v>0</v>
      </c>
      <c r="AQ187" s="11">
        <v>0</v>
      </c>
      <c r="AR187" s="51">
        <v>20808333</v>
      </c>
      <c r="AS187" s="54">
        <v>0</v>
      </c>
      <c r="AT187" s="54">
        <f t="shared" si="242"/>
        <v>20808333</v>
      </c>
      <c r="AU187" s="51">
        <v>20808333</v>
      </c>
      <c r="AV187" s="89">
        <v>2753567921</v>
      </c>
      <c r="AY187" s="89">
        <v>102870422</v>
      </c>
      <c r="AZ187" s="44" cm="1">
        <f t="array" ref="AZ187">_xlfn.IFS((BA187=0),(BD187/CL187),(BA187&gt;0),((BB187+BD187)/CL187),(BE187&gt;0),((BB187+BD187+BE187)/CL187),(BG187&gt;0),((BB187+BD187+BE187+G187)/CL187))</f>
        <v>0.30930000000000002</v>
      </c>
      <c r="BA187" s="44">
        <v>0.25</v>
      </c>
      <c r="BB187" s="44">
        <v>0.98</v>
      </c>
      <c r="BC187" s="44">
        <f>IF(AE187&gt;0,(1/CL187),0)</f>
        <v>0.25</v>
      </c>
      <c r="BD187" s="44" cm="1">
        <f t="array" ref="BD187">_xlfn.IFS(AE187=0,"NA",AE187&gt;0,AH187/AE187)</f>
        <v>0.25719999999999998</v>
      </c>
      <c r="BE187" s="44">
        <f>IF(AM187&gt;0,(1/CL187),0)</f>
        <v>0.25</v>
      </c>
      <c r="BF187" s="44">
        <v>0</v>
      </c>
      <c r="BG187" s="44">
        <f>IF(AO187&gt;0,(1/CL187),0)</f>
        <v>0.25</v>
      </c>
      <c r="BH187" s="44">
        <v>0</v>
      </c>
      <c r="BI187" s="44">
        <v>0</v>
      </c>
      <c r="BJ187" s="44" t="s">
        <v>115</v>
      </c>
      <c r="BK187" s="44">
        <f t="shared" si="243"/>
        <v>0.30930000000000002</v>
      </c>
      <c r="BL187" s="44">
        <v>0.98</v>
      </c>
      <c r="BM187" s="42" cm="1">
        <f t="array" ref="BM187">_xlfn.IFS(BD187="NA","NA",BD187&gt;100%,"100%",BD187&lt;100,BD187)</f>
        <v>0.25719999999999998</v>
      </c>
      <c r="BN187" s="44">
        <v>0</v>
      </c>
      <c r="BO187" s="44">
        <v>0</v>
      </c>
      <c r="BP187" s="44" t="s">
        <v>115</v>
      </c>
      <c r="BQ187" s="45">
        <v>0.22500000000000001</v>
      </c>
      <c r="BR187" s="43">
        <f t="shared" si="244"/>
        <v>6.9592500000000002E-2</v>
      </c>
      <c r="BS187" s="45">
        <v>5.6300000000000003E-2</v>
      </c>
      <c r="BT187" s="45">
        <v>5.5199999999999999E-2</v>
      </c>
      <c r="BU187" s="45">
        <v>5.5100000000000003E-2</v>
      </c>
      <c r="BV187" s="45">
        <v>5.6300000000000003E-2</v>
      </c>
      <c r="BW187" s="43">
        <f t="shared" si="245"/>
        <v>1.4480359999999999E-2</v>
      </c>
      <c r="BX187" s="43">
        <f t="shared" si="246"/>
        <v>1.4492499999999998E-2</v>
      </c>
      <c r="BY187" s="45">
        <v>5.6300000000000003E-2</v>
      </c>
      <c r="BZ187" s="45">
        <v>0</v>
      </c>
      <c r="CA187" s="43">
        <f t="shared" si="247"/>
        <v>0</v>
      </c>
      <c r="CB187" s="45">
        <v>5.6300000000000003E-2</v>
      </c>
      <c r="CC187" s="45">
        <v>0</v>
      </c>
      <c r="CD187" s="45">
        <v>0</v>
      </c>
      <c r="CE187" s="45">
        <v>0</v>
      </c>
      <c r="CF187" s="45" t="s">
        <v>115</v>
      </c>
      <c r="CG187" s="45">
        <v>0</v>
      </c>
      <c r="CH187">
        <f>IF(W187&gt;0,1,0)</f>
        <v>1</v>
      </c>
      <c r="CI187">
        <f>IF(AE187&gt;0,1,0)</f>
        <v>1</v>
      </c>
      <c r="CJ187">
        <f>IF(AM187&gt;0,1,0)</f>
        <v>1</v>
      </c>
      <c r="CK187">
        <f>IF(AO187&gt;0,1,0)</f>
        <v>1</v>
      </c>
      <c r="CL187">
        <f>CH187+CI187+CJ187+CK187</f>
        <v>4</v>
      </c>
    </row>
    <row r="188" spans="1:90" ht="18" customHeight="1">
      <c r="A188" s="260" t="s">
        <v>992</v>
      </c>
      <c r="B188" s="260" t="s">
        <v>993</v>
      </c>
      <c r="C188" s="260" t="s">
        <v>100</v>
      </c>
      <c r="D188" s="260" t="s">
        <v>1074</v>
      </c>
      <c r="E188" s="260" t="s">
        <v>1134</v>
      </c>
      <c r="F188" s="260" t="s">
        <v>1217</v>
      </c>
      <c r="G188" s="260" t="s">
        <v>1218</v>
      </c>
      <c r="H188" s="260" t="s">
        <v>1210</v>
      </c>
      <c r="I188" s="260"/>
      <c r="J188" s="260"/>
      <c r="K188" s="260" t="s">
        <v>1211</v>
      </c>
      <c r="L188" s="260" t="s">
        <v>2947</v>
      </c>
      <c r="M188" s="260" t="s">
        <v>2948</v>
      </c>
      <c r="N188" s="260" t="s">
        <v>123</v>
      </c>
      <c r="O188" s="260" t="s">
        <v>112</v>
      </c>
      <c r="P188" s="10">
        <v>65</v>
      </c>
      <c r="Q188" s="11">
        <v>100</v>
      </c>
      <c r="R188" s="9">
        <f>Z188+AH188</f>
        <v>37</v>
      </c>
      <c r="S188" s="11" t="str">
        <f>VLOOKUP(K188,'1105 Gobierno'!$K$12:$AK$31,9,0)</f>
        <v xml:space="preserve">Se garantiza el cumplimiento de la política pública de discapacidad Ordenanza No. 0266 de 2015, garantizando el correcto funcionamiento de los comités municipales en pro de los derechos de la población en condición de discapacidad a través de la asistencia técnica. De acuerdo a las actividades del plan de trabajo, se cumplen los instrumentos que acrediten a las personas con discapacidad, mecanismos que prioricen acceso a la justicia de personas con discapacidad, se han facilitado espacios y dotación a personas con discapacidad, se han realizado acciones de rehabilitación integral, garantizando salud y cobertura a dichas personas, y a su vez, desde la secretaría de Gobierno como secretaría técnica de la política, se realizan los comités de discapacidad departamental y se realiza el acompañamiento y asistencia técnica a los consejos municipales de discapacidad. Asimismo, se han realizado jornadas de capacitación inclusión laboral para personas con discapacidad en el sector público. Actualmente se ajusta el plan de implementación de la política pública de discapacidad y se realizo el primer comite departamental de discapacidad. </v>
      </c>
      <c r="T188" s="11">
        <v>20</v>
      </c>
      <c r="U188" s="11">
        <v>0</v>
      </c>
      <c r="V188" s="11">
        <v>17</v>
      </c>
      <c r="W188" s="11">
        <v>0</v>
      </c>
      <c r="X188" s="11">
        <v>17</v>
      </c>
      <c r="Y188" s="11">
        <v>0</v>
      </c>
      <c r="Z188" s="11">
        <v>17</v>
      </c>
      <c r="AA188" s="11" t="s">
        <v>1214</v>
      </c>
      <c r="AB188" s="11" t="s">
        <v>1215</v>
      </c>
      <c r="AC188" s="11" t="s">
        <v>1216</v>
      </c>
      <c r="AD188" s="11">
        <v>24</v>
      </c>
      <c r="AE188" s="11">
        <v>0</v>
      </c>
      <c r="AF188" s="11">
        <f>VLOOKUP(K188,'1105 Gobierno'!$K$12:$AK$31,22,0)</f>
        <v>20</v>
      </c>
      <c r="AG188" s="11" t="str">
        <f>VLOOKUP(K188,'1105 Gobierno'!$K$12:$AK$31,23,0)</f>
        <v> </v>
      </c>
      <c r="AH188" s="9">
        <f>AF188</f>
        <v>20</v>
      </c>
      <c r="AI188" s="9" t="str">
        <f>VLOOKUP(K188,'1105 Gobierno'!$K$12:$AK$31,25,0)</f>
        <v>Asistencia Técnica</v>
      </c>
      <c r="AJ188" s="9" t="str">
        <f>VLOOKUP(K188,'1105 Gobierno'!$K$12:$AK$31,26,0)</f>
        <v>Las asistencias técnicas que se realizaron en los tres primeros trimestres de 2021 ( corte 30 septiembre de 2021), llegaron a un total de 46 asistencias, 19 de forma presencial y 27 de forma virtual, incluyendo entidades departamentales y municipios. Para un total de 366 de personas asistidas, cuyo objetivo fue maximizar la calidad de la implementación de las Política Pública de Discapacidad ordenanza 0266/2015.  A la fecha, se ha realizado para la vigencia 2021, dos (2) Comités Departamentales de Discapacidad: para las fechas 8 de septiembre de 2021 y 14 de abril de 2021, convocadas por la Secretaría de Gobierno, en particular, Dirección de Convivencia, Justicia y Derechos Humanos. Al mismo tiempo, tuvo lugar la Mesa Técnica de Discapacidad Departamental  el día 9 de agosto de 2021.</v>
      </c>
      <c r="AK188" s="9" t="str">
        <f>VLOOKUP(K188,'1105 Gobierno'!$K$12:$AK$31,27,0)</f>
        <v>Entrega de la información solicitada a las diferentes secretarías, la emergencia sanitaria ocasionada por el covid-19.</v>
      </c>
      <c r="AL188" s="11">
        <v>29</v>
      </c>
      <c r="AM188" s="11">
        <v>0</v>
      </c>
      <c r="AN188" s="11">
        <v>30</v>
      </c>
      <c r="AO188" s="11">
        <v>0</v>
      </c>
      <c r="AP188" s="11">
        <v>0</v>
      </c>
      <c r="AQ188" s="11">
        <v>0</v>
      </c>
      <c r="AR188" s="52"/>
      <c r="AS188" s="54">
        <v>5000000</v>
      </c>
      <c r="AT188" s="54">
        <f t="shared" si="242"/>
        <v>5000000</v>
      </c>
      <c r="AU188" s="52"/>
      <c r="AV188" s="89">
        <v>75000000</v>
      </c>
      <c r="AY188" s="89">
        <v>57259636</v>
      </c>
      <c r="AZ188" s="42">
        <f t="shared" ref="AZ188" si="380">R188/Q188</f>
        <v>0.37</v>
      </c>
      <c r="BA188" s="44">
        <v>0.17</v>
      </c>
      <c r="BB188" s="44">
        <v>1</v>
      </c>
      <c r="BC188" s="42">
        <f>AD188/Q188</f>
        <v>0.24</v>
      </c>
      <c r="BD188" s="42" cm="1">
        <f t="array" ref="BD188">_xlfn.IFS(AD188=0,"NA",AD188&gt;0,AH188/AD188)</f>
        <v>0.83333333333333337</v>
      </c>
      <c r="BE188" s="42">
        <f>AL188/Q188</f>
        <v>0.28999999999999998</v>
      </c>
      <c r="BF188" s="44">
        <v>0</v>
      </c>
      <c r="BG188" s="42">
        <f>AN188/Q188</f>
        <v>0.3</v>
      </c>
      <c r="BH188" s="44">
        <v>0</v>
      </c>
      <c r="BI188" s="42">
        <f>AP188/Q188</f>
        <v>0</v>
      </c>
      <c r="BJ188" s="44" t="s">
        <v>115</v>
      </c>
      <c r="BK188" s="42">
        <f t="shared" si="243"/>
        <v>0.37</v>
      </c>
      <c r="BL188" s="44">
        <v>1</v>
      </c>
      <c r="BM188" s="42" cm="1">
        <f t="array" ref="BM188">_xlfn.IFS(BD188="NA","NA",BD188&gt;100%,"100%",BD188&lt;100,BD188)</f>
        <v>0.83333333333333337</v>
      </c>
      <c r="BN188" s="42" cm="1">
        <f t="array" ref="BN188">_xlfn.IFS(BF188="NA","NA",BF188&gt;100%,"100%",BF188&lt;100,BF188)</f>
        <v>0</v>
      </c>
      <c r="BO188" s="42" cm="1">
        <f t="array" ref="BO188">_xlfn.IFS(BH188="NA","NA",BH188&gt;100%,"100%",BH188&lt;100,BH188)</f>
        <v>0</v>
      </c>
      <c r="BP188" s="42" t="str" cm="1">
        <f t="array" ref="BP188">_xlfn.IFS(BJ188="NA","NA",BJ188&gt;100%,"100%",BJ188&lt;100,BJ188)</f>
        <v>NA</v>
      </c>
      <c r="BQ188" s="45">
        <v>0.22500000000000001</v>
      </c>
      <c r="BR188" s="43">
        <f t="shared" si="244"/>
        <v>8.3250000000000005E-2</v>
      </c>
      <c r="BS188" s="45">
        <v>3.8300000000000001E-2</v>
      </c>
      <c r="BT188" s="45">
        <v>3.8300000000000001E-2</v>
      </c>
      <c r="BU188" s="45">
        <v>3.8300000000000001E-2</v>
      </c>
      <c r="BV188" s="43">
        <f>(AD188*BQ188)/Q188</f>
        <v>5.4000000000000006E-2</v>
      </c>
      <c r="BW188" s="43">
        <f t="shared" si="245"/>
        <v>4.5000000000000005E-2</v>
      </c>
      <c r="BX188" s="43">
        <f t="shared" si="246"/>
        <v>4.4950000000000004E-2</v>
      </c>
      <c r="BY188" s="43">
        <f>(AL188*BQ188)/Q188</f>
        <v>6.5250000000000002E-2</v>
      </c>
      <c r="BZ188" s="43">
        <f>IF(BN188="NA","NA",BN188*BY188)</f>
        <v>0</v>
      </c>
      <c r="CA188" s="43">
        <f t="shared" si="247"/>
        <v>0</v>
      </c>
      <c r="CB188" s="43">
        <f>(AN188*BQ188)/Q188</f>
        <v>6.7500000000000004E-2</v>
      </c>
      <c r="CC188" s="43">
        <f>IF(BO188="NA","NA",BO188*CB188)</f>
        <v>0</v>
      </c>
      <c r="CD188" s="45">
        <v>0</v>
      </c>
      <c r="CE188" s="43">
        <f>(AP188*BQ188)/Q188</f>
        <v>0</v>
      </c>
      <c r="CF188" s="43" t="str">
        <f>IF(BP188="NA","NA",BP188*CE188)</f>
        <v>NA</v>
      </c>
      <c r="CG188" s="45">
        <v>0</v>
      </c>
    </row>
    <row r="189" spans="1:90" ht="18" customHeight="1">
      <c r="A189" s="260" t="s">
        <v>98</v>
      </c>
      <c r="B189" s="260" t="s">
        <v>99</v>
      </c>
      <c r="C189" s="260" t="s">
        <v>100</v>
      </c>
      <c r="D189" s="260" t="s">
        <v>1074</v>
      </c>
      <c r="E189" s="260" t="s">
        <v>1134</v>
      </c>
      <c r="F189" s="260" t="s">
        <v>1217</v>
      </c>
      <c r="G189" s="260" t="s">
        <v>1218</v>
      </c>
      <c r="H189" s="260" t="s">
        <v>1219</v>
      </c>
      <c r="I189" s="260" t="s">
        <v>106</v>
      </c>
      <c r="J189" s="260" t="s">
        <v>607</v>
      </c>
      <c r="K189" s="260" t="s">
        <v>1220</v>
      </c>
      <c r="L189" s="260" t="s">
        <v>1221</v>
      </c>
      <c r="M189" s="260" t="s">
        <v>1222</v>
      </c>
      <c r="N189" s="260" t="s">
        <v>111</v>
      </c>
      <c r="O189" s="260" t="s">
        <v>124</v>
      </c>
      <c r="P189" s="10">
        <v>50</v>
      </c>
      <c r="Q189" s="11">
        <v>116</v>
      </c>
      <c r="R189" s="11">
        <f>(Z189+AH189)/CL189</f>
        <v>51.75</v>
      </c>
      <c r="S189" s="9" t="str">
        <f>VLOOKUP(K189,'1197 Salud'!$K$13:$AK$54,9,0)</f>
        <v xml:space="preserve">Se realizaron fortalecmiento a las acciones de salud intregrales para personas con discapacidad en los municipios de  Guatativa, Choconta. Macheta. La Mesa. Nocaima. Tabio, fuquene, chia, Guasca, Lenguazaque, Chipaque, Choachi, cucunuba, fosca, guayabetal, gutierrez, Paratebueno, Sutatausa, tausa, El peñon, La Palma, La peña, Manta, Paime, Supata, tenjo Tibirita, villagomez, Villapinzon,  Arbelaez, Silvania, Villeta, Funza, Zipacon, San Juan de Rioseco, Mosquera, Bituima, Madrid, Bojaca, Beltran, Pandi, Zipaquira, Anapoima, Tocancipa, Caparrapi, Girardot, Quipile, Anolaima, Guaduas, Gachancipa, El Colegio, Nariño, Nilo, Agua de Dios, Fusagasuga, Viota, San Antonio del tequendama, Cachipay.Nemocon, Apulo, La Calera, Medina, Une, Fomeque, Carmen de carupa, Pacho, La vega, San francisco, Soacha, Suesca, Sesquile, Venecia, Cabrera, Puli, El rosal, Subachoque, Guayabal de siquima.  Alban, Caqueza, Gachala, Gama, Granada, Guacheta, Junin, La Vega, Simijaca, Supata, Tibirita, Ubaque, Viani, Villagomez, Dando continudad a la vigencia 2020 donde se realizaron en los 116 municipios </v>
      </c>
      <c r="T189" s="11">
        <v>0</v>
      </c>
      <c r="U189" s="11">
        <v>116</v>
      </c>
      <c r="V189" s="11">
        <v>0</v>
      </c>
      <c r="W189" s="11">
        <v>116</v>
      </c>
      <c r="X189" s="11" t="s">
        <v>115</v>
      </c>
      <c r="Y189" s="11">
        <v>116</v>
      </c>
      <c r="Z189" s="11">
        <v>116</v>
      </c>
      <c r="AA189" s="11" t="s">
        <v>1222</v>
      </c>
      <c r="AB189" s="11" t="s">
        <v>1223</v>
      </c>
      <c r="AC189" s="11" t="s">
        <v>1224</v>
      </c>
      <c r="AD189" s="11">
        <v>0</v>
      </c>
      <c r="AE189" s="11">
        <v>116</v>
      </c>
      <c r="AF189" s="9">
        <f>VLOOKUP(K189,'1197 Salud'!$K$13:$AK$54,22,0)</f>
        <v>0</v>
      </c>
      <c r="AG189" s="9">
        <f>VLOOKUP(K189,'1197 Salud'!$K$13:$AK$54,23,0)</f>
        <v>91</v>
      </c>
      <c r="AH189" s="11">
        <f>AG189</f>
        <v>91</v>
      </c>
      <c r="AI189" s="9" t="str">
        <f>VLOOKUP(K189,'1197 Salud'!$K$13:$AK$54,25,0)</f>
        <v>municipios con acciones integrales para las personas con discapacidad.</v>
      </c>
      <c r="AJ189" s="9" t="str">
        <f>VLOOKUP(K189,'1197 Salud'!$K$13:$AK$54,26,0)</f>
        <v xml:space="preserve">Se realiza acciones integrales en la estrategia de rehabilitación basada en comunidad en los municipios de   Guatativa, Choconta. Macheta. La Mesa. Nocaima. Tabio, fuquene, chia, Guasca, Lenguazaque, Chipaque, Choachi, cucunuba, fosca, guayabetal, gutierrez, Paratebueno, Sutatausa, tausa, El peñon, La Palma, La peña, Manta, Paime, Supata, tenjo Tibirita, villagomez, Villapinzon,  Arbelaez, Silvania, Villeta, Funza, Zipacon, San Juan de Rioseco, Mosquera, Bituima, Madrid, Bojaca, Beltran, Pandi, Zipaquira, Anapoima, Tocancipa, Caparrapi, Girardot, Quipile, Anolaima, Guaduas, Gachancipa, El Colegio, Nariño, Nilo, Agua de Dios, Fusagasuga, Viota, San Antonio del tequendama, Cachipay.Nemocon, Apulo, La Calera, Medina, Une, Fomeque, Carmen de carupa, Pacho, La vega, San francisco, Soacha, Suesca, Sesquile, Venecia, Cabrera, Puli, El rosal, Subachoque, Guayabal de siquima.  Alban, Caqueza, Gachala, Gama, Granada, Guacheta, Junin, La Vega, Simijaca, Supata, Tibirita, Ubaque, Viani, Villagomez. </v>
      </c>
      <c r="AK189" s="9" t="str">
        <f>VLOOKUP(K189,'1197 Salud'!$K$13:$AK$54,27,0)</f>
        <v>N/A</v>
      </c>
      <c r="AL189" s="11">
        <v>0</v>
      </c>
      <c r="AM189" s="11">
        <v>116</v>
      </c>
      <c r="AN189" s="11">
        <v>0</v>
      </c>
      <c r="AO189" s="11">
        <v>116</v>
      </c>
      <c r="AP189" s="11">
        <v>0</v>
      </c>
      <c r="AQ189" s="11">
        <v>0</v>
      </c>
      <c r="AR189" s="51">
        <v>34500000</v>
      </c>
      <c r="AS189" s="54">
        <v>0</v>
      </c>
      <c r="AT189" s="54">
        <f t="shared" si="242"/>
        <v>34500000</v>
      </c>
      <c r="AU189" s="51">
        <v>33956613</v>
      </c>
      <c r="AV189" s="89">
        <v>260955691</v>
      </c>
      <c r="AY189" s="89">
        <v>222155322</v>
      </c>
      <c r="AZ189" s="44" cm="1">
        <f t="array" ref="AZ189">_xlfn.IFS((BA189=0),(BD189/CL189),(BA189&gt;0),((BB189+BD189)/CL189),(BE189&gt;0),((BB189+BD189+BE189)/CL189),(BG189&gt;0),((BB189+BD189+BE189+G189)/CL189))</f>
        <v>0.44612068965517238</v>
      </c>
      <c r="BA189" s="44">
        <v>0.25</v>
      </c>
      <c r="BB189" s="44">
        <v>1</v>
      </c>
      <c r="BC189" s="44">
        <f>IF(AE189&gt;0,(1/CL189),0)</f>
        <v>0.25</v>
      </c>
      <c r="BD189" s="44" cm="1">
        <f t="array" ref="BD189">_xlfn.IFS(AE189=0,"NA",AE189&gt;0,AH189/AE189)</f>
        <v>0.78448275862068961</v>
      </c>
      <c r="BE189" s="44">
        <f>IF(AM189&gt;0,(1/CL189),0)</f>
        <v>0.25</v>
      </c>
      <c r="BF189" s="44">
        <v>0</v>
      </c>
      <c r="BG189" s="44">
        <f>IF(AO189&gt;0,(1/CL189),0)</f>
        <v>0.25</v>
      </c>
      <c r="BH189" s="44">
        <v>0</v>
      </c>
      <c r="BI189" s="44">
        <v>0</v>
      </c>
      <c r="BJ189" s="44" t="s">
        <v>115</v>
      </c>
      <c r="BK189" s="44">
        <f t="shared" si="243"/>
        <v>0.44612068965517238</v>
      </c>
      <c r="BL189" s="44">
        <v>1</v>
      </c>
      <c r="BM189" s="42" cm="1">
        <f t="array" ref="BM189">_xlfn.IFS(BD189="NA","NA",BD189&gt;100%,"100%",BD189&lt;100,BD189)</f>
        <v>0.78448275862068961</v>
      </c>
      <c r="BN189" s="44">
        <v>0</v>
      </c>
      <c r="BO189" s="44">
        <v>0</v>
      </c>
      <c r="BP189" s="44" t="s">
        <v>115</v>
      </c>
      <c r="BQ189" s="45">
        <v>0.22500000000000001</v>
      </c>
      <c r="BR189" s="43">
        <f t="shared" si="244"/>
        <v>0.10037715517241379</v>
      </c>
      <c r="BS189" s="45">
        <v>5.6300000000000003E-2</v>
      </c>
      <c r="BT189" s="45">
        <v>5.6300000000000003E-2</v>
      </c>
      <c r="BU189" s="45">
        <v>5.6300000000000003E-2</v>
      </c>
      <c r="BV189" s="45">
        <v>5.6300000000000003E-2</v>
      </c>
      <c r="BW189" s="43">
        <f t="shared" si="245"/>
        <v>4.4166379310344825E-2</v>
      </c>
      <c r="BX189" s="43">
        <f t="shared" si="246"/>
        <v>4.4077155172413784E-2</v>
      </c>
      <c r="BY189" s="45">
        <v>5.6300000000000003E-2</v>
      </c>
      <c r="BZ189" s="45">
        <v>0</v>
      </c>
      <c r="CA189" s="43">
        <f t="shared" si="247"/>
        <v>0</v>
      </c>
      <c r="CB189" s="45">
        <v>5.6300000000000003E-2</v>
      </c>
      <c r="CC189" s="45">
        <v>0</v>
      </c>
      <c r="CD189" s="45">
        <v>0</v>
      </c>
      <c r="CE189" s="45">
        <v>0</v>
      </c>
      <c r="CF189" s="45" t="s">
        <v>115</v>
      </c>
      <c r="CG189" s="45">
        <v>0</v>
      </c>
      <c r="CH189">
        <f>IF(W189&gt;0,1,0)</f>
        <v>1</v>
      </c>
      <c r="CI189">
        <f>IF(AE189&gt;0,1,0)</f>
        <v>1</v>
      </c>
      <c r="CJ189">
        <f>IF(AM189&gt;0,1,0)</f>
        <v>1</v>
      </c>
      <c r="CK189">
        <f>IF(AO189&gt;0,1,0)</f>
        <v>1</v>
      </c>
      <c r="CL189">
        <f>CH189+CI189+CJ189+CK189</f>
        <v>4</v>
      </c>
    </row>
    <row r="190" spans="1:90" ht="18" customHeight="1">
      <c r="A190" s="260" t="s">
        <v>144</v>
      </c>
      <c r="B190" s="260" t="s">
        <v>145</v>
      </c>
      <c r="C190" s="260" t="s">
        <v>100</v>
      </c>
      <c r="D190" s="260" t="s">
        <v>1225</v>
      </c>
      <c r="E190" s="260" t="s">
        <v>1226</v>
      </c>
      <c r="F190" s="260" t="s">
        <v>2949</v>
      </c>
      <c r="G190" s="260" t="s">
        <v>2950</v>
      </c>
      <c r="H190" s="260" t="s">
        <v>1229</v>
      </c>
      <c r="I190" s="260" t="s">
        <v>165</v>
      </c>
      <c r="J190" s="260"/>
      <c r="K190" s="260" t="s">
        <v>1230</v>
      </c>
      <c r="L190" s="260" t="s">
        <v>1231</v>
      </c>
      <c r="M190" s="260" t="s">
        <v>1232</v>
      </c>
      <c r="N190" s="260" t="s">
        <v>111</v>
      </c>
      <c r="O190" s="260" t="s">
        <v>112</v>
      </c>
      <c r="P190" s="10">
        <v>6</v>
      </c>
      <c r="Q190" s="11">
        <v>6</v>
      </c>
      <c r="R190" s="9">
        <f>Z190+AH190</f>
        <v>3</v>
      </c>
      <c r="S190" s="11" t="str">
        <f>VLOOKUP(K190,'1126 Desarrollo Social'!$K$13:$S$58,9,0)</f>
        <v>Capacitación a 4 resguardos indígenas para la presentación de proyectos productivos</v>
      </c>
      <c r="T190" s="11">
        <v>1</v>
      </c>
      <c r="U190" s="11">
        <v>0</v>
      </c>
      <c r="V190" s="11">
        <v>1</v>
      </c>
      <c r="W190" s="11">
        <v>0</v>
      </c>
      <c r="X190" s="11">
        <v>3</v>
      </c>
      <c r="Y190" s="11">
        <v>0</v>
      </c>
      <c r="Z190" s="11">
        <v>3</v>
      </c>
      <c r="AA190" s="11" t="s">
        <v>1233</v>
      </c>
      <c r="AB190" s="11" t="s">
        <v>1234</v>
      </c>
      <c r="AC190" s="11" t="s">
        <v>1235</v>
      </c>
      <c r="AD190" s="11">
        <v>0</v>
      </c>
      <c r="AE190" s="11">
        <v>0</v>
      </c>
      <c r="AF190" s="11">
        <f>VLOOKUP(K190,'1126 Desarrollo Social'!$K$13:$AK$58,22,0)</f>
        <v>0</v>
      </c>
      <c r="AG190" s="11">
        <f>VLOOKUP(K190,'1126 Desarrollo Social'!$K$13:$AK$58,23,0)</f>
        <v>0</v>
      </c>
      <c r="AH190" s="9">
        <f>AF190</f>
        <v>0</v>
      </c>
      <c r="AI190" s="9">
        <f>VLOOKUP(K190,'1126 Desarrollo Social'!$K$13:$AK$58,25,0)</f>
        <v>0</v>
      </c>
      <c r="AJ190" s="9" t="str">
        <f>VLOOKUP(K190,'1126 Desarrollo Social'!$K$13:$AK$58,26,0)</f>
        <v xml:space="preserve"> se proyectaron para Firma de  convenios con los municipios de Sesquile y Medina para la compra delos proyectos productivos de la cumunidad Kichwa, Muisca y Je´eruriwa  - Ya se firmo el RPC</v>
      </c>
      <c r="AK190" s="9">
        <f>VLOOKUP(K190,'1126 Desarrollo Social'!$K$13:$AK$58,27,0)</f>
        <v>0</v>
      </c>
      <c r="AL190" s="11">
        <v>2</v>
      </c>
      <c r="AM190" s="11">
        <v>0</v>
      </c>
      <c r="AN190" s="11">
        <v>1</v>
      </c>
      <c r="AO190" s="11">
        <v>0</v>
      </c>
      <c r="AP190" s="11">
        <v>0</v>
      </c>
      <c r="AQ190" s="11">
        <v>0</v>
      </c>
      <c r="AR190" s="51">
        <v>11000000</v>
      </c>
      <c r="AS190" s="54">
        <v>0</v>
      </c>
      <c r="AT190" s="54">
        <f t="shared" si="242"/>
        <v>11000000</v>
      </c>
      <c r="AU190" s="51">
        <v>0</v>
      </c>
      <c r="AV190" s="89">
        <v>31788082</v>
      </c>
      <c r="AY190" s="89">
        <v>0</v>
      </c>
      <c r="AZ190" s="42">
        <f t="shared" ref="AZ190" si="381">R190/Q190</f>
        <v>0.5</v>
      </c>
      <c r="BA190" s="44">
        <v>0.16669999999999999</v>
      </c>
      <c r="BB190" s="44">
        <v>3</v>
      </c>
      <c r="BC190" s="42">
        <f>AD190/Q190</f>
        <v>0</v>
      </c>
      <c r="BD190" s="42" t="str" cm="1">
        <f t="array" ref="BD190">_xlfn.IFS(AD190=0,"NA",AD190&gt;0,AH190/AD190)</f>
        <v>NA</v>
      </c>
      <c r="BE190" s="42">
        <f>AL190/Q190</f>
        <v>0.33333333333333331</v>
      </c>
      <c r="BF190" s="44">
        <v>0</v>
      </c>
      <c r="BG190" s="42">
        <f>AN190/Q190</f>
        <v>0.16666666666666666</v>
      </c>
      <c r="BH190" s="44">
        <v>0</v>
      </c>
      <c r="BI190" s="42">
        <f>AP190/Q190</f>
        <v>0</v>
      </c>
      <c r="BJ190" s="44" t="s">
        <v>115</v>
      </c>
      <c r="BK190" s="42">
        <f t="shared" si="243"/>
        <v>0.5</v>
      </c>
      <c r="BL190" s="44">
        <v>1</v>
      </c>
      <c r="BM190" s="42" t="str" cm="1">
        <f t="array" ref="BM190">_xlfn.IFS(BD190="NA","NA",BD190&gt;100%,"100%",BD190&lt;100,BD190)</f>
        <v>NA</v>
      </c>
      <c r="BN190" s="42" cm="1">
        <f t="array" ref="BN190">_xlfn.IFS(BF190="NA","NA",BF190&gt;100%,"100%",BF190&lt;100,BF190)</f>
        <v>0</v>
      </c>
      <c r="BO190" s="42" cm="1">
        <f t="array" ref="BO190">_xlfn.IFS(BH190="NA","NA",BH190&gt;100%,"100%",BH190&lt;100,BH190)</f>
        <v>0</v>
      </c>
      <c r="BP190" s="42" t="str" cm="1">
        <f t="array" ref="BP190">_xlfn.IFS(BJ190="NA","NA",BJ190&gt;100%,"100%",BJ190&lt;100,BJ190)</f>
        <v>NA</v>
      </c>
      <c r="BQ190" s="45">
        <v>0.22500000000000001</v>
      </c>
      <c r="BR190" s="43">
        <f t="shared" si="244"/>
        <v>0.1125</v>
      </c>
      <c r="BS190" s="45">
        <v>3.7499999999999999E-2</v>
      </c>
      <c r="BT190" s="45">
        <v>3.7499999999999999E-2</v>
      </c>
      <c r="BU190" s="45">
        <v>0.1125</v>
      </c>
      <c r="BV190" s="43">
        <f>(AD190*BQ190)/Q190</f>
        <v>0</v>
      </c>
      <c r="BW190" s="43" t="str">
        <f t="shared" si="245"/>
        <v>NA</v>
      </c>
      <c r="BX190" s="43">
        <f>BR190-BU190</f>
        <v>0</v>
      </c>
      <c r="BY190" s="43">
        <f>(AL190*BQ190)/Q190</f>
        <v>7.4999999999999997E-2</v>
      </c>
      <c r="BZ190" s="43">
        <f>IF(BN190="NA","NA",BN190*BY190)</f>
        <v>0</v>
      </c>
      <c r="CA190" s="43">
        <f t="shared" si="247"/>
        <v>0</v>
      </c>
      <c r="CB190" s="43">
        <f>(AN190*BQ190)/Q190</f>
        <v>3.7499999999999999E-2</v>
      </c>
      <c r="CC190" s="43">
        <f>IF(BO190="NA","NA",BO190*CB190)</f>
        <v>0</v>
      </c>
      <c r="CD190" s="45">
        <v>0</v>
      </c>
      <c r="CE190" s="43">
        <f>(AP190*BQ190)/Q190</f>
        <v>0</v>
      </c>
      <c r="CF190" s="43" t="str">
        <f>IF(BP190="NA","NA",BP190*CE190)</f>
        <v>NA</v>
      </c>
      <c r="CG190" s="45">
        <v>0</v>
      </c>
    </row>
    <row r="191" spans="1:90" ht="18" customHeight="1">
      <c r="A191" s="260" t="s">
        <v>144</v>
      </c>
      <c r="B191" s="260" t="s">
        <v>145</v>
      </c>
      <c r="C191" s="260" t="s">
        <v>100</v>
      </c>
      <c r="D191" s="260" t="s">
        <v>1225</v>
      </c>
      <c r="E191" s="260" t="s">
        <v>1226</v>
      </c>
      <c r="F191" s="260" t="s">
        <v>2949</v>
      </c>
      <c r="G191" s="260" t="s">
        <v>2950</v>
      </c>
      <c r="H191" s="260" t="s">
        <v>1236</v>
      </c>
      <c r="I191" s="260" t="s">
        <v>200</v>
      </c>
      <c r="J191" s="260"/>
      <c r="K191" s="260" t="s">
        <v>1237</v>
      </c>
      <c r="L191" s="260" t="s">
        <v>1238</v>
      </c>
      <c r="M191" s="260" t="s">
        <v>1239</v>
      </c>
      <c r="N191" s="260" t="s">
        <v>123</v>
      </c>
      <c r="O191" s="260" t="s">
        <v>124</v>
      </c>
      <c r="P191" s="10">
        <v>0</v>
      </c>
      <c r="Q191" s="11">
        <v>100</v>
      </c>
      <c r="R191" s="11">
        <f t="shared" ref="R191:R192" si="382">(Z191+AH191)/CL191</f>
        <v>50</v>
      </c>
      <c r="S191" s="11" t="str">
        <f>VLOOKUP(K191,'1126 Desarrollo Social'!$K$13:$S$58,9,0)</f>
        <v>Encuentro de intercambio cultural indígenaCapacitación en emprendimiento con los 3 resguardos indígenasCapacitación en política y consejo de juventudesCapacitación a los tres resguardos en sistema general de regalíasAcompañamiento en la formulación de proyectos a los 4 resguardos indígenasEl personal profesional contratado para el desarrollo de actividades se realizo con el plan de desarrollo juntos podemos mas</v>
      </c>
      <c r="T191" s="11">
        <v>0</v>
      </c>
      <c r="U191" s="11">
        <v>100</v>
      </c>
      <c r="V191" s="11">
        <v>0</v>
      </c>
      <c r="W191" s="11">
        <v>100</v>
      </c>
      <c r="X191" s="11" t="s">
        <v>115</v>
      </c>
      <c r="Y191" s="11">
        <v>100</v>
      </c>
      <c r="Z191" s="11">
        <v>100</v>
      </c>
      <c r="AA191" s="11" t="s">
        <v>1240</v>
      </c>
      <c r="AB191" s="11" t="s">
        <v>1241</v>
      </c>
      <c r="AC191" s="11" t="s">
        <v>1242</v>
      </c>
      <c r="AD191" s="11">
        <v>0</v>
      </c>
      <c r="AE191" s="11">
        <v>100</v>
      </c>
      <c r="AF191" s="11">
        <f>VLOOKUP(K191,'1126 Desarrollo Social'!$K$13:$AK$58,22,0)</f>
        <v>0</v>
      </c>
      <c r="AG191" s="11">
        <f>VLOOKUP(K191,'1126 Desarrollo Social'!$K$13:$AK$58,23,0)</f>
        <v>100</v>
      </c>
      <c r="AH191" s="11">
        <f t="shared" ref="AH191:AH192" si="383">AG191</f>
        <v>100</v>
      </c>
      <c r="AI191" s="9" t="str">
        <f>VLOOKUP(K191,'1126 Desarrollo Social'!$K$13:$AK$58,25,0)</f>
        <v>encuentro de todas lac omunidades indigenas del Departamento de Cundinamarca, reconocidas por el  ministerio del Interior</v>
      </c>
      <c r="AJ191" s="9" t="str">
        <f>VLOOKUP(K191,'1126 Desarrollo Social'!$K$13:$AK$58,26,0)</f>
        <v>Planeacion y justificación de la solicitud de recurso para elaborar diagnostico y estados del arte del plan de vida indigena y continuidad cultural -encuentro intercultural de comunidades indiigenas de cuindinamarca "intercambiando saberes" 17/12/2021 en el muniicpio de facatativa parque ecologico piedra del TUNJO  (todas las 5 comunidades indigenas del departamento reconocidas por el ministerio del interior)</v>
      </c>
      <c r="AK191" s="9">
        <f>VLOOKUP(K191,'1126 Desarrollo Social'!$K$13:$AK$58,27,0)</f>
        <v>0</v>
      </c>
      <c r="AL191" s="11">
        <v>0</v>
      </c>
      <c r="AM191" s="11">
        <v>100</v>
      </c>
      <c r="AN191" s="11">
        <v>0</v>
      </c>
      <c r="AO191" s="11">
        <v>100</v>
      </c>
      <c r="AP191" s="11">
        <v>0</v>
      </c>
      <c r="AQ191" s="11">
        <v>0</v>
      </c>
      <c r="AR191" s="51">
        <v>19083333</v>
      </c>
      <c r="AS191" s="54">
        <v>0</v>
      </c>
      <c r="AT191" s="54">
        <f t="shared" si="242"/>
        <v>19083333</v>
      </c>
      <c r="AU191" s="51">
        <v>9083333</v>
      </c>
      <c r="AV191" s="89">
        <v>88756906</v>
      </c>
      <c r="AY191" s="89">
        <v>0</v>
      </c>
      <c r="AZ191" s="44" cm="1">
        <f t="array" ref="AZ191">_xlfn.IFS((BA191=0),(BD191/CL191),(BA191&gt;0),((BB191+BD191)/CL191),(BE191&gt;0),((BB191+BD191+BE191)/CL191),(BG191&gt;0),((BB191+BD191+BE191+G191)/CL191))</f>
        <v>0.5</v>
      </c>
      <c r="BA191" s="44">
        <v>0.25</v>
      </c>
      <c r="BB191" s="44">
        <v>1</v>
      </c>
      <c r="BC191" s="44">
        <f t="shared" ref="BC191:BC192" si="384">IF(AE191&gt;0,(1/CL191),0)</f>
        <v>0.25</v>
      </c>
      <c r="BD191" s="44" cm="1">
        <f t="array" ref="BD191">_xlfn.IFS(AE191=0,"NA",AE191&gt;0,AH191/AE191)</f>
        <v>1</v>
      </c>
      <c r="BE191" s="44">
        <f t="shared" ref="BE191:BE192" si="385">IF(AM191&gt;0,(1/CL191),0)</f>
        <v>0.25</v>
      </c>
      <c r="BF191" s="44">
        <v>0</v>
      </c>
      <c r="BG191" s="44">
        <f t="shared" ref="BG191:BG192" si="386">IF(AO191&gt;0,(1/CL191),0)</f>
        <v>0.25</v>
      </c>
      <c r="BH191" s="44">
        <v>0</v>
      </c>
      <c r="BI191" s="44">
        <v>0</v>
      </c>
      <c r="BJ191" s="44" t="s">
        <v>115</v>
      </c>
      <c r="BK191" s="44">
        <f t="shared" si="243"/>
        <v>0.5</v>
      </c>
      <c r="BL191" s="44">
        <v>1</v>
      </c>
      <c r="BM191" s="42" cm="1">
        <f t="array" ref="BM191">_xlfn.IFS(BD191="NA","NA",BD191&gt;100%,"100%",BD191&lt;100,BD191)</f>
        <v>1</v>
      </c>
      <c r="BN191" s="44">
        <v>0</v>
      </c>
      <c r="BO191" s="44">
        <v>0</v>
      </c>
      <c r="BP191" s="44" t="s">
        <v>115</v>
      </c>
      <c r="BQ191" s="45">
        <v>0.22500000000000001</v>
      </c>
      <c r="BR191" s="43">
        <f t="shared" si="244"/>
        <v>0.1125</v>
      </c>
      <c r="BS191" s="45">
        <v>5.6300000000000003E-2</v>
      </c>
      <c r="BT191" s="45">
        <v>5.6300000000000003E-2</v>
      </c>
      <c r="BU191" s="45">
        <v>5.6300000000000003E-2</v>
      </c>
      <c r="BV191" s="45">
        <v>5.6300000000000003E-2</v>
      </c>
      <c r="BW191" s="43">
        <f t="shared" si="245"/>
        <v>5.6300000000000003E-2</v>
      </c>
      <c r="BX191" s="43">
        <f t="shared" si="246"/>
        <v>5.62E-2</v>
      </c>
      <c r="BY191" s="45">
        <v>5.6300000000000003E-2</v>
      </c>
      <c r="BZ191" s="45">
        <v>0</v>
      </c>
      <c r="CA191" s="43">
        <f t="shared" si="247"/>
        <v>0</v>
      </c>
      <c r="CB191" s="45">
        <v>5.6300000000000003E-2</v>
      </c>
      <c r="CC191" s="45">
        <v>0</v>
      </c>
      <c r="CD191" s="45">
        <v>0</v>
      </c>
      <c r="CE191" s="45">
        <v>0</v>
      </c>
      <c r="CF191" s="45" t="s">
        <v>115</v>
      </c>
      <c r="CG191" s="45">
        <v>0</v>
      </c>
      <c r="CH191">
        <f t="shared" ref="CH191:CH192" si="387">IF(W191&gt;0,1,0)</f>
        <v>1</v>
      </c>
      <c r="CI191">
        <f t="shared" ref="CI191:CI192" si="388">IF(AE191&gt;0,1,0)</f>
        <v>1</v>
      </c>
      <c r="CJ191">
        <f t="shared" ref="CJ191:CJ192" si="389">IF(AM191&gt;0,1,0)</f>
        <v>1</v>
      </c>
      <c r="CK191">
        <f t="shared" ref="CK191:CK192" si="390">IF(AO191&gt;0,1,0)</f>
        <v>1</v>
      </c>
      <c r="CL191">
        <f t="shared" ref="CL191:CL192" si="391">CH191+CI191+CJ191+CK191</f>
        <v>4</v>
      </c>
    </row>
    <row r="192" spans="1:90" ht="18" customHeight="1">
      <c r="A192" s="260" t="s">
        <v>144</v>
      </c>
      <c r="B192" s="260" t="s">
        <v>145</v>
      </c>
      <c r="C192" s="260" t="s">
        <v>100</v>
      </c>
      <c r="D192" s="260" t="s">
        <v>1225</v>
      </c>
      <c r="E192" s="260" t="s">
        <v>1226</v>
      </c>
      <c r="F192" s="260" t="s">
        <v>2949</v>
      </c>
      <c r="G192" s="260" t="s">
        <v>2950</v>
      </c>
      <c r="H192" s="260" t="s">
        <v>1243</v>
      </c>
      <c r="I192" s="260" t="s">
        <v>1244</v>
      </c>
      <c r="J192" s="260"/>
      <c r="K192" s="260" t="s">
        <v>1245</v>
      </c>
      <c r="L192" s="260" t="s">
        <v>1246</v>
      </c>
      <c r="M192" s="260" t="s">
        <v>1247</v>
      </c>
      <c r="N192" s="260" t="s">
        <v>111</v>
      </c>
      <c r="O192" s="260" t="s">
        <v>124</v>
      </c>
      <c r="P192" s="10">
        <v>0</v>
      </c>
      <c r="Q192" s="11">
        <v>4</v>
      </c>
      <c r="R192" s="11">
        <f t="shared" si="382"/>
        <v>2</v>
      </c>
      <c r="S192" s="11" t="str">
        <f>VLOOKUP(K192,'1126 Desarrollo Social'!$K$13:$S$58,9,0)</f>
        <v>intercambio cultural de los resguardos indígenas del departamento con muestras ancestralesEl personal profesional contratado para el desarrollo de actividades se realizo con el plan de desarrollo juntos podemos mas</v>
      </c>
      <c r="T192" s="11">
        <v>0</v>
      </c>
      <c r="U192" s="11">
        <v>4</v>
      </c>
      <c r="V192" s="11">
        <v>0</v>
      </c>
      <c r="W192" s="11">
        <v>4</v>
      </c>
      <c r="X192" s="11" t="s">
        <v>115</v>
      </c>
      <c r="Y192" s="11">
        <v>4</v>
      </c>
      <c r="Z192" s="11">
        <v>4</v>
      </c>
      <c r="AA192" s="11" t="s">
        <v>1248</v>
      </c>
      <c r="AB192" s="11" t="s">
        <v>1249</v>
      </c>
      <c r="AC192" s="11" t="s">
        <v>1250</v>
      </c>
      <c r="AD192" s="11">
        <v>0</v>
      </c>
      <c r="AE192" s="11">
        <v>4</v>
      </c>
      <c r="AF192" s="11">
        <f>VLOOKUP(K192,'1126 Desarrollo Social'!$K$13:$AK$58,22,0)</f>
        <v>0</v>
      </c>
      <c r="AG192" s="11">
        <f>VLOOKUP(K192,'1126 Desarrollo Social'!$K$13:$AK$58,23,0)</f>
        <v>4</v>
      </c>
      <c r="AH192" s="11">
        <f t="shared" si="383"/>
        <v>4</v>
      </c>
      <c r="AI192" s="9">
        <f>VLOOKUP(K192,'1126 Desarrollo Social'!$K$13:$AK$58,25,0)</f>
        <v>0</v>
      </c>
      <c r="AJ192" s="9" t="str">
        <f>VLOOKUP(K192,'1126 Desarrollo Social'!$K$13:$AK$58,26,0)</f>
        <v>Celebración del mes del niño dirigido a las comunidad indígena Kichwa de Sesquile el dia 26 de abril en articulación con la Alcaldia Municipal y la Secretaria de Indeportes -1.  Encuentro intercultural de comunidades indigenas acentadas en el Deparatmento de cundinamarca que no estan reconocidas opor el ministerio en el parque Jaime Duque.
participación de NNA en el fortalecimiento en sus procesos de gobernabilidad. Niño gobernador por un dia  2. Encuentro de saberes y proceso de gobernabilidad de los pueblos indigenas reconocidos por el ministerio del interior en el Departamento de Cundinamarca.</v>
      </c>
      <c r="AK192" s="9">
        <f>VLOOKUP(K192,'1126 Desarrollo Social'!$K$13:$AK$58,27,0)</f>
        <v>0</v>
      </c>
      <c r="AL192" s="11">
        <v>0</v>
      </c>
      <c r="AM192" s="11">
        <v>4</v>
      </c>
      <c r="AN192" s="11">
        <v>0</v>
      </c>
      <c r="AO192" s="11">
        <v>4</v>
      </c>
      <c r="AP192" s="11">
        <v>0</v>
      </c>
      <c r="AQ192" s="11">
        <v>0</v>
      </c>
      <c r="AR192" s="52"/>
      <c r="AS192" s="54">
        <v>0</v>
      </c>
      <c r="AT192" s="54">
        <f t="shared" si="242"/>
        <v>0</v>
      </c>
      <c r="AU192" s="52"/>
      <c r="AV192" s="89">
        <v>20000000</v>
      </c>
      <c r="AY192" s="89">
        <v>0</v>
      </c>
      <c r="AZ192" s="44" cm="1">
        <f t="array" ref="AZ192">_xlfn.IFS((BA192=0),(BD192/CL192),(BA192&gt;0),((BB192+BD192)/CL192),(BE192&gt;0),((BB192+BD192+BE192)/CL192),(BG192&gt;0),((BB192+BD192+BE192+G192)/CL192))</f>
        <v>0.5</v>
      </c>
      <c r="BA192" s="44">
        <v>0.25</v>
      </c>
      <c r="BB192" s="44">
        <v>1</v>
      </c>
      <c r="BC192" s="44">
        <f t="shared" si="384"/>
        <v>0.25</v>
      </c>
      <c r="BD192" s="44" cm="1">
        <f t="array" ref="BD192">_xlfn.IFS(AE192=0,"NA",AE192&gt;0,AH192/AE192)</f>
        <v>1</v>
      </c>
      <c r="BE192" s="44">
        <f t="shared" si="385"/>
        <v>0.25</v>
      </c>
      <c r="BF192" s="44">
        <v>0</v>
      </c>
      <c r="BG192" s="44">
        <f t="shared" si="386"/>
        <v>0.25</v>
      </c>
      <c r="BH192" s="44">
        <v>0</v>
      </c>
      <c r="BI192" s="44">
        <v>0</v>
      </c>
      <c r="BJ192" s="44" t="s">
        <v>115</v>
      </c>
      <c r="BK192" s="44">
        <f t="shared" si="243"/>
        <v>0.5</v>
      </c>
      <c r="BL192" s="44">
        <v>1</v>
      </c>
      <c r="BM192" s="42" cm="1">
        <f t="array" ref="BM192">_xlfn.IFS(BD192="NA","NA",BD192&gt;100%,"100%",BD192&lt;100,BD192)</f>
        <v>1</v>
      </c>
      <c r="BN192" s="44">
        <v>0</v>
      </c>
      <c r="BO192" s="44">
        <v>0</v>
      </c>
      <c r="BP192" s="44" t="s">
        <v>115</v>
      </c>
      <c r="BQ192" s="45">
        <v>0.22500000000000001</v>
      </c>
      <c r="BR192" s="43">
        <f t="shared" si="244"/>
        <v>0.1125</v>
      </c>
      <c r="BS192" s="45">
        <v>5.6300000000000003E-2</v>
      </c>
      <c r="BT192" s="45">
        <v>5.6300000000000003E-2</v>
      </c>
      <c r="BU192" s="45">
        <v>5.6300000000000003E-2</v>
      </c>
      <c r="BV192" s="45">
        <v>5.6300000000000003E-2</v>
      </c>
      <c r="BW192" s="43">
        <f t="shared" si="245"/>
        <v>5.6300000000000003E-2</v>
      </c>
      <c r="BX192" s="43">
        <f t="shared" si="246"/>
        <v>5.62E-2</v>
      </c>
      <c r="BY192" s="45">
        <v>5.6300000000000003E-2</v>
      </c>
      <c r="BZ192" s="45">
        <v>0</v>
      </c>
      <c r="CA192" s="43">
        <f t="shared" si="247"/>
        <v>0</v>
      </c>
      <c r="CB192" s="45">
        <v>5.6300000000000003E-2</v>
      </c>
      <c r="CC192" s="45">
        <v>0</v>
      </c>
      <c r="CD192" s="45">
        <v>0</v>
      </c>
      <c r="CE192" s="45">
        <v>0</v>
      </c>
      <c r="CF192" s="45" t="s">
        <v>115</v>
      </c>
      <c r="CG192" s="45">
        <v>0</v>
      </c>
      <c r="CH192">
        <f t="shared" si="387"/>
        <v>1</v>
      </c>
      <c r="CI192">
        <f t="shared" si="388"/>
        <v>1</v>
      </c>
      <c r="CJ192">
        <f t="shared" si="389"/>
        <v>1</v>
      </c>
      <c r="CK192">
        <f t="shared" si="390"/>
        <v>1</v>
      </c>
      <c r="CL192">
        <f t="shared" si="391"/>
        <v>4</v>
      </c>
    </row>
    <row r="193" spans="1:90" ht="18" customHeight="1">
      <c r="A193" s="260" t="s">
        <v>144</v>
      </c>
      <c r="B193" s="260" t="s">
        <v>145</v>
      </c>
      <c r="C193" s="260" t="s">
        <v>100</v>
      </c>
      <c r="D193" s="260" t="s">
        <v>1225</v>
      </c>
      <c r="E193" s="260" t="s">
        <v>1226</v>
      </c>
      <c r="F193" s="260" t="s">
        <v>2949</v>
      </c>
      <c r="G193" s="260" t="s">
        <v>2950</v>
      </c>
      <c r="H193" s="260" t="s">
        <v>1251</v>
      </c>
      <c r="I193" s="260" t="s">
        <v>200</v>
      </c>
      <c r="J193" s="260"/>
      <c r="K193" s="260" t="s">
        <v>1252</v>
      </c>
      <c r="L193" s="260" t="s">
        <v>1253</v>
      </c>
      <c r="M193" s="260" t="s">
        <v>1254</v>
      </c>
      <c r="N193" s="260" t="s">
        <v>111</v>
      </c>
      <c r="O193" s="260" t="s">
        <v>112</v>
      </c>
      <c r="P193" s="10">
        <v>0</v>
      </c>
      <c r="Q193" s="11">
        <v>1</v>
      </c>
      <c r="R193" s="9">
        <f>Z193+AH193</f>
        <v>0.85</v>
      </c>
      <c r="S193" s="11">
        <f>VLOOKUP(K193,'1126 Desarrollo Social'!$K$13:$S$58,9,0)</f>
        <v>0</v>
      </c>
      <c r="T193" s="11">
        <v>0</v>
      </c>
      <c r="U193" s="11">
        <v>0</v>
      </c>
      <c r="V193" s="11">
        <v>0.1</v>
      </c>
      <c r="W193" s="11">
        <v>0</v>
      </c>
      <c r="X193" s="11">
        <v>0.1</v>
      </c>
      <c r="Y193" s="11">
        <v>0</v>
      </c>
      <c r="Z193" s="11">
        <v>0.1</v>
      </c>
      <c r="AA193" s="11">
        <v>0</v>
      </c>
      <c r="AB193" s="11" t="s">
        <v>1255</v>
      </c>
      <c r="AC193" s="11">
        <v>0</v>
      </c>
      <c r="AD193" s="11">
        <v>0.1</v>
      </c>
      <c r="AE193" s="11">
        <v>0</v>
      </c>
      <c r="AF193" s="11">
        <f>VLOOKUP(K193,'1126 Desarrollo Social'!$K$13:$AK$58,22,0)</f>
        <v>0.75</v>
      </c>
      <c r="AG193" s="11">
        <f>VLOOKUP(K193,'1126 Desarrollo Social'!$K$13:$AK$58,23,0)</f>
        <v>0</v>
      </c>
      <c r="AH193" s="9">
        <f>AF193</f>
        <v>0.75</v>
      </c>
      <c r="AI193" s="9">
        <f>VLOOKUP(K193,'1126 Desarrollo Social'!$K$13:$AK$58,25,0)</f>
        <v>0</v>
      </c>
      <c r="AJ193" s="9" t="str">
        <f>VLOOKUP(K193,'1126 Desarrollo Social'!$K$13:$AK$58,26,0)</f>
        <v>firma de convenio con la alcaldia de Chía y la RAPE regíon Cental para la ejecucion de la adecuacion de la maloKa - se Firmó el convenio interadministrativo entre la Alcaldia de Chia y La RAPE.</v>
      </c>
      <c r="AK193" s="9">
        <f>VLOOKUP(K193,'1126 Desarrollo Social'!$K$13:$AK$58,27,0)</f>
        <v>0</v>
      </c>
      <c r="AL193" s="11">
        <v>0.8</v>
      </c>
      <c r="AM193" s="11">
        <v>0</v>
      </c>
      <c r="AN193" s="11">
        <v>0</v>
      </c>
      <c r="AO193" s="11">
        <v>0</v>
      </c>
      <c r="AP193" s="11">
        <v>0</v>
      </c>
      <c r="AQ193" s="11">
        <v>0</v>
      </c>
      <c r="AR193" s="52"/>
      <c r="AS193" s="54">
        <v>5000000</v>
      </c>
      <c r="AT193" s="54">
        <f t="shared" si="242"/>
        <v>5000000</v>
      </c>
      <c r="AU193" s="52"/>
      <c r="AV193" s="89">
        <v>117513811</v>
      </c>
      <c r="AY193" s="89">
        <v>0</v>
      </c>
      <c r="AZ193" s="42">
        <f t="shared" ref="AZ193" si="392">R193/Q193</f>
        <v>0.85</v>
      </c>
      <c r="BA193" s="44">
        <v>0.1</v>
      </c>
      <c r="BB193" s="44">
        <v>1</v>
      </c>
      <c r="BC193" s="42">
        <f>AD193/Q193</f>
        <v>0.1</v>
      </c>
      <c r="BD193" s="42" cm="1">
        <f t="array" ref="BD193">_xlfn.IFS(AD193=0,"NA",AD193&gt;0,AH193/AD193)</f>
        <v>7.5</v>
      </c>
      <c r="BE193" s="42">
        <f>AL193/Q193</f>
        <v>0.8</v>
      </c>
      <c r="BF193" s="44">
        <v>0</v>
      </c>
      <c r="BG193" s="42">
        <f>AN193/Q193</f>
        <v>0</v>
      </c>
      <c r="BH193" s="44" t="s">
        <v>115</v>
      </c>
      <c r="BI193" s="42">
        <f>AP193/Q193</f>
        <v>0</v>
      </c>
      <c r="BJ193" s="44" t="s">
        <v>115</v>
      </c>
      <c r="BK193" s="42">
        <f t="shared" si="243"/>
        <v>0.85</v>
      </c>
      <c r="BL193" s="44">
        <v>1</v>
      </c>
      <c r="BM193" s="42" t="str" cm="1">
        <f t="array" ref="BM193">_xlfn.IFS(BD193="NA","NA",BD193&gt;100%,"100%",BD193&lt;100,BD193)</f>
        <v>100%</v>
      </c>
      <c r="BN193" s="42" cm="1">
        <f t="array" ref="BN193">_xlfn.IFS(BF193="NA","NA",BF193&gt;100%,"100%",BF193&lt;100,BF193)</f>
        <v>0</v>
      </c>
      <c r="BO193" s="42" t="str" cm="1">
        <f t="array" ref="BO193">_xlfn.IFS(BH193="NA","NA",BH193&gt;100%,"100%",BH193&lt;100,BH193)</f>
        <v>NA</v>
      </c>
      <c r="BP193" s="42" t="str" cm="1">
        <f t="array" ref="BP193">_xlfn.IFS(BJ193="NA","NA",BJ193&gt;100%,"100%",BJ193&lt;100,BJ193)</f>
        <v>NA</v>
      </c>
      <c r="BQ193" s="45">
        <v>0.22500000000000001</v>
      </c>
      <c r="BR193" s="43">
        <f t="shared" si="244"/>
        <v>0.19125</v>
      </c>
      <c r="BS193" s="45">
        <v>2.2499999999999999E-2</v>
      </c>
      <c r="BT193" s="45">
        <v>2.2499999999999999E-2</v>
      </c>
      <c r="BU193" s="45">
        <v>2.2499999999999999E-2</v>
      </c>
      <c r="BV193" s="43">
        <f>(AD193*BQ193)/Q193</f>
        <v>2.2500000000000003E-2</v>
      </c>
      <c r="BW193" s="43">
        <f t="shared" si="245"/>
        <v>2.2500000000000003E-2</v>
      </c>
      <c r="BX193" s="43">
        <f t="shared" si="246"/>
        <v>0.16875000000000001</v>
      </c>
      <c r="BY193" s="43">
        <f>(AL193*BQ193)/Q193</f>
        <v>0.18000000000000002</v>
      </c>
      <c r="BZ193" s="43">
        <f>IF(BN193="NA","NA",BN193*BY193)</f>
        <v>0</v>
      </c>
      <c r="CA193" s="43">
        <f t="shared" si="247"/>
        <v>0</v>
      </c>
      <c r="CB193" s="43">
        <f>(AN193*BQ193)/Q193</f>
        <v>0</v>
      </c>
      <c r="CC193" s="43" t="str">
        <f>IF(BO193="NA","NA",BO193*CB193)</f>
        <v>NA</v>
      </c>
      <c r="CD193" s="45">
        <v>0</v>
      </c>
      <c r="CE193" s="43">
        <f>(AP193*BQ193)/Q193</f>
        <v>0</v>
      </c>
      <c r="CF193" s="43" t="str">
        <f>IF(BP193="NA","NA",BP193*CE193)</f>
        <v>NA</v>
      </c>
      <c r="CG193" s="45">
        <v>0</v>
      </c>
    </row>
    <row r="194" spans="1:90" ht="18" customHeight="1">
      <c r="A194" s="260" t="s">
        <v>144</v>
      </c>
      <c r="B194" s="260" t="s">
        <v>145</v>
      </c>
      <c r="C194" s="260" t="s">
        <v>100</v>
      </c>
      <c r="D194" s="260" t="s">
        <v>1225</v>
      </c>
      <c r="E194" s="260" t="s">
        <v>1256</v>
      </c>
      <c r="F194" s="260" t="s">
        <v>2951</v>
      </c>
      <c r="G194" s="260" t="s">
        <v>2952</v>
      </c>
      <c r="H194" s="260" t="s">
        <v>1259</v>
      </c>
      <c r="I194" s="260" t="s">
        <v>677</v>
      </c>
      <c r="J194" s="260"/>
      <c r="K194" s="260" t="s">
        <v>1260</v>
      </c>
      <c r="L194" s="260" t="s">
        <v>1261</v>
      </c>
      <c r="M194" s="260" t="s">
        <v>1262</v>
      </c>
      <c r="N194" s="260" t="s">
        <v>111</v>
      </c>
      <c r="O194" s="260" t="s">
        <v>124</v>
      </c>
      <c r="P194" s="10">
        <v>8</v>
      </c>
      <c r="Q194" s="11">
        <v>8</v>
      </c>
      <c r="R194" s="11">
        <f>(Z194+AH194)/CL194</f>
        <v>13.5</v>
      </c>
      <c r="S194" s="11" t="str">
        <f>VLOOKUP(K194,'1126 Desarrollo Social'!$K$13:$S$58,9,0)</f>
        <v>Formación de 100 integrantes dela comunidad NARP pertinentes a 9 municipios.Encuentro de la conmemoración de la mujer NARP</v>
      </c>
      <c r="T194" s="11">
        <v>0</v>
      </c>
      <c r="U194" s="11">
        <v>8</v>
      </c>
      <c r="V194" s="11">
        <v>0</v>
      </c>
      <c r="W194" s="11">
        <v>8</v>
      </c>
      <c r="X194" s="11" t="s">
        <v>115</v>
      </c>
      <c r="Y194" s="11">
        <v>46</v>
      </c>
      <c r="Z194" s="11">
        <v>46</v>
      </c>
      <c r="AA194" s="11" t="s">
        <v>1263</v>
      </c>
      <c r="AB194" s="11" t="s">
        <v>1264</v>
      </c>
      <c r="AC194" s="11" t="s">
        <v>1265</v>
      </c>
      <c r="AD194" s="11">
        <v>0</v>
      </c>
      <c r="AE194" s="11">
        <v>8</v>
      </c>
      <c r="AF194" s="11">
        <f>VLOOKUP(K194,'1126 Desarrollo Social'!$K$13:$AK$58,22,0)</f>
        <v>0</v>
      </c>
      <c r="AG194" s="11">
        <f>VLOOKUP(K194,'1126 Desarrollo Social'!$K$13:$AK$58,23,0)</f>
        <v>8</v>
      </c>
      <c r="AH194" s="11">
        <f>AG194</f>
        <v>8</v>
      </c>
      <c r="AI194" s="9">
        <f>VLOOKUP(K194,'1126 Desarrollo Social'!$K$13:$AK$58,25,0)</f>
        <v>0</v>
      </c>
      <c r="AJ194" s="9" t="str">
        <f>VLOOKUP(K194,'1126 Desarrollo Social'!$K$13:$AK$58,26,0)</f>
        <v>Articulación  y apoyo sobre la conmemoración del dia de la Afrocolombianidad con los 116 municipios. Articulación  y apoyo a la Secretaria de Educación y el Ministerio de Educación sobre Etnoeducación y cátedras de estudios Afrocolombianos. Articulación  y apoyo con   la Secretaria de Mujer y Género sobre conversatorio de Mujeres Aftro Exitosas.</v>
      </c>
      <c r="AK194" s="9">
        <f>VLOOKUP(K194,'1126 Desarrollo Social'!$K$13:$AK$58,27,0)</f>
        <v>0</v>
      </c>
      <c r="AL194" s="11">
        <v>0</v>
      </c>
      <c r="AM194" s="11">
        <v>8</v>
      </c>
      <c r="AN194" s="11">
        <v>0</v>
      </c>
      <c r="AO194" s="11">
        <v>8</v>
      </c>
      <c r="AP194" s="11">
        <v>0</v>
      </c>
      <c r="AQ194" s="11">
        <v>0</v>
      </c>
      <c r="AR194" s="51">
        <v>25954000</v>
      </c>
      <c r="AS194" s="54">
        <v>0</v>
      </c>
      <c r="AT194" s="54">
        <f t="shared" si="242"/>
        <v>25954000</v>
      </c>
      <c r="AU194" s="51">
        <v>25954000</v>
      </c>
      <c r="AV194" s="89">
        <v>11005525</v>
      </c>
      <c r="AY194" s="89">
        <v>0</v>
      </c>
      <c r="AZ194" s="44" cm="1">
        <f t="array" ref="AZ194">_xlfn.IFS((BA194=0),(BD194/CL194),(BA194&gt;0),((BB194+BD194)/CL194),(BE194&gt;0),((BB194+BD194+BE194)/CL194),(BG194&gt;0),((BB194+BD194+BE194+G194)/CL194))</f>
        <v>1.6875</v>
      </c>
      <c r="BA194" s="44">
        <v>0.25</v>
      </c>
      <c r="BB194" s="44">
        <v>5.75</v>
      </c>
      <c r="BC194" s="44">
        <f>IF(AE194&gt;0,(1/CL194),0)</f>
        <v>0.25</v>
      </c>
      <c r="BD194" s="44" cm="1">
        <f t="array" ref="BD194">_xlfn.IFS(AE194=0,"NA",AE194&gt;0,AH194/AE194)</f>
        <v>1</v>
      </c>
      <c r="BE194" s="44">
        <f>IF(AM194&gt;0,(1/CL194),0)</f>
        <v>0.25</v>
      </c>
      <c r="BF194" s="44">
        <v>0</v>
      </c>
      <c r="BG194" s="44">
        <f>IF(AO194&gt;0,(1/CL194),0)</f>
        <v>0.25</v>
      </c>
      <c r="BH194" s="44">
        <v>0</v>
      </c>
      <c r="BI194" s="44">
        <v>0</v>
      </c>
      <c r="BJ194" s="44" t="s">
        <v>115</v>
      </c>
      <c r="BK194" s="44" t="str">
        <f t="shared" si="243"/>
        <v>100%</v>
      </c>
      <c r="BL194" s="44">
        <v>1</v>
      </c>
      <c r="BM194" s="42" cm="1">
        <f t="array" ref="BM194">_xlfn.IFS(BD194="NA","NA",BD194&gt;100%,"100%",BD194&lt;100,BD194)</f>
        <v>1</v>
      </c>
      <c r="BN194" s="44">
        <v>0</v>
      </c>
      <c r="BO194" s="44">
        <v>0</v>
      </c>
      <c r="BP194" s="44" t="s">
        <v>115</v>
      </c>
      <c r="BQ194" s="45">
        <v>0.22500000000000001</v>
      </c>
      <c r="BR194" s="43">
        <f t="shared" si="244"/>
        <v>0.22500000000000001</v>
      </c>
      <c r="BS194" s="45">
        <v>5.6300000000000003E-2</v>
      </c>
      <c r="BT194" s="45">
        <v>5.6300000000000003E-2</v>
      </c>
      <c r="BU194" s="45">
        <v>5.6300000000000003E-2</v>
      </c>
      <c r="BV194" s="45">
        <v>5.6300000000000003E-2</v>
      </c>
      <c r="BW194" s="43">
        <f t="shared" si="245"/>
        <v>5.6300000000000003E-2</v>
      </c>
      <c r="BX194" s="43">
        <f t="shared" si="246"/>
        <v>0.16870000000000002</v>
      </c>
      <c r="BY194" s="45">
        <v>5.6300000000000003E-2</v>
      </c>
      <c r="BZ194" s="45">
        <v>0</v>
      </c>
      <c r="CA194" s="43">
        <f t="shared" si="247"/>
        <v>0</v>
      </c>
      <c r="CB194" s="45">
        <v>5.6300000000000003E-2</v>
      </c>
      <c r="CC194" s="45">
        <v>0</v>
      </c>
      <c r="CD194" s="45">
        <v>0</v>
      </c>
      <c r="CE194" s="45">
        <v>0</v>
      </c>
      <c r="CF194" s="45" t="s">
        <v>115</v>
      </c>
      <c r="CG194" s="45">
        <v>0</v>
      </c>
      <c r="CH194">
        <f>IF(W194&gt;0,1,0)</f>
        <v>1</v>
      </c>
      <c r="CI194">
        <f>IF(AE194&gt;0,1,0)</f>
        <v>1</v>
      </c>
      <c r="CJ194">
        <f>IF(AM194&gt;0,1,0)</f>
        <v>1</v>
      </c>
      <c r="CK194">
        <f>IF(AO194&gt;0,1,0)</f>
        <v>1</v>
      </c>
      <c r="CL194">
        <f>CH194+CI194+CJ194+CK194</f>
        <v>4</v>
      </c>
    </row>
    <row r="195" spans="1:90" ht="18" customHeight="1">
      <c r="A195" s="260" t="s">
        <v>144</v>
      </c>
      <c r="B195" s="260" t="s">
        <v>145</v>
      </c>
      <c r="C195" s="260" t="s">
        <v>100</v>
      </c>
      <c r="D195" s="260" t="s">
        <v>1225</v>
      </c>
      <c r="E195" s="260" t="s">
        <v>1256</v>
      </c>
      <c r="F195" s="260" t="s">
        <v>2951</v>
      </c>
      <c r="G195" s="260" t="s">
        <v>2952</v>
      </c>
      <c r="H195" s="260" t="s">
        <v>1266</v>
      </c>
      <c r="I195" s="260" t="s">
        <v>165</v>
      </c>
      <c r="J195" s="260"/>
      <c r="K195" s="260" t="s">
        <v>1267</v>
      </c>
      <c r="L195" s="260" t="s">
        <v>1268</v>
      </c>
      <c r="M195" s="260" t="s">
        <v>1269</v>
      </c>
      <c r="N195" s="260" t="s">
        <v>111</v>
      </c>
      <c r="O195" s="260" t="s">
        <v>112</v>
      </c>
      <c r="P195" s="10">
        <v>8</v>
      </c>
      <c r="Q195" s="11">
        <v>8</v>
      </c>
      <c r="R195" s="9">
        <f t="shared" ref="R195:R222" si="393">Z195+AH195</f>
        <v>0.5</v>
      </c>
      <c r="S195" s="11" t="str">
        <f>VLOOKUP(K195,'1126 Desarrollo Social'!$K$13:$S$58,9,0)</f>
        <v>Encuentros con las delegaciones afro para delimitar el tipo de proyecto productivo, los beneficiarios y la necesidad de formación</v>
      </c>
      <c r="T195" s="11">
        <v>1</v>
      </c>
      <c r="U195" s="11">
        <v>0</v>
      </c>
      <c r="V195" s="11">
        <v>1</v>
      </c>
      <c r="W195" s="11">
        <v>0</v>
      </c>
      <c r="X195" s="11">
        <v>0.5</v>
      </c>
      <c r="Y195" s="11">
        <v>0</v>
      </c>
      <c r="Z195" s="11">
        <v>0.5</v>
      </c>
      <c r="AA195" s="11" t="s">
        <v>1270</v>
      </c>
      <c r="AB195" s="11" t="s">
        <v>1271</v>
      </c>
      <c r="AC195" s="11">
        <v>0</v>
      </c>
      <c r="AD195" s="11">
        <v>2.5</v>
      </c>
      <c r="AE195" s="11">
        <v>0</v>
      </c>
      <c r="AF195" s="11">
        <f>VLOOKUP(K195,'1126 Desarrollo Social'!$K$13:$AK$58,22,0)</f>
        <v>0</v>
      </c>
      <c r="AG195" s="11">
        <f>VLOOKUP(K195,'1126 Desarrollo Social'!$K$13:$AK$58,23,0)</f>
        <v>0</v>
      </c>
      <c r="AH195" s="9">
        <f t="shared" ref="AH195:AH222" si="394">AF195</f>
        <v>0</v>
      </c>
      <c r="AI195" s="9">
        <f>VLOOKUP(K195,'1126 Desarrollo Social'!$K$13:$AK$58,25,0)</f>
        <v>0</v>
      </c>
      <c r="AJ195" s="9" t="str">
        <f>VLOOKUP(K195,'1126 Desarrollo Social'!$K$13:$AK$58,26,0)</f>
        <v>Se ecuentra en proceso de registro presupuestal la contratación de los elemntos de apoyo a los proyectos productivos</v>
      </c>
      <c r="AK195" s="9">
        <f>VLOOKUP(K195,'1126 Desarrollo Social'!$K$13:$AK$58,27,0)</f>
        <v>0</v>
      </c>
      <c r="AL195" s="11">
        <v>3</v>
      </c>
      <c r="AM195" s="11">
        <v>0</v>
      </c>
      <c r="AN195" s="11">
        <v>2</v>
      </c>
      <c r="AO195" s="11">
        <v>0</v>
      </c>
      <c r="AP195" s="11">
        <v>0</v>
      </c>
      <c r="AQ195" s="11">
        <v>0</v>
      </c>
      <c r="AR195" s="51">
        <v>17808000</v>
      </c>
      <c r="AS195" s="54">
        <v>0</v>
      </c>
      <c r="AT195" s="54">
        <f t="shared" si="242"/>
        <v>17808000</v>
      </c>
      <c r="AU195" s="51">
        <v>0</v>
      </c>
      <c r="AV195" s="89">
        <v>30000000</v>
      </c>
      <c r="AY195" s="89">
        <v>0</v>
      </c>
      <c r="AZ195" s="42">
        <f t="shared" ref="AZ195:AZ222" si="395">R195/Q195</f>
        <v>6.25E-2</v>
      </c>
      <c r="BA195" s="44">
        <v>0.125</v>
      </c>
      <c r="BB195" s="44">
        <v>0.5</v>
      </c>
      <c r="BC195" s="42">
        <f t="shared" ref="BC195:BC222" si="396">AD195/Q195</f>
        <v>0.3125</v>
      </c>
      <c r="BD195" s="42" cm="1">
        <f t="array" ref="BD195">_xlfn.IFS(AD195=0,"NA",AD195&gt;0,AH195/AD195)</f>
        <v>0</v>
      </c>
      <c r="BE195" s="42">
        <f t="shared" ref="BE195:BE222" si="397">AL195/Q195</f>
        <v>0.375</v>
      </c>
      <c r="BF195" s="44">
        <v>0</v>
      </c>
      <c r="BG195" s="42">
        <f t="shared" ref="BG195:BG222" si="398">AN195/Q195</f>
        <v>0.25</v>
      </c>
      <c r="BH195" s="44">
        <v>0</v>
      </c>
      <c r="BI195" s="42">
        <f t="shared" ref="BI195:BI222" si="399">AP195/Q195</f>
        <v>0</v>
      </c>
      <c r="BJ195" s="44" t="s">
        <v>115</v>
      </c>
      <c r="BK195" s="42">
        <f t="shared" si="243"/>
        <v>6.25E-2</v>
      </c>
      <c r="BL195" s="44">
        <v>0.5</v>
      </c>
      <c r="BM195" s="42" cm="1">
        <f t="array" ref="BM195">_xlfn.IFS(BD195="NA","NA",BD195&gt;100%,"100%",BD195&lt;100,BD195)</f>
        <v>0</v>
      </c>
      <c r="BN195" s="42" cm="1">
        <f t="array" ref="BN195">_xlfn.IFS(BF195="NA","NA",BF195&gt;100%,"100%",BF195&lt;100,BF195)</f>
        <v>0</v>
      </c>
      <c r="BO195" s="42" cm="1">
        <f t="array" ref="BO195">_xlfn.IFS(BH195="NA","NA",BH195&gt;100%,"100%",BH195&lt;100,BH195)</f>
        <v>0</v>
      </c>
      <c r="BP195" s="42" t="str" cm="1">
        <f t="array" ref="BP195">_xlfn.IFS(BJ195="NA","NA",BJ195&gt;100%,"100%",BJ195&lt;100,BJ195)</f>
        <v>NA</v>
      </c>
      <c r="BQ195" s="45">
        <v>0.22500000000000001</v>
      </c>
      <c r="BR195" s="43">
        <f t="shared" si="244"/>
        <v>1.40625E-2</v>
      </c>
      <c r="BS195" s="45">
        <v>2.81E-2</v>
      </c>
      <c r="BT195" s="45">
        <v>1.41E-2</v>
      </c>
      <c r="BU195" s="45">
        <v>1.41E-2</v>
      </c>
      <c r="BV195" s="43">
        <f t="shared" ref="BV195:BV222" si="400">(AD195*BQ195)/Q195</f>
        <v>7.03125E-2</v>
      </c>
      <c r="BW195" s="43">
        <f t="shared" si="245"/>
        <v>0</v>
      </c>
      <c r="BX195" s="43">
        <f t="shared" si="246"/>
        <v>-3.7499999999999339E-5</v>
      </c>
      <c r="BY195" s="43">
        <f t="shared" ref="BY195:BY222" si="401">(AL195*BQ195)/Q195</f>
        <v>8.4375000000000006E-2</v>
      </c>
      <c r="BZ195" s="43">
        <f t="shared" ref="BZ195:BZ222" si="402">IF(BN195="NA","NA",BN195*BY195)</f>
        <v>0</v>
      </c>
      <c r="CA195" s="43">
        <f t="shared" si="247"/>
        <v>0</v>
      </c>
      <c r="CB195" s="43">
        <f t="shared" ref="CB195:CB222" si="403">(AN195*BQ195)/Q195</f>
        <v>5.6250000000000001E-2</v>
      </c>
      <c r="CC195" s="43">
        <f t="shared" ref="CC195:CC222" si="404">IF(BO195="NA","NA",BO195*CB195)</f>
        <v>0</v>
      </c>
      <c r="CD195" s="45">
        <v>0</v>
      </c>
      <c r="CE195" s="43">
        <f t="shared" ref="CE195:CE222" si="405">(AP195*BQ195)/Q195</f>
        <v>0</v>
      </c>
      <c r="CF195" s="43" t="str">
        <f t="shared" ref="CF195:CF222" si="406">IF(BP195="NA","NA",BP195*CE195)</f>
        <v>NA</v>
      </c>
      <c r="CG195" s="45">
        <v>0</v>
      </c>
    </row>
    <row r="196" spans="1:90" ht="18" customHeight="1">
      <c r="A196" s="260" t="s">
        <v>144</v>
      </c>
      <c r="B196" s="260" t="s">
        <v>145</v>
      </c>
      <c r="C196" s="260" t="s">
        <v>100</v>
      </c>
      <c r="D196" s="260" t="s">
        <v>1225</v>
      </c>
      <c r="E196" s="260" t="s">
        <v>1272</v>
      </c>
      <c r="F196" s="260" t="s">
        <v>2953</v>
      </c>
      <c r="G196" s="260" t="s">
        <v>2954</v>
      </c>
      <c r="H196" s="260" t="s">
        <v>1275</v>
      </c>
      <c r="I196" s="260" t="s">
        <v>165</v>
      </c>
      <c r="J196" s="260"/>
      <c r="K196" s="260" t="s">
        <v>1276</v>
      </c>
      <c r="L196" s="260" t="s">
        <v>1277</v>
      </c>
      <c r="M196" s="260" t="s">
        <v>1278</v>
      </c>
      <c r="N196" s="260" t="s">
        <v>111</v>
      </c>
      <c r="O196" s="260" t="s">
        <v>112</v>
      </c>
      <c r="P196" s="10">
        <v>0</v>
      </c>
      <c r="Q196" s="11">
        <v>2</v>
      </c>
      <c r="R196" s="9">
        <f t="shared" si="393"/>
        <v>0.7</v>
      </c>
      <c r="S196" s="11" t="str">
        <f>VLOOKUP(K196,'1126 Desarrollo Social'!$K$13:$S$58,9,0)</f>
        <v>Capacitación en la presentación de proyectos productivos</v>
      </c>
      <c r="T196" s="11">
        <v>0.1</v>
      </c>
      <c r="U196" s="11">
        <v>0</v>
      </c>
      <c r="V196" s="11">
        <v>1</v>
      </c>
      <c r="W196" s="11">
        <v>0</v>
      </c>
      <c r="X196" s="11">
        <v>0.6</v>
      </c>
      <c r="Y196" s="11">
        <v>0</v>
      </c>
      <c r="Z196" s="11">
        <v>0.6</v>
      </c>
      <c r="AA196" s="11" t="s">
        <v>1279</v>
      </c>
      <c r="AB196" s="11" t="s">
        <v>1280</v>
      </c>
      <c r="AC196" s="11">
        <v>0</v>
      </c>
      <c r="AD196" s="11">
        <v>0.4</v>
      </c>
      <c r="AE196" s="11">
        <v>0</v>
      </c>
      <c r="AF196" s="11">
        <f>VLOOKUP(K196,'1126 Desarrollo Social'!$K$13:$AK$58,22,0)</f>
        <v>0.1</v>
      </c>
      <c r="AG196" s="11">
        <f>VLOOKUP(K196,'1126 Desarrollo Social'!$K$13:$AK$58,23,0)</f>
        <v>0</v>
      </c>
      <c r="AH196" s="9">
        <f t="shared" si="394"/>
        <v>0.1</v>
      </c>
      <c r="AI196" s="9">
        <f>VLOOKUP(K196,'1126 Desarrollo Social'!$K$13:$AK$58,25,0)</f>
        <v>0</v>
      </c>
      <c r="AJ196" s="9" t="str">
        <f>VLOOKUP(K196,'1126 Desarrollo Social'!$K$13:$AK$58,26,0)</f>
        <v>Se ecuentra en proceso de registro presupuestal la contratación de los elemntos de apoyo a los proyectos productivos</v>
      </c>
      <c r="AK196" s="9">
        <f>VLOOKUP(K196,'1126 Desarrollo Social'!$K$13:$AK$58,27,0)</f>
        <v>0</v>
      </c>
      <c r="AL196" s="11">
        <v>1</v>
      </c>
      <c r="AM196" s="11">
        <v>0</v>
      </c>
      <c r="AN196" s="11">
        <v>0</v>
      </c>
      <c r="AO196" s="11">
        <v>0</v>
      </c>
      <c r="AP196" s="11">
        <v>0</v>
      </c>
      <c r="AQ196" s="11">
        <v>0</v>
      </c>
      <c r="AR196" s="51">
        <v>9052000</v>
      </c>
      <c r="AS196" s="54">
        <v>0</v>
      </c>
      <c r="AT196" s="54">
        <f t="shared" si="242"/>
        <v>9052000</v>
      </c>
      <c r="AU196" s="51">
        <v>0</v>
      </c>
      <c r="AV196" s="89">
        <v>14127072</v>
      </c>
      <c r="AY196" s="89">
        <v>0</v>
      </c>
      <c r="AZ196" s="42">
        <f t="shared" si="395"/>
        <v>0.35</v>
      </c>
      <c r="BA196" s="44">
        <v>0.5</v>
      </c>
      <c r="BB196" s="44">
        <v>0.6</v>
      </c>
      <c r="BC196" s="42">
        <f t="shared" si="396"/>
        <v>0.2</v>
      </c>
      <c r="BD196" s="42" cm="1">
        <f t="array" ref="BD196">_xlfn.IFS(AD196=0,"NA",AD196&gt;0,AH196/AD196)</f>
        <v>0.25</v>
      </c>
      <c r="BE196" s="42">
        <f t="shared" si="397"/>
        <v>0.5</v>
      </c>
      <c r="BF196" s="44">
        <v>0</v>
      </c>
      <c r="BG196" s="42">
        <f t="shared" si="398"/>
        <v>0</v>
      </c>
      <c r="BH196" s="44" t="s">
        <v>115</v>
      </c>
      <c r="BI196" s="42">
        <f t="shared" si="399"/>
        <v>0</v>
      </c>
      <c r="BJ196" s="44" t="s">
        <v>115</v>
      </c>
      <c r="BK196" s="42">
        <f t="shared" si="243"/>
        <v>0.35</v>
      </c>
      <c r="BL196" s="44">
        <v>0.6</v>
      </c>
      <c r="BM196" s="42" cm="1">
        <f t="array" ref="BM196">_xlfn.IFS(BD196="NA","NA",BD196&gt;100%,"100%",BD196&lt;100,BD196)</f>
        <v>0.25</v>
      </c>
      <c r="BN196" s="42" cm="1">
        <f t="array" ref="BN196">_xlfn.IFS(BF196="NA","NA",BF196&gt;100%,"100%",BF196&lt;100,BF196)</f>
        <v>0</v>
      </c>
      <c r="BO196" s="42" t="str" cm="1">
        <f t="array" ref="BO196">_xlfn.IFS(BH196="NA","NA",BH196&gt;100%,"100%",BH196&lt;100,BH196)</f>
        <v>NA</v>
      </c>
      <c r="BP196" s="42" t="str" cm="1">
        <f t="array" ref="BP196">_xlfn.IFS(BJ196="NA","NA",BJ196&gt;100%,"100%",BJ196&lt;100,BJ196)</f>
        <v>NA</v>
      </c>
      <c r="BQ196" s="45">
        <v>0.22500000000000001</v>
      </c>
      <c r="BR196" s="43">
        <f t="shared" si="244"/>
        <v>7.8750000000000001E-2</v>
      </c>
      <c r="BS196" s="45">
        <v>0.1125</v>
      </c>
      <c r="BT196" s="45">
        <v>6.7500000000000004E-2</v>
      </c>
      <c r="BU196" s="45">
        <v>6.7500000000000004E-2</v>
      </c>
      <c r="BV196" s="43">
        <f t="shared" si="400"/>
        <v>4.5000000000000005E-2</v>
      </c>
      <c r="BW196" s="43">
        <f t="shared" si="245"/>
        <v>1.1250000000000001E-2</v>
      </c>
      <c r="BX196" s="43">
        <f t="shared" si="246"/>
        <v>1.1249999999999996E-2</v>
      </c>
      <c r="BY196" s="43">
        <f t="shared" si="401"/>
        <v>0.1125</v>
      </c>
      <c r="BZ196" s="43">
        <f t="shared" si="402"/>
        <v>0</v>
      </c>
      <c r="CA196" s="43">
        <f t="shared" si="247"/>
        <v>0</v>
      </c>
      <c r="CB196" s="43">
        <f t="shared" si="403"/>
        <v>0</v>
      </c>
      <c r="CC196" s="43" t="str">
        <f t="shared" si="404"/>
        <v>NA</v>
      </c>
      <c r="CD196" s="45">
        <v>0</v>
      </c>
      <c r="CE196" s="43">
        <f t="shared" si="405"/>
        <v>0</v>
      </c>
      <c r="CF196" s="43" t="str">
        <f t="shared" si="406"/>
        <v>NA</v>
      </c>
      <c r="CG196" s="45">
        <v>0</v>
      </c>
    </row>
    <row r="197" spans="1:90" ht="18" customHeight="1">
      <c r="A197" s="260" t="s">
        <v>144</v>
      </c>
      <c r="B197" s="260" t="s">
        <v>145</v>
      </c>
      <c r="C197" s="260" t="s">
        <v>100</v>
      </c>
      <c r="D197" s="260" t="s">
        <v>1225</v>
      </c>
      <c r="E197" s="260" t="s">
        <v>1272</v>
      </c>
      <c r="F197" s="260" t="s">
        <v>2953</v>
      </c>
      <c r="G197" s="260" t="s">
        <v>2954</v>
      </c>
      <c r="H197" s="260" t="s">
        <v>1281</v>
      </c>
      <c r="I197" s="260" t="s">
        <v>677</v>
      </c>
      <c r="J197" s="260"/>
      <c r="K197" s="260" t="s">
        <v>1282</v>
      </c>
      <c r="L197" s="260" t="s">
        <v>1283</v>
      </c>
      <c r="M197" s="260" t="s">
        <v>1284</v>
      </c>
      <c r="N197" s="260" t="s">
        <v>111</v>
      </c>
      <c r="O197" s="260" t="s">
        <v>112</v>
      </c>
      <c r="P197" s="10">
        <v>0</v>
      </c>
      <c r="Q197" s="11">
        <v>4</v>
      </c>
      <c r="R197" s="9">
        <f t="shared" si="393"/>
        <v>2</v>
      </c>
      <c r="S197" s="11" t="str">
        <f>VLOOKUP(K197,'1126 Desarrollo Social'!$K$13:$S$58,9,0)</f>
        <v>Capacitación en la articulación de acciones culturales junto con el ministerio del interior</v>
      </c>
      <c r="T197" s="11">
        <v>1</v>
      </c>
      <c r="U197" s="11">
        <v>0</v>
      </c>
      <c r="V197" s="11">
        <v>0</v>
      </c>
      <c r="W197" s="11">
        <v>0</v>
      </c>
      <c r="X197" s="11">
        <v>0</v>
      </c>
      <c r="Y197" s="11">
        <v>0</v>
      </c>
      <c r="Z197" s="11">
        <v>0</v>
      </c>
      <c r="AA197" s="11">
        <v>0</v>
      </c>
      <c r="AB197" s="11" t="s">
        <v>1285</v>
      </c>
      <c r="AC197" s="11">
        <v>0</v>
      </c>
      <c r="AD197" s="11">
        <v>2</v>
      </c>
      <c r="AE197" s="11">
        <v>0</v>
      </c>
      <c r="AF197" s="11">
        <f>VLOOKUP(K197,'1126 Desarrollo Social'!$K$13:$AK$58,22,0)</f>
        <v>2</v>
      </c>
      <c r="AG197" s="11">
        <f>VLOOKUP(K197,'1126 Desarrollo Social'!$K$13:$AK$58,23,0)</f>
        <v>0</v>
      </c>
      <c r="AH197" s="9">
        <f t="shared" si="394"/>
        <v>2</v>
      </c>
      <c r="AI197" s="9">
        <f>VLOOKUP(K197,'1126 Desarrollo Social'!$K$13:$AK$58,25,0)</f>
        <v>0</v>
      </c>
      <c r="AJ197" s="9" t="str">
        <f>VLOOKUP(K197,'1126 Desarrollo Social'!$K$13:$AK$58,26,0)</f>
        <v xml:space="preserve">1. Conmemoracion del dia del niño en el municipio de sesquile, haciendo intercambio de grupos etnicos "saberes y cultura" 2. Participación de los NNA de la comunidad Room en la celebración del mes de abril mes del niño "NIÑO GOBERNADOR POR 1 DIA". - </v>
      </c>
      <c r="AK197" s="9">
        <f>VLOOKUP(K197,'1126 Desarrollo Social'!$K$13:$AK$58,27,0)</f>
        <v>0</v>
      </c>
      <c r="AL197" s="11">
        <v>1</v>
      </c>
      <c r="AM197" s="11">
        <v>0</v>
      </c>
      <c r="AN197" s="11">
        <v>1</v>
      </c>
      <c r="AO197" s="11">
        <v>0</v>
      </c>
      <c r="AP197" s="11">
        <v>0</v>
      </c>
      <c r="AQ197" s="11">
        <v>0</v>
      </c>
      <c r="AR197" s="52"/>
      <c r="AS197" s="54">
        <v>0</v>
      </c>
      <c r="AT197" s="54">
        <f t="shared" si="242"/>
        <v>0</v>
      </c>
      <c r="AU197" s="52"/>
      <c r="AV197" s="89">
        <v>1375691</v>
      </c>
      <c r="AY197" s="89">
        <v>0</v>
      </c>
      <c r="AZ197" s="42">
        <f t="shared" si="395"/>
        <v>0.5</v>
      </c>
      <c r="BA197" s="44">
        <v>0</v>
      </c>
      <c r="BB197" s="44" t="s">
        <v>115</v>
      </c>
      <c r="BC197" s="42">
        <f t="shared" si="396"/>
        <v>0.5</v>
      </c>
      <c r="BD197" s="42" cm="1">
        <f t="array" ref="BD197">_xlfn.IFS(AD197=0,"NA",AD197&gt;0,AH197/AD197)</f>
        <v>1</v>
      </c>
      <c r="BE197" s="42">
        <f t="shared" si="397"/>
        <v>0.25</v>
      </c>
      <c r="BF197" s="44">
        <v>0</v>
      </c>
      <c r="BG197" s="42">
        <f t="shared" si="398"/>
        <v>0.25</v>
      </c>
      <c r="BH197" s="44">
        <v>0</v>
      </c>
      <c r="BI197" s="42">
        <f t="shared" si="399"/>
        <v>0</v>
      </c>
      <c r="BJ197" s="44" t="s">
        <v>115</v>
      </c>
      <c r="BK197" s="42">
        <f t="shared" si="243"/>
        <v>0.5</v>
      </c>
      <c r="BL197" s="44" t="s">
        <v>115</v>
      </c>
      <c r="BM197" s="42" cm="1">
        <f t="array" ref="BM197">_xlfn.IFS(BD197="NA","NA",BD197&gt;100%,"100%",BD197&lt;100,BD197)</f>
        <v>1</v>
      </c>
      <c r="BN197" s="42" cm="1">
        <f t="array" ref="BN197">_xlfn.IFS(BF197="NA","NA",BF197&gt;100%,"100%",BF197&lt;100,BF197)</f>
        <v>0</v>
      </c>
      <c r="BO197" s="42" cm="1">
        <f t="array" ref="BO197">_xlfn.IFS(BH197="NA","NA",BH197&gt;100%,"100%",BH197&lt;100,BH197)</f>
        <v>0</v>
      </c>
      <c r="BP197" s="42" t="str" cm="1">
        <f t="array" ref="BP197">_xlfn.IFS(BJ197="NA","NA",BJ197&gt;100%,"100%",BJ197&lt;100,BJ197)</f>
        <v>NA</v>
      </c>
      <c r="BQ197" s="45">
        <v>0.22500000000000001</v>
      </c>
      <c r="BR197" s="43">
        <f t="shared" si="244"/>
        <v>0.1125</v>
      </c>
      <c r="BS197" s="45">
        <v>0</v>
      </c>
      <c r="BT197" s="45" t="s">
        <v>115</v>
      </c>
      <c r="BU197" s="45">
        <v>0</v>
      </c>
      <c r="BV197" s="43">
        <f t="shared" si="400"/>
        <v>0.1125</v>
      </c>
      <c r="BW197" s="43">
        <f t="shared" si="245"/>
        <v>0.1125</v>
      </c>
      <c r="BX197" s="43">
        <f t="shared" si="246"/>
        <v>0.1125</v>
      </c>
      <c r="BY197" s="43">
        <f t="shared" si="401"/>
        <v>5.6250000000000001E-2</v>
      </c>
      <c r="BZ197" s="43">
        <f t="shared" si="402"/>
        <v>0</v>
      </c>
      <c r="CA197" s="43">
        <f t="shared" si="247"/>
        <v>0</v>
      </c>
      <c r="CB197" s="43">
        <f t="shared" si="403"/>
        <v>5.6250000000000001E-2</v>
      </c>
      <c r="CC197" s="43">
        <f t="shared" si="404"/>
        <v>0</v>
      </c>
      <c r="CD197" s="45">
        <v>0</v>
      </c>
      <c r="CE197" s="43">
        <f t="shared" si="405"/>
        <v>0</v>
      </c>
      <c r="CF197" s="43" t="str">
        <f t="shared" si="406"/>
        <v>NA</v>
      </c>
      <c r="CG197" s="45">
        <v>0</v>
      </c>
    </row>
    <row r="198" spans="1:90" ht="18" customHeight="1">
      <c r="A198" s="260" t="s">
        <v>212</v>
      </c>
      <c r="B198" s="260" t="s">
        <v>213</v>
      </c>
      <c r="C198" s="260" t="s">
        <v>1286</v>
      </c>
      <c r="D198" s="260" t="s">
        <v>1287</v>
      </c>
      <c r="E198" s="260" t="s">
        <v>1288</v>
      </c>
      <c r="F198" s="260" t="s">
        <v>1289</v>
      </c>
      <c r="G198" s="260" t="s">
        <v>1290</v>
      </c>
      <c r="H198" s="260" t="s">
        <v>1291</v>
      </c>
      <c r="I198" s="260"/>
      <c r="J198" s="260"/>
      <c r="K198" s="260" t="s">
        <v>1292</v>
      </c>
      <c r="L198" s="260" t="s">
        <v>1293</v>
      </c>
      <c r="M198" s="260" t="s">
        <v>1294</v>
      </c>
      <c r="N198" s="260" t="s">
        <v>111</v>
      </c>
      <c r="O198" s="260" t="s">
        <v>112</v>
      </c>
      <c r="P198" s="10">
        <v>0</v>
      </c>
      <c r="Q198" s="11">
        <v>3</v>
      </c>
      <c r="R198" s="9">
        <f t="shared" si="393"/>
        <v>3</v>
      </c>
      <c r="S198" s="11" t="str">
        <f>VLOOKUP(K198,'1215 Corporación'!$K$13:$AK$14,9,0)</f>
        <v>En el 2020 se cumplió con las tres estrategias y en el 2021 hemos ejecutado dos de las tres, debido a que no se han realizado convenios con otras entidades.</v>
      </c>
      <c r="T198" s="11">
        <v>3</v>
      </c>
      <c r="U198" s="11">
        <v>0</v>
      </c>
      <c r="V198" s="11">
        <v>3</v>
      </c>
      <c r="W198" s="11">
        <v>0</v>
      </c>
      <c r="X198" s="11">
        <v>3</v>
      </c>
      <c r="Y198" s="11">
        <v>0</v>
      </c>
      <c r="Z198" s="11">
        <v>3</v>
      </c>
      <c r="AA198" s="11"/>
      <c r="AB198" s="11" t="s">
        <v>1295</v>
      </c>
      <c r="AC198" s="11"/>
      <c r="AD198" s="11">
        <v>0</v>
      </c>
      <c r="AE198" s="11">
        <v>3</v>
      </c>
      <c r="AF198" s="11">
        <f>VLOOKUP(K198,'1215 Corporación'!$K$13:$AK$14,22,0)</f>
        <v>0</v>
      </c>
      <c r="AG198" s="11">
        <f>VLOOKUP(K198,'1215 Corporación'!$K$13:$AK$14,23,0)</f>
        <v>3</v>
      </c>
      <c r="AH198" s="9">
        <f t="shared" si="394"/>
        <v>0</v>
      </c>
      <c r="AI198" s="9" t="str">
        <f>VLOOKUP(K198,'1215 Corporación'!$K$13:$AK$14,25,0)</f>
        <v>Se otorgan créditos en cofinanciación con otras entidades, devolución de ahorros e intereses</v>
      </c>
      <c r="AJ198" s="9" t="str">
        <f>VLOOKUP(K198,'1215 Corporación'!$K$13:$AK$14,26,0)</f>
        <v xml:space="preserve">Estrategia 1:Creditos otorgados 1692,Estrategia2: Creditos con Covenio .Estrategia 3:Devoluciòn de Ahorros </v>
      </c>
      <c r="AK198" s="9" t="str">
        <f>VLOOKUP(K198,'1215 Corporación'!$K$13:$AK$14,27,0)</f>
        <v>Ninguna</v>
      </c>
      <c r="AL198" s="11">
        <v>0</v>
      </c>
      <c r="AM198" s="11">
        <v>0</v>
      </c>
      <c r="AN198" s="11">
        <v>0</v>
      </c>
      <c r="AO198" s="11">
        <v>0</v>
      </c>
      <c r="AP198" s="11">
        <v>0</v>
      </c>
      <c r="AQ198" s="11">
        <v>0</v>
      </c>
      <c r="AR198" s="52"/>
      <c r="AS198" s="54">
        <v>25315763057</v>
      </c>
      <c r="AT198" s="54">
        <f t="shared" si="242"/>
        <v>25315763057</v>
      </c>
      <c r="AU198" s="52"/>
      <c r="AV198" s="89">
        <v>30000000000</v>
      </c>
      <c r="AY198" s="89">
        <v>4790258350</v>
      </c>
      <c r="AZ198" s="42">
        <f t="shared" si="395"/>
        <v>1</v>
      </c>
      <c r="BA198" s="44">
        <v>1</v>
      </c>
      <c r="BB198" s="44">
        <v>1</v>
      </c>
      <c r="BC198" s="42">
        <f t="shared" si="396"/>
        <v>0</v>
      </c>
      <c r="BD198" s="42" t="str" cm="1">
        <f t="array" ref="BD198">_xlfn.IFS(AD198=0,"NA",AD198&gt;0,AH198/AD198)</f>
        <v>NA</v>
      </c>
      <c r="BE198" s="42">
        <f t="shared" si="397"/>
        <v>0</v>
      </c>
      <c r="BF198" s="44" t="s">
        <v>115</v>
      </c>
      <c r="BG198" s="42">
        <f t="shared" si="398"/>
        <v>0</v>
      </c>
      <c r="BH198" s="44" t="s">
        <v>115</v>
      </c>
      <c r="BI198" s="42">
        <f t="shared" si="399"/>
        <v>0</v>
      </c>
      <c r="BJ198" s="44" t="s">
        <v>115</v>
      </c>
      <c r="BK198" s="94">
        <f t="shared" si="243"/>
        <v>1</v>
      </c>
      <c r="BL198" s="44">
        <v>1</v>
      </c>
      <c r="BM198" s="42" t="str" cm="1">
        <f t="array" ref="BM198">_xlfn.IFS(BD198="NA","NA",BD198&gt;100%,"100%",BD198&lt;100,BD198)</f>
        <v>NA</v>
      </c>
      <c r="BN198" s="42" t="str" cm="1">
        <f t="array" ref="BN198">_xlfn.IFS(BF198="NA","NA",BF198&gt;100%,"100%",BF198&lt;100,BF198)</f>
        <v>NA</v>
      </c>
      <c r="BO198" s="42" t="str" cm="1">
        <f t="array" ref="BO198">_xlfn.IFS(BH198="NA","NA",BH198&gt;100%,"100%",BH198&lt;100,BH198)</f>
        <v>NA</v>
      </c>
      <c r="BP198" s="42" t="str" cm="1">
        <f t="array" ref="BP198">_xlfn.IFS(BJ198="NA","NA",BJ198&gt;100%,"100%",BJ198&lt;100,BJ198)</f>
        <v>NA</v>
      </c>
      <c r="BQ198" s="45">
        <v>0.22500000000000001</v>
      </c>
      <c r="BR198" s="43">
        <f t="shared" si="244"/>
        <v>0.22500000000000001</v>
      </c>
      <c r="BS198" s="45">
        <v>0.22500000000000001</v>
      </c>
      <c r="BT198" s="45">
        <v>0.22500000000000001</v>
      </c>
      <c r="BU198" s="45">
        <v>0.22500000000000001</v>
      </c>
      <c r="BV198" s="43">
        <f t="shared" si="400"/>
        <v>0</v>
      </c>
      <c r="BW198" s="43" t="str">
        <f t="shared" si="245"/>
        <v>NA</v>
      </c>
      <c r="BX198" s="43">
        <f t="shared" si="246"/>
        <v>0</v>
      </c>
      <c r="BY198" s="43">
        <f t="shared" si="401"/>
        <v>0</v>
      </c>
      <c r="BZ198" s="43" t="str">
        <f t="shared" si="402"/>
        <v>NA</v>
      </c>
      <c r="CA198" s="43">
        <f t="shared" si="247"/>
        <v>0</v>
      </c>
      <c r="CB198" s="43">
        <f t="shared" si="403"/>
        <v>0</v>
      </c>
      <c r="CC198" s="43" t="str">
        <f t="shared" si="404"/>
        <v>NA</v>
      </c>
      <c r="CD198" s="45">
        <v>0</v>
      </c>
      <c r="CE198" s="43">
        <f t="shared" si="405"/>
        <v>0</v>
      </c>
      <c r="CF198" s="43" t="str">
        <f t="shared" si="406"/>
        <v>NA</v>
      </c>
      <c r="CG198" s="45">
        <v>0</v>
      </c>
    </row>
    <row r="199" spans="1:90" ht="18" customHeight="1">
      <c r="A199" s="260" t="s">
        <v>1310</v>
      </c>
      <c r="B199" s="260" t="s">
        <v>1311</v>
      </c>
      <c r="C199" s="260" t="s">
        <v>1286</v>
      </c>
      <c r="D199" s="260" t="s">
        <v>1287</v>
      </c>
      <c r="E199" s="260" t="s">
        <v>1288</v>
      </c>
      <c r="F199" s="260" t="s">
        <v>1289</v>
      </c>
      <c r="G199" s="260" t="s">
        <v>1290</v>
      </c>
      <c r="H199" s="260" t="s">
        <v>1298</v>
      </c>
      <c r="I199" s="260"/>
      <c r="J199" s="260"/>
      <c r="K199" s="260" t="s">
        <v>1299</v>
      </c>
      <c r="L199" s="260" t="s">
        <v>1300</v>
      </c>
      <c r="M199" s="260" t="s">
        <v>1301</v>
      </c>
      <c r="N199" s="260" t="s">
        <v>111</v>
      </c>
      <c r="O199" s="260" t="s">
        <v>112</v>
      </c>
      <c r="P199" s="10">
        <v>0</v>
      </c>
      <c r="Q199" s="11">
        <v>1</v>
      </c>
      <c r="R199" s="9" t="e">
        <f t="shared" ca="1" si="393"/>
        <v>#N/A</v>
      </c>
      <c r="S199" s="11" t="e">
        <f ca="1">VLOOKUP(K199,'1120 Competitividad'!$K$13:$AK$51,9,0)</f>
        <v>#N/A</v>
      </c>
      <c r="T199" s="11">
        <v>0</v>
      </c>
      <c r="U199" s="11">
        <v>0</v>
      </c>
      <c r="V199" s="11">
        <v>0</v>
      </c>
      <c r="W199" s="11">
        <v>0</v>
      </c>
      <c r="X199" s="11">
        <v>0</v>
      </c>
      <c r="Y199" s="11">
        <v>0</v>
      </c>
      <c r="Z199" s="11">
        <v>0</v>
      </c>
      <c r="AA199" s="11"/>
      <c r="AB199" s="11"/>
      <c r="AC199" s="11"/>
      <c r="AD199" s="11">
        <v>0.5</v>
      </c>
      <c r="AE199" s="11">
        <v>0</v>
      </c>
      <c r="AF199" s="11" t="e">
        <f ca="1">VLOOKUP(K199,'1120 Competitividad'!$K$13:$AK$51,22,0)</f>
        <v>#N/A</v>
      </c>
      <c r="AG199" s="11" t="e">
        <f ca="1">VLOOKUP(K199,'1120 Competitividad'!$K$13:$AK$51,23,0)</f>
        <v>#N/A</v>
      </c>
      <c r="AH199" s="9" t="e">
        <f ca="1">AF199</f>
        <v>#N/A</v>
      </c>
      <c r="AI199" s="9" t="e">
        <f ca="1">VLOOKUP(K199,'1120 Competitividad'!$K$13:$AK$51,25,0)</f>
        <v>#N/A</v>
      </c>
      <c r="AJ199" s="9" t="e">
        <f ca="1">VLOOKUP(K199,'1120 Competitividad'!$K$13:$AK$51,26,0)</f>
        <v>#N/A</v>
      </c>
      <c r="AK199" s="9" t="e">
        <f ca="1">VLOOKUP(K199,'1120 Competitividad'!$K$13:$AK$51,27,0)</f>
        <v>#N/A</v>
      </c>
      <c r="AL199" s="11">
        <v>0.5</v>
      </c>
      <c r="AM199" s="11">
        <v>0</v>
      </c>
      <c r="AN199" s="11">
        <v>0</v>
      </c>
      <c r="AO199" s="11">
        <v>0</v>
      </c>
      <c r="AP199" s="11">
        <v>0</v>
      </c>
      <c r="AQ199" s="11">
        <v>0</v>
      </c>
      <c r="AR199" s="52"/>
      <c r="AS199" s="54">
        <v>0</v>
      </c>
      <c r="AT199" s="54">
        <f t="shared" si="242"/>
        <v>0</v>
      </c>
      <c r="AU199" s="52"/>
      <c r="AV199" s="89">
        <v>400000000</v>
      </c>
      <c r="AY199" s="89">
        <v>0</v>
      </c>
      <c r="AZ199" s="42" t="e">
        <f t="shared" ca="1" si="395"/>
        <v>#N/A</v>
      </c>
      <c r="BA199" s="44">
        <v>0</v>
      </c>
      <c r="BB199" s="44" t="s">
        <v>115</v>
      </c>
      <c r="BC199" s="42">
        <f t="shared" si="396"/>
        <v>0.5</v>
      </c>
      <c r="BD199" s="42" t="e" cm="1">
        <f t="array" aca="1" ref="BD199" ca="1">_xlfn.IFS(AD199=0,"NA",AD199&gt;0,AH199/AD199)</f>
        <v>#N/A</v>
      </c>
      <c r="BE199" s="42">
        <f t="shared" si="397"/>
        <v>0.5</v>
      </c>
      <c r="BF199" s="44">
        <v>0</v>
      </c>
      <c r="BG199" s="42">
        <f t="shared" si="398"/>
        <v>0</v>
      </c>
      <c r="BH199" s="44" t="s">
        <v>115</v>
      </c>
      <c r="BI199" s="42">
        <f t="shared" si="399"/>
        <v>0</v>
      </c>
      <c r="BJ199" s="44" t="s">
        <v>115</v>
      </c>
      <c r="BK199" s="42" t="e">
        <f t="shared" ca="1" si="243"/>
        <v>#N/A</v>
      </c>
      <c r="BL199" s="44" t="s">
        <v>115</v>
      </c>
      <c r="BM199" s="42" t="e" cm="1">
        <f t="array" aca="1" ref="BM199" ca="1">_xlfn.IFS(BD199="NA","NA",BD199&gt;100%,"100%",BD199&lt;100,BD199)</f>
        <v>#N/A</v>
      </c>
      <c r="BN199" s="42" cm="1">
        <f t="array" ref="BN199">_xlfn.IFS(BF199="NA","NA",BF199&gt;100%,"100%",BF199&lt;100,BF199)</f>
        <v>0</v>
      </c>
      <c r="BO199" s="42" t="str" cm="1">
        <f t="array" ref="BO199">_xlfn.IFS(BH199="NA","NA",BH199&gt;100%,"100%",BH199&lt;100,BH199)</f>
        <v>NA</v>
      </c>
      <c r="BP199" s="42" t="str" cm="1">
        <f t="array" ref="BP199">_xlfn.IFS(BJ199="NA","NA",BJ199&gt;100%,"100%",BJ199&lt;100,BJ199)</f>
        <v>NA</v>
      </c>
      <c r="BQ199" s="45">
        <v>0.22500000000000001</v>
      </c>
      <c r="BR199" s="43" t="e">
        <f t="shared" ca="1" si="244"/>
        <v>#N/A</v>
      </c>
      <c r="BS199" s="45">
        <v>0</v>
      </c>
      <c r="BT199" s="45" t="s">
        <v>115</v>
      </c>
      <c r="BU199" s="45">
        <v>0</v>
      </c>
      <c r="BV199" s="43">
        <f t="shared" si="400"/>
        <v>0.1125</v>
      </c>
      <c r="BW199" s="43" t="e">
        <f t="shared" ca="1" si="245"/>
        <v>#N/A</v>
      </c>
      <c r="BX199" s="43" t="e">
        <f t="shared" ca="1" si="246"/>
        <v>#N/A</v>
      </c>
      <c r="BY199" s="43">
        <f t="shared" si="401"/>
        <v>0.1125</v>
      </c>
      <c r="BZ199" s="43">
        <f t="shared" si="402"/>
        <v>0</v>
      </c>
      <c r="CA199" s="43" t="e">
        <f t="shared" ca="1" si="247"/>
        <v>#N/A</v>
      </c>
      <c r="CB199" s="43">
        <f t="shared" si="403"/>
        <v>0</v>
      </c>
      <c r="CC199" s="43" t="str">
        <f t="shared" si="404"/>
        <v>NA</v>
      </c>
      <c r="CD199" s="45">
        <v>0</v>
      </c>
      <c r="CE199" s="43">
        <f t="shared" si="405"/>
        <v>0</v>
      </c>
      <c r="CF199" s="43" t="str">
        <f t="shared" si="406"/>
        <v>NA</v>
      </c>
      <c r="CG199" s="45">
        <v>0</v>
      </c>
    </row>
    <row r="200" spans="1:90" ht="18" customHeight="1">
      <c r="A200" s="260" t="s">
        <v>1302</v>
      </c>
      <c r="B200" s="260" t="s">
        <v>1303</v>
      </c>
      <c r="C200" s="260" t="s">
        <v>1286</v>
      </c>
      <c r="D200" s="260" t="s">
        <v>1287</v>
      </c>
      <c r="E200" s="260" t="s">
        <v>1288</v>
      </c>
      <c r="F200" s="260" t="s">
        <v>1289</v>
      </c>
      <c r="G200" s="260" t="s">
        <v>1290</v>
      </c>
      <c r="H200" s="260" t="s">
        <v>1304</v>
      </c>
      <c r="I200" s="260"/>
      <c r="J200" s="260"/>
      <c r="K200" s="260" t="s">
        <v>1305</v>
      </c>
      <c r="L200" s="260" t="s">
        <v>1306</v>
      </c>
      <c r="M200" s="260" t="s">
        <v>1307</v>
      </c>
      <c r="N200" s="260" t="s">
        <v>111</v>
      </c>
      <c r="O200" s="260" t="s">
        <v>112</v>
      </c>
      <c r="P200" s="10">
        <v>1660</v>
      </c>
      <c r="Q200" s="11">
        <v>700</v>
      </c>
      <c r="R200" s="9">
        <f t="shared" si="393"/>
        <v>202</v>
      </c>
      <c r="S200" s="11" t="str">
        <f>VLOOKUP(K200,'1124 Agricultura'!$K$13:$AK$25,9,0)</f>
        <v>202 familias VCA de 6 municipios (Choachí, Guayabetal, Tena, Silvania, Gama, Guataqui) con proyectos productivos de donde se refuerza las capacidades de nuestros productores y a quienes se les hizo la entrega  de equipos y elementos que les permiten disminuir sus costos de producción, volviéndolos más competitivos.</v>
      </c>
      <c r="T200" s="11">
        <v>100</v>
      </c>
      <c r="U200" s="11">
        <v>0</v>
      </c>
      <c r="V200" s="11">
        <v>202</v>
      </c>
      <c r="W200" s="11">
        <v>0</v>
      </c>
      <c r="X200" s="11">
        <v>202</v>
      </c>
      <c r="Y200" s="11">
        <v>0</v>
      </c>
      <c r="Z200" s="11">
        <v>202</v>
      </c>
      <c r="AA200" s="11" t="s">
        <v>1308</v>
      </c>
      <c r="AB200" s="11" t="s">
        <v>1309</v>
      </c>
      <c r="AC200" s="11">
        <v>0</v>
      </c>
      <c r="AD200" s="11">
        <v>165</v>
      </c>
      <c r="AE200" s="11">
        <v>0</v>
      </c>
      <c r="AF200" s="11">
        <f>VLOOKUP(K200,'1124 Agricultura'!$K$13:$AK$25,22,0)</f>
        <v>0</v>
      </c>
      <c r="AG200" s="11">
        <f>VLOOKUP(K200,'1124 Agricultura'!$K$13:$AK$25,23,0)</f>
        <v>0</v>
      </c>
      <c r="AH200" s="9">
        <f t="shared" si="394"/>
        <v>0</v>
      </c>
      <c r="AI200" s="9">
        <f>VLOOKUP(K200,'1124 Agricultura'!$K$13:$AK$25,25,0)</f>
        <v>0</v>
      </c>
      <c r="AJ200" s="9" t="str">
        <f>VLOOKUP(K200,'1124 Agricultura'!$K$13:$AK$25,26,0)</f>
        <v>Se realizó la subasta inversa y se determinó el tercero a contratar. Se estima la firma del contrato el 6 de diciembre de 2021 y la entrega de suministros antes de finalizar el mes de diciembre</v>
      </c>
      <c r="AK200" s="9">
        <f>VLOOKUP(K200,'1124 Agricultura'!$K$13:$AK$25,27,0)</f>
        <v>0</v>
      </c>
      <c r="AL200" s="11">
        <v>150</v>
      </c>
      <c r="AM200" s="11">
        <v>0</v>
      </c>
      <c r="AN200" s="11">
        <v>183</v>
      </c>
      <c r="AO200" s="11">
        <v>0</v>
      </c>
      <c r="AP200" s="11">
        <v>0</v>
      </c>
      <c r="AQ200" s="11">
        <v>0</v>
      </c>
      <c r="AR200" s="51">
        <v>269998509</v>
      </c>
      <c r="AS200" s="54">
        <v>0</v>
      </c>
      <c r="AT200" s="54">
        <f t="shared" si="242"/>
        <v>269998509</v>
      </c>
      <c r="AU200" s="51">
        <v>269998509</v>
      </c>
      <c r="AV200" s="89">
        <v>405000000</v>
      </c>
      <c r="AY200" s="89">
        <v>0</v>
      </c>
      <c r="AZ200" s="42">
        <f t="shared" si="395"/>
        <v>0.28857142857142859</v>
      </c>
      <c r="BA200" s="44">
        <v>0.28860000000000002</v>
      </c>
      <c r="BB200" s="44">
        <v>1</v>
      </c>
      <c r="BC200" s="42">
        <f t="shared" si="396"/>
        <v>0.23571428571428571</v>
      </c>
      <c r="BD200" s="42" cm="1">
        <f t="array" ref="BD200">_xlfn.IFS(AD200=0,"NA",AD200&gt;0,AH200/AD200)</f>
        <v>0</v>
      </c>
      <c r="BE200" s="42">
        <f t="shared" si="397"/>
        <v>0.21428571428571427</v>
      </c>
      <c r="BF200" s="44">
        <v>0</v>
      </c>
      <c r="BG200" s="42">
        <f t="shared" si="398"/>
        <v>0.26142857142857145</v>
      </c>
      <c r="BH200" s="44">
        <v>0</v>
      </c>
      <c r="BI200" s="42">
        <f t="shared" si="399"/>
        <v>0</v>
      </c>
      <c r="BJ200" s="44" t="s">
        <v>115</v>
      </c>
      <c r="BK200" s="42">
        <f t="shared" si="243"/>
        <v>0.28857142857142859</v>
      </c>
      <c r="BL200" s="44">
        <v>1</v>
      </c>
      <c r="BM200" s="42" cm="1">
        <f t="array" ref="BM200">_xlfn.IFS(BD200="NA","NA",BD200&gt;100%,"100%",BD200&lt;100,BD200)</f>
        <v>0</v>
      </c>
      <c r="BN200" s="42" cm="1">
        <f t="array" ref="BN200">_xlfn.IFS(BF200="NA","NA",BF200&gt;100%,"100%",BF200&lt;100,BF200)</f>
        <v>0</v>
      </c>
      <c r="BO200" s="42" cm="1">
        <f t="array" ref="BO200">_xlfn.IFS(BH200="NA","NA",BH200&gt;100%,"100%",BH200&lt;100,BH200)</f>
        <v>0</v>
      </c>
      <c r="BP200" s="42" t="str" cm="1">
        <f t="array" ref="BP200">_xlfn.IFS(BJ200="NA","NA",BJ200&gt;100%,"100%",BJ200&lt;100,BJ200)</f>
        <v>NA</v>
      </c>
      <c r="BQ200" s="45">
        <v>0.22500000000000001</v>
      </c>
      <c r="BR200" s="43">
        <f t="shared" si="244"/>
        <v>6.4928571428571433E-2</v>
      </c>
      <c r="BS200" s="45">
        <v>6.4899999999999999E-2</v>
      </c>
      <c r="BT200" s="45">
        <v>6.4899999999999999E-2</v>
      </c>
      <c r="BU200" s="45">
        <v>6.4899999999999999E-2</v>
      </c>
      <c r="BV200" s="43">
        <f t="shared" si="400"/>
        <v>5.3035714285714283E-2</v>
      </c>
      <c r="BW200" s="43">
        <f t="shared" si="245"/>
        <v>0</v>
      </c>
      <c r="BX200" s="43">
        <f t="shared" si="246"/>
        <v>2.8571428571433355E-5</v>
      </c>
      <c r="BY200" s="43">
        <f t="shared" si="401"/>
        <v>4.8214285714285716E-2</v>
      </c>
      <c r="BZ200" s="43">
        <f t="shared" si="402"/>
        <v>0</v>
      </c>
      <c r="CA200" s="43">
        <f t="shared" si="247"/>
        <v>0</v>
      </c>
      <c r="CB200" s="43">
        <f t="shared" si="403"/>
        <v>5.882142857142858E-2</v>
      </c>
      <c r="CC200" s="43">
        <f t="shared" si="404"/>
        <v>0</v>
      </c>
      <c r="CD200" s="45">
        <v>0</v>
      </c>
      <c r="CE200" s="43">
        <f t="shared" si="405"/>
        <v>0</v>
      </c>
      <c r="CF200" s="43" t="str">
        <f t="shared" si="406"/>
        <v>NA</v>
      </c>
      <c r="CG200" s="45">
        <v>0</v>
      </c>
    </row>
    <row r="201" spans="1:90" ht="18" customHeight="1">
      <c r="A201" s="260" t="s">
        <v>1310</v>
      </c>
      <c r="B201" s="260" t="s">
        <v>1311</v>
      </c>
      <c r="C201" s="260" t="s">
        <v>1286</v>
      </c>
      <c r="D201" s="260" t="s">
        <v>1287</v>
      </c>
      <c r="E201" s="260" t="s">
        <v>1288</v>
      </c>
      <c r="F201" s="260" t="s">
        <v>1289</v>
      </c>
      <c r="G201" s="260" t="s">
        <v>1290</v>
      </c>
      <c r="H201" s="260" t="s">
        <v>1312</v>
      </c>
      <c r="I201" s="260"/>
      <c r="J201" s="260"/>
      <c r="K201" s="260" t="s">
        <v>1313</v>
      </c>
      <c r="L201" s="260" t="s">
        <v>1314</v>
      </c>
      <c r="M201" s="260" t="s">
        <v>1315</v>
      </c>
      <c r="N201" s="260" t="s">
        <v>111</v>
      </c>
      <c r="O201" s="260" t="s">
        <v>112</v>
      </c>
      <c r="P201" s="10">
        <v>3</v>
      </c>
      <c r="Q201" s="11">
        <v>3</v>
      </c>
      <c r="R201" s="9">
        <f t="shared" ca="1" si="393"/>
        <v>0</v>
      </c>
      <c r="S201" s="11">
        <f ca="1">VLOOKUP(K201,'1120 Competitividad'!$K$13:$AK$51,9,0)</f>
        <v>0</v>
      </c>
      <c r="T201" s="11">
        <v>0</v>
      </c>
      <c r="U201" s="11">
        <v>0</v>
      </c>
      <c r="V201" s="11">
        <v>0</v>
      </c>
      <c r="W201" s="11">
        <v>0</v>
      </c>
      <c r="X201" s="11">
        <v>0</v>
      </c>
      <c r="Y201" s="11">
        <v>0</v>
      </c>
      <c r="Z201" s="11">
        <v>0</v>
      </c>
      <c r="AA201" s="11"/>
      <c r="AB201" s="11"/>
      <c r="AC201" s="11"/>
      <c r="AD201" s="11">
        <v>1</v>
      </c>
      <c r="AE201" s="11">
        <v>0</v>
      </c>
      <c r="AF201" s="11">
        <f ca="1">VLOOKUP(K201,'1120 Competitividad'!$K$13:$AK$51,22,0)</f>
        <v>0</v>
      </c>
      <c r="AG201" s="11">
        <f ca="1">VLOOKUP(K201,'1120 Competitividad'!$K$13:$AK$51,23,0)</f>
        <v>0</v>
      </c>
      <c r="AH201" s="9">
        <f t="shared" ca="1" si="394"/>
        <v>0</v>
      </c>
      <c r="AI201" s="9" t="str">
        <f ca="1">VLOOKUP(K201,'1120 Competitividad'!$K$13:$AK$51,25,0)</f>
        <v>165 silos entregados, 15 equipos manejo despulpado , lavado y beneficio de cafe  permitiendo el uso eficiente del recurso hidrico y el beneficio del grano (ECOMILL) , Kit de trilla y un Kit de torrefacción  a COODECAFEC (Cooperativa de caficultores  de Cundinamarca) , se adelantan tramites para 80 marcas de cafe con denominacion de origen, y 80 marcas de cafe identificacion geografica protegida y 80 sellos Juan Valdes, acompañamiento en capacitacion en el manejo de equipos  a beneficiarios ya a COODECAFE, entrega de 30.000 bolsas para empaque de café .</v>
      </c>
      <c r="AJ201" s="9" t="str">
        <f ca="1">VLOOKUP(K201,'1120 Competitividad'!$K$13:$AK$51,26,0)</f>
        <v xml:space="preserve">Mejoramiento del beneficio del grano , transformación y Comercialización de café en verde y tostados  generando mayor ingreso a 800 cafeteros de 42 municipios del Departamento de Cundinamarca </v>
      </c>
      <c r="AK201" s="9">
        <f ca="1">VLOOKUP(K201,'1120 Competitividad'!$K$13:$AK$51,27,0)</f>
        <v>0</v>
      </c>
      <c r="AL201" s="11">
        <v>1</v>
      </c>
      <c r="AM201" s="11">
        <v>0</v>
      </c>
      <c r="AN201" s="11">
        <v>1</v>
      </c>
      <c r="AO201" s="11">
        <v>0</v>
      </c>
      <c r="AP201" s="11">
        <v>0</v>
      </c>
      <c r="AQ201" s="11">
        <v>0</v>
      </c>
      <c r="AR201" s="52"/>
      <c r="AS201" s="54">
        <v>0</v>
      </c>
      <c r="AT201" s="54">
        <f t="shared" si="242"/>
        <v>0</v>
      </c>
      <c r="AU201" s="52"/>
      <c r="AV201" s="89">
        <v>0</v>
      </c>
      <c r="AY201" s="89">
        <v>0</v>
      </c>
      <c r="AZ201" s="42">
        <f t="shared" ca="1" si="395"/>
        <v>0</v>
      </c>
      <c r="BA201" s="44">
        <v>0</v>
      </c>
      <c r="BB201" s="44" t="s">
        <v>115</v>
      </c>
      <c r="BC201" s="42">
        <f t="shared" si="396"/>
        <v>0.33333333333333331</v>
      </c>
      <c r="BD201" s="42" cm="1">
        <f t="array" aca="1" ref="BD201" ca="1">_xlfn.IFS(AD201=0,"NA",AD201&gt;0,AH201/AD201)</f>
        <v>0</v>
      </c>
      <c r="BE201" s="42">
        <f t="shared" si="397"/>
        <v>0.33333333333333331</v>
      </c>
      <c r="BF201" s="44">
        <v>0</v>
      </c>
      <c r="BG201" s="42">
        <f t="shared" si="398"/>
        <v>0.33333333333333331</v>
      </c>
      <c r="BH201" s="44">
        <v>0</v>
      </c>
      <c r="BI201" s="42">
        <f t="shared" si="399"/>
        <v>0</v>
      </c>
      <c r="BJ201" s="44" t="s">
        <v>115</v>
      </c>
      <c r="BK201" s="42">
        <f t="shared" ca="1" si="243"/>
        <v>0</v>
      </c>
      <c r="BL201" s="44" t="s">
        <v>115</v>
      </c>
      <c r="BM201" s="42" cm="1">
        <f t="array" aca="1" ref="BM201" ca="1">_xlfn.IFS(BD201="NA","NA",BD201&gt;100%,"100%",BD201&lt;100,BD201)</f>
        <v>0</v>
      </c>
      <c r="BN201" s="42" cm="1">
        <f t="array" ref="BN201">_xlfn.IFS(BF201="NA","NA",BF201&gt;100%,"100%",BF201&lt;100,BF201)</f>
        <v>0</v>
      </c>
      <c r="BO201" s="42" cm="1">
        <f t="array" ref="BO201">_xlfn.IFS(BH201="NA","NA",BH201&gt;100%,"100%",BH201&lt;100,BH201)</f>
        <v>0</v>
      </c>
      <c r="BP201" s="42" t="str" cm="1">
        <f t="array" ref="BP201">_xlfn.IFS(BJ201="NA","NA",BJ201&gt;100%,"100%",BJ201&lt;100,BJ201)</f>
        <v>NA</v>
      </c>
      <c r="BQ201" s="45">
        <v>0.22500000000000001</v>
      </c>
      <c r="BR201" s="43">
        <f t="shared" ca="1" si="244"/>
        <v>0</v>
      </c>
      <c r="BS201" s="45">
        <v>0</v>
      </c>
      <c r="BT201" s="45" t="s">
        <v>115</v>
      </c>
      <c r="BU201" s="45">
        <v>0</v>
      </c>
      <c r="BV201" s="43">
        <f t="shared" si="400"/>
        <v>7.4999999999999997E-2</v>
      </c>
      <c r="BW201" s="43">
        <f t="shared" ca="1" si="245"/>
        <v>0</v>
      </c>
      <c r="BX201" s="43">
        <f t="shared" ca="1" si="246"/>
        <v>0</v>
      </c>
      <c r="BY201" s="43">
        <f t="shared" si="401"/>
        <v>7.4999999999999997E-2</v>
      </c>
      <c r="BZ201" s="43">
        <f t="shared" si="402"/>
        <v>0</v>
      </c>
      <c r="CA201" s="43">
        <f t="shared" ca="1" si="247"/>
        <v>0</v>
      </c>
      <c r="CB201" s="43">
        <f t="shared" si="403"/>
        <v>7.4999999999999997E-2</v>
      </c>
      <c r="CC201" s="43">
        <f t="shared" si="404"/>
        <v>0</v>
      </c>
      <c r="CD201" s="45">
        <v>0</v>
      </c>
      <c r="CE201" s="43">
        <f t="shared" si="405"/>
        <v>0</v>
      </c>
      <c r="CF201" s="43" t="str">
        <f t="shared" si="406"/>
        <v>NA</v>
      </c>
      <c r="CG201" s="45">
        <v>0</v>
      </c>
    </row>
    <row r="202" spans="1:90" ht="18" customHeight="1">
      <c r="A202" s="260" t="s">
        <v>1005</v>
      </c>
      <c r="B202" s="260" t="s">
        <v>1006</v>
      </c>
      <c r="C202" s="260" t="s">
        <v>1286</v>
      </c>
      <c r="D202" s="260" t="s">
        <v>1287</v>
      </c>
      <c r="E202" s="260" t="s">
        <v>1288</v>
      </c>
      <c r="F202" s="260" t="s">
        <v>1316</v>
      </c>
      <c r="G202" s="260" t="s">
        <v>1317</v>
      </c>
      <c r="H202" s="260" t="s">
        <v>1318</v>
      </c>
      <c r="I202" s="260" t="s">
        <v>1244</v>
      </c>
      <c r="J202" s="260"/>
      <c r="K202" s="260" t="s">
        <v>1319</v>
      </c>
      <c r="L202" s="260" t="s">
        <v>1320</v>
      </c>
      <c r="M202" s="260" t="s">
        <v>1321</v>
      </c>
      <c r="N202" s="260" t="s">
        <v>111</v>
      </c>
      <c r="O202" s="260" t="s">
        <v>112</v>
      </c>
      <c r="P202" s="10">
        <v>600</v>
      </c>
      <c r="Q202" s="11">
        <v>1200</v>
      </c>
      <c r="R202" s="9">
        <f t="shared" si="393"/>
        <v>205</v>
      </c>
      <c r="S202" s="11">
        <f>VLOOKUP(K202,'1130 Mujer'!$K$13:$AK$19,9,0)</f>
        <v>0</v>
      </c>
      <c r="T202" s="11">
        <v>100</v>
      </c>
      <c r="U202" s="11">
        <v>0</v>
      </c>
      <c r="V202" s="11">
        <v>100</v>
      </c>
      <c r="W202" s="11">
        <v>0</v>
      </c>
      <c r="X202" s="11">
        <v>124</v>
      </c>
      <c r="Y202" s="11">
        <v>0</v>
      </c>
      <c r="Z202" s="11">
        <v>124</v>
      </c>
      <c r="AA202" s="11" t="s">
        <v>1322</v>
      </c>
      <c r="AB202" s="11" t="s">
        <v>1323</v>
      </c>
      <c r="AC202" s="11" t="s">
        <v>1324</v>
      </c>
      <c r="AD202" s="11">
        <v>440</v>
      </c>
      <c r="AE202" s="11">
        <v>0</v>
      </c>
      <c r="AF202" s="11">
        <f>VLOOKUP(K202,'1130 Mujer'!$K$13:$AK$19,22,0)</f>
        <v>81</v>
      </c>
      <c r="AG202" s="11">
        <f>VLOOKUP(K202,'1130 Mujer'!$K$13:$AK$19,23,0)</f>
        <v>0</v>
      </c>
      <c r="AH202" s="9">
        <f t="shared" si="394"/>
        <v>81</v>
      </c>
      <c r="AI202" s="9" t="str">
        <f>VLOOKUP(K202,'1130 Mujer'!$K$13:$AK$19,25,0)</f>
        <v>Insumos y elementos para emprendimientos productivos y apoyo a 54 artesanas del municipio de cucunubá - Expolanas.</v>
      </c>
      <c r="AJ202" s="9" t="str">
        <f>VLOOKUP(K202,'1130 Mujer'!$K$13:$AK$19,26,0)</f>
        <v>SE efectua la entrega de 27 apoyos en especie a unidades productivas. Se inicia la estrategia ICPES para atender nuevos emprendimientos. apoyo al desarrollo de Expolanas 695 emprendimientos vinculados a la estrategia a la fecha de corte. Se proyecta entrega de ayudas en el mes de diciembre.</v>
      </c>
      <c r="AK202" s="9" t="str">
        <f>VLOOKUP(K202,'1130 Mujer'!$K$13:$AK$19,27,0)</f>
        <v>na</v>
      </c>
      <c r="AL202" s="11">
        <v>440</v>
      </c>
      <c r="AM202" s="11">
        <v>0</v>
      </c>
      <c r="AN202" s="11">
        <v>196</v>
      </c>
      <c r="AO202" s="11">
        <v>0</v>
      </c>
      <c r="AP202" s="11">
        <v>0</v>
      </c>
      <c r="AQ202" s="11">
        <v>0</v>
      </c>
      <c r="AR202" s="51">
        <v>2014427146</v>
      </c>
      <c r="AS202" s="54">
        <v>0</v>
      </c>
      <c r="AT202" s="54">
        <f t="shared" si="242"/>
        <v>2014427146</v>
      </c>
      <c r="AU202" s="51">
        <v>2008000000</v>
      </c>
      <c r="AV202" s="89">
        <v>1601114000</v>
      </c>
      <c r="AY202" s="89">
        <v>0</v>
      </c>
      <c r="AZ202" s="42">
        <f t="shared" si="395"/>
        <v>0.17083333333333334</v>
      </c>
      <c r="BA202" s="44">
        <v>8.3299999999999999E-2</v>
      </c>
      <c r="BB202" s="44">
        <v>1.24</v>
      </c>
      <c r="BC202" s="42">
        <f t="shared" si="396"/>
        <v>0.36666666666666664</v>
      </c>
      <c r="BD202" s="42" cm="1">
        <f t="array" ref="BD202">_xlfn.IFS(AD202=0,"NA",AD202&gt;0,AH202/AD202)</f>
        <v>0.18409090909090908</v>
      </c>
      <c r="BE202" s="42">
        <f t="shared" si="397"/>
        <v>0.36666666666666664</v>
      </c>
      <c r="BF202" s="44">
        <v>0</v>
      </c>
      <c r="BG202" s="42">
        <f t="shared" si="398"/>
        <v>0.16333333333333333</v>
      </c>
      <c r="BH202" s="44">
        <v>0</v>
      </c>
      <c r="BI202" s="42">
        <f t="shared" si="399"/>
        <v>0</v>
      </c>
      <c r="BJ202" s="44" t="s">
        <v>115</v>
      </c>
      <c r="BK202" s="42">
        <f t="shared" si="243"/>
        <v>0.17083333333333334</v>
      </c>
      <c r="BL202" s="44">
        <v>1</v>
      </c>
      <c r="BM202" s="42" cm="1">
        <f t="array" ref="BM202">_xlfn.IFS(BD202="NA","NA",BD202&gt;100%,"100%",BD202&lt;100,BD202)</f>
        <v>0.18409090909090908</v>
      </c>
      <c r="BN202" s="42" cm="1">
        <f t="array" ref="BN202">_xlfn.IFS(BF202="NA","NA",BF202&gt;100%,"100%",BF202&lt;100,BF202)</f>
        <v>0</v>
      </c>
      <c r="BO202" s="42" cm="1">
        <f t="array" ref="BO202">_xlfn.IFS(BH202="NA","NA",BH202&gt;100%,"100%",BH202&lt;100,BH202)</f>
        <v>0</v>
      </c>
      <c r="BP202" s="42" t="str" cm="1">
        <f t="array" ref="BP202">_xlfn.IFS(BJ202="NA","NA",BJ202&gt;100%,"100%",BJ202&lt;100,BJ202)</f>
        <v>NA</v>
      </c>
      <c r="BQ202" s="45">
        <v>0.22500000000000001</v>
      </c>
      <c r="BR202" s="43">
        <f t="shared" si="244"/>
        <v>3.8437499999999999E-2</v>
      </c>
      <c r="BS202" s="45">
        <v>1.8700000000000001E-2</v>
      </c>
      <c r="BT202" s="45">
        <v>1.8700000000000001E-2</v>
      </c>
      <c r="BU202" s="45">
        <v>2.3199999999999998E-2</v>
      </c>
      <c r="BV202" s="43">
        <f t="shared" si="400"/>
        <v>8.2500000000000004E-2</v>
      </c>
      <c r="BW202" s="43">
        <f t="shared" si="245"/>
        <v>1.51875E-2</v>
      </c>
      <c r="BX202" s="43">
        <f t="shared" si="246"/>
        <v>1.5237500000000001E-2</v>
      </c>
      <c r="BY202" s="43">
        <f t="shared" si="401"/>
        <v>8.2500000000000004E-2</v>
      </c>
      <c r="BZ202" s="43">
        <f t="shared" si="402"/>
        <v>0</v>
      </c>
      <c r="CA202" s="43">
        <f t="shared" si="247"/>
        <v>0</v>
      </c>
      <c r="CB202" s="43">
        <f t="shared" si="403"/>
        <v>3.6749999999999998E-2</v>
      </c>
      <c r="CC202" s="43">
        <f t="shared" si="404"/>
        <v>0</v>
      </c>
      <c r="CD202" s="45">
        <v>0</v>
      </c>
      <c r="CE202" s="43">
        <f t="shared" si="405"/>
        <v>0</v>
      </c>
      <c r="CF202" s="43" t="str">
        <f t="shared" si="406"/>
        <v>NA</v>
      </c>
      <c r="CG202" s="45">
        <v>0</v>
      </c>
    </row>
    <row r="203" spans="1:90" ht="18" customHeight="1">
      <c r="A203" s="260" t="s">
        <v>1302</v>
      </c>
      <c r="B203" s="260" t="s">
        <v>1303</v>
      </c>
      <c r="C203" s="260" t="s">
        <v>1286</v>
      </c>
      <c r="D203" s="260" t="s">
        <v>1287</v>
      </c>
      <c r="E203" s="260" t="s">
        <v>1288</v>
      </c>
      <c r="F203" s="260" t="s">
        <v>1325</v>
      </c>
      <c r="G203" s="260" t="s">
        <v>1326</v>
      </c>
      <c r="H203" s="260" t="s">
        <v>1327</v>
      </c>
      <c r="I203" s="260"/>
      <c r="J203" s="260"/>
      <c r="K203" s="260" t="s">
        <v>1328</v>
      </c>
      <c r="L203" s="260" t="s">
        <v>2955</v>
      </c>
      <c r="M203" s="260" t="s">
        <v>2956</v>
      </c>
      <c r="N203" s="260" t="s">
        <v>111</v>
      </c>
      <c r="O203" s="260" t="s">
        <v>112</v>
      </c>
      <c r="P203" s="10">
        <v>0</v>
      </c>
      <c r="Q203" s="11">
        <v>116</v>
      </c>
      <c r="R203" s="9">
        <f t="shared" si="393"/>
        <v>51</v>
      </c>
      <c r="S203" s="11" t="str">
        <f>VLOOKUP(K203,'1124 Agricultura'!$K$13:$AK$25,9,0)</f>
        <v xml:space="preserve">Se hizo la entrega de 51 motos a la misma cantidad de municipios, como dotación los cuales ayudarán a lograr una mejor eficiencia en la prestación del servicio de asistencia técnica y extensión rural.
Se han realizado 7 actividades de transferencia de tecnología a través de las siguientes capacitaciones con el SENA
Eventos de divulgación tecnológica:
1. CONVERSATORIO PROCEDIMIENTO Y DOCUMENTACIÓN PARA LA  HABILITACIÓN EPSEAS- LEY 1876 Dictado en el municipio Fusagasugá donde participaron 120 personas curso con un costo estimado de $ 14.592.000
2. FORTALECIMIENTO DE CAPACIDADES PARA EXTENSIONISTAS dictado en el municipio de Chía donde participaron 212 personas curso con un costo estimado de $ 25.779.200
Extensionistas capacitados dirigido a los 116 municipios del departamento:
1. DIAGNOSTICO DE LA ZONA DE ESTUDIO, LA ORGANIZACION Y EMPRESA AGROPECUARIA RURAL: participaron 141 personas con un costo estimado de $ 17.145.600
2. ORIENTACION DE PLANES DE INTERVENCION EN LAS EMPRESAS U ORGANIZACIONES RURALES: participaron 291 personas con un costo estimado de $ 35.385.600
3. ELABORACION DEL PLAN DE INTERVENCION PARA LA PRESTACION DEL SERVICIO DE EXTENSION AGROPECUARIA: participaron 264 personas con un costo estimado de $ 32.102.400
4. IMPLEMENTACION DE PLANES COMUNITARIOS EN LAS ORGANIZACIONES RURALES: participaron 61 personas con un costo estimado de $ 7.296.000
Convocatoria de formación a extensionistas de Cundinamarca Tema: Diagnóstico de la zona de estudio, la organización y/o la empresa rural participaron 57 personas con un costo estimado de $ 6.931.200
Total Gestionado con el SENA $ 139.232.000
Así mismo  se desarrollaron 2 capacitaciones por medio de la ANDI de la siguiente manera:
1. Mentes fértiles participación de 120 productores de los municipios Agua de Dios, Viotá, Fosca, San Antonio de Tequendama, Silvana y El Rosal con un costo de $ 18.000.000
2. Cuidagro participación de 80 productores de los municipios de Paime, Pandi, Tocaima y Anapoima con un costo estimado de $ 12.000.000
Se aprobó por parte de la Asamblea Departamental mediante la ordenanza 061 de Agosto de 2021 el Plan Integral de Desarrollo Agropecuario y rural con Enfoque Territorial (PIDARET) el cual es una herramienta de planificación agropecuaria con proyección a 20 años.
Total Gestionado con la ANDI $ 30,000,000 </v>
      </c>
      <c r="T203" s="11">
        <v>0</v>
      </c>
      <c r="U203" s="11">
        <v>0</v>
      </c>
      <c r="V203" s="11">
        <v>0</v>
      </c>
      <c r="W203" s="11">
        <v>0</v>
      </c>
      <c r="X203" s="11">
        <v>0</v>
      </c>
      <c r="Y203" s="11">
        <v>0</v>
      </c>
      <c r="Z203" s="11">
        <v>0</v>
      </c>
      <c r="AA203" s="11"/>
      <c r="AB203" s="11"/>
      <c r="AC203" s="11"/>
      <c r="AD203" s="11">
        <v>43</v>
      </c>
      <c r="AE203" s="11">
        <v>0</v>
      </c>
      <c r="AF203" s="11">
        <f>VLOOKUP(K203,'1124 Agricultura'!$K$13:$AK$25,22,0)</f>
        <v>51</v>
      </c>
      <c r="AG203" s="11">
        <f>VLOOKUP(K203,'1124 Agricultura'!$K$13:$AK$25,23,0)</f>
        <v>0</v>
      </c>
      <c r="AH203" s="9">
        <f t="shared" si="394"/>
        <v>51</v>
      </c>
      <c r="AI203" s="9" t="str">
        <f>VLOOKUP(K203,'1124 Agricultura'!$K$13:$AK$25,25,0)</f>
        <v>Dotación de Motos para prestación de asistencia técnica</v>
      </c>
      <c r="AJ203" s="9" t="str">
        <f>VLOOKUP(K203,'1124 Agricultura'!$K$13:$AK$25,26,0)</f>
        <v xml:space="preserve">Se hizo la entrega de 51 motos como dotación a los municipios programados en la vigencia 2021 los cuales ayudarán a lograr una mejor eficiencia en la prestación del servicio de asistencia técnica y extensión rural. Se otorgó una adición de recursos para en el mes de diciembre hacer la entrega de motos en 4 municipios más. 
Se han realizado 7 actividades de transferencia de tecnología a través de las siguientes capacitaciones con el SENA
Eventos de divulgación tecnológica:
1.	CONVERSATORIO PROCEDIMIENTO Y DOCUMENTACIÓN PARA LA  HABILITACIÓN EPSEAS- LEY 1876 Dictado en el municipio Fusagasugá donde participaron 120 personas curso con un costo estimado de $ 14.592.000 
2.	FORTALECIMIENTO DE CAPACIDADES PARA EXTENSIONISTAS dictado en el municipio de Chía donde participaron 212 personas curso con un costo estimado de $ 25.779.200
Extensionistas capacitados dirigido a los 116 municipios del departamento:
1.	DIAGNOSTICO DE LA ZONA DE ESTUDIO, LA ORGANIZACION Y EMPRESA AGROPECUARIA RURAL: participaron 141 personas con un costo estimado de $ 17.145.600
2.	ORIENTACION DE PLANES DE INTERVENCION EN LAS EMPRESAS U ORGANIZACIONES RURALES: participaron 291 personas con un costo estimado de $ 35.385.600
3.	ELABORACION DEL PLAN DE INTERVENCION PARA LA PRESTACION DEL SERVICIO DE EXTENSION AGROPECUARIA: participaron 264 personas con un costo estimado de $ 32.102.400
4.	IMPLEMENTACION DE PLANES COMUNITARIOS EN LAS ORGANIZACIONES RURALES: participaron 61 personas con un costo estimado de $ 7.296.000
Convocatoria de formación a extensionistas de Cundinamarca Tema: Diagnóstico de la zona de estudio, la organización y/o la empresa rural participaron 57 personas con un costo estimado de $ 6.931.200
Total Gestionado con el SENA $ 139.232.000
Así mismo  se desarrollaron 2 capacitaciones por medio de la ANDI de la siguiente manera:
1.	Mentes fértiles participación de 120 productores de los municipios Agua de Dios, Viotá, Fosca, San Antonio de Tequendama, Silvana y El Rosal con un costo de $ 18.000.000
2.	Cuidagro participación de 80 productores de los municipios de Paime, Pandi, Tocaima y Anapoima con un costo estimado de $ 12.000.000
Total Gestionado con la ANDI: $ 30.000.000
Se aprobó por parte de la Asamblea Departamental mediante la ordenanza 061 de Agosto de 2021 el Plan Integral de Desarrollo Agropecuario y rural con Enfoque Territorial (PIDARET) el cual es una herramienta de planificación agropecuaria con proyección a 20 años.
</v>
      </c>
      <c r="AK203" s="9">
        <f>VLOOKUP(K203,'1124 Agricultura'!$K$13:$AK$25,27,0)</f>
        <v>0</v>
      </c>
      <c r="AL203" s="11">
        <v>47</v>
      </c>
      <c r="AM203" s="11">
        <v>0</v>
      </c>
      <c r="AN203" s="11">
        <v>26</v>
      </c>
      <c r="AO203" s="11">
        <v>0</v>
      </c>
      <c r="AP203" s="11">
        <v>0</v>
      </c>
      <c r="AQ203" s="11">
        <v>0</v>
      </c>
      <c r="AR203" s="52"/>
      <c r="AS203" s="54">
        <v>0</v>
      </c>
      <c r="AT203" s="54">
        <f t="shared" si="242"/>
        <v>0</v>
      </c>
      <c r="AU203" s="52"/>
      <c r="AV203" s="89">
        <v>822599916</v>
      </c>
      <c r="AY203" s="89">
        <v>0</v>
      </c>
      <c r="AZ203" s="42">
        <f t="shared" si="395"/>
        <v>0.43965517241379309</v>
      </c>
      <c r="BA203" s="44">
        <v>0</v>
      </c>
      <c r="BB203" s="44" t="s">
        <v>115</v>
      </c>
      <c r="BC203" s="42">
        <f t="shared" si="396"/>
        <v>0.37068965517241381</v>
      </c>
      <c r="BD203" s="42" cm="1">
        <f t="array" ref="BD203">_xlfn.IFS(AD203=0,"NA",AD203&gt;0,AH203/AD203)</f>
        <v>1.1860465116279071</v>
      </c>
      <c r="BE203" s="42">
        <f t="shared" si="397"/>
        <v>0.40517241379310343</v>
      </c>
      <c r="BF203" s="44">
        <v>0</v>
      </c>
      <c r="BG203" s="42">
        <f t="shared" si="398"/>
        <v>0.22413793103448276</v>
      </c>
      <c r="BH203" s="44">
        <v>0</v>
      </c>
      <c r="BI203" s="42">
        <f t="shared" si="399"/>
        <v>0</v>
      </c>
      <c r="BJ203" s="44" t="s">
        <v>115</v>
      </c>
      <c r="BK203" s="42">
        <f t="shared" si="243"/>
        <v>0.43965517241379309</v>
      </c>
      <c r="BL203" s="44" t="s">
        <v>115</v>
      </c>
      <c r="BM203" s="42" t="str" cm="1">
        <f t="array" ref="BM203">_xlfn.IFS(BD203="NA","NA",BD203&gt;100%,"100%",BD203&lt;100,BD203)</f>
        <v>100%</v>
      </c>
      <c r="BN203" s="42" cm="1">
        <f t="array" ref="BN203">_xlfn.IFS(BF203="NA","NA",BF203&gt;100%,"100%",BF203&lt;100,BF203)</f>
        <v>0</v>
      </c>
      <c r="BO203" s="42" cm="1">
        <f t="array" ref="BO203">_xlfn.IFS(BH203="NA","NA",BH203&gt;100%,"100%",BH203&lt;100,BH203)</f>
        <v>0</v>
      </c>
      <c r="BP203" s="42" t="str" cm="1">
        <f t="array" ref="BP203">_xlfn.IFS(BJ203="NA","NA",BJ203&gt;100%,"100%",BJ203&lt;100,BJ203)</f>
        <v>NA</v>
      </c>
      <c r="BQ203" s="45">
        <v>0.22500000000000001</v>
      </c>
      <c r="BR203" s="43">
        <f t="shared" si="244"/>
        <v>9.8922413793103445E-2</v>
      </c>
      <c r="BS203" s="45">
        <v>0</v>
      </c>
      <c r="BT203" s="45" t="s">
        <v>115</v>
      </c>
      <c r="BU203" s="45">
        <v>0</v>
      </c>
      <c r="BV203" s="43">
        <f t="shared" si="400"/>
        <v>8.3405172413793111E-2</v>
      </c>
      <c r="BW203" s="43">
        <f t="shared" si="245"/>
        <v>8.3405172413793111E-2</v>
      </c>
      <c r="BX203" s="43">
        <f t="shared" si="246"/>
        <v>9.8922413793103445E-2</v>
      </c>
      <c r="BY203" s="43">
        <f t="shared" si="401"/>
        <v>9.1163793103448285E-2</v>
      </c>
      <c r="BZ203" s="43">
        <f t="shared" si="402"/>
        <v>0</v>
      </c>
      <c r="CA203" s="43">
        <f t="shared" si="247"/>
        <v>0</v>
      </c>
      <c r="CB203" s="43">
        <f t="shared" si="403"/>
        <v>5.0431034482758624E-2</v>
      </c>
      <c r="CC203" s="43">
        <f t="shared" si="404"/>
        <v>0</v>
      </c>
      <c r="CD203" s="45">
        <v>0</v>
      </c>
      <c r="CE203" s="43">
        <f t="shared" si="405"/>
        <v>0</v>
      </c>
      <c r="CF203" s="43" t="str">
        <f t="shared" si="406"/>
        <v>NA</v>
      </c>
      <c r="CG203" s="45">
        <v>0</v>
      </c>
    </row>
    <row r="204" spans="1:90" ht="18" customHeight="1">
      <c r="A204" s="260" t="s">
        <v>1302</v>
      </c>
      <c r="B204" s="260" t="s">
        <v>1303</v>
      </c>
      <c r="C204" s="260" t="s">
        <v>1286</v>
      </c>
      <c r="D204" s="260" t="s">
        <v>1287</v>
      </c>
      <c r="E204" s="260" t="s">
        <v>1288</v>
      </c>
      <c r="F204" s="260" t="s">
        <v>1325</v>
      </c>
      <c r="G204" s="260" t="s">
        <v>1326</v>
      </c>
      <c r="H204" s="260" t="s">
        <v>1331</v>
      </c>
      <c r="I204" s="260"/>
      <c r="J204" s="260"/>
      <c r="K204" s="260" t="s">
        <v>1332</v>
      </c>
      <c r="L204" s="260" t="s">
        <v>1333</v>
      </c>
      <c r="M204" s="260" t="s">
        <v>1334</v>
      </c>
      <c r="N204" s="260" t="s">
        <v>111</v>
      </c>
      <c r="O204" s="260" t="s">
        <v>112</v>
      </c>
      <c r="P204" s="10">
        <v>25</v>
      </c>
      <c r="Q204" s="11">
        <v>8</v>
      </c>
      <c r="R204" s="9">
        <f t="shared" si="393"/>
        <v>0</v>
      </c>
      <c r="S204" s="11" t="str">
        <f>VLOOKUP(K204,'1124 Agricultura'!$K$13:$AK$25,9,0)</f>
        <v>Se hicieron las cotizaciones las cuales llegaron muy costosas y se determinó volver a solicitar otras por SECOP y estamos en el proceso de realizar los pliegos para la subasta inversa proceso en comité de contratación.</v>
      </c>
      <c r="T204" s="11">
        <v>0</v>
      </c>
      <c r="U204" s="11">
        <v>0</v>
      </c>
      <c r="V204" s="11">
        <v>0</v>
      </c>
      <c r="W204" s="11">
        <v>0</v>
      </c>
      <c r="X204" s="11">
        <v>0</v>
      </c>
      <c r="Y204" s="11">
        <v>0</v>
      </c>
      <c r="Z204" s="11">
        <v>0</v>
      </c>
      <c r="AA204" s="11"/>
      <c r="AB204" s="11"/>
      <c r="AC204" s="11"/>
      <c r="AD204" s="11">
        <v>4</v>
      </c>
      <c r="AE204" s="11">
        <v>0</v>
      </c>
      <c r="AF204" s="11">
        <f>VLOOKUP(K204,'1124 Agricultura'!$K$13:$AK$25,22,0)</f>
        <v>0</v>
      </c>
      <c r="AG204" s="11">
        <f>VLOOKUP(K204,'1124 Agricultura'!$K$13:$AK$25,23,0)</f>
        <v>0</v>
      </c>
      <c r="AH204" s="9">
        <f t="shared" si="394"/>
        <v>0</v>
      </c>
      <c r="AI204" s="9">
        <f>VLOOKUP(K204,'1124 Agricultura'!$K$13:$AK$25,25,0)</f>
        <v>0</v>
      </c>
      <c r="AJ204" s="9" t="str">
        <f>VLOOKUP(K204,'1124 Agricultura'!$K$13:$AK$25,26,0)</f>
        <v>Se realizó la subasta inversa y se determinó el tercero a contratar. Se estima la firma del contrato el 6 de diciembre de 2021 y la entrega de suministros antes de finalizar el mes de diciembre</v>
      </c>
      <c r="AK204" s="9">
        <f>VLOOKUP(K204,'1124 Agricultura'!$K$13:$AK$25,27,0)</f>
        <v>0</v>
      </c>
      <c r="AL204" s="11">
        <v>2</v>
      </c>
      <c r="AM204" s="11">
        <v>0</v>
      </c>
      <c r="AN204" s="11">
        <v>2</v>
      </c>
      <c r="AO204" s="11">
        <v>0</v>
      </c>
      <c r="AP204" s="11">
        <v>0</v>
      </c>
      <c r="AQ204" s="11">
        <v>0</v>
      </c>
      <c r="AR204" s="52"/>
      <c r="AS204" s="54">
        <v>0</v>
      </c>
      <c r="AT204" s="54">
        <f t="shared" si="242"/>
        <v>0</v>
      </c>
      <c r="AU204" s="52"/>
      <c r="AV204" s="89">
        <v>596000000</v>
      </c>
      <c r="AY204" s="89">
        <v>0</v>
      </c>
      <c r="AZ204" s="42">
        <f t="shared" si="395"/>
        <v>0</v>
      </c>
      <c r="BA204" s="44">
        <v>0</v>
      </c>
      <c r="BB204" s="44" t="s">
        <v>115</v>
      </c>
      <c r="BC204" s="42">
        <f t="shared" si="396"/>
        <v>0.5</v>
      </c>
      <c r="BD204" s="42" cm="1">
        <f t="array" ref="BD204">_xlfn.IFS(AD204=0,"NA",AD204&gt;0,AH204/AD204)</f>
        <v>0</v>
      </c>
      <c r="BE204" s="42">
        <f t="shared" si="397"/>
        <v>0.25</v>
      </c>
      <c r="BF204" s="44">
        <v>0</v>
      </c>
      <c r="BG204" s="42">
        <f t="shared" si="398"/>
        <v>0.25</v>
      </c>
      <c r="BH204" s="44">
        <v>0</v>
      </c>
      <c r="BI204" s="42">
        <f t="shared" si="399"/>
        <v>0</v>
      </c>
      <c r="BJ204" s="44" t="s">
        <v>115</v>
      </c>
      <c r="BK204" s="42">
        <f t="shared" si="243"/>
        <v>0</v>
      </c>
      <c r="BL204" s="44" t="s">
        <v>115</v>
      </c>
      <c r="BM204" s="42" cm="1">
        <f t="array" ref="BM204">_xlfn.IFS(BD204="NA","NA",BD204&gt;100%,"100%",BD204&lt;100,BD204)</f>
        <v>0</v>
      </c>
      <c r="BN204" s="42" cm="1">
        <f t="array" ref="BN204">_xlfn.IFS(BF204="NA","NA",BF204&gt;100%,"100%",BF204&lt;100,BF204)</f>
        <v>0</v>
      </c>
      <c r="BO204" s="42" cm="1">
        <f t="array" ref="BO204">_xlfn.IFS(BH204="NA","NA",BH204&gt;100%,"100%",BH204&lt;100,BH204)</f>
        <v>0</v>
      </c>
      <c r="BP204" s="42" t="str" cm="1">
        <f t="array" ref="BP204">_xlfn.IFS(BJ204="NA","NA",BJ204&gt;100%,"100%",BJ204&lt;100,BJ204)</f>
        <v>NA</v>
      </c>
      <c r="BQ204" s="45">
        <v>0.22500000000000001</v>
      </c>
      <c r="BR204" s="43">
        <f t="shared" si="244"/>
        <v>0</v>
      </c>
      <c r="BS204" s="45">
        <v>0</v>
      </c>
      <c r="BT204" s="45" t="s">
        <v>115</v>
      </c>
      <c r="BU204" s="45">
        <v>0</v>
      </c>
      <c r="BV204" s="43">
        <f t="shared" si="400"/>
        <v>0.1125</v>
      </c>
      <c r="BW204" s="43">
        <f t="shared" si="245"/>
        <v>0</v>
      </c>
      <c r="BX204" s="43">
        <f t="shared" si="246"/>
        <v>0</v>
      </c>
      <c r="BY204" s="43">
        <f t="shared" si="401"/>
        <v>5.6250000000000001E-2</v>
      </c>
      <c r="BZ204" s="43">
        <f t="shared" si="402"/>
        <v>0</v>
      </c>
      <c r="CA204" s="43">
        <f t="shared" si="247"/>
        <v>0</v>
      </c>
      <c r="CB204" s="43">
        <f t="shared" si="403"/>
        <v>5.6250000000000001E-2</v>
      </c>
      <c r="CC204" s="43">
        <f t="shared" si="404"/>
        <v>0</v>
      </c>
      <c r="CD204" s="45">
        <v>0</v>
      </c>
      <c r="CE204" s="43">
        <f t="shared" si="405"/>
        <v>0</v>
      </c>
      <c r="CF204" s="43" t="str">
        <f t="shared" si="406"/>
        <v>NA</v>
      </c>
      <c r="CG204" s="45">
        <v>0</v>
      </c>
    </row>
    <row r="205" spans="1:90" ht="18" customHeight="1">
      <c r="A205" s="260" t="s">
        <v>1302</v>
      </c>
      <c r="B205" s="260" t="s">
        <v>1303</v>
      </c>
      <c r="C205" s="260" t="s">
        <v>1286</v>
      </c>
      <c r="D205" s="260" t="s">
        <v>1287</v>
      </c>
      <c r="E205" s="260" t="s">
        <v>1288</v>
      </c>
      <c r="F205" s="260" t="s">
        <v>1325</v>
      </c>
      <c r="G205" s="260" t="s">
        <v>1326</v>
      </c>
      <c r="H205" s="260" t="s">
        <v>1335</v>
      </c>
      <c r="I205" s="260"/>
      <c r="J205" s="260"/>
      <c r="K205" s="260" t="s">
        <v>1336</v>
      </c>
      <c r="L205" s="260" t="s">
        <v>2957</v>
      </c>
      <c r="M205" s="260" t="s">
        <v>2958</v>
      </c>
      <c r="N205" s="260" t="s">
        <v>111</v>
      </c>
      <c r="O205" s="260" t="s">
        <v>112</v>
      </c>
      <c r="P205" s="10">
        <v>88</v>
      </c>
      <c r="Q205" s="11">
        <v>116</v>
      </c>
      <c r="R205" s="9">
        <f t="shared" si="393"/>
        <v>13</v>
      </c>
      <c r="S205" s="11" t="str">
        <f>VLOOKUP(K205,'1124 Agricultura'!$K$13:$AK$25,9,0)</f>
        <v>Se han entregado 13 Bancos de Maquinaria de los cuales 5 fueron gestionados con el Ministerio de Agricultura los cuales fueron entregados en: Cachipay, Nemocón, Tibirita, Ubate, Villeta, Gachancipa, La Calera, La Palma, Sesquilé, Simijaca, Suesca y Zipaquirá</v>
      </c>
      <c r="T205" s="11">
        <v>10</v>
      </c>
      <c r="U205" s="11">
        <v>0</v>
      </c>
      <c r="V205" s="11">
        <v>13</v>
      </c>
      <c r="W205" s="11">
        <v>0</v>
      </c>
      <c r="X205" s="11">
        <v>13</v>
      </c>
      <c r="Y205" s="11">
        <v>0</v>
      </c>
      <c r="Z205" s="11">
        <v>13</v>
      </c>
      <c r="AA205" s="11" t="s">
        <v>1339</v>
      </c>
      <c r="AB205" s="11" t="s">
        <v>1340</v>
      </c>
      <c r="AC205" s="11">
        <v>0</v>
      </c>
      <c r="AD205" s="11">
        <v>50</v>
      </c>
      <c r="AE205" s="11">
        <v>0</v>
      </c>
      <c r="AF205" s="11">
        <f>VLOOKUP(K205,'1124 Agricultura'!$K$13:$AK$25,22,0)</f>
        <v>0</v>
      </c>
      <c r="AG205" s="11">
        <f>VLOOKUP(K205,'1124 Agricultura'!$K$13:$AK$25,23,0)</f>
        <v>0</v>
      </c>
      <c r="AH205" s="9">
        <f t="shared" si="394"/>
        <v>0</v>
      </c>
      <c r="AI205" s="9">
        <f>VLOOKUP(K205,'1124 Agricultura'!$K$13:$AK$25,25,0)</f>
        <v>0</v>
      </c>
      <c r="AJ205" s="9" t="str">
        <f>VLOOKUP(K205,'1124 Agricultura'!$K$13:$AK$25,26,0)</f>
        <v>Se subieron los pliegos al SECOP para realizar la subasta inversa la cual se estima realizar el 6 de diciembre para firmar contrato aproximadamente el 10 de diciembre y entregar los kits antes de finalizar el mes de diciembre</v>
      </c>
      <c r="AK205" s="9">
        <f>VLOOKUP(K205,'1124 Agricultura'!$K$13:$AK$25,27,0)</f>
        <v>0</v>
      </c>
      <c r="AL205" s="11">
        <v>50</v>
      </c>
      <c r="AM205" s="11">
        <v>0</v>
      </c>
      <c r="AN205" s="11">
        <v>3</v>
      </c>
      <c r="AO205" s="11">
        <v>0</v>
      </c>
      <c r="AP205" s="11">
        <v>0</v>
      </c>
      <c r="AQ205" s="11">
        <v>0</v>
      </c>
      <c r="AR205" s="51">
        <v>1999318687</v>
      </c>
      <c r="AS205" s="54">
        <v>0</v>
      </c>
      <c r="AT205" s="54">
        <f t="shared" ref="AT205:AT268" si="407">AR205+AS205</f>
        <v>1999318687</v>
      </c>
      <c r="AU205" s="51">
        <v>1999318687</v>
      </c>
      <c r="AV205" s="89">
        <v>1774000000</v>
      </c>
      <c r="AY205" s="89">
        <v>0</v>
      </c>
      <c r="AZ205" s="42">
        <f t="shared" si="395"/>
        <v>0.11206896551724138</v>
      </c>
      <c r="BA205" s="44">
        <v>0.11210000000000001</v>
      </c>
      <c r="BB205" s="44">
        <v>1</v>
      </c>
      <c r="BC205" s="42">
        <f t="shared" si="396"/>
        <v>0.43103448275862066</v>
      </c>
      <c r="BD205" s="42" cm="1">
        <f t="array" ref="BD205">_xlfn.IFS(AD205=0,"NA",AD205&gt;0,AH205/AD205)</f>
        <v>0</v>
      </c>
      <c r="BE205" s="42">
        <f t="shared" si="397"/>
        <v>0.43103448275862066</v>
      </c>
      <c r="BF205" s="44">
        <v>0</v>
      </c>
      <c r="BG205" s="42">
        <f t="shared" si="398"/>
        <v>2.5862068965517241E-2</v>
      </c>
      <c r="BH205" s="44">
        <v>0</v>
      </c>
      <c r="BI205" s="42">
        <f t="shared" si="399"/>
        <v>0</v>
      </c>
      <c r="BJ205" s="44" t="s">
        <v>115</v>
      </c>
      <c r="BK205" s="42">
        <f t="shared" ref="BK205:BK268" si="408">IF(AZ205&gt;100%,"100%",AZ205)</f>
        <v>0.11206896551724138</v>
      </c>
      <c r="BL205" s="44">
        <v>1</v>
      </c>
      <c r="BM205" s="42" cm="1">
        <f t="array" ref="BM205">_xlfn.IFS(BD205="NA","NA",BD205&gt;100%,"100%",BD205&lt;100,BD205)</f>
        <v>0</v>
      </c>
      <c r="BN205" s="42" cm="1">
        <f t="array" ref="BN205">_xlfn.IFS(BF205="NA","NA",BF205&gt;100%,"100%",BF205&lt;100,BF205)</f>
        <v>0</v>
      </c>
      <c r="BO205" s="42" cm="1">
        <f t="array" ref="BO205">_xlfn.IFS(BH205="NA","NA",BH205&gt;100%,"100%",BH205&lt;100,BH205)</f>
        <v>0</v>
      </c>
      <c r="BP205" s="42" t="str" cm="1">
        <f t="array" ref="BP205">_xlfn.IFS(BJ205="NA","NA",BJ205&gt;100%,"100%",BJ205&lt;100,BJ205)</f>
        <v>NA</v>
      </c>
      <c r="BQ205" s="45">
        <v>0.22500000000000001</v>
      </c>
      <c r="BR205" s="43">
        <f t="shared" ref="BR205:BR268" si="409">BQ205*BK205</f>
        <v>2.5215517241379312E-2</v>
      </c>
      <c r="BS205" s="45">
        <v>2.52E-2</v>
      </c>
      <c r="BT205" s="45">
        <v>2.52E-2</v>
      </c>
      <c r="BU205" s="45">
        <v>2.52E-2</v>
      </c>
      <c r="BV205" s="43">
        <f t="shared" si="400"/>
        <v>9.6982758620689655E-2</v>
      </c>
      <c r="BW205" s="43">
        <f t="shared" ref="BW205:BW268" si="410">IF(BM205="NA","NA",BM205*BV205)</f>
        <v>0</v>
      </c>
      <c r="BX205" s="43">
        <f t="shared" ref="BX205:BX268" si="411">BR205-BU205</f>
        <v>1.5517241379311986E-5</v>
      </c>
      <c r="BY205" s="43">
        <f t="shared" si="401"/>
        <v>9.6982758620689655E-2</v>
      </c>
      <c r="BZ205" s="43">
        <f t="shared" si="402"/>
        <v>0</v>
      </c>
      <c r="CA205" s="43">
        <f t="shared" ref="CA205:CA268" si="412">BR205-BU205-BX205</f>
        <v>0</v>
      </c>
      <c r="CB205" s="43">
        <f t="shared" si="403"/>
        <v>5.8189655172413797E-3</v>
      </c>
      <c r="CC205" s="43">
        <f t="shared" si="404"/>
        <v>0</v>
      </c>
      <c r="CD205" s="45">
        <v>0</v>
      </c>
      <c r="CE205" s="43">
        <f t="shared" si="405"/>
        <v>0</v>
      </c>
      <c r="CF205" s="43" t="str">
        <f t="shared" si="406"/>
        <v>NA</v>
      </c>
      <c r="CG205" s="45">
        <v>0</v>
      </c>
    </row>
    <row r="206" spans="1:90" ht="18" customHeight="1">
      <c r="A206" s="260" t="s">
        <v>1302</v>
      </c>
      <c r="B206" s="260" t="s">
        <v>1303</v>
      </c>
      <c r="C206" s="260" t="s">
        <v>1286</v>
      </c>
      <c r="D206" s="260" t="s">
        <v>1287</v>
      </c>
      <c r="E206" s="260" t="s">
        <v>1288</v>
      </c>
      <c r="F206" s="260" t="s">
        <v>1325</v>
      </c>
      <c r="G206" s="260" t="s">
        <v>1326</v>
      </c>
      <c r="H206" s="260" t="s">
        <v>1341</v>
      </c>
      <c r="I206" s="260"/>
      <c r="J206" s="260"/>
      <c r="K206" s="260" t="s">
        <v>1342</v>
      </c>
      <c r="L206" s="260" t="s">
        <v>1343</v>
      </c>
      <c r="M206" s="260" t="s">
        <v>1344</v>
      </c>
      <c r="N206" s="260" t="s">
        <v>111</v>
      </c>
      <c r="O206" s="260" t="s">
        <v>112</v>
      </c>
      <c r="P206" s="10">
        <v>485</v>
      </c>
      <c r="Q206" s="11">
        <v>2000</v>
      </c>
      <c r="R206" s="9">
        <f t="shared" si="393"/>
        <v>0</v>
      </c>
      <c r="S206" s="11" t="str">
        <f>VLOOKUP(K206,'1124 Agricultura'!$K$13:$AK$25,9,0)</f>
        <v>Ya se firmó el contrato con la Inmobiliaria de Cundinamarca y está en ejecución, frente al memorando de entendimiento se solicitó a la Agencia incorporar no solo a la Secretaria de Agricultura y Desarrollo Rural sino también a la Inmobiliaria de Cundinamarca y la Agencia Catastral de Cundinamarca, a la fecha la Inmobiliaria está realizando algunos ajustes al respectivo memorando. Así mismo la Inmobiliaria está evaluando la información que se entregó  de los cuales hay 351 viables y también están verificando la información que fue suministrada por los municipios de Tibirita, Cachipay, Villeta, Suesca, Nemocón y Gutiérrez</v>
      </c>
      <c r="T206" s="11">
        <v>0</v>
      </c>
      <c r="U206" s="11">
        <v>0</v>
      </c>
      <c r="V206" s="11">
        <v>0</v>
      </c>
      <c r="W206" s="11">
        <v>0</v>
      </c>
      <c r="X206" s="11">
        <v>0</v>
      </c>
      <c r="Y206" s="11">
        <v>0</v>
      </c>
      <c r="Z206" s="11">
        <v>0</v>
      </c>
      <c r="AA206" s="11"/>
      <c r="AB206" s="11"/>
      <c r="AC206" s="11"/>
      <c r="AD206" s="11">
        <v>900</v>
      </c>
      <c r="AE206" s="11">
        <v>0</v>
      </c>
      <c r="AF206" s="11">
        <f>VLOOKUP(K206,'1124 Agricultura'!$K$13:$AK$25,22,0)</f>
        <v>0</v>
      </c>
      <c r="AG206" s="11">
        <f>VLOOKUP(K206,'1124 Agricultura'!$K$13:$AK$25,23,0)</f>
        <v>0</v>
      </c>
      <c r="AH206" s="9">
        <f t="shared" si="394"/>
        <v>0</v>
      </c>
      <c r="AI206" s="9">
        <f>VLOOKUP(K206,'1124 Agricultura'!$K$13:$AK$25,25,0)</f>
        <v>0</v>
      </c>
      <c r="AJ206" s="9" t="str">
        <f>VLOOKUP(K206,'1124 Agricultura'!$K$13:$AK$25,26,0)</f>
        <v>Contrato que se suscribió con la Inmobiliaria de Cundinamarca el cual está en ejecución, frente al memorando de entendimiento se solicitó a la Agencia incorporar no solo a la Secretaria de Agricultura y Desarrollo Rural sino también a la Inmobiliaria de Cundinamarca y la Agencia Catastral de Cundinamarca, a la fecha la Inmobiliaria está realizando algunos ajustes al respectivo memorando. Así mismo la Inmobiliaria evaluó la información de 266 documentos entregados de los municipios Tibirita, Cachipay, Villeta, Suesca, Nemocón, Bituima, Nilo y Gutierrez de los cuales solo salieron viables 104 así: Tibirita (no viables), Cachipay (52 viables) , Villeta (10 viables), Suesca (8 viables), Nemocón (18 viables), Bituima (2 viables), Nilo (14 viables)  y Gutiérrez (no viables) por otro lado se entregaron otros 351 documentos que ya están viables pero en la revisión realizada indicaron que se pueden formalizar este año solo aproximadamente 16.</v>
      </c>
      <c r="AK206" s="9">
        <f>VLOOKUP(K206,'1124 Agricultura'!$K$13:$AK$25,27,0)</f>
        <v>0</v>
      </c>
      <c r="AL206" s="11">
        <v>900</v>
      </c>
      <c r="AM206" s="11">
        <v>0</v>
      </c>
      <c r="AN206" s="11">
        <v>200</v>
      </c>
      <c r="AO206" s="11">
        <v>0</v>
      </c>
      <c r="AP206" s="11">
        <v>0</v>
      </c>
      <c r="AQ206" s="11">
        <v>0</v>
      </c>
      <c r="AR206" s="52"/>
      <c r="AS206" s="54">
        <v>0</v>
      </c>
      <c r="AT206" s="54">
        <f t="shared" si="407"/>
        <v>0</v>
      </c>
      <c r="AU206" s="52"/>
      <c r="AV206" s="89">
        <v>696000000</v>
      </c>
      <c r="AY206" s="89">
        <v>0</v>
      </c>
      <c r="AZ206" s="42">
        <f t="shared" si="395"/>
        <v>0</v>
      </c>
      <c r="BA206" s="44">
        <v>0</v>
      </c>
      <c r="BB206" s="44" t="s">
        <v>115</v>
      </c>
      <c r="BC206" s="42">
        <f t="shared" si="396"/>
        <v>0.45</v>
      </c>
      <c r="BD206" s="42" cm="1">
        <f t="array" ref="BD206">_xlfn.IFS(AD206=0,"NA",AD206&gt;0,AH206/AD206)</f>
        <v>0</v>
      </c>
      <c r="BE206" s="42">
        <f t="shared" si="397"/>
        <v>0.45</v>
      </c>
      <c r="BF206" s="44">
        <v>0</v>
      </c>
      <c r="BG206" s="42">
        <f t="shared" si="398"/>
        <v>0.1</v>
      </c>
      <c r="BH206" s="44">
        <v>0</v>
      </c>
      <c r="BI206" s="42">
        <f t="shared" si="399"/>
        <v>0</v>
      </c>
      <c r="BJ206" s="44" t="s">
        <v>115</v>
      </c>
      <c r="BK206" s="42">
        <f t="shared" si="408"/>
        <v>0</v>
      </c>
      <c r="BL206" s="44" t="s">
        <v>115</v>
      </c>
      <c r="BM206" s="42" cm="1">
        <f t="array" ref="BM206">_xlfn.IFS(BD206="NA","NA",BD206&gt;100%,"100%",BD206&lt;100,BD206)</f>
        <v>0</v>
      </c>
      <c r="BN206" s="42" cm="1">
        <f t="array" ref="BN206">_xlfn.IFS(BF206="NA","NA",BF206&gt;100%,"100%",BF206&lt;100,BF206)</f>
        <v>0</v>
      </c>
      <c r="BO206" s="42" cm="1">
        <f t="array" ref="BO206">_xlfn.IFS(BH206="NA","NA",BH206&gt;100%,"100%",BH206&lt;100,BH206)</f>
        <v>0</v>
      </c>
      <c r="BP206" s="42" t="str" cm="1">
        <f t="array" ref="BP206">_xlfn.IFS(BJ206="NA","NA",BJ206&gt;100%,"100%",BJ206&lt;100,BJ206)</f>
        <v>NA</v>
      </c>
      <c r="BQ206" s="45">
        <v>0.22500000000000001</v>
      </c>
      <c r="BR206" s="43">
        <f t="shared" si="409"/>
        <v>0</v>
      </c>
      <c r="BS206" s="45">
        <v>0</v>
      </c>
      <c r="BT206" s="45" t="s">
        <v>115</v>
      </c>
      <c r="BU206" s="45">
        <v>0</v>
      </c>
      <c r="BV206" s="43">
        <f t="shared" si="400"/>
        <v>0.10125000000000001</v>
      </c>
      <c r="BW206" s="43">
        <f t="shared" si="410"/>
        <v>0</v>
      </c>
      <c r="BX206" s="43">
        <f t="shared" si="411"/>
        <v>0</v>
      </c>
      <c r="BY206" s="43">
        <f t="shared" si="401"/>
        <v>0.10125000000000001</v>
      </c>
      <c r="BZ206" s="43">
        <f t="shared" si="402"/>
        <v>0</v>
      </c>
      <c r="CA206" s="43">
        <f t="shared" si="412"/>
        <v>0</v>
      </c>
      <c r="CB206" s="43">
        <f t="shared" si="403"/>
        <v>2.2499999999999999E-2</v>
      </c>
      <c r="CC206" s="43">
        <f t="shared" si="404"/>
        <v>0</v>
      </c>
      <c r="CD206" s="45">
        <v>0</v>
      </c>
      <c r="CE206" s="43">
        <f t="shared" si="405"/>
        <v>0</v>
      </c>
      <c r="CF206" s="43" t="str">
        <f t="shared" si="406"/>
        <v>NA</v>
      </c>
      <c r="CG206" s="45">
        <v>0</v>
      </c>
    </row>
    <row r="207" spans="1:90" ht="18" customHeight="1">
      <c r="A207" s="260" t="s">
        <v>1310</v>
      </c>
      <c r="B207" s="260" t="s">
        <v>1311</v>
      </c>
      <c r="C207" s="260" t="s">
        <v>1286</v>
      </c>
      <c r="D207" s="260" t="s">
        <v>1287</v>
      </c>
      <c r="E207" s="260" t="s">
        <v>1288</v>
      </c>
      <c r="F207" s="260" t="s">
        <v>1325</v>
      </c>
      <c r="G207" s="260" t="s">
        <v>1326</v>
      </c>
      <c r="H207" s="260" t="s">
        <v>1345</v>
      </c>
      <c r="I207" s="260"/>
      <c r="J207" s="260"/>
      <c r="K207" s="260" t="s">
        <v>1346</v>
      </c>
      <c r="L207" s="260" t="s">
        <v>1347</v>
      </c>
      <c r="M207" s="260" t="s">
        <v>1348</v>
      </c>
      <c r="N207" s="260" t="s">
        <v>111</v>
      </c>
      <c r="O207" s="260" t="s">
        <v>112</v>
      </c>
      <c r="P207" s="10">
        <v>15979</v>
      </c>
      <c r="Q207" s="11">
        <v>30000</v>
      </c>
      <c r="R207" s="9">
        <f t="shared" ca="1" si="393"/>
        <v>9439</v>
      </c>
      <c r="S207" s="11" t="str">
        <f ca="1">VLOOKUP(K207,'1120 Competitividad'!$K$13:$AK$51,9,0)</f>
        <v>3000 UNIDADES  PRODUCTIVAS  AGROPECUARIAS  DE  LOS SISTEMAS    DE CACAO (80) SAGU (64)  , PAPA (253)  FRUTALES Y HORTALIZAS (580)  , CAFÉ 152 , CAÑA 34,  PRADERAS (68), CULTIVOS TRANSITORIOS (35),APICOLA (10) ,GANADERÍA ( 1375 )   CON ACOMPAÑAMIENTO PROFESIONAL,   CAPACITADOS   CON TRANSFERENCIA DE TECNOLOGÍA Y   SUMINISTRO DE  MATERIALES E INSUMOS  PARA MEJORAR LAS CONDICIONES DE PRODUCTIVIDAD DE LOS MISMOS.
SE ADQUIRIERON  750.000 KILOS DE PAPA DE 53 UNIDADES PRODUCTIVAS COMO APOYO A LA CRISIS  ECONÓMICA DE ESTE SECTOR.
SE APOYARON 296 ASOCIACIONES CON APORTE ECONÓMICO  PARA LA ADQUISICIÓN DE MATERIALES , EQUIPOS , INSUMOS PARA FORTALECIMIENTO DE SUS SISTEMAS PRODUCTIVOS .</v>
      </c>
      <c r="T207" s="11">
        <v>5000</v>
      </c>
      <c r="U207" s="11">
        <v>0</v>
      </c>
      <c r="V207" s="11">
        <v>3000</v>
      </c>
      <c r="W207" s="11">
        <v>0</v>
      </c>
      <c r="X207" s="11">
        <v>3000</v>
      </c>
      <c r="Y207" s="11">
        <v>0</v>
      </c>
      <c r="Z207" s="11">
        <v>3000</v>
      </c>
      <c r="AA207" s="11" t="s">
        <v>1349</v>
      </c>
      <c r="AB207" s="11" t="s">
        <v>1350</v>
      </c>
      <c r="AC207" s="11">
        <v>0</v>
      </c>
      <c r="AD207" s="11">
        <v>10500</v>
      </c>
      <c r="AE207" s="11">
        <v>0</v>
      </c>
      <c r="AF207" s="11">
        <f ca="1">VLOOKUP(K207,'1120 Competitividad'!$K$13:$AK$51,22,0)</f>
        <v>6439</v>
      </c>
      <c r="AG207" s="11">
        <f ca="1">VLOOKUP(K207,'1120 Competitividad'!$K$13:$AK$51,23,0)</f>
        <v>0</v>
      </c>
      <c r="AH207" s="9">
        <f t="shared" ca="1" si="394"/>
        <v>6439</v>
      </c>
      <c r="AI207" s="9" t="str">
        <f ca="1">VLOOKUP(K207,'1120 Competitividad'!$K$13:$AK$51,25,0)</f>
        <v>1.Mejoramiento de habilidades personales 2. Apoyo a la producción con el suministro de : Insumos agropecuarios ( semillas, material vegetal, abonos,fertilizantes , embriones entre otros.3. Maquinaria y equipos Pecuarios : Tanques de enfriamiento de leche, Plantas eléctricas, Tina para recolección de leche,  Equipos de ordeño, Equipos analizadores de leche, Maquina llenadora y selladora, Selladora rotativa, Marmitas, Calderas,  Ecógrafos portátil,  Termos de inseminación artificial y kits inseminación artificial,  Bretes y básculas para pesaje de ganado,  Picadoras de pastos y forrajes, Guadañas, Motobombas para agua, Fumigadoras, Cercas eléctricas, Bebederos de agua para ganado, Rollos de manguera para riego, Cantinas y kits de higienización para leche 4. Apoyo con equipos paneleros.5 Apoyo maquinaria Agricola : 57 Tractores, 13 Rotovator, 15  arado de cincel, 1 cosechadora, 8 renovadores ,9 ensiladoras, 16 remolques, 1 desbrozadora,1 vagon,  2 cargadores frontal, 1 retroexcavadora al tractor,2 embutidora tipo silopress,2 rastra preparadora del suelo .6  Sostenimiento cacao: 700 Asistencias técnicas, 100 Instalaciones con tanque de 500 litros incluye tapa, sistema de entrada para manguera y salida para manguera, válvula de bola - PVC 1/2" y flotador de paso de agua, 200 rollos Manguera Polietileno 1/2" 16 mm Calibre 40 X 100 Metros - Riego por 200 metros, 15000 litros de Acondicionador de suelos, 4000 litros de EM, 100 Serruchos, 1400 bultos de 50 Kg de fertilizante granulado fosfato diamonico – DAP, 200 Bultos de 50 Kg de fertilizante granulado cloruro de potasio – KCL, 140 litros Fertilización orgánica mineral, 2000 bultos de Acondicionador orgánico de suelos granulado (materia orgánica - compost), 400 litros de Solución orgánica polivalente, 300 bultos de Cal dolomita y global transporte insumos. 7.Sostenimiento Sagú: 700 Asistencias técnicas, 100 Instalaciones con tanque de 500 litros incluye tapa, sistema de entrada para manguera y salida para manguera, válvula de bola - PVC 1/2"  y flotador de paso de agua, 200 rollos de Manguera Polietileno 1/2" 16 Mm Calibre 40 X 100 Metros - Riego por 200 metros, 15000 litros de Acondicionador de suelos, 4400 litros de Microorganismos eficientes EM, 200 Bultos de 50 Kg de fertilizante granulado cloruro de potasio – KCL, 1600 Fertilización orgánica mineral, 1800 bultos de Acondicionador orgánico de suelos granulado (materia orgánica - compost), 400 litros de Solución orgánica polivalente, 600 bultos de Cal dolomita y global transporte insumos. 8.Sostenimiento Fríjol:  848 Asistencias técnicas, 4240 kilos de Semilla fríjol, 106 Instalaciones con tanque de 500 litros incluye tapa, sistema de entrada para manguera y salida para manguera, válvula de bola - PVC 1/2"  y flotador de paso de agua, 212 rollos de Manguera Polietileno 1/2" 16 Mm Calibre 40 X 100 Metros - Riego por 200 metros, 15900 litros de Acondicionador de suelos, 4664 litros de Microorganismos eficientes EM, 848 Bultos de 50 Kg de fertilizante granulado fosfato diamonico – DAP,   106 Bultos de 50 Kg de fertilizante granulado fosfato diamonico – DAP, 106 Bultos de 50 Kg de fertilizante granulado cloruro de potasio – KCL, 208 Fertilización orgánica mineral,  212 litros de Solución orgánica polivalente, 212 Bultos de 50 Kg de fertilizante granulado Urea, 318 bultos de Cal dolomita, 424 rollos de Hilaza y global transporte insumos. 9.Sostenimiento Papa: 2430 Asistencias técnicas, 1620 bultos fertilizante granulado triple 15, 2025 litros de Fertilización orgánica mineral y global Transporte Insumos.10.Núcleos apícolas: 120 Asistencias técnicas incluye montaje, 120 Carteles de peligro abejas - cartel genérico para señalizar mielerias, salas de extracción, almacenes, naves, etc. y cualquier local o lugar relacionado con la apicultura donde sea necesario. Medidas 25x35cm. Lamina de PVC o polipropileno de 3 mm, 120 núcleos de cuatro marcos de cría y alimento, 1 kilogramo de abejas aproximadamente y una reina joven, fecundada y marcada, 120 Colmenas full: elaboradas en madera e impermeabilizada, con seis cuadros laminados subtapa, techo, piquera, 60 Canastillas plásticas, 120 Cámaras de miel de media alza, 120 Cámaras de cría con 6 cuadros con cera estampada/ Alza, 120 Trajes apícolas tipo overol en dril, lino, dracón o jean en talla XL, 60 Ahumadores medianos (acero inoxidable) Tipo 2 Melífera, 60 Media alza para miel elaborada en madera parafinada, con 9 cuadros laminados. Capacidad de 10 kilos de miel aprox., 60 Palancas/ espátulas (Acero inoxidable),  60 Pares de guantes totalmente en cuero con puño de protección y manga larga, 60 Cepillos desabejadores - Longitud aproximada del palo 45 cm, ancho 8 cm, longitud pelos cepillo 29 cm. Aproximadamente entre 38 mechas cada unidad, 600 metros de Tela verde 2.10 m x  1 m UV, 300 Postes plástico de 8 cm x 8 cm x 3 m, 300 Madera o guadua de 1,5 metros de largo x 3 cm de ancho x 0,08 cm pisa tela, 7 Centrifugas para extracción de miel de tres marcos, 60 Alimentadores, 60 libras de Puntilla con cabeza 2,5" y global Transporte Insumos.11. Apoyo a ganaderos: renovación de 80 hectáreas de praderas, implementación de 60 hectáreas en bancos de forrajes con especies mejoradas, activación de modelos silvopastoriles y cercas vivas mediante la utilización de 10.000 plantas forrajeras y nativas, suministro de  24.000 pajillas nacionales y/o importadas de toros probados de producción de leche, carne y doble propósito, como material de apoyo al mejoramiento genético en los núcleos focalizados, proporcionar 85 hembras receptoras preñadas con embrión puro de las razas Holstein, Jersey, Ayrshire, normando, Simmental, Gyr, Guzerá, brahman, Angus, Nelore, bon o Brangus, Braford, suministro de  100 hembras puras con registro certificado por asociación, de razas de leche, carne y o doble propósito en los núcleos priorizados. Entrega de 35 machos puros con registro certificado por asociación, de razas de carne, leche y/o doble propósito a ganaderos priorizados según la ubicación, el tipo y el tamaño de la explotación, entrega de 120 kits para la técnica de inseminación artificial en bovinos, suministro de 24 termos criogénicos con capacidad mínimo de 20 lt, curso de inseminación artificial bovina dirigido a 120  técnicos y/o productores, capacitar mínimo 240 productores mediante cursos digitales en nutrición y manejo de la vaca pre y post parto y cursos digitales en biotecnologías reproductivas y manejo sanitario del hato bovino, entrega de 240 cuadernos de registros productivos, capacitar a 48 profesionales o técnicos en temas de ultrasonografía reproductiva bovina, suministro de elementos agropecuarios, 30 kit de cerca eléctrica de panel solar, 220 bebederos de 250 litros, 220 saladeros inteligentes, 24 basculas ganaderas, 50 picadoras de pasto, 1200 bultos / 40 Kg de sal mineralizada bovina, 440 paquetes de aisladores para cerca eléctrica, 440 paquetes por 12 varillas para cerca eléctrica, 440 rollos de hilo para cerca eléctrica, 220 rollos de alambre para cerca eléctrica calibre 14,  12. Apoyo a programa avícola de mujeres rurales: 4 Tejas de zinc de 0,8  m de ancho x 3,65 m de largo, calibre 35, 5 metros Polisombra Negra 80% 1.0mt x 4.0mt (L x A) Anti-UV, 3 rollos de Malla Gallinero 1,8  m de ancho x 44 m de largo ,1 Bebedero Manual, 1 Comedero, 20 Litros Acondicionador de suelos, 20 Litros Microorganismos Eficaces (EM), 1 Fumigadora de 5 litros, 200 plántulas de lechuga asiatica para el área pastoreo, 2 Sobres de semillas , 2 bultos x 40 K de Compost, 4 bultos x 40 K Concentrado para ponedora , 20 Gallinas, se realizo un taller personalizado con la siguiente temática(Orientación para el establecimiento del galpon y de las areas de pastoreo, manejo del sistema alimentación de la gallina, preparacion del suelo y rotacion de los lotes de pastoreo, uso y manejo de  Biotecnologias, Recoleccion y manejo de huevos), 4 visitas de acompañamiento técnico</v>
      </c>
      <c r="AJ207" s="9" t="str">
        <f ca="1">VLOOKUP(K207,'1120 Competitividad'!$K$13:$AK$51,26,0)</f>
        <v>7439  UNIDADES  PRODUCTIVAS  AGROPECUARIAS  DE  LOS SISTEMAS    DE CACAO ; SAGU,FRIJOL ,PAPA  FRUTALES Y HORTALIZA  , CAFÉ 152 ,   PRADERAS , CULTIVOS TRANSITORIOS ,APICOLA ,GANADERÍA, AVICULTURA , CAÑA PANELERA   CON ACOMPAÑAMIENTO PROFESIONAL,   CAPACITADOS   CON TRANSFERENCIA DE TECNOLOGÍA ,SUMINISTRO DE  MATERIALES E INSUMOS , ENTREGA DE MAQUINARIA  Y EQUIPOS PECUARIOS, AGRICOLAS, EQUIPOS  PANELEROS  PARA MEJORAR LAS CONDICIONES DE PRODUCTIVIDAD DE LOS MISMOS.</v>
      </c>
      <c r="AK207" s="9">
        <f ca="1">VLOOKUP(K207,'1120 Competitividad'!$K$13:$AK$51,27,0)</f>
        <v>0</v>
      </c>
      <c r="AL207" s="11">
        <v>8500</v>
      </c>
      <c r="AM207" s="11">
        <v>0</v>
      </c>
      <c r="AN207" s="11">
        <v>8000</v>
      </c>
      <c r="AO207" s="11">
        <v>0</v>
      </c>
      <c r="AP207" s="11">
        <v>0</v>
      </c>
      <c r="AQ207" s="11">
        <v>0</v>
      </c>
      <c r="AR207" s="51">
        <v>21798625218</v>
      </c>
      <c r="AS207" s="54">
        <v>0</v>
      </c>
      <c r="AT207" s="54">
        <f t="shared" si="407"/>
        <v>21798625218</v>
      </c>
      <c r="AU207" s="51">
        <v>12112546626</v>
      </c>
      <c r="AV207" s="89">
        <v>18815587200</v>
      </c>
      <c r="AY207" s="89">
        <v>3929006689</v>
      </c>
      <c r="AZ207" s="42">
        <f t="shared" ca="1" si="395"/>
        <v>0.31463333333333332</v>
      </c>
      <c r="BA207" s="44">
        <v>0.1</v>
      </c>
      <c r="BB207" s="44">
        <v>1</v>
      </c>
      <c r="BC207" s="42">
        <f t="shared" si="396"/>
        <v>0.35</v>
      </c>
      <c r="BD207" s="42" cm="1">
        <f t="array" aca="1" ref="BD207" ca="1">_xlfn.IFS(AD207=0,"NA",AD207&gt;0,AH207/AD207)</f>
        <v>0.61323809523809525</v>
      </c>
      <c r="BE207" s="42">
        <f t="shared" si="397"/>
        <v>0.28333333333333333</v>
      </c>
      <c r="BF207" s="44">
        <v>0</v>
      </c>
      <c r="BG207" s="42">
        <f t="shared" si="398"/>
        <v>0.26666666666666666</v>
      </c>
      <c r="BH207" s="44">
        <v>0</v>
      </c>
      <c r="BI207" s="42">
        <f t="shared" si="399"/>
        <v>0</v>
      </c>
      <c r="BJ207" s="44" t="s">
        <v>115</v>
      </c>
      <c r="BK207" s="42">
        <f t="shared" ca="1" si="408"/>
        <v>0.31463333333333332</v>
      </c>
      <c r="BL207" s="44">
        <v>1</v>
      </c>
      <c r="BM207" s="42" cm="1">
        <f t="array" aca="1" ref="BM207" ca="1">_xlfn.IFS(BD207="NA","NA",BD207&gt;100%,"100%",BD207&lt;100,BD207)</f>
        <v>0.61323809523809525</v>
      </c>
      <c r="BN207" s="42" cm="1">
        <f t="array" ref="BN207">_xlfn.IFS(BF207="NA","NA",BF207&gt;100%,"100%",BF207&lt;100,BF207)</f>
        <v>0</v>
      </c>
      <c r="BO207" s="42" cm="1">
        <f t="array" ref="BO207">_xlfn.IFS(BH207="NA","NA",BH207&gt;100%,"100%",BH207&lt;100,BH207)</f>
        <v>0</v>
      </c>
      <c r="BP207" s="42" t="str" cm="1">
        <f t="array" ref="BP207">_xlfn.IFS(BJ207="NA","NA",BJ207&gt;100%,"100%",BJ207&lt;100,BJ207)</f>
        <v>NA</v>
      </c>
      <c r="BQ207" s="45">
        <v>0.22500000000000001</v>
      </c>
      <c r="BR207" s="43">
        <f t="shared" ca="1" si="409"/>
        <v>7.0792499999999994E-2</v>
      </c>
      <c r="BS207" s="45">
        <v>2.2499999999999999E-2</v>
      </c>
      <c r="BT207" s="45">
        <v>2.2499999999999999E-2</v>
      </c>
      <c r="BU207" s="45">
        <v>2.2499999999999999E-2</v>
      </c>
      <c r="BV207" s="43">
        <f t="shared" si="400"/>
        <v>7.8750000000000001E-2</v>
      </c>
      <c r="BW207" s="43">
        <f t="shared" ca="1" si="410"/>
        <v>4.8292500000000002E-2</v>
      </c>
      <c r="BX207" s="43">
        <f t="shared" ca="1" si="411"/>
        <v>4.8292499999999995E-2</v>
      </c>
      <c r="BY207" s="43">
        <f t="shared" si="401"/>
        <v>6.3750000000000001E-2</v>
      </c>
      <c r="BZ207" s="43">
        <f t="shared" si="402"/>
        <v>0</v>
      </c>
      <c r="CA207" s="43">
        <f t="shared" ca="1" si="412"/>
        <v>0</v>
      </c>
      <c r="CB207" s="43">
        <f t="shared" si="403"/>
        <v>0.06</v>
      </c>
      <c r="CC207" s="43">
        <f t="shared" si="404"/>
        <v>0</v>
      </c>
      <c r="CD207" s="45">
        <v>0</v>
      </c>
      <c r="CE207" s="43">
        <f t="shared" si="405"/>
        <v>0</v>
      </c>
      <c r="CF207" s="43" t="str">
        <f t="shared" si="406"/>
        <v>NA</v>
      </c>
      <c r="CG207" s="45">
        <v>0</v>
      </c>
    </row>
    <row r="208" spans="1:90" ht="18" customHeight="1">
      <c r="A208" s="260" t="s">
        <v>1310</v>
      </c>
      <c r="B208" s="260" t="s">
        <v>1311</v>
      </c>
      <c r="C208" s="260" t="s">
        <v>1286</v>
      </c>
      <c r="D208" s="260" t="s">
        <v>1287</v>
      </c>
      <c r="E208" s="260" t="s">
        <v>1288</v>
      </c>
      <c r="F208" s="260" t="s">
        <v>1325</v>
      </c>
      <c r="G208" s="260" t="s">
        <v>1326</v>
      </c>
      <c r="H208" s="260" t="s">
        <v>1351</v>
      </c>
      <c r="I208" s="260"/>
      <c r="J208" s="260"/>
      <c r="K208" s="260" t="s">
        <v>1352</v>
      </c>
      <c r="L208" s="260" t="s">
        <v>2959</v>
      </c>
      <c r="M208" s="260" t="s">
        <v>2960</v>
      </c>
      <c r="N208" s="260" t="s">
        <v>111</v>
      </c>
      <c r="O208" s="260" t="s">
        <v>112</v>
      </c>
      <c r="P208" s="10">
        <v>120</v>
      </c>
      <c r="Q208" s="11">
        <v>150</v>
      </c>
      <c r="R208" s="9" t="e">
        <f t="shared" ca="1" si="393"/>
        <v>#N/A</v>
      </c>
      <c r="S208" s="11" t="e">
        <f ca="1">VLOOKUP(K208,'1120 Competitividad'!$K$13:$AK$51,9,0)</f>
        <v>#N/A</v>
      </c>
      <c r="T208" s="11">
        <v>0</v>
      </c>
      <c r="U208" s="11">
        <v>0</v>
      </c>
      <c r="V208" s="11">
        <v>0</v>
      </c>
      <c r="W208" s="11">
        <v>0</v>
      </c>
      <c r="X208" s="11">
        <v>0</v>
      </c>
      <c r="Y208" s="11">
        <v>0</v>
      </c>
      <c r="Z208" s="11">
        <v>0</v>
      </c>
      <c r="AA208" s="11"/>
      <c r="AB208" s="11"/>
      <c r="AC208" s="11"/>
      <c r="AD208" s="11">
        <v>50</v>
      </c>
      <c r="AE208" s="11">
        <v>0</v>
      </c>
      <c r="AF208" s="11" t="e">
        <f ca="1">VLOOKUP(K208,'1120 Competitividad'!$K$13:$AK$51,22,0)</f>
        <v>#N/A</v>
      </c>
      <c r="AG208" s="11" t="e">
        <f ca="1">VLOOKUP(K208,'1120 Competitividad'!$K$13:$AK$51,23,0)</f>
        <v>#N/A</v>
      </c>
      <c r="AH208" s="9" t="e">
        <f t="shared" ca="1" si="394"/>
        <v>#N/A</v>
      </c>
      <c r="AI208" s="9" t="e">
        <f ca="1">VLOOKUP(K208,'1120 Competitividad'!$K$13:$AK$51,25,0)</f>
        <v>#N/A</v>
      </c>
      <c r="AJ208" s="9" t="e">
        <f ca="1">VLOOKUP(K208,'1120 Competitividad'!$K$13:$AK$51,26,0)</f>
        <v>#N/A</v>
      </c>
      <c r="AK208" s="9" t="e">
        <f ca="1">VLOOKUP(K208,'1120 Competitividad'!$K$13:$AK$51,27,0)</f>
        <v>#N/A</v>
      </c>
      <c r="AL208" s="11">
        <v>100</v>
      </c>
      <c r="AM208" s="11">
        <v>0</v>
      </c>
      <c r="AN208" s="11">
        <v>0</v>
      </c>
      <c r="AO208" s="11">
        <v>0</v>
      </c>
      <c r="AP208" s="11">
        <v>0</v>
      </c>
      <c r="AQ208" s="11">
        <v>0</v>
      </c>
      <c r="AR208" s="51">
        <v>9000000000</v>
      </c>
      <c r="AS208" s="54">
        <v>0</v>
      </c>
      <c r="AT208" s="54">
        <f t="shared" si="407"/>
        <v>9000000000</v>
      </c>
      <c r="AU208" s="51">
        <v>0</v>
      </c>
      <c r="AV208" s="89">
        <v>14000000000</v>
      </c>
      <c r="AY208" s="89">
        <v>2220412800</v>
      </c>
      <c r="AZ208" s="42" t="e">
        <f t="shared" ca="1" si="395"/>
        <v>#N/A</v>
      </c>
      <c r="BA208" s="44">
        <v>0</v>
      </c>
      <c r="BB208" s="44" t="s">
        <v>115</v>
      </c>
      <c r="BC208" s="42">
        <f t="shared" si="396"/>
        <v>0.33333333333333331</v>
      </c>
      <c r="BD208" s="42" t="e" cm="1">
        <f t="array" aca="1" ref="BD208" ca="1">_xlfn.IFS(AD208=0,"NA",AD208&gt;0,AH208/AD208)</f>
        <v>#N/A</v>
      </c>
      <c r="BE208" s="42">
        <f t="shared" si="397"/>
        <v>0.66666666666666663</v>
      </c>
      <c r="BF208" s="44">
        <v>0</v>
      </c>
      <c r="BG208" s="42">
        <f t="shared" si="398"/>
        <v>0</v>
      </c>
      <c r="BH208" s="44" t="s">
        <v>115</v>
      </c>
      <c r="BI208" s="42">
        <f t="shared" si="399"/>
        <v>0</v>
      </c>
      <c r="BJ208" s="44" t="s">
        <v>115</v>
      </c>
      <c r="BK208" s="42" t="e">
        <f t="shared" ca="1" si="408"/>
        <v>#N/A</v>
      </c>
      <c r="BL208" s="44" t="s">
        <v>115</v>
      </c>
      <c r="BM208" s="42" t="e" cm="1">
        <f t="array" aca="1" ref="BM208" ca="1">_xlfn.IFS(BD208="NA","NA",BD208&gt;100%,"100%",BD208&lt;100,BD208)</f>
        <v>#N/A</v>
      </c>
      <c r="BN208" s="42" cm="1">
        <f t="array" ref="BN208">_xlfn.IFS(BF208="NA","NA",BF208&gt;100%,"100%",BF208&lt;100,BF208)</f>
        <v>0</v>
      </c>
      <c r="BO208" s="42" t="str" cm="1">
        <f t="array" ref="BO208">_xlfn.IFS(BH208="NA","NA",BH208&gt;100%,"100%",BH208&lt;100,BH208)</f>
        <v>NA</v>
      </c>
      <c r="BP208" s="42" t="str" cm="1">
        <f t="array" ref="BP208">_xlfn.IFS(BJ208="NA","NA",BJ208&gt;100%,"100%",BJ208&lt;100,BJ208)</f>
        <v>NA</v>
      </c>
      <c r="BQ208" s="45">
        <v>0.22500000000000001</v>
      </c>
      <c r="BR208" s="43" t="e">
        <f t="shared" ca="1" si="409"/>
        <v>#N/A</v>
      </c>
      <c r="BS208" s="45">
        <v>0</v>
      </c>
      <c r="BT208" s="45" t="s">
        <v>115</v>
      </c>
      <c r="BU208" s="45">
        <v>0</v>
      </c>
      <c r="BV208" s="43">
        <f t="shared" si="400"/>
        <v>7.4999999999999997E-2</v>
      </c>
      <c r="BW208" s="43" t="e">
        <f t="shared" ca="1" si="410"/>
        <v>#N/A</v>
      </c>
      <c r="BX208" s="43" t="e">
        <f t="shared" ca="1" si="411"/>
        <v>#N/A</v>
      </c>
      <c r="BY208" s="43">
        <f t="shared" si="401"/>
        <v>0.15</v>
      </c>
      <c r="BZ208" s="43">
        <f t="shared" si="402"/>
        <v>0</v>
      </c>
      <c r="CA208" s="43" t="e">
        <f t="shared" ca="1" si="412"/>
        <v>#N/A</v>
      </c>
      <c r="CB208" s="43">
        <f t="shared" si="403"/>
        <v>0</v>
      </c>
      <c r="CC208" s="43" t="str">
        <f t="shared" si="404"/>
        <v>NA</v>
      </c>
      <c r="CD208" s="45">
        <v>0</v>
      </c>
      <c r="CE208" s="43">
        <f t="shared" si="405"/>
        <v>0</v>
      </c>
      <c r="CF208" s="43" t="str">
        <f t="shared" si="406"/>
        <v>NA</v>
      </c>
      <c r="CG208" s="45">
        <v>0</v>
      </c>
    </row>
    <row r="209" spans="1:90" ht="18" customHeight="1">
      <c r="A209" s="260" t="s">
        <v>1310</v>
      </c>
      <c r="B209" s="260" t="s">
        <v>1311</v>
      </c>
      <c r="C209" s="260" t="s">
        <v>1286</v>
      </c>
      <c r="D209" s="260" t="s">
        <v>1287</v>
      </c>
      <c r="E209" s="260" t="s">
        <v>1288</v>
      </c>
      <c r="F209" s="260" t="s">
        <v>1325</v>
      </c>
      <c r="G209" s="260" t="s">
        <v>1326</v>
      </c>
      <c r="H209" s="260" t="s">
        <v>1355</v>
      </c>
      <c r="I209" s="260"/>
      <c r="J209" s="260"/>
      <c r="K209" s="260" t="s">
        <v>1356</v>
      </c>
      <c r="L209" s="260" t="s">
        <v>1357</v>
      </c>
      <c r="M209" s="260" t="s">
        <v>1358</v>
      </c>
      <c r="N209" s="260" t="s">
        <v>111</v>
      </c>
      <c r="O209" s="260" t="s">
        <v>112</v>
      </c>
      <c r="P209" s="10">
        <v>5439</v>
      </c>
      <c r="Q209" s="11">
        <v>3000</v>
      </c>
      <c r="R209" s="9" t="e">
        <f t="shared" ca="1" si="393"/>
        <v>#N/A</v>
      </c>
      <c r="S209" s="11" t="e">
        <f ca="1">VLOOKUP(K209,'1120 Competitividad'!$K$13:$AK$51,9,0)</f>
        <v>#N/A</v>
      </c>
      <c r="T209" s="11">
        <v>400</v>
      </c>
      <c r="U209" s="11">
        <v>0</v>
      </c>
      <c r="V209" s="11">
        <v>340</v>
      </c>
      <c r="W209" s="11">
        <v>0</v>
      </c>
      <c r="X209" s="11">
        <v>340</v>
      </c>
      <c r="Y209" s="11">
        <v>0</v>
      </c>
      <c r="Z209" s="11">
        <v>340</v>
      </c>
      <c r="AA209" s="11" t="s">
        <v>1359</v>
      </c>
      <c r="AB209" s="11" t="s">
        <v>1360</v>
      </c>
      <c r="AC209" s="11">
        <v>0</v>
      </c>
      <c r="AD209" s="11">
        <v>1060</v>
      </c>
      <c r="AE209" s="11">
        <v>0</v>
      </c>
      <c r="AF209" s="11" t="e">
        <f ca="1">VLOOKUP(K209,'1120 Competitividad'!$K$13:$AK$51,22,0)</f>
        <v>#N/A</v>
      </c>
      <c r="AG209" s="11" t="e">
        <f ca="1">VLOOKUP(K209,'1120 Competitividad'!$K$13:$AK$51,23,0)</f>
        <v>#N/A</v>
      </c>
      <c r="AH209" s="9" t="e">
        <f t="shared" ca="1" si="394"/>
        <v>#N/A</v>
      </c>
      <c r="AI209" s="9" t="e">
        <f ca="1">VLOOKUP(K209,'1120 Competitividad'!$K$13:$AK$51,25,0)</f>
        <v>#N/A</v>
      </c>
      <c r="AJ209" s="9" t="e">
        <f ca="1">VLOOKUP(K209,'1120 Competitividad'!$K$13:$AK$51,26,0)</f>
        <v>#N/A</v>
      </c>
      <c r="AK209" s="9" t="e">
        <f ca="1">VLOOKUP(K209,'1120 Competitividad'!$K$13:$AK$51,27,0)</f>
        <v>#N/A</v>
      </c>
      <c r="AL209" s="11">
        <v>1200</v>
      </c>
      <c r="AM209" s="11">
        <v>0</v>
      </c>
      <c r="AN209" s="11">
        <v>400</v>
      </c>
      <c r="AO209" s="11">
        <v>0</v>
      </c>
      <c r="AP209" s="11">
        <v>0</v>
      </c>
      <c r="AQ209" s="11">
        <v>0</v>
      </c>
      <c r="AR209" s="51">
        <v>700000000</v>
      </c>
      <c r="AS209" s="54">
        <v>0</v>
      </c>
      <c r="AT209" s="54">
        <f t="shared" si="407"/>
        <v>700000000</v>
      </c>
      <c r="AU209" s="51">
        <v>699979600</v>
      </c>
      <c r="AV209" s="89">
        <v>600000000</v>
      </c>
      <c r="AY209" s="89">
        <v>0</v>
      </c>
      <c r="AZ209" s="42" t="e">
        <f t="shared" ca="1" si="395"/>
        <v>#N/A</v>
      </c>
      <c r="BA209" s="44">
        <v>0.1133</v>
      </c>
      <c r="BB209" s="44">
        <v>1</v>
      </c>
      <c r="BC209" s="42">
        <f t="shared" si="396"/>
        <v>0.35333333333333333</v>
      </c>
      <c r="BD209" s="42" t="e" cm="1">
        <f t="array" aca="1" ref="BD209" ca="1">_xlfn.IFS(AD209=0,"NA",AD209&gt;0,AH209/AD209)</f>
        <v>#N/A</v>
      </c>
      <c r="BE209" s="42">
        <f t="shared" si="397"/>
        <v>0.4</v>
      </c>
      <c r="BF209" s="44">
        <v>0</v>
      </c>
      <c r="BG209" s="42">
        <f t="shared" si="398"/>
        <v>0.13333333333333333</v>
      </c>
      <c r="BH209" s="44">
        <v>0</v>
      </c>
      <c r="BI209" s="42">
        <f t="shared" si="399"/>
        <v>0</v>
      </c>
      <c r="BJ209" s="44" t="s">
        <v>115</v>
      </c>
      <c r="BK209" s="42" t="e">
        <f t="shared" ca="1" si="408"/>
        <v>#N/A</v>
      </c>
      <c r="BL209" s="44">
        <v>1</v>
      </c>
      <c r="BM209" s="42" t="e" cm="1">
        <f t="array" aca="1" ref="BM209" ca="1">_xlfn.IFS(BD209="NA","NA",BD209&gt;100%,"100%",BD209&lt;100,BD209)</f>
        <v>#N/A</v>
      </c>
      <c r="BN209" s="42" cm="1">
        <f t="array" ref="BN209">_xlfn.IFS(BF209="NA","NA",BF209&gt;100%,"100%",BF209&lt;100,BF209)</f>
        <v>0</v>
      </c>
      <c r="BO209" s="42" cm="1">
        <f t="array" ref="BO209">_xlfn.IFS(BH209="NA","NA",BH209&gt;100%,"100%",BH209&lt;100,BH209)</f>
        <v>0</v>
      </c>
      <c r="BP209" s="42" t="str" cm="1">
        <f t="array" ref="BP209">_xlfn.IFS(BJ209="NA","NA",BJ209&gt;100%,"100%",BJ209&lt;100,BJ209)</f>
        <v>NA</v>
      </c>
      <c r="BQ209" s="45">
        <v>0.22500000000000001</v>
      </c>
      <c r="BR209" s="43" t="e">
        <f t="shared" ca="1" si="409"/>
        <v>#N/A</v>
      </c>
      <c r="BS209" s="45">
        <v>2.5499999999999998E-2</v>
      </c>
      <c r="BT209" s="45">
        <v>2.5499999999999998E-2</v>
      </c>
      <c r="BU209" s="45">
        <v>2.5499999999999998E-2</v>
      </c>
      <c r="BV209" s="43">
        <f t="shared" si="400"/>
        <v>7.9500000000000001E-2</v>
      </c>
      <c r="BW209" s="43" t="e">
        <f t="shared" ca="1" si="410"/>
        <v>#N/A</v>
      </c>
      <c r="BX209" s="43" t="e">
        <f t="shared" ca="1" si="411"/>
        <v>#N/A</v>
      </c>
      <c r="BY209" s="43">
        <f t="shared" si="401"/>
        <v>0.09</v>
      </c>
      <c r="BZ209" s="43">
        <f t="shared" si="402"/>
        <v>0</v>
      </c>
      <c r="CA209" s="43" t="e">
        <f t="shared" ca="1" si="412"/>
        <v>#N/A</v>
      </c>
      <c r="CB209" s="43">
        <f t="shared" si="403"/>
        <v>0.03</v>
      </c>
      <c r="CC209" s="43">
        <f t="shared" si="404"/>
        <v>0</v>
      </c>
      <c r="CD209" s="45">
        <v>0</v>
      </c>
      <c r="CE209" s="43">
        <f t="shared" si="405"/>
        <v>0</v>
      </c>
      <c r="CF209" s="43" t="str">
        <f t="shared" si="406"/>
        <v>NA</v>
      </c>
      <c r="CG209" s="45">
        <v>0</v>
      </c>
    </row>
    <row r="210" spans="1:90" ht="18" customHeight="1">
      <c r="A210" s="260" t="s">
        <v>1361</v>
      </c>
      <c r="B210" s="260" t="s">
        <v>1362</v>
      </c>
      <c r="C210" s="260" t="s">
        <v>1286</v>
      </c>
      <c r="D210" s="260" t="s">
        <v>1287</v>
      </c>
      <c r="E210" s="260" t="s">
        <v>1363</v>
      </c>
      <c r="F210" s="260" t="s">
        <v>1364</v>
      </c>
      <c r="G210" s="260" t="s">
        <v>1365</v>
      </c>
      <c r="H210" s="260" t="s">
        <v>1366</v>
      </c>
      <c r="I210" s="260"/>
      <c r="J210" s="260"/>
      <c r="K210" s="260" t="s">
        <v>1367</v>
      </c>
      <c r="L210" s="260" t="s">
        <v>1368</v>
      </c>
      <c r="M210" s="260" t="s">
        <v>1369</v>
      </c>
      <c r="N210" s="260" t="s">
        <v>111</v>
      </c>
      <c r="O210" s="260" t="s">
        <v>112</v>
      </c>
      <c r="P210" s="10">
        <v>119</v>
      </c>
      <c r="Q210" s="11">
        <v>700</v>
      </c>
      <c r="R210" s="9">
        <f t="shared" si="393"/>
        <v>344</v>
      </c>
      <c r="S210" s="11" t="str">
        <f>VLOOKUP(K210,'1132 Minas'!$K$13:$AK$20,9,0)</f>
        <v>Asistencia técnica a 344 actores mineros en temas interdisciplinares en las Unidades de Producción Minera priorizada</v>
      </c>
      <c r="T210" s="11">
        <v>118</v>
      </c>
      <c r="U210" s="11">
        <v>0</v>
      </c>
      <c r="V210" s="11">
        <v>126</v>
      </c>
      <c r="W210" s="11">
        <v>0</v>
      </c>
      <c r="X210" s="11">
        <v>126</v>
      </c>
      <c r="Y210" s="11">
        <v>0</v>
      </c>
      <c r="Z210" s="11">
        <v>126</v>
      </c>
      <c r="AA210" s="11" t="s">
        <v>1370</v>
      </c>
      <c r="AB210" s="11" t="s">
        <v>1371</v>
      </c>
      <c r="AC210" s="11" t="s">
        <v>1372</v>
      </c>
      <c r="AD210" s="11">
        <v>233</v>
      </c>
      <c r="AE210" s="11">
        <v>0</v>
      </c>
      <c r="AF210" s="11">
        <f>VLOOKUP(K210,'1132 Minas'!$K$13:$AK$20,22,0)</f>
        <v>218</v>
      </c>
      <c r="AG210" s="11">
        <f>VLOOKUP(K210,'1132 Minas'!$K$13:$AK$20,23,0)</f>
        <v>0</v>
      </c>
      <c r="AH210" s="9">
        <f t="shared" si="394"/>
        <v>218</v>
      </c>
      <c r="AI210" s="9" t="str">
        <f>VLOOKUP(K210,'1132 Minas'!$K$13:$AK$20,25,0)</f>
        <v>Asistencia técnica interdisciplinar a las Unidades de Producción Minera priorizada</v>
      </c>
      <c r="AJ210" s="9" t="str">
        <f>VLOOKUP(K210,'1132 Minas'!$K$13:$AK$20,26,0)</f>
        <v>Asistencia técnica interdisciplinar a las Unidades de Producción Minera priorizada</v>
      </c>
      <c r="AK210" s="9" t="str">
        <f>VLOOKUP(K210,'1132 Minas'!$K$13:$AK$20,27,0)</f>
        <v>LOGRAR QUE EL TITULAR MINERO REALICE LAS ACTIVIDADES Y OBRAS RECOMENDADAS EN LA VISITA TECNICA DE CAMPO.</v>
      </c>
      <c r="AL210" s="11">
        <v>200</v>
      </c>
      <c r="AM210" s="11">
        <v>0</v>
      </c>
      <c r="AN210" s="11">
        <v>141</v>
      </c>
      <c r="AO210" s="11">
        <v>0</v>
      </c>
      <c r="AP210" s="11">
        <v>0</v>
      </c>
      <c r="AQ210" s="11">
        <v>0</v>
      </c>
      <c r="AR210" s="51">
        <v>67176191</v>
      </c>
      <c r="AS210" s="54">
        <v>0</v>
      </c>
      <c r="AT210" s="54">
        <f t="shared" si="407"/>
        <v>67176191</v>
      </c>
      <c r="AU210" s="51">
        <v>67176191</v>
      </c>
      <c r="AV210" s="89">
        <v>312000000</v>
      </c>
      <c r="AY210" s="89">
        <v>200000000</v>
      </c>
      <c r="AZ210" s="42">
        <f t="shared" si="395"/>
        <v>0.49142857142857144</v>
      </c>
      <c r="BA210" s="44">
        <v>0.18</v>
      </c>
      <c r="BB210" s="44">
        <v>1</v>
      </c>
      <c r="BC210" s="42">
        <f t="shared" si="396"/>
        <v>0.33285714285714285</v>
      </c>
      <c r="BD210" s="42" cm="1">
        <f t="array" ref="BD210">_xlfn.IFS(AD210=0,"NA",AD210&gt;0,AH210/AD210)</f>
        <v>0.93562231759656656</v>
      </c>
      <c r="BE210" s="42">
        <f t="shared" si="397"/>
        <v>0.2857142857142857</v>
      </c>
      <c r="BF210" s="44">
        <v>0</v>
      </c>
      <c r="BG210" s="42">
        <f t="shared" si="398"/>
        <v>0.20142857142857143</v>
      </c>
      <c r="BH210" s="44">
        <v>0</v>
      </c>
      <c r="BI210" s="42">
        <f t="shared" si="399"/>
        <v>0</v>
      </c>
      <c r="BJ210" s="44" t="s">
        <v>115</v>
      </c>
      <c r="BK210" s="42">
        <f t="shared" si="408"/>
        <v>0.49142857142857144</v>
      </c>
      <c r="BL210" s="44">
        <v>1</v>
      </c>
      <c r="BM210" s="42" cm="1">
        <f t="array" ref="BM210">_xlfn.IFS(BD210="NA","NA",BD210&gt;100%,"100%",BD210&lt;100,BD210)</f>
        <v>0.93562231759656656</v>
      </c>
      <c r="BN210" s="42" cm="1">
        <f t="array" ref="BN210">_xlfn.IFS(BF210="NA","NA",BF210&gt;100%,"100%",BF210&lt;100,BF210)</f>
        <v>0</v>
      </c>
      <c r="BO210" s="42" cm="1">
        <f t="array" ref="BO210">_xlfn.IFS(BH210="NA","NA",BH210&gt;100%,"100%",BH210&lt;100,BH210)</f>
        <v>0</v>
      </c>
      <c r="BP210" s="42" t="str" cm="1">
        <f t="array" ref="BP210">_xlfn.IFS(BJ210="NA","NA",BJ210&gt;100%,"100%",BJ210&lt;100,BJ210)</f>
        <v>NA</v>
      </c>
      <c r="BQ210" s="45">
        <v>0.22500000000000001</v>
      </c>
      <c r="BR210" s="43">
        <f t="shared" si="409"/>
        <v>0.11057142857142857</v>
      </c>
      <c r="BS210" s="45">
        <v>4.0500000000000001E-2</v>
      </c>
      <c r="BT210" s="45">
        <v>4.0500000000000001E-2</v>
      </c>
      <c r="BU210" s="45">
        <v>4.0500000000000001E-2</v>
      </c>
      <c r="BV210" s="43">
        <f t="shared" si="400"/>
        <v>7.489285714285715E-2</v>
      </c>
      <c r="BW210" s="43">
        <f t="shared" si="410"/>
        <v>7.0071428571428576E-2</v>
      </c>
      <c r="BX210" s="43">
        <f t="shared" si="411"/>
        <v>7.0071428571428562E-2</v>
      </c>
      <c r="BY210" s="43">
        <f t="shared" si="401"/>
        <v>6.4285714285714279E-2</v>
      </c>
      <c r="BZ210" s="43">
        <f t="shared" si="402"/>
        <v>0</v>
      </c>
      <c r="CA210" s="43">
        <f t="shared" si="412"/>
        <v>0</v>
      </c>
      <c r="CB210" s="43">
        <f t="shared" si="403"/>
        <v>4.5321428571428575E-2</v>
      </c>
      <c r="CC210" s="43">
        <f t="shared" si="404"/>
        <v>0</v>
      </c>
      <c r="CD210" s="45">
        <v>0</v>
      </c>
      <c r="CE210" s="43">
        <f t="shared" si="405"/>
        <v>0</v>
      </c>
      <c r="CF210" s="43" t="str">
        <f t="shared" si="406"/>
        <v>NA</v>
      </c>
      <c r="CG210" s="45">
        <v>0</v>
      </c>
    </row>
    <row r="211" spans="1:90" ht="18" customHeight="1">
      <c r="A211" s="260" t="s">
        <v>1361</v>
      </c>
      <c r="B211" s="260" t="s">
        <v>1362</v>
      </c>
      <c r="C211" s="260" t="s">
        <v>1286</v>
      </c>
      <c r="D211" s="260" t="s">
        <v>1287</v>
      </c>
      <c r="E211" s="260" t="s">
        <v>1363</v>
      </c>
      <c r="F211" s="260" t="s">
        <v>1364</v>
      </c>
      <c r="G211" s="260" t="s">
        <v>1365</v>
      </c>
      <c r="H211" s="260" t="s">
        <v>1373</v>
      </c>
      <c r="I211" s="260"/>
      <c r="J211" s="260"/>
      <c r="K211" s="260" t="s">
        <v>1374</v>
      </c>
      <c r="L211" s="260" t="s">
        <v>1375</v>
      </c>
      <c r="M211" s="260" t="s">
        <v>1376</v>
      </c>
      <c r="N211" s="260" t="s">
        <v>111</v>
      </c>
      <c r="O211" s="260" t="s">
        <v>112</v>
      </c>
      <c r="P211" s="10">
        <v>4</v>
      </c>
      <c r="Q211" s="11">
        <v>10</v>
      </c>
      <c r="R211" s="9">
        <f t="shared" si="393"/>
        <v>7</v>
      </c>
      <c r="S211" s="11" t="str">
        <f>VLOOKUP(K211,'1132 Minas'!$K$13:$AK$20,9,0)</f>
        <v>7 espacios especializados para la promoción e intercambio de conocimeintos de la actividad minera.</v>
      </c>
      <c r="T211" s="11">
        <v>0</v>
      </c>
      <c r="U211" s="11">
        <v>0</v>
      </c>
      <c r="V211" s="11">
        <v>3</v>
      </c>
      <c r="W211" s="11">
        <v>0</v>
      </c>
      <c r="X211" s="11">
        <v>3</v>
      </c>
      <c r="Y211" s="11">
        <v>0</v>
      </c>
      <c r="Z211" s="11">
        <v>3</v>
      </c>
      <c r="AA211" s="11" t="s">
        <v>1377</v>
      </c>
      <c r="AB211" s="11" t="s">
        <v>1378</v>
      </c>
      <c r="AC211" s="11" t="s">
        <v>1379</v>
      </c>
      <c r="AD211" s="11">
        <v>3</v>
      </c>
      <c r="AE211" s="11">
        <v>0</v>
      </c>
      <c r="AF211" s="11">
        <f>VLOOKUP(K211,'1132 Minas'!$K$13:$AK$20,22,0)</f>
        <v>4</v>
      </c>
      <c r="AG211" s="11">
        <f>VLOOKUP(K211,'1132 Minas'!$K$13:$AK$20,23,0)</f>
        <v>0</v>
      </c>
      <c r="AH211" s="9">
        <f t="shared" si="394"/>
        <v>4</v>
      </c>
      <c r="AI211" s="9" t="str">
        <f>VLOOKUP(K211,'1132 Minas'!$K$13:$AK$20,25,0)</f>
        <v>Jornada ludico pedagogica concientización del auto cuidado.</v>
      </c>
      <c r="AJ211" s="9" t="str">
        <f>VLOOKUP(K211,'1132 Minas'!$K$13:$AK$20,26,0)</f>
        <v>Una jornada lúdico pedagogica realizada a través de la Agencia Nacional de Minería, el IDECUP y la Sec de inclusión social en el municipio de Sutatausa.</v>
      </c>
      <c r="AK211" s="9" t="str">
        <f>VLOOKUP(K211,'1132 Minas'!$K$13:$AK$20,27,0)</f>
        <v>No contar con recursos propios para realizar mas jornadas con el fin de ampliar la cobertura en el departamento.</v>
      </c>
      <c r="AL211" s="11">
        <v>2</v>
      </c>
      <c r="AM211" s="11">
        <v>0</v>
      </c>
      <c r="AN211" s="11">
        <v>2</v>
      </c>
      <c r="AO211" s="11">
        <v>0</v>
      </c>
      <c r="AP211" s="11">
        <v>0</v>
      </c>
      <c r="AQ211" s="11">
        <v>0</v>
      </c>
      <c r="AR211" s="52"/>
      <c r="AS211" s="54">
        <v>50000000</v>
      </c>
      <c r="AT211" s="54">
        <f t="shared" si="407"/>
        <v>50000000</v>
      </c>
      <c r="AU211" s="52"/>
      <c r="AV211" s="89">
        <v>0</v>
      </c>
      <c r="AY211" s="89">
        <v>0</v>
      </c>
      <c r="AZ211" s="42">
        <f t="shared" si="395"/>
        <v>0.7</v>
      </c>
      <c r="BA211" s="44">
        <v>0.3</v>
      </c>
      <c r="BB211" s="44">
        <v>1</v>
      </c>
      <c r="BC211" s="42">
        <f t="shared" si="396"/>
        <v>0.3</v>
      </c>
      <c r="BD211" s="42" cm="1">
        <f t="array" ref="BD211">_xlfn.IFS(AD211=0,"NA",AD211&gt;0,AH211/AD211)</f>
        <v>1.3333333333333333</v>
      </c>
      <c r="BE211" s="42">
        <f t="shared" si="397"/>
        <v>0.2</v>
      </c>
      <c r="BF211" s="44">
        <v>0</v>
      </c>
      <c r="BG211" s="42">
        <f t="shared" si="398"/>
        <v>0.2</v>
      </c>
      <c r="BH211" s="44">
        <v>0</v>
      </c>
      <c r="BI211" s="42">
        <f t="shared" si="399"/>
        <v>0</v>
      </c>
      <c r="BJ211" s="44" t="s">
        <v>115</v>
      </c>
      <c r="BK211" s="42">
        <f t="shared" si="408"/>
        <v>0.7</v>
      </c>
      <c r="BL211" s="44">
        <v>1</v>
      </c>
      <c r="BM211" s="42" t="str" cm="1">
        <f t="array" ref="BM211">_xlfn.IFS(BD211="NA","NA",BD211&gt;100%,"100%",BD211&lt;100,BD211)</f>
        <v>100%</v>
      </c>
      <c r="BN211" s="42" cm="1">
        <f t="array" ref="BN211">_xlfn.IFS(BF211="NA","NA",BF211&gt;100%,"100%",BF211&lt;100,BF211)</f>
        <v>0</v>
      </c>
      <c r="BO211" s="42" cm="1">
        <f t="array" ref="BO211">_xlfn.IFS(BH211="NA","NA",BH211&gt;100%,"100%",BH211&lt;100,BH211)</f>
        <v>0</v>
      </c>
      <c r="BP211" s="42" t="str" cm="1">
        <f t="array" ref="BP211">_xlfn.IFS(BJ211="NA","NA",BJ211&gt;100%,"100%",BJ211&lt;100,BJ211)</f>
        <v>NA</v>
      </c>
      <c r="BQ211" s="45">
        <v>0.22500000000000001</v>
      </c>
      <c r="BR211" s="43">
        <f t="shared" si="409"/>
        <v>0.1575</v>
      </c>
      <c r="BS211" s="45">
        <v>6.7500000000000004E-2</v>
      </c>
      <c r="BT211" s="45">
        <v>6.7500000000000004E-2</v>
      </c>
      <c r="BU211" s="45">
        <v>6.7500000000000004E-2</v>
      </c>
      <c r="BV211" s="43">
        <f t="shared" si="400"/>
        <v>6.7500000000000004E-2</v>
      </c>
      <c r="BW211" s="43">
        <f t="shared" si="410"/>
        <v>6.7500000000000004E-2</v>
      </c>
      <c r="BX211" s="43">
        <f t="shared" si="411"/>
        <v>0.09</v>
      </c>
      <c r="BY211" s="43">
        <f t="shared" si="401"/>
        <v>4.4999999999999998E-2</v>
      </c>
      <c r="BZ211" s="43">
        <f t="shared" si="402"/>
        <v>0</v>
      </c>
      <c r="CA211" s="43">
        <f t="shared" si="412"/>
        <v>0</v>
      </c>
      <c r="CB211" s="43">
        <f t="shared" si="403"/>
        <v>4.4999999999999998E-2</v>
      </c>
      <c r="CC211" s="43">
        <f t="shared" si="404"/>
        <v>0</v>
      </c>
      <c r="CD211" s="45">
        <v>0</v>
      </c>
      <c r="CE211" s="43">
        <f t="shared" si="405"/>
        <v>0</v>
      </c>
      <c r="CF211" s="43" t="str">
        <f t="shared" si="406"/>
        <v>NA</v>
      </c>
      <c r="CG211" s="45">
        <v>0</v>
      </c>
    </row>
    <row r="212" spans="1:90" ht="18" customHeight="1">
      <c r="A212" s="260" t="s">
        <v>1361</v>
      </c>
      <c r="B212" s="260" t="s">
        <v>1362</v>
      </c>
      <c r="C212" s="260" t="s">
        <v>1286</v>
      </c>
      <c r="D212" s="260" t="s">
        <v>1287</v>
      </c>
      <c r="E212" s="260" t="s">
        <v>1363</v>
      </c>
      <c r="F212" s="260" t="s">
        <v>1364</v>
      </c>
      <c r="G212" s="260" t="s">
        <v>1365</v>
      </c>
      <c r="H212" s="260" t="s">
        <v>1380</v>
      </c>
      <c r="I212" s="260"/>
      <c r="J212" s="260"/>
      <c r="K212" s="260" t="s">
        <v>1381</v>
      </c>
      <c r="L212" s="260" t="s">
        <v>2961</v>
      </c>
      <c r="M212" s="260" t="s">
        <v>1383</v>
      </c>
      <c r="N212" s="260" t="s">
        <v>111</v>
      </c>
      <c r="O212" s="260" t="s">
        <v>112</v>
      </c>
      <c r="P212" s="10">
        <v>90</v>
      </c>
      <c r="Q212" s="11">
        <v>10</v>
      </c>
      <c r="R212" s="9">
        <f t="shared" si="393"/>
        <v>4</v>
      </c>
      <c r="S212" s="11" t="str">
        <f>VLOOKUP(K212,'1132 Minas'!$K$13:$AK$20,9,0)</f>
        <v>TRABAJO ARTICULADO CON LAS EMPRESAS MINERAS PARA ASISTIRLOS ADMINSITRATIVA Y CONTABLEMENTE FORTALECIENDO SU PRODUCTIVIDAD.</v>
      </c>
      <c r="T212" s="11">
        <v>1</v>
      </c>
      <c r="U212" s="11">
        <v>0</v>
      </c>
      <c r="V212" s="11">
        <v>1</v>
      </c>
      <c r="W212" s="11">
        <v>0</v>
      </c>
      <c r="X212" s="11">
        <v>1</v>
      </c>
      <c r="Y212" s="11">
        <v>0</v>
      </c>
      <c r="Z212" s="11">
        <v>1</v>
      </c>
      <c r="AA212" s="11" t="s">
        <v>1384</v>
      </c>
      <c r="AB212" s="11" t="s">
        <v>1385</v>
      </c>
      <c r="AC212" s="11" t="s">
        <v>1386</v>
      </c>
      <c r="AD212" s="11">
        <v>3</v>
      </c>
      <c r="AE212" s="11">
        <v>0</v>
      </c>
      <c r="AF212" s="11">
        <f>VLOOKUP(K212,'1132 Minas'!$K$13:$AK$20,22,0)</f>
        <v>3</v>
      </c>
      <c r="AG212" s="11">
        <f>VLOOKUP(K212,'1132 Minas'!$K$13:$AK$20,23,0)</f>
        <v>0</v>
      </c>
      <c r="AH212" s="9">
        <f t="shared" si="394"/>
        <v>3</v>
      </c>
      <c r="AI212" s="9" t="str">
        <f>VLOOKUP(K212,'1132 Minas'!$K$13:$AK$20,25,0)</f>
        <v>ASISTENCIA TECNICA PARA EL FORTALECIMIENTO EMPRESARIAL DE LOS  TÍTULOS MINEROS</v>
      </c>
      <c r="AJ212" s="9" t="str">
        <f>VLOOKUP(K212,'1132 Minas'!$K$13:$AK$20,26,0)</f>
        <v>SE REALIZÓ UN TRABAJO ARTICULADO CON LA EMPRESA MINERA PARA ASISTIRLOS EMPRESARIALMENTE</v>
      </c>
      <c r="AK212" s="9" t="str">
        <f>VLOOKUP(K212,'1132 Minas'!$K$13:$AK$20,27,0)</f>
        <v>HA SIDO DIFICIL ENCONTRAR LAS EMPRESAS MINERAS DISPUESTAS HA VINCULARSE AL PROGRAMA DE FORTALCIMIENTO EMPRESARIAL.</v>
      </c>
      <c r="AL212" s="11">
        <v>3</v>
      </c>
      <c r="AM212" s="11">
        <v>0</v>
      </c>
      <c r="AN212" s="11">
        <v>3</v>
      </c>
      <c r="AO212" s="11">
        <v>0</v>
      </c>
      <c r="AP212" s="11">
        <v>0</v>
      </c>
      <c r="AQ212" s="11">
        <v>0</v>
      </c>
      <c r="AR212" s="51">
        <v>83816666</v>
      </c>
      <c r="AS212" s="54">
        <v>0</v>
      </c>
      <c r="AT212" s="54">
        <f t="shared" si="407"/>
        <v>83816666</v>
      </c>
      <c r="AU212" s="51">
        <v>82945068</v>
      </c>
      <c r="AV212" s="89">
        <v>112898750</v>
      </c>
      <c r="AY212" s="89">
        <v>50000000</v>
      </c>
      <c r="AZ212" s="42">
        <f t="shared" si="395"/>
        <v>0.4</v>
      </c>
      <c r="BA212" s="44">
        <v>0.1</v>
      </c>
      <c r="BB212" s="44">
        <v>1</v>
      </c>
      <c r="BC212" s="42">
        <f t="shared" si="396"/>
        <v>0.3</v>
      </c>
      <c r="BD212" s="42" cm="1">
        <f t="array" ref="BD212">_xlfn.IFS(AD212=0,"NA",AD212&gt;0,AH212/AD212)</f>
        <v>1</v>
      </c>
      <c r="BE212" s="42">
        <f t="shared" si="397"/>
        <v>0.3</v>
      </c>
      <c r="BF212" s="44">
        <v>0</v>
      </c>
      <c r="BG212" s="42">
        <f t="shared" si="398"/>
        <v>0.3</v>
      </c>
      <c r="BH212" s="44">
        <v>0</v>
      </c>
      <c r="BI212" s="42">
        <f t="shared" si="399"/>
        <v>0</v>
      </c>
      <c r="BJ212" s="44" t="s">
        <v>115</v>
      </c>
      <c r="BK212" s="42">
        <f t="shared" si="408"/>
        <v>0.4</v>
      </c>
      <c r="BL212" s="44">
        <v>1</v>
      </c>
      <c r="BM212" s="42" cm="1">
        <f t="array" ref="BM212">_xlfn.IFS(BD212="NA","NA",BD212&gt;100%,"100%",BD212&lt;100,BD212)</f>
        <v>1</v>
      </c>
      <c r="BN212" s="42" cm="1">
        <f t="array" ref="BN212">_xlfn.IFS(BF212="NA","NA",BF212&gt;100%,"100%",BF212&lt;100,BF212)</f>
        <v>0</v>
      </c>
      <c r="BO212" s="42" cm="1">
        <f t="array" ref="BO212">_xlfn.IFS(BH212="NA","NA",BH212&gt;100%,"100%",BH212&lt;100,BH212)</f>
        <v>0</v>
      </c>
      <c r="BP212" s="42" t="str" cm="1">
        <f t="array" ref="BP212">_xlfn.IFS(BJ212="NA","NA",BJ212&gt;100%,"100%",BJ212&lt;100,BJ212)</f>
        <v>NA</v>
      </c>
      <c r="BQ212" s="45">
        <v>0.22500000000000001</v>
      </c>
      <c r="BR212" s="43">
        <f t="shared" si="409"/>
        <v>9.0000000000000011E-2</v>
      </c>
      <c r="BS212" s="45">
        <v>2.2499999999999999E-2</v>
      </c>
      <c r="BT212" s="45">
        <v>2.2499999999999999E-2</v>
      </c>
      <c r="BU212" s="45">
        <v>2.2499999999999999E-2</v>
      </c>
      <c r="BV212" s="43">
        <f t="shared" si="400"/>
        <v>6.7500000000000004E-2</v>
      </c>
      <c r="BW212" s="43">
        <f t="shared" si="410"/>
        <v>6.7500000000000004E-2</v>
      </c>
      <c r="BX212" s="43">
        <f t="shared" si="411"/>
        <v>6.7500000000000004E-2</v>
      </c>
      <c r="BY212" s="43">
        <f t="shared" si="401"/>
        <v>6.7500000000000004E-2</v>
      </c>
      <c r="BZ212" s="43">
        <f t="shared" si="402"/>
        <v>0</v>
      </c>
      <c r="CA212" s="43">
        <f t="shared" si="412"/>
        <v>0</v>
      </c>
      <c r="CB212" s="43">
        <f t="shared" si="403"/>
        <v>6.7500000000000004E-2</v>
      </c>
      <c r="CC212" s="43">
        <f t="shared" si="404"/>
        <v>0</v>
      </c>
      <c r="CD212" s="45">
        <v>0</v>
      </c>
      <c r="CE212" s="43">
        <f t="shared" si="405"/>
        <v>0</v>
      </c>
      <c r="CF212" s="43" t="str">
        <f t="shared" si="406"/>
        <v>NA</v>
      </c>
      <c r="CG212" s="45">
        <v>0</v>
      </c>
    </row>
    <row r="213" spans="1:90" ht="30.75" customHeight="1">
      <c r="A213" s="260" t="s">
        <v>1387</v>
      </c>
      <c r="B213" s="260" t="s">
        <v>1388</v>
      </c>
      <c r="C213" s="260" t="s">
        <v>1286</v>
      </c>
      <c r="D213" s="260" t="s">
        <v>1389</v>
      </c>
      <c r="E213" s="260" t="s">
        <v>1390</v>
      </c>
      <c r="F213" s="260" t="s">
        <v>1391</v>
      </c>
      <c r="G213" s="260" t="s">
        <v>1392</v>
      </c>
      <c r="H213" s="260" t="s">
        <v>1393</v>
      </c>
      <c r="I213" s="260"/>
      <c r="J213" s="260"/>
      <c r="K213" s="260" t="s">
        <v>1394</v>
      </c>
      <c r="L213" s="12" t="s">
        <v>1395</v>
      </c>
      <c r="M213" s="260" t="s">
        <v>1396</v>
      </c>
      <c r="N213" s="260" t="s">
        <v>111</v>
      </c>
      <c r="O213" s="260" t="s">
        <v>112</v>
      </c>
      <c r="P213" s="10">
        <v>0</v>
      </c>
      <c r="Q213" s="11">
        <v>1</v>
      </c>
      <c r="R213" s="9">
        <f t="shared" si="393"/>
        <v>0.05</v>
      </c>
      <c r="S213" s="11">
        <f>VLOOKUP(K213,'1285 EPC'!$K$13:$AK$35,9,0)</f>
        <v>0</v>
      </c>
      <c r="T213" s="11">
        <v>0.1</v>
      </c>
      <c r="U213" s="11">
        <v>0</v>
      </c>
      <c r="V213" s="11">
        <v>0</v>
      </c>
      <c r="W213" s="11">
        <v>0</v>
      </c>
      <c r="X213" s="11">
        <v>0</v>
      </c>
      <c r="Y213" s="11">
        <v>0</v>
      </c>
      <c r="Z213" s="11">
        <v>0</v>
      </c>
      <c r="AA213" s="11"/>
      <c r="AB213" s="11"/>
      <c r="AC213" s="11"/>
      <c r="AD213" s="11">
        <v>0.2</v>
      </c>
      <c r="AE213" s="11">
        <v>0</v>
      </c>
      <c r="AF213" s="11">
        <f>VLOOKUP(K213,'1285 EPC'!$K$13:$AK$35,22,0)</f>
        <v>0.05</v>
      </c>
      <c r="AG213" s="11" t="str">
        <f>VLOOKUP(K213,'1285 EPC'!$K$13:$AK$35,23,0)</f>
        <v> </v>
      </c>
      <c r="AH213" s="9">
        <f t="shared" si="394"/>
        <v>0.05</v>
      </c>
      <c r="AI213" s="9" t="str">
        <f>VLOOKUP(K213,'1285 EPC'!$K$13:$AK$35,25,0)</f>
        <v>Proyecto de Investigación Actualizado</v>
      </c>
      <c r="AJ213" s="9" t="str">
        <f>VLOOKUP(K213,'1285 EPC'!$K$13:$AK$35,26,0)</f>
        <v>Se han realizado reuniones  periódicas (semanalmente) con la universidad de los Andes y la Secretaría de Ciencia Tecnología en Innovación, donde se ha trabajado el documento técnico y el presupuesto.
Se realizó reunión  con el Viceministerio el 9 de marzo de 2021, donde asistió el Subdirector de Programas Viceministerio de Agua y Saneamiento Básico, la Directora de Infraestructura, Universidad de los Andes y un representante de la Secretaría de Ciencia Tecnología e Innovación, donde se presentó el proyecto, y se envió el día 11 de marzo vía correo electrónico el borrador del documento técnico y presupuesto para adelantar una revisión por parte de los profesionales del Viceministerio.
Se cuenta con el presupuesto y documento técnico actualizado. 
En el mes de abril se llevó a cabo reunión con la Secretaria de Ciencia Tecnología e Innovación, la Universidad de los Andes y el Subgerente General de EPC, con el fin de revisar los recursos que posiblemente se van a usar para financiar el proyecto de investigación e innovación.
Ya se cuenta con documento técnico actualizado y presupuesto, sin embargo, este último se dividió en fases para estudio de posibles fuentes de financiación. Internamente EPC ha venido desarrollando reuniones para verificar estas posibles fuentes. Para el próximo 3 de junio se llevará  a cabo reunión con la Secretaría de Ciencia Tecnología e Información con el fin de definir la presentación del proyecto ante la convocatoria del Ministerio.
En el mes de junio, se continua en la espera de la apertura de la convocatoria por parte del Ministerio.
Se solicita reprogramación de la meta teniendo en cuenta la modificación que sufrió  la normatividad de regalías y los recursos asignados al Departamento para la ejecución de este tipo de proyectos, por lo cual no fue posible presentarlo ante la convocatoria del Ministerio este año.
En el mes de septiembre se realiza mesa de trabajo con la Secretaria de Ciencia y Tecnología, Universidad de los Andes, Viceministerio de Agua y EPC para dar a conocer las alternativas que desde la Gerencia se consideran viables para la financiación del proyecto. Se realizará próxima reunión el jueves 14 de octubre donde la Universidad expondrá la alternativa de reducir el alcance del proyecto para reducir los costos en caso de no obtener la financiación completa del proyecto.
Entre los meses de octubre y noviembre se Integró la Dirección de Nuevos Negocios al apoyo del cumplimiento de la meta, buscando que ésta plantee alternativas de financiación, se ha realizado la búsqueda de financiación en entidades de educación superior que realizan convocatorias para proyectos de investigación, entidades del orden nacional, se realizó la solicitud y viabilidad de ajuste de la propuesta general por parte de la Universidad de los Andes</v>
      </c>
      <c r="AK213" s="9" t="str">
        <f>VLOOKUP(K213,'1285 EPC'!$K$13:$AK$35,27,0)</f>
        <v xml:space="preserve">Las fechas de las convocatorias para presentar el proyecto aun no se han definido por el Ministerio, 
Frente a la búsqueda de financiación para el proyecto, la principal problemática fue que las convocatorias que se pudieron identificar, tenían como fecha máxima para postulación en octubre, por ende, se contaba con menos de 10 días hábiles para poderlo hacer.  2. El borrador de la propuesta que se solicitó para un posible ajuste al proyecto, será enviada a más tardar el 6 de diciembre del 2021, por parte de la Universidad de los Andes, para posteriormente ser socializada con la subgerencia general, en caso tal, sea determinada como viable, la Universidad de los Andes envía a la propuesta formal antes del 31 de diciembre del 2021. </v>
      </c>
      <c r="AL213" s="11">
        <v>0.2</v>
      </c>
      <c r="AM213" s="11">
        <v>0</v>
      </c>
      <c r="AN213" s="11">
        <v>0.6</v>
      </c>
      <c r="AO213" s="11">
        <v>0</v>
      </c>
      <c r="AP213" s="11">
        <v>0</v>
      </c>
      <c r="AQ213" s="11">
        <v>0</v>
      </c>
      <c r="AR213" s="52"/>
      <c r="AS213" s="54">
        <v>0</v>
      </c>
      <c r="AT213" s="54">
        <f t="shared" si="407"/>
        <v>0</v>
      </c>
      <c r="AU213" s="52"/>
      <c r="AV213" s="89">
        <v>1000000</v>
      </c>
      <c r="AY213" s="89">
        <v>0</v>
      </c>
      <c r="AZ213" s="42">
        <f t="shared" si="395"/>
        <v>0.05</v>
      </c>
      <c r="BA213" s="44">
        <v>0</v>
      </c>
      <c r="BB213" s="44" t="s">
        <v>115</v>
      </c>
      <c r="BC213" s="42">
        <f t="shared" si="396"/>
        <v>0.2</v>
      </c>
      <c r="BD213" s="42" cm="1">
        <f t="array" ref="BD213">_xlfn.IFS(AD213=0,"NA",AD213&gt;0,AH213/AD213)</f>
        <v>0.25</v>
      </c>
      <c r="BE213" s="42">
        <f t="shared" si="397"/>
        <v>0.2</v>
      </c>
      <c r="BF213" s="44">
        <v>0</v>
      </c>
      <c r="BG213" s="42">
        <f t="shared" si="398"/>
        <v>0.6</v>
      </c>
      <c r="BH213" s="44">
        <v>0</v>
      </c>
      <c r="BI213" s="42">
        <f t="shared" si="399"/>
        <v>0</v>
      </c>
      <c r="BJ213" s="44" t="s">
        <v>115</v>
      </c>
      <c r="BK213" s="42">
        <f t="shared" si="408"/>
        <v>0.05</v>
      </c>
      <c r="BL213" s="44" t="s">
        <v>115</v>
      </c>
      <c r="BM213" s="42" cm="1">
        <f t="array" ref="BM213">_xlfn.IFS(BD213="NA","NA",BD213&gt;100%,"100%",BD213&lt;100,BD213)</f>
        <v>0.25</v>
      </c>
      <c r="BN213" s="42" cm="1">
        <f t="array" ref="BN213">_xlfn.IFS(BF213="NA","NA",BF213&gt;100%,"100%",BF213&lt;100,BF213)</f>
        <v>0</v>
      </c>
      <c r="BO213" s="42" cm="1">
        <f t="array" ref="BO213">_xlfn.IFS(BH213="NA","NA",BH213&gt;100%,"100%",BH213&lt;100,BH213)</f>
        <v>0</v>
      </c>
      <c r="BP213" s="42" t="str" cm="1">
        <f t="array" ref="BP213">_xlfn.IFS(BJ213="NA","NA",BJ213&gt;100%,"100%",BJ213&lt;100,BJ213)</f>
        <v>NA</v>
      </c>
      <c r="BQ213" s="45">
        <v>0.22500000000000001</v>
      </c>
      <c r="BR213" s="43">
        <f t="shared" si="409"/>
        <v>1.1250000000000001E-2</v>
      </c>
      <c r="BS213" s="45">
        <v>0</v>
      </c>
      <c r="BT213" s="45" t="s">
        <v>115</v>
      </c>
      <c r="BU213" s="45">
        <v>0</v>
      </c>
      <c r="BV213" s="43">
        <f t="shared" si="400"/>
        <v>4.5000000000000005E-2</v>
      </c>
      <c r="BW213" s="43">
        <f t="shared" si="410"/>
        <v>1.1250000000000001E-2</v>
      </c>
      <c r="BX213" s="43">
        <f t="shared" si="411"/>
        <v>1.1250000000000001E-2</v>
      </c>
      <c r="BY213" s="43">
        <f t="shared" si="401"/>
        <v>4.5000000000000005E-2</v>
      </c>
      <c r="BZ213" s="43">
        <f t="shared" si="402"/>
        <v>0</v>
      </c>
      <c r="CA213" s="43">
        <f t="shared" si="412"/>
        <v>0</v>
      </c>
      <c r="CB213" s="43">
        <f t="shared" si="403"/>
        <v>0.13500000000000001</v>
      </c>
      <c r="CC213" s="43">
        <f t="shared" si="404"/>
        <v>0</v>
      </c>
      <c r="CD213" s="45">
        <v>0</v>
      </c>
      <c r="CE213" s="43">
        <f t="shared" si="405"/>
        <v>0</v>
      </c>
      <c r="CF213" s="43" t="str">
        <f t="shared" si="406"/>
        <v>NA</v>
      </c>
      <c r="CG213" s="45">
        <v>0</v>
      </c>
    </row>
    <row r="214" spans="1:90" ht="18" customHeight="1">
      <c r="A214" s="260" t="s">
        <v>221</v>
      </c>
      <c r="B214" s="260" t="s">
        <v>222</v>
      </c>
      <c r="C214" s="260" t="s">
        <v>1286</v>
      </c>
      <c r="D214" s="260" t="s">
        <v>1389</v>
      </c>
      <c r="E214" s="260" t="s">
        <v>1390</v>
      </c>
      <c r="F214" s="260" t="s">
        <v>1391</v>
      </c>
      <c r="G214" s="260" t="s">
        <v>1392</v>
      </c>
      <c r="H214" s="260" t="s">
        <v>1397</v>
      </c>
      <c r="I214" s="260"/>
      <c r="J214" s="260"/>
      <c r="K214" s="260" t="s">
        <v>1398</v>
      </c>
      <c r="L214" s="260" t="s">
        <v>1399</v>
      </c>
      <c r="M214" s="260" t="s">
        <v>1400</v>
      </c>
      <c r="N214" s="260" t="s">
        <v>111</v>
      </c>
      <c r="O214" s="260" t="s">
        <v>112</v>
      </c>
      <c r="P214" s="10">
        <v>0</v>
      </c>
      <c r="Q214" s="11">
        <v>1</v>
      </c>
      <c r="R214" s="9">
        <f t="shared" ca="1" si="393"/>
        <v>0</v>
      </c>
      <c r="S214" s="11">
        <f ca="1">VLOOKUP(K214,'1220 IDECUT'!$K$13:$AK$48,9,0)</f>
        <v>0</v>
      </c>
      <c r="T214" s="11">
        <v>0</v>
      </c>
      <c r="U214" s="11">
        <v>0</v>
      </c>
      <c r="V214" s="11">
        <v>0</v>
      </c>
      <c r="W214" s="11">
        <v>0</v>
      </c>
      <c r="X214" s="11">
        <v>0</v>
      </c>
      <c r="Y214" s="11">
        <v>0</v>
      </c>
      <c r="Z214" s="11">
        <v>0</v>
      </c>
      <c r="AA214" s="11"/>
      <c r="AB214" s="11"/>
      <c r="AC214" s="11"/>
      <c r="AD214" s="11">
        <v>0</v>
      </c>
      <c r="AE214" s="11">
        <v>0</v>
      </c>
      <c r="AF214" s="11">
        <f ca="1">VLOOKUP(K214,'1220 IDECUT'!$K$13:$AK$48,22,0)</f>
        <v>0</v>
      </c>
      <c r="AG214" s="11">
        <f ca="1">VLOOKUP(K214,'1220 IDECUT'!$K$13:$AK$48,23,0)</f>
        <v>0</v>
      </c>
      <c r="AH214" s="9">
        <f t="shared" ca="1" si="394"/>
        <v>0</v>
      </c>
      <c r="AI214" s="9">
        <f ca="1">VLOOKUP(K214,'1220 IDECUT'!$K$13:$AK$48,25,0)</f>
        <v>0</v>
      </c>
      <c r="AJ214" s="9">
        <f ca="1">VLOOKUP(K214,'1220 IDECUT'!$K$13:$AK$48,26,0)</f>
        <v>0</v>
      </c>
      <c r="AK214" s="9">
        <f ca="1">VLOOKUP(K214,'1220 IDECUT'!$K$13:$AK$48,27,0)</f>
        <v>0</v>
      </c>
      <c r="AL214" s="11">
        <v>0.5</v>
      </c>
      <c r="AM214" s="11">
        <v>0</v>
      </c>
      <c r="AN214" s="11">
        <v>0.5</v>
      </c>
      <c r="AO214" s="11">
        <v>0</v>
      </c>
      <c r="AP214" s="11">
        <v>0</v>
      </c>
      <c r="AQ214" s="11">
        <v>0</v>
      </c>
      <c r="AR214" s="52"/>
      <c r="AS214" s="54">
        <v>0</v>
      </c>
      <c r="AT214" s="54">
        <f t="shared" si="407"/>
        <v>0</v>
      </c>
      <c r="AU214" s="52"/>
      <c r="AV214" s="89">
        <v>0</v>
      </c>
      <c r="AY214" s="89">
        <v>0</v>
      </c>
      <c r="AZ214" s="42">
        <f t="shared" ca="1" si="395"/>
        <v>0</v>
      </c>
      <c r="BA214" s="44">
        <v>0</v>
      </c>
      <c r="BB214" s="44" t="s">
        <v>115</v>
      </c>
      <c r="BC214" s="42">
        <f t="shared" si="396"/>
        <v>0</v>
      </c>
      <c r="BD214" s="42" t="str" cm="1">
        <f t="array" aca="1" ref="BD214" ca="1">_xlfn.IFS(AD214=0,"NA",AD214&gt;0,AH214/AD214)</f>
        <v>NA</v>
      </c>
      <c r="BE214" s="42">
        <f t="shared" si="397"/>
        <v>0.5</v>
      </c>
      <c r="BF214" s="44">
        <v>0</v>
      </c>
      <c r="BG214" s="42">
        <f t="shared" si="398"/>
        <v>0.5</v>
      </c>
      <c r="BH214" s="44">
        <v>0</v>
      </c>
      <c r="BI214" s="42">
        <f t="shared" si="399"/>
        <v>0</v>
      </c>
      <c r="BJ214" s="44" t="s">
        <v>115</v>
      </c>
      <c r="BK214" s="42">
        <f t="shared" ca="1" si="408"/>
        <v>0</v>
      </c>
      <c r="BL214" s="44" t="s">
        <v>115</v>
      </c>
      <c r="BM214" s="42" t="str" cm="1">
        <f t="array" aca="1" ref="BM214" ca="1">_xlfn.IFS(BD214="NA","NA",BD214&gt;100%,"100%",BD214&lt;100,BD214)</f>
        <v>NA</v>
      </c>
      <c r="BN214" s="42" cm="1">
        <f t="array" ref="BN214">_xlfn.IFS(BF214="NA","NA",BF214&gt;100%,"100%",BF214&lt;100,BF214)</f>
        <v>0</v>
      </c>
      <c r="BO214" s="42" cm="1">
        <f t="array" ref="BO214">_xlfn.IFS(BH214="NA","NA",BH214&gt;100%,"100%",BH214&lt;100,BH214)</f>
        <v>0</v>
      </c>
      <c r="BP214" s="42" t="str" cm="1">
        <f t="array" ref="BP214">_xlfn.IFS(BJ214="NA","NA",BJ214&gt;100%,"100%",BJ214&lt;100,BJ214)</f>
        <v>NA</v>
      </c>
      <c r="BQ214" s="45">
        <v>0.22500000000000001</v>
      </c>
      <c r="BR214" s="43">
        <f t="shared" ca="1" si="409"/>
        <v>0</v>
      </c>
      <c r="BS214" s="45">
        <v>0</v>
      </c>
      <c r="BT214" s="45" t="s">
        <v>115</v>
      </c>
      <c r="BU214" s="45">
        <v>0</v>
      </c>
      <c r="BV214" s="43">
        <f t="shared" si="400"/>
        <v>0</v>
      </c>
      <c r="BW214" s="43" t="str">
        <f t="shared" ca="1" si="410"/>
        <v>NA</v>
      </c>
      <c r="BX214" s="43">
        <f t="shared" ca="1" si="411"/>
        <v>0</v>
      </c>
      <c r="BY214" s="43">
        <f t="shared" si="401"/>
        <v>0.1125</v>
      </c>
      <c r="BZ214" s="43">
        <f t="shared" si="402"/>
        <v>0</v>
      </c>
      <c r="CA214" s="43">
        <f t="shared" ca="1" si="412"/>
        <v>0</v>
      </c>
      <c r="CB214" s="43">
        <f t="shared" si="403"/>
        <v>0.1125</v>
      </c>
      <c r="CC214" s="43">
        <f t="shared" si="404"/>
        <v>0</v>
      </c>
      <c r="CD214" s="45">
        <v>0</v>
      </c>
      <c r="CE214" s="43">
        <f t="shared" si="405"/>
        <v>0</v>
      </c>
      <c r="CF214" s="43" t="str">
        <f t="shared" si="406"/>
        <v>NA</v>
      </c>
      <c r="CG214" s="45">
        <v>0</v>
      </c>
    </row>
    <row r="215" spans="1:90" ht="18" customHeight="1">
      <c r="A215" s="260" t="s">
        <v>1310</v>
      </c>
      <c r="B215" s="260" t="s">
        <v>1311</v>
      </c>
      <c r="C215" s="260" t="s">
        <v>1286</v>
      </c>
      <c r="D215" s="260" t="s">
        <v>1389</v>
      </c>
      <c r="E215" s="260" t="s">
        <v>1390</v>
      </c>
      <c r="F215" s="260" t="s">
        <v>1391</v>
      </c>
      <c r="G215" s="260" t="s">
        <v>1392</v>
      </c>
      <c r="H215" s="260" t="s">
        <v>1401</v>
      </c>
      <c r="I215" s="260"/>
      <c r="J215" s="260"/>
      <c r="K215" s="260" t="s">
        <v>1402</v>
      </c>
      <c r="L215" s="260" t="s">
        <v>1403</v>
      </c>
      <c r="M215" s="260" t="s">
        <v>1404</v>
      </c>
      <c r="N215" s="260" t="s">
        <v>111</v>
      </c>
      <c r="O215" s="260" t="s">
        <v>112</v>
      </c>
      <c r="P215" s="10">
        <v>2</v>
      </c>
      <c r="Q215" s="11">
        <v>3</v>
      </c>
      <c r="R215" s="9">
        <f t="shared" ca="1" si="393"/>
        <v>1</v>
      </c>
      <c r="S215" s="11">
        <f ca="1">VLOOKUP(K215,'1120 Competitividad'!$K$13:$AK$51,9,0)</f>
        <v>0</v>
      </c>
      <c r="T215" s="11">
        <v>0</v>
      </c>
      <c r="U215" s="11">
        <v>0</v>
      </c>
      <c r="V215" s="11">
        <v>0</v>
      </c>
      <c r="W215" s="11">
        <v>0</v>
      </c>
      <c r="X215" s="11">
        <v>0</v>
      </c>
      <c r="Y215" s="11">
        <v>0</v>
      </c>
      <c r="Z215" s="11">
        <v>0</v>
      </c>
      <c r="AA215" s="11"/>
      <c r="AB215" s="11"/>
      <c r="AC215" s="11"/>
      <c r="AD215" s="11">
        <v>1</v>
      </c>
      <c r="AE215" s="11">
        <v>0</v>
      </c>
      <c r="AF215" s="11">
        <f ca="1">VLOOKUP(K215,'1120 Competitividad'!$K$13:$AK$51,22,0)</f>
        <v>1</v>
      </c>
      <c r="AG215" s="11">
        <f ca="1">VLOOKUP(K215,'1120 Competitividad'!$K$13:$AK$51,23,0)</f>
        <v>0</v>
      </c>
      <c r="AH215" s="9">
        <f t="shared" ca="1" si="394"/>
        <v>1</v>
      </c>
      <c r="AI215" s="9" t="str">
        <f ca="1">VLOOKUP(K215,'1120 Competitividad'!$K$13:$AK$51,25,0)</f>
        <v xml:space="preserve">APOYO DE ESPACIOS PARA EVENTOS DE COMERCIALIZACIÓN </v>
      </c>
      <c r="AJ215" s="9" t="str">
        <f ca="1">VLOOKUP(K215,'1120 Competitividad'!$K$13:$AK$51,26,0)</f>
        <v xml:space="preserve">Se han adelantado 36 circuitos cortos de comercialización </v>
      </c>
      <c r="AK215" s="9">
        <f ca="1">VLOOKUP(K215,'1120 Competitividad'!$K$13:$AK$51,27,0)</f>
        <v>0</v>
      </c>
      <c r="AL215" s="11">
        <v>1</v>
      </c>
      <c r="AM215" s="11">
        <v>0</v>
      </c>
      <c r="AN215" s="11">
        <v>1</v>
      </c>
      <c r="AO215" s="11">
        <v>0</v>
      </c>
      <c r="AP215" s="11">
        <v>0</v>
      </c>
      <c r="AQ215" s="11">
        <v>0</v>
      </c>
      <c r="AR215" s="52"/>
      <c r="AS215" s="54">
        <v>0</v>
      </c>
      <c r="AT215" s="54">
        <f t="shared" si="407"/>
        <v>0</v>
      </c>
      <c r="AU215" s="52"/>
      <c r="AV215" s="89">
        <v>0</v>
      </c>
      <c r="AY215" s="89">
        <v>0</v>
      </c>
      <c r="AZ215" s="42">
        <f t="shared" ca="1" si="395"/>
        <v>0.33333333333333331</v>
      </c>
      <c r="BA215" s="44">
        <v>0</v>
      </c>
      <c r="BB215" s="44" t="s">
        <v>115</v>
      </c>
      <c r="BC215" s="42">
        <f t="shared" si="396"/>
        <v>0.33333333333333331</v>
      </c>
      <c r="BD215" s="42" cm="1">
        <f t="array" aca="1" ref="BD215" ca="1">_xlfn.IFS(AD215=0,"NA",AD215&gt;0,AH215/AD215)</f>
        <v>1</v>
      </c>
      <c r="BE215" s="42">
        <f t="shared" si="397"/>
        <v>0.33333333333333331</v>
      </c>
      <c r="BF215" s="44">
        <v>0</v>
      </c>
      <c r="BG215" s="42">
        <f t="shared" si="398"/>
        <v>0.33333333333333331</v>
      </c>
      <c r="BH215" s="44">
        <v>0</v>
      </c>
      <c r="BI215" s="42">
        <f t="shared" si="399"/>
        <v>0</v>
      </c>
      <c r="BJ215" s="44" t="s">
        <v>115</v>
      </c>
      <c r="BK215" s="42">
        <f t="shared" ca="1" si="408"/>
        <v>0.33333333333333331</v>
      </c>
      <c r="BL215" s="44" t="s">
        <v>115</v>
      </c>
      <c r="BM215" s="42" cm="1">
        <f t="array" aca="1" ref="BM215" ca="1">_xlfn.IFS(BD215="NA","NA",BD215&gt;100%,"100%",BD215&lt;100,BD215)</f>
        <v>1</v>
      </c>
      <c r="BN215" s="42" cm="1">
        <f t="array" ref="BN215">_xlfn.IFS(BF215="NA","NA",BF215&gt;100%,"100%",BF215&lt;100,BF215)</f>
        <v>0</v>
      </c>
      <c r="BO215" s="42" cm="1">
        <f t="array" ref="BO215">_xlfn.IFS(BH215="NA","NA",BH215&gt;100%,"100%",BH215&lt;100,BH215)</f>
        <v>0</v>
      </c>
      <c r="BP215" s="42" t="str" cm="1">
        <f t="array" ref="BP215">_xlfn.IFS(BJ215="NA","NA",BJ215&gt;100%,"100%",BJ215&lt;100,BJ215)</f>
        <v>NA</v>
      </c>
      <c r="BQ215" s="45">
        <v>0.22500000000000001</v>
      </c>
      <c r="BR215" s="43">
        <f t="shared" ca="1" si="409"/>
        <v>7.4999999999999997E-2</v>
      </c>
      <c r="BS215" s="45">
        <v>0</v>
      </c>
      <c r="BT215" s="45" t="s">
        <v>115</v>
      </c>
      <c r="BU215" s="45">
        <v>0</v>
      </c>
      <c r="BV215" s="43">
        <f t="shared" si="400"/>
        <v>7.4999999999999997E-2</v>
      </c>
      <c r="BW215" s="43">
        <f t="shared" ca="1" si="410"/>
        <v>7.4999999999999997E-2</v>
      </c>
      <c r="BX215" s="43">
        <f t="shared" ca="1" si="411"/>
        <v>7.4999999999999997E-2</v>
      </c>
      <c r="BY215" s="43">
        <f t="shared" si="401"/>
        <v>7.4999999999999997E-2</v>
      </c>
      <c r="BZ215" s="43">
        <f t="shared" si="402"/>
        <v>0</v>
      </c>
      <c r="CA215" s="43">
        <f t="shared" ca="1" si="412"/>
        <v>0</v>
      </c>
      <c r="CB215" s="43">
        <f t="shared" si="403"/>
        <v>7.4999999999999997E-2</v>
      </c>
      <c r="CC215" s="43">
        <f t="shared" si="404"/>
        <v>0</v>
      </c>
      <c r="CD215" s="45">
        <v>0</v>
      </c>
      <c r="CE215" s="43">
        <f t="shared" si="405"/>
        <v>0</v>
      </c>
      <c r="CF215" s="43" t="str">
        <f t="shared" si="406"/>
        <v>NA</v>
      </c>
      <c r="CG215" s="45">
        <v>0</v>
      </c>
    </row>
    <row r="216" spans="1:90" ht="18" customHeight="1">
      <c r="A216" s="260" t="s">
        <v>1361</v>
      </c>
      <c r="B216" s="260" t="s">
        <v>1362</v>
      </c>
      <c r="C216" s="260" t="s">
        <v>1286</v>
      </c>
      <c r="D216" s="260" t="s">
        <v>1389</v>
      </c>
      <c r="E216" s="260" t="s">
        <v>1390</v>
      </c>
      <c r="F216" s="260" t="s">
        <v>1391</v>
      </c>
      <c r="G216" s="260" t="s">
        <v>1392</v>
      </c>
      <c r="H216" s="260" t="s">
        <v>1405</v>
      </c>
      <c r="I216" s="260"/>
      <c r="J216" s="260"/>
      <c r="K216" s="260" t="s">
        <v>1406</v>
      </c>
      <c r="L216" s="260" t="s">
        <v>1407</v>
      </c>
      <c r="M216" s="260" t="s">
        <v>1408</v>
      </c>
      <c r="N216" s="260" t="s">
        <v>111</v>
      </c>
      <c r="O216" s="260" t="s">
        <v>112</v>
      </c>
      <c r="P216" s="10">
        <v>1</v>
      </c>
      <c r="Q216" s="11">
        <v>3</v>
      </c>
      <c r="R216" s="9">
        <f t="shared" si="393"/>
        <v>0</v>
      </c>
      <c r="S216" s="11">
        <f>VLOOKUP(K216,'1132 Minas'!$K$13:$AK$20,9,0)</f>
        <v>0</v>
      </c>
      <c r="T216" s="11">
        <v>0</v>
      </c>
      <c r="U216" s="11">
        <v>0</v>
      </c>
      <c r="V216" s="11">
        <v>0</v>
      </c>
      <c r="W216" s="11">
        <v>0</v>
      </c>
      <c r="X216" s="11">
        <v>0</v>
      </c>
      <c r="Y216" s="11">
        <v>0</v>
      </c>
      <c r="Z216" s="11">
        <v>0</v>
      </c>
      <c r="AA216" s="11"/>
      <c r="AB216" s="11"/>
      <c r="AC216" s="11"/>
      <c r="AD216" s="11">
        <v>1</v>
      </c>
      <c r="AE216" s="11">
        <v>0</v>
      </c>
      <c r="AF216" s="11">
        <f>VLOOKUP(K216,'1132 Minas'!$K$13:$AK$20,22,0)</f>
        <v>0</v>
      </c>
      <c r="AG216" s="11">
        <f>VLOOKUP(K216,'1132 Minas'!$K$13:$AK$20,23,0)</f>
        <v>0</v>
      </c>
      <c r="AH216" s="9">
        <f t="shared" si="394"/>
        <v>0</v>
      </c>
      <c r="AI216" s="9">
        <f>VLOOKUP(K216,'1132 Minas'!$K$13:$AK$20,25,0)</f>
        <v>0</v>
      </c>
      <c r="AJ216" s="9">
        <f>VLOOKUP(K216,'1132 Minas'!$K$13:$AK$20,26,0)</f>
        <v>0</v>
      </c>
      <c r="AK216" s="9">
        <f>VLOOKUP(K216,'1132 Minas'!$K$13:$AK$20,27,0)</f>
        <v>0</v>
      </c>
      <c r="AL216" s="11">
        <v>1</v>
      </c>
      <c r="AM216" s="11">
        <v>0</v>
      </c>
      <c r="AN216" s="11">
        <v>1</v>
      </c>
      <c r="AO216" s="11">
        <v>0</v>
      </c>
      <c r="AP216" s="11">
        <v>0</v>
      </c>
      <c r="AQ216" s="11">
        <v>0</v>
      </c>
      <c r="AR216" s="52"/>
      <c r="AS216" s="54">
        <v>0</v>
      </c>
      <c r="AT216" s="54">
        <f t="shared" si="407"/>
        <v>0</v>
      </c>
      <c r="AU216" s="52"/>
      <c r="AV216" s="89">
        <v>30000000</v>
      </c>
      <c r="AY216" s="89">
        <v>0</v>
      </c>
      <c r="AZ216" s="42">
        <f t="shared" si="395"/>
        <v>0</v>
      </c>
      <c r="BA216" s="44">
        <v>0</v>
      </c>
      <c r="BB216" s="44" t="s">
        <v>115</v>
      </c>
      <c r="BC216" s="42">
        <f t="shared" si="396"/>
        <v>0.33333333333333331</v>
      </c>
      <c r="BD216" s="42" cm="1">
        <f t="array" ref="BD216">_xlfn.IFS(AD216=0,"NA",AD216&gt;0,AH216/AD216)</f>
        <v>0</v>
      </c>
      <c r="BE216" s="42">
        <f t="shared" si="397"/>
        <v>0.33333333333333331</v>
      </c>
      <c r="BF216" s="44">
        <v>0</v>
      </c>
      <c r="BG216" s="42">
        <f t="shared" si="398"/>
        <v>0.33333333333333331</v>
      </c>
      <c r="BH216" s="44">
        <v>0</v>
      </c>
      <c r="BI216" s="42">
        <f t="shared" si="399"/>
        <v>0</v>
      </c>
      <c r="BJ216" s="44" t="s">
        <v>115</v>
      </c>
      <c r="BK216" s="42">
        <f t="shared" si="408"/>
        <v>0</v>
      </c>
      <c r="BL216" s="44" t="s">
        <v>115</v>
      </c>
      <c r="BM216" s="42" cm="1">
        <f t="array" ref="BM216">_xlfn.IFS(BD216="NA","NA",BD216&gt;100%,"100%",BD216&lt;100,BD216)</f>
        <v>0</v>
      </c>
      <c r="BN216" s="42" cm="1">
        <f t="array" ref="BN216">_xlfn.IFS(BF216="NA","NA",BF216&gt;100%,"100%",BF216&lt;100,BF216)</f>
        <v>0</v>
      </c>
      <c r="BO216" s="42" cm="1">
        <f t="array" ref="BO216">_xlfn.IFS(BH216="NA","NA",BH216&gt;100%,"100%",BH216&lt;100,BH216)</f>
        <v>0</v>
      </c>
      <c r="BP216" s="42" t="str" cm="1">
        <f t="array" ref="BP216">_xlfn.IFS(BJ216="NA","NA",BJ216&gt;100%,"100%",BJ216&lt;100,BJ216)</f>
        <v>NA</v>
      </c>
      <c r="BQ216" s="45">
        <v>0.22500000000000001</v>
      </c>
      <c r="BR216" s="43">
        <f t="shared" si="409"/>
        <v>0</v>
      </c>
      <c r="BS216" s="45">
        <v>0</v>
      </c>
      <c r="BT216" s="45" t="s">
        <v>115</v>
      </c>
      <c r="BU216" s="45">
        <v>0</v>
      </c>
      <c r="BV216" s="43">
        <f t="shared" si="400"/>
        <v>7.4999999999999997E-2</v>
      </c>
      <c r="BW216" s="43">
        <f t="shared" si="410"/>
        <v>0</v>
      </c>
      <c r="BX216" s="43">
        <f t="shared" si="411"/>
        <v>0</v>
      </c>
      <c r="BY216" s="43">
        <f t="shared" si="401"/>
        <v>7.4999999999999997E-2</v>
      </c>
      <c r="BZ216" s="43">
        <f t="shared" si="402"/>
        <v>0</v>
      </c>
      <c r="CA216" s="43">
        <f t="shared" si="412"/>
        <v>0</v>
      </c>
      <c r="CB216" s="43">
        <f t="shared" si="403"/>
        <v>7.4999999999999997E-2</v>
      </c>
      <c r="CC216" s="43">
        <f t="shared" si="404"/>
        <v>0</v>
      </c>
      <c r="CD216" s="45">
        <v>0</v>
      </c>
      <c r="CE216" s="43">
        <f t="shared" si="405"/>
        <v>0</v>
      </c>
      <c r="CF216" s="43" t="str">
        <f t="shared" si="406"/>
        <v>NA</v>
      </c>
      <c r="CG216" s="45">
        <v>0</v>
      </c>
    </row>
    <row r="217" spans="1:90" ht="18" customHeight="1">
      <c r="A217" s="260" t="s">
        <v>1409</v>
      </c>
      <c r="B217" s="260" t="s">
        <v>1410</v>
      </c>
      <c r="C217" s="260" t="s">
        <v>1286</v>
      </c>
      <c r="D217" s="260" t="s">
        <v>1389</v>
      </c>
      <c r="E217" s="260" t="s">
        <v>1411</v>
      </c>
      <c r="F217" s="260" t="s">
        <v>1412</v>
      </c>
      <c r="G217" s="260" t="s">
        <v>1413</v>
      </c>
      <c r="H217" s="260" t="s">
        <v>1414</v>
      </c>
      <c r="I217" s="260"/>
      <c r="J217" s="260"/>
      <c r="K217" s="260" t="s">
        <v>1415</v>
      </c>
      <c r="L217" s="260" t="s">
        <v>1416</v>
      </c>
      <c r="M217" s="260" t="s">
        <v>1417</v>
      </c>
      <c r="N217" s="260" t="s">
        <v>111</v>
      </c>
      <c r="O217" s="260" t="s">
        <v>112</v>
      </c>
      <c r="P217" s="10">
        <v>40</v>
      </c>
      <c r="Q217" s="11">
        <v>140</v>
      </c>
      <c r="R217" s="9">
        <f t="shared" si="393"/>
        <v>40</v>
      </c>
      <c r="S217" s="11" t="str">
        <f>VLOOKUP(K217,'1125 CTeI'!$K$13:$AK$20,9,0)</f>
        <v>Entrega de 40 becas condonables en Formación de alto nivel en maestrías para jóvenes Cundinamarqueses, beneficiando a jóvenes de 27 municipios y 14 provincias del departamento en los siguientes programas: 
Maestría en ingeniería y afines 9
Maestría en áreas de ciencias, sostenibilidad, ambiente, desarrollo rural y afines 21
Maestría en matemáticas 1
Maestría en áreas de ciencias sociales y educación 9
  y 100 becas maestrías docentes que se encuentran en proceso de firma del convenio por parte del ministerio de CTeI y el ministerio de Educación.</v>
      </c>
      <c r="T217" s="11">
        <v>0</v>
      </c>
      <c r="U217" s="11">
        <v>0</v>
      </c>
      <c r="V217" s="11">
        <v>20</v>
      </c>
      <c r="W217" s="11">
        <v>0</v>
      </c>
      <c r="X217" s="11">
        <v>0</v>
      </c>
      <c r="Y217" s="11">
        <v>0</v>
      </c>
      <c r="Z217" s="11">
        <v>0</v>
      </c>
      <c r="AA217" s="11"/>
      <c r="AB217" s="11"/>
      <c r="AC217" s="11"/>
      <c r="AD217" s="11">
        <v>70</v>
      </c>
      <c r="AE217" s="11">
        <v>0</v>
      </c>
      <c r="AF217" s="11">
        <f>VLOOKUP(K217,'1125 CTeI'!$K$13:$AK$20,22,0)</f>
        <v>40</v>
      </c>
      <c r="AG217" s="11">
        <f>VLOOKUP(K217,'1125 CTeI'!$K$13:$AK$20,23,0)</f>
        <v>0</v>
      </c>
      <c r="AH217" s="9">
        <f t="shared" si="394"/>
        <v>40</v>
      </c>
      <c r="AI217" s="9" t="str">
        <f>VLOOKUP(K217,'1125 CTeI'!$K$13:$AK$20,25,0)</f>
        <v>Un documento contractual "convenio Formacion de alto nivel Maestrias Docentes" - Acompañamiento y seguimiento a los 40 beneficiarios</v>
      </c>
      <c r="AJ217" s="9" t="str">
        <f>VLOOKUP(K217,'1125 CTeI'!$K$13:$AK$20,26,0)</f>
        <v>Seguimiento y acompañamiento académico a los 40 beneficiarios que se encuentran cursando su maestría. Firma del convenio en Formación de Alto nivel (Maestrías de Investigación) para 100 docentes de instituciones públicas de departamento de Cundinamarca.
1 Gualiva
1Guavio
2 Oriente
2 Rio Negro
5 Soacha
2 Sumapaz
3 Tequendama 
1 ubate 
1 Sábana Centro
Llegando a 9 provincias de las 15 que conforman el departamento. 
9 Mujeres y 11 hombres conforman el banco de elegibles.</v>
      </c>
      <c r="AK217" s="9" t="str">
        <f>VLOOKUP(K217,'1125 CTeI'!$K$13:$AK$20,27,0)</f>
        <v>No se presento</v>
      </c>
      <c r="AL217" s="11">
        <v>50</v>
      </c>
      <c r="AM217" s="11">
        <v>0</v>
      </c>
      <c r="AN217" s="11">
        <v>0</v>
      </c>
      <c r="AO217" s="11">
        <v>0</v>
      </c>
      <c r="AP217" s="11">
        <v>0</v>
      </c>
      <c r="AQ217" s="11">
        <v>0</v>
      </c>
      <c r="AR217" s="52"/>
      <c r="AS217" s="54">
        <v>449422510</v>
      </c>
      <c r="AT217" s="54">
        <f t="shared" si="407"/>
        <v>449422510</v>
      </c>
      <c r="AU217" s="52"/>
      <c r="AV217" s="89">
        <v>55000000</v>
      </c>
      <c r="AY217" s="89">
        <v>0</v>
      </c>
      <c r="AZ217" s="42">
        <f t="shared" si="395"/>
        <v>0.2857142857142857</v>
      </c>
      <c r="BA217" s="44">
        <v>0.1429</v>
      </c>
      <c r="BB217" s="44">
        <v>0</v>
      </c>
      <c r="BC217" s="42">
        <f t="shared" si="396"/>
        <v>0.5</v>
      </c>
      <c r="BD217" s="42" cm="1">
        <f t="array" ref="BD217">_xlfn.IFS(AD217=0,"NA",AD217&gt;0,AH217/AD217)</f>
        <v>0.5714285714285714</v>
      </c>
      <c r="BE217" s="42">
        <f t="shared" si="397"/>
        <v>0.35714285714285715</v>
      </c>
      <c r="BF217" s="44">
        <v>0</v>
      </c>
      <c r="BG217" s="42">
        <f t="shared" si="398"/>
        <v>0</v>
      </c>
      <c r="BH217" s="44" t="s">
        <v>115</v>
      </c>
      <c r="BI217" s="42">
        <f t="shared" si="399"/>
        <v>0</v>
      </c>
      <c r="BJ217" s="44" t="s">
        <v>115</v>
      </c>
      <c r="BK217" s="42">
        <f t="shared" si="408"/>
        <v>0.2857142857142857</v>
      </c>
      <c r="BL217" s="44">
        <v>0</v>
      </c>
      <c r="BM217" s="42" cm="1">
        <f t="array" ref="BM217">_xlfn.IFS(BD217="NA","NA",BD217&gt;100%,"100%",BD217&lt;100,BD217)</f>
        <v>0.5714285714285714</v>
      </c>
      <c r="BN217" s="42" cm="1">
        <f t="array" ref="BN217">_xlfn.IFS(BF217="NA","NA",BF217&gt;100%,"100%",BF217&lt;100,BF217)</f>
        <v>0</v>
      </c>
      <c r="BO217" s="42" t="str" cm="1">
        <f t="array" ref="BO217">_xlfn.IFS(BH217="NA","NA",BH217&gt;100%,"100%",BH217&lt;100,BH217)</f>
        <v>NA</v>
      </c>
      <c r="BP217" s="42" t="str" cm="1">
        <f t="array" ref="BP217">_xlfn.IFS(BJ217="NA","NA",BJ217&gt;100%,"100%",BJ217&lt;100,BJ217)</f>
        <v>NA</v>
      </c>
      <c r="BQ217" s="45">
        <v>0.22500000000000001</v>
      </c>
      <c r="BR217" s="43">
        <f t="shared" si="409"/>
        <v>6.4285714285714279E-2</v>
      </c>
      <c r="BS217" s="45">
        <v>3.2199999999999999E-2</v>
      </c>
      <c r="BT217" s="45">
        <v>0</v>
      </c>
      <c r="BU217" s="45">
        <v>0</v>
      </c>
      <c r="BV217" s="43">
        <f t="shared" si="400"/>
        <v>0.1125</v>
      </c>
      <c r="BW217" s="43">
        <f t="shared" si="410"/>
        <v>6.4285714285714279E-2</v>
      </c>
      <c r="BX217" s="43">
        <f t="shared" si="411"/>
        <v>6.4285714285714279E-2</v>
      </c>
      <c r="BY217" s="43">
        <f t="shared" si="401"/>
        <v>8.0357142857142863E-2</v>
      </c>
      <c r="BZ217" s="43">
        <f t="shared" si="402"/>
        <v>0</v>
      </c>
      <c r="CA217" s="43">
        <f t="shared" si="412"/>
        <v>0</v>
      </c>
      <c r="CB217" s="43">
        <f t="shared" si="403"/>
        <v>0</v>
      </c>
      <c r="CC217" s="43" t="str">
        <f t="shared" si="404"/>
        <v>NA</v>
      </c>
      <c r="CD217" s="45">
        <v>0</v>
      </c>
      <c r="CE217" s="43">
        <f t="shared" si="405"/>
        <v>0</v>
      </c>
      <c r="CF217" s="43" t="str">
        <f t="shared" si="406"/>
        <v>NA</v>
      </c>
      <c r="CG217" s="45">
        <v>0</v>
      </c>
    </row>
    <row r="218" spans="1:90" ht="18" customHeight="1">
      <c r="A218" s="260" t="s">
        <v>1409</v>
      </c>
      <c r="B218" s="260" t="s">
        <v>1410</v>
      </c>
      <c r="C218" s="260" t="s">
        <v>1286</v>
      </c>
      <c r="D218" s="260" t="s">
        <v>1389</v>
      </c>
      <c r="E218" s="260" t="s">
        <v>1411</v>
      </c>
      <c r="F218" s="260" t="s">
        <v>1412</v>
      </c>
      <c r="G218" s="260" t="s">
        <v>1413</v>
      </c>
      <c r="H218" s="260" t="s">
        <v>1418</v>
      </c>
      <c r="I218" s="260"/>
      <c r="J218" s="260"/>
      <c r="K218" s="260" t="s">
        <v>1419</v>
      </c>
      <c r="L218" s="260" t="s">
        <v>1420</v>
      </c>
      <c r="M218" s="260" t="s">
        <v>1421</v>
      </c>
      <c r="N218" s="260" t="s">
        <v>111</v>
      </c>
      <c r="O218" s="260" t="s">
        <v>112</v>
      </c>
      <c r="P218" s="10">
        <v>1</v>
      </c>
      <c r="Q218" s="11">
        <v>14</v>
      </c>
      <c r="R218" s="9">
        <f t="shared" si="393"/>
        <v>6</v>
      </c>
      <c r="S218" s="11" t="str">
        <f>VLOOKUP(K218,'1125 CTeI'!$K$13:$AK$20,9,0)</f>
        <v>A través del Proyecto Cundinamarca Apropia la Ciencia, Tecnología e Innovación (CACTI) y el grupo de investigación de la Secretaría de CTeI se realizó la identificación y selección de semilleros de formación temprana en las 15 provincias del departamento de Cundinamarca con la conformación de comunidades de aprendizaje. Se han capacitado 204 docentes formados "experiencias stem" bajo la metodología aprender haciendo, 195 madres comunitarias formadas stem md: escenario para el desarrollo integral de la primera infancia desde la educación inicial en Cundinamarca, 500 líderes comunitarios curso especializado en ofimática, 13,049 niños y niñas impactadas programa Stem robotics. Además se realizó fortalecimiento y transferencia de conocimiento a seis Semilleros de investigación conformado por docentes y estudiantes de los municipios de Ubaté, Sopo, Girardot, Zipaquirá, Soacha y Madrid.</v>
      </c>
      <c r="T218" s="11">
        <v>3</v>
      </c>
      <c r="U218" s="11">
        <v>0</v>
      </c>
      <c r="V218" s="11">
        <v>0</v>
      </c>
      <c r="W218" s="11">
        <v>0</v>
      </c>
      <c r="X218" s="11">
        <v>0</v>
      </c>
      <c r="Y218" s="11">
        <v>0</v>
      </c>
      <c r="Z218" s="11">
        <v>0</v>
      </c>
      <c r="AA218" s="11" t="s">
        <v>1422</v>
      </c>
      <c r="AB218" s="11" t="s">
        <v>1423</v>
      </c>
      <c r="AC218" s="11" t="s">
        <v>1424</v>
      </c>
      <c r="AD218" s="11">
        <v>10</v>
      </c>
      <c r="AE218" s="11">
        <v>0</v>
      </c>
      <c r="AF218" s="11">
        <f>VLOOKUP(K218,'1125 CTeI'!$K$13:$AK$20,22,0)</f>
        <v>6</v>
      </c>
      <c r="AG218" s="11">
        <f>VLOOKUP(K218,'1125 CTeI'!$K$13:$AK$20,23,0)</f>
        <v>0</v>
      </c>
      <c r="AH218" s="9">
        <f t="shared" si="394"/>
        <v>6</v>
      </c>
      <c r="AI218" s="9" t="str">
        <f>VLOOKUP(K218,'1125 CTeI'!$K$13:$AK$20,25,0)</f>
        <v>2 Capacitaciones  a Docentes</v>
      </c>
      <c r="AJ218" s="9" t="str">
        <f>VLOOKUP(K218,'1125 CTeI'!$K$13:$AK$20,26,0)</f>
        <v>Capacitacion a los lideres  y docentes de las comunidades de aprendizaje en el marco del proyecto CACTI dirigido a los 66 municipio beneficiados, Se realizo la estruturacion legal para la conformación de la red de semilleros  de investigacion de Cundinamarca.</v>
      </c>
      <c r="AK218" s="9" t="str">
        <f>VLOOKUP(K218,'1125 CTeI'!$K$13:$AK$20,27,0)</f>
        <v>No se presento</v>
      </c>
      <c r="AL218" s="11">
        <v>4</v>
      </c>
      <c r="AM218" s="11">
        <v>0</v>
      </c>
      <c r="AN218" s="11">
        <v>0</v>
      </c>
      <c r="AO218" s="11">
        <v>0</v>
      </c>
      <c r="AP218" s="11">
        <v>0</v>
      </c>
      <c r="AQ218" s="11">
        <v>0</v>
      </c>
      <c r="AR218" s="51">
        <v>210126928</v>
      </c>
      <c r="AS218" s="54">
        <v>0</v>
      </c>
      <c r="AT218" s="54">
        <f t="shared" si="407"/>
        <v>210126928</v>
      </c>
      <c r="AU218" s="51">
        <v>205006928</v>
      </c>
      <c r="AV218" s="89">
        <v>60000000</v>
      </c>
      <c r="AY218" s="89">
        <v>0</v>
      </c>
      <c r="AZ218" s="42">
        <f t="shared" si="395"/>
        <v>0.42857142857142855</v>
      </c>
      <c r="BA218" s="44">
        <v>0</v>
      </c>
      <c r="BB218" s="44" t="s">
        <v>115</v>
      </c>
      <c r="BC218" s="42">
        <f t="shared" si="396"/>
        <v>0.7142857142857143</v>
      </c>
      <c r="BD218" s="42" cm="1">
        <f t="array" ref="BD218">_xlfn.IFS(AD218=0,"NA",AD218&gt;0,AH218/AD218)</f>
        <v>0.6</v>
      </c>
      <c r="BE218" s="42">
        <f t="shared" si="397"/>
        <v>0.2857142857142857</v>
      </c>
      <c r="BF218" s="44">
        <v>0</v>
      </c>
      <c r="BG218" s="42">
        <f t="shared" si="398"/>
        <v>0</v>
      </c>
      <c r="BH218" s="44" t="s">
        <v>115</v>
      </c>
      <c r="BI218" s="42">
        <f t="shared" si="399"/>
        <v>0</v>
      </c>
      <c r="BJ218" s="44" t="s">
        <v>115</v>
      </c>
      <c r="BK218" s="42">
        <f t="shared" si="408"/>
        <v>0.42857142857142855</v>
      </c>
      <c r="BL218" s="44" t="s">
        <v>115</v>
      </c>
      <c r="BM218" s="42" cm="1">
        <f t="array" ref="BM218">_xlfn.IFS(BD218="NA","NA",BD218&gt;100%,"100%",BD218&lt;100,BD218)</f>
        <v>0.6</v>
      </c>
      <c r="BN218" s="42" cm="1">
        <f t="array" ref="BN218">_xlfn.IFS(BF218="NA","NA",BF218&gt;100%,"100%",BF218&lt;100,BF218)</f>
        <v>0</v>
      </c>
      <c r="BO218" s="42" t="str" cm="1">
        <f t="array" ref="BO218">_xlfn.IFS(BH218="NA","NA",BH218&gt;100%,"100%",BH218&lt;100,BH218)</f>
        <v>NA</v>
      </c>
      <c r="BP218" s="42" t="str" cm="1">
        <f t="array" ref="BP218">_xlfn.IFS(BJ218="NA","NA",BJ218&gt;100%,"100%",BJ218&lt;100,BJ218)</f>
        <v>NA</v>
      </c>
      <c r="BQ218" s="45">
        <v>0.22500000000000001</v>
      </c>
      <c r="BR218" s="43">
        <f t="shared" si="409"/>
        <v>9.6428571428571419E-2</v>
      </c>
      <c r="BS218" s="45">
        <v>0</v>
      </c>
      <c r="BT218" s="45" t="s">
        <v>115</v>
      </c>
      <c r="BU218" s="45">
        <v>0</v>
      </c>
      <c r="BV218" s="43">
        <f t="shared" si="400"/>
        <v>0.16071428571428573</v>
      </c>
      <c r="BW218" s="43">
        <f t="shared" si="410"/>
        <v>9.6428571428571433E-2</v>
      </c>
      <c r="BX218" s="43">
        <f t="shared" si="411"/>
        <v>9.6428571428571419E-2</v>
      </c>
      <c r="BY218" s="43">
        <f t="shared" si="401"/>
        <v>6.4285714285714293E-2</v>
      </c>
      <c r="BZ218" s="43">
        <f t="shared" si="402"/>
        <v>0</v>
      </c>
      <c r="CA218" s="43">
        <f t="shared" si="412"/>
        <v>0</v>
      </c>
      <c r="CB218" s="43">
        <f t="shared" si="403"/>
        <v>0</v>
      </c>
      <c r="CC218" s="43" t="str">
        <f t="shared" si="404"/>
        <v>NA</v>
      </c>
      <c r="CD218" s="45">
        <v>0</v>
      </c>
      <c r="CE218" s="43">
        <f t="shared" si="405"/>
        <v>0</v>
      </c>
      <c r="CF218" s="43" t="str">
        <f t="shared" si="406"/>
        <v>NA</v>
      </c>
      <c r="CG218" s="45">
        <v>0</v>
      </c>
    </row>
    <row r="219" spans="1:90" ht="18" customHeight="1">
      <c r="A219" s="260" t="s">
        <v>1409</v>
      </c>
      <c r="B219" s="260" t="s">
        <v>1410</v>
      </c>
      <c r="C219" s="260" t="s">
        <v>1286</v>
      </c>
      <c r="D219" s="260" t="s">
        <v>1389</v>
      </c>
      <c r="E219" s="260" t="s">
        <v>1411</v>
      </c>
      <c r="F219" s="260" t="s">
        <v>1412</v>
      </c>
      <c r="G219" s="260" t="s">
        <v>1413</v>
      </c>
      <c r="H219" s="260" t="s">
        <v>1425</v>
      </c>
      <c r="I219" s="260"/>
      <c r="J219" s="260"/>
      <c r="K219" s="260" t="s">
        <v>1426</v>
      </c>
      <c r="L219" s="260" t="s">
        <v>1427</v>
      </c>
      <c r="M219" s="260" t="s">
        <v>1428</v>
      </c>
      <c r="N219" s="260" t="s">
        <v>111</v>
      </c>
      <c r="O219" s="260" t="s">
        <v>112</v>
      </c>
      <c r="P219" s="10">
        <v>200</v>
      </c>
      <c r="Q219" s="11">
        <v>1000</v>
      </c>
      <c r="R219" s="9">
        <f t="shared" si="393"/>
        <v>220</v>
      </c>
      <c r="S219" s="11" t="str">
        <f>VLOOKUP(K219,'1125 CTeI'!$K$13:$AK$20,9,0)</f>
        <v>Con el proyecto Innovación sistema de producción de frutas/hortalizas frescas/procesadas tipo exportación con tecnología biológica /integral inocua de Cundinamarca, “FRUTAS Y HORTALIZAS". Se realizo la entrega Seis paquetes tecnológicos (Uchuva, Granadilla, Gulupa, Tomate, Aguacate Hass y Limón Tahity) y artículos de investigación y transferencia de tecnología a 1750 productores agrícolas de frutas y hortalizas del departamento de Cundinamarca. Se conformó la red de laboratorios Agrolabs de Cundinamarca que les permitirá a productores realizar pruebas analíticas autorizadas, pruebas acreditadas y pruebas con reconocimiento de Buenas Prácticas de Laboratorio en forma detallada, actualizada, consolidada, fácil de comprender y de fácil acceso a través de tecnología informática que llegue al usuario. Se gestionaron los recurso del Fondo CTeI SGR para  los convenios Fortalecimiento de la competitividad de la cadena productiva de la Guadua por medio del desarrollo e implementación de dos (2) paquetes tecnológicos para la generación de productos con valor agregado a base de carbón activado y laminados en el departamento de Cundinamarca y el proyecto Fortalecimiento de Capacidades de CTeI para la Reactivación Económica y la Transformación Productiva en Cundinamarca.
Se encuentra en proceso de ejecución el proyecto “Análisis de factores genéticos sanitarios y medio ambientales que afectan las tasas de preñez a partir de embriones invitro en el departamento de Cundinamarca. - "EMBRIONES DE GANADERÍA", beneficiando pequeños productores del sector pecuario.</v>
      </c>
      <c r="T219" s="11">
        <v>70</v>
      </c>
      <c r="U219" s="11">
        <v>0</v>
      </c>
      <c r="V219" s="11">
        <v>0</v>
      </c>
      <c r="W219" s="11">
        <v>0</v>
      </c>
      <c r="X219" s="11">
        <v>0</v>
      </c>
      <c r="Y219" s="11">
        <v>0</v>
      </c>
      <c r="Z219" s="11">
        <v>0</v>
      </c>
      <c r="AA219" s="11"/>
      <c r="AB219" s="11"/>
      <c r="AC219" s="11"/>
      <c r="AD219" s="11">
        <v>220</v>
      </c>
      <c r="AE219" s="11">
        <v>0</v>
      </c>
      <c r="AF219" s="11">
        <f>VLOOKUP(K219,'1125 CTeI'!$K$13:$AK$20,22,0)</f>
        <v>220</v>
      </c>
      <c r="AG219" s="11">
        <f>VLOOKUP(K219,'1125 CTeI'!$K$13:$AK$20,23,0)</f>
        <v>0</v>
      </c>
      <c r="AH219" s="9">
        <f t="shared" si="394"/>
        <v>220</v>
      </c>
      <c r="AI219" s="9" t="str">
        <f>VLOOKUP(K219,'1125 CTeI'!$K$13:$AK$20,25,0)</f>
        <v>Un evento de lanzamiento del proyecto Reactivación Economica - Un evento de lanzamiento Fortalecimiento de la competitividad de la cadena productiva de la Guadua</v>
      </c>
      <c r="AJ219" s="9" t="str">
        <f>VLOOKUP(K219,'1125 CTeI'!$K$13:$AK$20,26,0)</f>
        <v>Para el proyecto Fortalecimiento de Capacidades de CTeI para la Reactivación Económica y la Transformación Productiva en Cundinamarca Se realiza la difusión  en las 15 Provincias del Departamento de manera Presencial en las Cabeceras Municipales con el acompañamiento de las Alcaldías, Secretarias de desarrollo,Agricultura y Umatas,  Asi mismo se formaliza la Preinscripción e Inscripción de las Comunidades Agropecuarias y Agroalimentarias que deseen ser beneficiarias del proyecto. - Con el proyecto Fortalecimiento de la competitividad de la cadena productiva de la Guadua se realizo el evento de lanzamiento a traves de la emisora el dorado radio con la participacion de los productores de guadua del departamento y alcaldes municipales.</v>
      </c>
      <c r="AK219" s="9" t="str">
        <f>VLOOKUP(K219,'1125 CTeI'!$K$13:$AK$20,27,0)</f>
        <v>No se presento</v>
      </c>
      <c r="AL219" s="11">
        <v>520</v>
      </c>
      <c r="AM219" s="11">
        <v>0</v>
      </c>
      <c r="AN219" s="11">
        <v>260</v>
      </c>
      <c r="AO219" s="11">
        <v>0</v>
      </c>
      <c r="AP219" s="11">
        <v>0</v>
      </c>
      <c r="AQ219" s="11">
        <v>0</v>
      </c>
      <c r="AR219" s="52"/>
      <c r="AS219" s="54">
        <v>169209376</v>
      </c>
      <c r="AT219" s="54">
        <f t="shared" si="407"/>
        <v>169209376</v>
      </c>
      <c r="AU219" s="52"/>
      <c r="AV219" s="89">
        <v>200000000</v>
      </c>
      <c r="AY219" s="89">
        <v>92500000</v>
      </c>
      <c r="AZ219" s="42">
        <f t="shared" si="395"/>
        <v>0.22</v>
      </c>
      <c r="BA219" s="44">
        <v>0</v>
      </c>
      <c r="BB219" s="44" t="s">
        <v>115</v>
      </c>
      <c r="BC219" s="42">
        <f t="shared" si="396"/>
        <v>0.22</v>
      </c>
      <c r="BD219" s="42" cm="1">
        <f t="array" ref="BD219">_xlfn.IFS(AD219=0,"NA",AD219&gt;0,AH219/AD219)</f>
        <v>1</v>
      </c>
      <c r="BE219" s="42">
        <f t="shared" si="397"/>
        <v>0.52</v>
      </c>
      <c r="BF219" s="44">
        <v>0</v>
      </c>
      <c r="BG219" s="42">
        <f t="shared" si="398"/>
        <v>0.26</v>
      </c>
      <c r="BH219" s="44">
        <v>0</v>
      </c>
      <c r="BI219" s="42">
        <f t="shared" si="399"/>
        <v>0</v>
      </c>
      <c r="BJ219" s="44" t="s">
        <v>115</v>
      </c>
      <c r="BK219" s="42">
        <f t="shared" si="408"/>
        <v>0.22</v>
      </c>
      <c r="BL219" s="44" t="s">
        <v>115</v>
      </c>
      <c r="BM219" s="42" cm="1">
        <f t="array" ref="BM219">_xlfn.IFS(BD219="NA","NA",BD219&gt;100%,"100%",BD219&lt;100,BD219)</f>
        <v>1</v>
      </c>
      <c r="BN219" s="42" cm="1">
        <f t="array" ref="BN219">_xlfn.IFS(BF219="NA","NA",BF219&gt;100%,"100%",BF219&lt;100,BF219)</f>
        <v>0</v>
      </c>
      <c r="BO219" s="42" cm="1">
        <f t="array" ref="BO219">_xlfn.IFS(BH219="NA","NA",BH219&gt;100%,"100%",BH219&lt;100,BH219)</f>
        <v>0</v>
      </c>
      <c r="BP219" s="42" t="str" cm="1">
        <f t="array" ref="BP219">_xlfn.IFS(BJ219="NA","NA",BJ219&gt;100%,"100%",BJ219&lt;100,BJ219)</f>
        <v>NA</v>
      </c>
      <c r="BQ219" s="45">
        <v>0.22500000000000001</v>
      </c>
      <c r="BR219" s="43">
        <f t="shared" si="409"/>
        <v>4.9500000000000002E-2</v>
      </c>
      <c r="BS219" s="45">
        <v>0</v>
      </c>
      <c r="BT219" s="45" t="s">
        <v>115</v>
      </c>
      <c r="BU219" s="45">
        <v>0</v>
      </c>
      <c r="BV219" s="43">
        <f t="shared" si="400"/>
        <v>4.9500000000000002E-2</v>
      </c>
      <c r="BW219" s="43">
        <f t="shared" si="410"/>
        <v>4.9500000000000002E-2</v>
      </c>
      <c r="BX219" s="43">
        <f t="shared" si="411"/>
        <v>4.9500000000000002E-2</v>
      </c>
      <c r="BY219" s="43">
        <f t="shared" si="401"/>
        <v>0.11700000000000001</v>
      </c>
      <c r="BZ219" s="43">
        <f t="shared" si="402"/>
        <v>0</v>
      </c>
      <c r="CA219" s="43">
        <f t="shared" si="412"/>
        <v>0</v>
      </c>
      <c r="CB219" s="43">
        <f t="shared" si="403"/>
        <v>5.8500000000000003E-2</v>
      </c>
      <c r="CC219" s="43">
        <f t="shared" si="404"/>
        <v>0</v>
      </c>
      <c r="CD219" s="45">
        <v>0</v>
      </c>
      <c r="CE219" s="43">
        <f t="shared" si="405"/>
        <v>0</v>
      </c>
      <c r="CF219" s="43" t="str">
        <f t="shared" si="406"/>
        <v>NA</v>
      </c>
      <c r="CG219" s="45">
        <v>0</v>
      </c>
    </row>
    <row r="220" spans="1:90" ht="18" customHeight="1">
      <c r="A220" s="260" t="s">
        <v>292</v>
      </c>
      <c r="B220" s="260" t="s">
        <v>293</v>
      </c>
      <c r="C220" s="260" t="s">
        <v>1286</v>
      </c>
      <c r="D220" s="260" t="s">
        <v>1389</v>
      </c>
      <c r="E220" s="260" t="s">
        <v>1411</v>
      </c>
      <c r="F220" s="260" t="s">
        <v>1412</v>
      </c>
      <c r="G220" s="260" t="s">
        <v>1413</v>
      </c>
      <c r="H220" s="260" t="s">
        <v>2962</v>
      </c>
      <c r="I220" s="260" t="s">
        <v>255</v>
      </c>
      <c r="J220" s="260" t="s">
        <v>632</v>
      </c>
      <c r="K220" s="260" t="s">
        <v>2963</v>
      </c>
      <c r="L220" s="260" t="s">
        <v>2964</v>
      </c>
      <c r="M220" s="260" t="s">
        <v>2965</v>
      </c>
      <c r="N220" s="260" t="s">
        <v>111</v>
      </c>
      <c r="O220" s="260" t="s">
        <v>112</v>
      </c>
      <c r="P220" s="10">
        <v>117</v>
      </c>
      <c r="Q220" s="11">
        <v>1000</v>
      </c>
      <c r="R220" s="9" t="e">
        <f t="shared" si="393"/>
        <v>#N/A</v>
      </c>
      <c r="S220" s="11" t="e">
        <f>VLOOKUP(K220,'1108 Educación'!$K$13:$AK$40,9,0)</f>
        <v>#N/A</v>
      </c>
      <c r="T220" s="11">
        <v>0</v>
      </c>
      <c r="U220" s="11">
        <v>0</v>
      </c>
      <c r="V220" s="11">
        <v>600</v>
      </c>
      <c r="W220" s="11">
        <v>0</v>
      </c>
      <c r="X220" s="11">
        <v>600</v>
      </c>
      <c r="Y220" s="11">
        <v>0</v>
      </c>
      <c r="Z220" s="11">
        <v>600</v>
      </c>
      <c r="AA220" s="11">
        <v>0</v>
      </c>
      <c r="AB220" s="11" t="s">
        <v>2966</v>
      </c>
      <c r="AC220" s="11">
        <v>0</v>
      </c>
      <c r="AD220" s="11">
        <v>200</v>
      </c>
      <c r="AE220" s="11">
        <v>0</v>
      </c>
      <c r="AF220" s="11" t="e">
        <f>VLOOKUP(K220,'1108 Educación'!$K$13:$AK$40,22,0)</f>
        <v>#N/A</v>
      </c>
      <c r="AG220" s="11" t="e">
        <f>VLOOKUP(K220,'1108 Educación'!$K$13:$AK$40,23,0)</f>
        <v>#N/A</v>
      </c>
      <c r="AH220" s="9" t="e">
        <f t="shared" si="394"/>
        <v>#N/A</v>
      </c>
      <c r="AI220" s="9" t="e">
        <f>VLOOKUP(K220,'1108 Educación'!$K$13:$AK$40,25,0)</f>
        <v>#N/A</v>
      </c>
      <c r="AJ220" s="9" t="e">
        <f>VLOOKUP(K220,'1108 Educación'!$K$13:$AK$40,26,0)</f>
        <v>#N/A</v>
      </c>
      <c r="AK220" s="9" t="e">
        <f>VLOOKUP(K220,'1108 Educación'!$K$13:$AK$40,27,0)</f>
        <v>#N/A</v>
      </c>
      <c r="AL220" s="11">
        <v>100</v>
      </c>
      <c r="AM220" s="11">
        <v>0</v>
      </c>
      <c r="AN220" s="11">
        <v>100</v>
      </c>
      <c r="AO220" s="11">
        <v>0</v>
      </c>
      <c r="AP220" s="11">
        <v>0</v>
      </c>
      <c r="AQ220" s="11">
        <v>0</v>
      </c>
      <c r="AR220" s="52"/>
      <c r="AS220" s="54">
        <v>9600000</v>
      </c>
      <c r="AT220" s="54">
        <f t="shared" si="407"/>
        <v>9600000</v>
      </c>
      <c r="AU220" s="52"/>
      <c r="AV220" s="89">
        <v>0</v>
      </c>
      <c r="AY220" s="89">
        <v>0</v>
      </c>
      <c r="AZ220" s="42" t="e">
        <f t="shared" si="395"/>
        <v>#N/A</v>
      </c>
      <c r="BA220" s="44">
        <v>0.6</v>
      </c>
      <c r="BB220" s="44">
        <v>1</v>
      </c>
      <c r="BC220" s="42">
        <f t="shared" si="396"/>
        <v>0.2</v>
      </c>
      <c r="BD220" s="42" t="e" cm="1">
        <f t="array" ref="BD220">_xlfn.IFS(AD220=0,"NA",AD220&gt;0,AH220/AD220)</f>
        <v>#N/A</v>
      </c>
      <c r="BE220" s="42">
        <f t="shared" si="397"/>
        <v>0.1</v>
      </c>
      <c r="BF220" s="44">
        <v>0</v>
      </c>
      <c r="BG220" s="42">
        <f t="shared" si="398"/>
        <v>0.1</v>
      </c>
      <c r="BH220" s="44">
        <v>0</v>
      </c>
      <c r="BI220" s="42">
        <f t="shared" si="399"/>
        <v>0</v>
      </c>
      <c r="BJ220" s="44" t="s">
        <v>115</v>
      </c>
      <c r="BK220" s="42" t="e">
        <f t="shared" si="408"/>
        <v>#N/A</v>
      </c>
      <c r="BL220" s="44">
        <v>1</v>
      </c>
      <c r="BM220" s="42" t="e" cm="1">
        <f t="array" ref="BM220">_xlfn.IFS(BD220="NA","NA",BD220&gt;100%,"100%",BD220&lt;100,BD220)</f>
        <v>#N/A</v>
      </c>
      <c r="BN220" s="42" cm="1">
        <f t="array" ref="BN220">_xlfn.IFS(BF220="NA","NA",BF220&gt;100%,"100%",BF220&lt;100,BF220)</f>
        <v>0</v>
      </c>
      <c r="BO220" s="42" cm="1">
        <f t="array" ref="BO220">_xlfn.IFS(BH220="NA","NA",BH220&gt;100%,"100%",BH220&lt;100,BH220)</f>
        <v>0</v>
      </c>
      <c r="BP220" s="42" t="str" cm="1">
        <f t="array" ref="BP220">_xlfn.IFS(BJ220="NA","NA",BJ220&gt;100%,"100%",BJ220&lt;100,BJ220)</f>
        <v>NA</v>
      </c>
      <c r="BQ220" s="45">
        <v>0.22500000000000001</v>
      </c>
      <c r="BR220" s="43" t="e">
        <f t="shared" si="409"/>
        <v>#N/A</v>
      </c>
      <c r="BS220" s="45">
        <v>0.13500000000000001</v>
      </c>
      <c r="BT220" s="45">
        <v>0.13500000000000001</v>
      </c>
      <c r="BU220" s="45">
        <v>0.13500000000000001</v>
      </c>
      <c r="BV220" s="43">
        <f t="shared" si="400"/>
        <v>4.4999999999999998E-2</v>
      </c>
      <c r="BW220" s="43" t="e">
        <f t="shared" si="410"/>
        <v>#N/A</v>
      </c>
      <c r="BX220" s="43" t="e">
        <f t="shared" si="411"/>
        <v>#N/A</v>
      </c>
      <c r="BY220" s="43">
        <f t="shared" si="401"/>
        <v>2.2499999999999999E-2</v>
      </c>
      <c r="BZ220" s="43">
        <f t="shared" si="402"/>
        <v>0</v>
      </c>
      <c r="CA220" s="43" t="e">
        <f t="shared" si="412"/>
        <v>#N/A</v>
      </c>
      <c r="CB220" s="43">
        <f t="shared" si="403"/>
        <v>2.2499999999999999E-2</v>
      </c>
      <c r="CC220" s="43">
        <f t="shared" si="404"/>
        <v>0</v>
      </c>
      <c r="CD220" s="45">
        <v>0</v>
      </c>
      <c r="CE220" s="43">
        <f t="shared" si="405"/>
        <v>0</v>
      </c>
      <c r="CF220" s="43" t="str">
        <f t="shared" si="406"/>
        <v>NA</v>
      </c>
      <c r="CG220" s="45">
        <v>0</v>
      </c>
    </row>
    <row r="221" spans="1:90" ht="18" customHeight="1">
      <c r="A221" s="260" t="s">
        <v>292</v>
      </c>
      <c r="B221" s="260" t="s">
        <v>293</v>
      </c>
      <c r="C221" s="260" t="s">
        <v>1286</v>
      </c>
      <c r="D221" s="260" t="s">
        <v>1389</v>
      </c>
      <c r="E221" s="260" t="s">
        <v>1411</v>
      </c>
      <c r="F221" s="260" t="s">
        <v>1412</v>
      </c>
      <c r="G221" s="260" t="s">
        <v>1413</v>
      </c>
      <c r="H221" s="260" t="s">
        <v>1429</v>
      </c>
      <c r="I221" s="260" t="s">
        <v>255</v>
      </c>
      <c r="J221" s="260" t="s">
        <v>632</v>
      </c>
      <c r="K221" s="260" t="s">
        <v>1430</v>
      </c>
      <c r="L221" s="260" t="s">
        <v>1431</v>
      </c>
      <c r="M221" s="260" t="s">
        <v>1432</v>
      </c>
      <c r="N221" s="260" t="s">
        <v>111</v>
      </c>
      <c r="O221" s="260" t="s">
        <v>112</v>
      </c>
      <c r="P221" s="10">
        <v>5196</v>
      </c>
      <c r="Q221" s="11">
        <v>4000</v>
      </c>
      <c r="R221" s="9">
        <f t="shared" si="393"/>
        <v>1463</v>
      </c>
      <c r="S221" s="11">
        <f>VLOOKUP(K221,'1108 Educación'!$K$13:$AK$40,9,0)</f>
        <v>0</v>
      </c>
      <c r="T221" s="11">
        <v>600</v>
      </c>
      <c r="U221" s="11">
        <v>0</v>
      </c>
      <c r="V221" s="11">
        <v>600</v>
      </c>
      <c r="W221" s="11">
        <v>0</v>
      </c>
      <c r="X221" s="11">
        <v>602</v>
      </c>
      <c r="Y221" s="11">
        <v>0</v>
      </c>
      <c r="Z221" s="11">
        <v>602</v>
      </c>
      <c r="AA221" s="11">
        <v>0</v>
      </c>
      <c r="AB221" s="11" t="s">
        <v>1433</v>
      </c>
      <c r="AC221" s="11">
        <v>0</v>
      </c>
      <c r="AD221" s="11">
        <v>1198</v>
      </c>
      <c r="AE221" s="11">
        <v>0</v>
      </c>
      <c r="AF221" s="11">
        <f>VLOOKUP(K221,'1108 Educación'!$K$13:$AK$40,22,0)</f>
        <v>861</v>
      </c>
      <c r="AG221" s="11">
        <f>VLOOKUP(K221,'1108 Educación'!$K$13:$AK$40,23,0)</f>
        <v>0</v>
      </c>
      <c r="AH221" s="9">
        <f t="shared" si="394"/>
        <v>861</v>
      </c>
      <c r="AI221" s="9" t="str">
        <f>VLOOKUP(K221,'1108 Educación'!$K$13:$AK$40,25,0)</f>
        <v>Vinculación a redes sociales de la conmunidad educativa de Cundinamarca</v>
      </c>
      <c r="AJ221" s="9" t="str">
        <f>VLOOKUP(K221,'1108 Educación'!$K$13:$AK$40,26,0)</f>
        <v xml:space="preserve"> en el mes de octubre se logró la vinculación de 100 nuevos usuarios de la comunidad educativa de Cundinamarca, buscando la visibilizacion proyectos académicos del departamento.</v>
      </c>
      <c r="AK221" s="9" t="str">
        <f>VLOOKUP(K221,'1108 Educación'!$K$13:$AK$40,27,0)</f>
        <v>Cambios de fecha en las capacitaciones debido al inicio de la alternacia en las instituciones educativas.</v>
      </c>
      <c r="AL221" s="11">
        <v>1200</v>
      </c>
      <c r="AM221" s="11">
        <v>0</v>
      </c>
      <c r="AN221" s="11">
        <v>1000</v>
      </c>
      <c r="AO221" s="11">
        <v>0</v>
      </c>
      <c r="AP221" s="11">
        <v>0</v>
      </c>
      <c r="AQ221" s="11">
        <v>0</v>
      </c>
      <c r="AR221" s="52"/>
      <c r="AS221" s="54">
        <v>24000000</v>
      </c>
      <c r="AT221" s="54">
        <f t="shared" si="407"/>
        <v>24000000</v>
      </c>
      <c r="AU221" s="52"/>
      <c r="AV221" s="89">
        <v>0</v>
      </c>
      <c r="AY221" s="89">
        <v>0</v>
      </c>
      <c r="AZ221" s="42">
        <f t="shared" si="395"/>
        <v>0.36575000000000002</v>
      </c>
      <c r="BA221" s="44">
        <v>0.15</v>
      </c>
      <c r="BB221" s="44">
        <v>1.0033000000000001</v>
      </c>
      <c r="BC221" s="42">
        <f t="shared" si="396"/>
        <v>0.29949999999999999</v>
      </c>
      <c r="BD221" s="42" cm="1">
        <f t="array" ref="BD221">_xlfn.IFS(AD221=0,"NA",AD221&gt;0,AH221/AD221)</f>
        <v>0.71869782971619367</v>
      </c>
      <c r="BE221" s="42">
        <f t="shared" si="397"/>
        <v>0.3</v>
      </c>
      <c r="BF221" s="44">
        <v>0</v>
      </c>
      <c r="BG221" s="42">
        <f t="shared" si="398"/>
        <v>0.25</v>
      </c>
      <c r="BH221" s="44">
        <v>0</v>
      </c>
      <c r="BI221" s="42">
        <f t="shared" si="399"/>
        <v>0</v>
      </c>
      <c r="BJ221" s="44" t="s">
        <v>115</v>
      </c>
      <c r="BK221" s="42">
        <f t="shared" si="408"/>
        <v>0.36575000000000002</v>
      </c>
      <c r="BL221" s="44">
        <v>1</v>
      </c>
      <c r="BM221" s="42" cm="1">
        <f t="array" ref="BM221">_xlfn.IFS(BD221="NA","NA",BD221&gt;100%,"100%",BD221&lt;100,BD221)</f>
        <v>0.71869782971619367</v>
      </c>
      <c r="BN221" s="42" cm="1">
        <f t="array" ref="BN221">_xlfn.IFS(BF221="NA","NA",BF221&gt;100%,"100%",BF221&lt;100,BF221)</f>
        <v>0</v>
      </c>
      <c r="BO221" s="42" cm="1">
        <f t="array" ref="BO221">_xlfn.IFS(BH221="NA","NA",BH221&gt;100%,"100%",BH221&lt;100,BH221)</f>
        <v>0</v>
      </c>
      <c r="BP221" s="42" t="str" cm="1">
        <f t="array" ref="BP221">_xlfn.IFS(BJ221="NA","NA",BJ221&gt;100%,"100%",BJ221&lt;100,BJ221)</f>
        <v>NA</v>
      </c>
      <c r="BQ221" s="45">
        <v>0.22500000000000001</v>
      </c>
      <c r="BR221" s="43">
        <f t="shared" si="409"/>
        <v>8.2293750000000013E-2</v>
      </c>
      <c r="BS221" s="45">
        <v>3.3799999999999997E-2</v>
      </c>
      <c r="BT221" s="45">
        <v>3.3799999999999997E-2</v>
      </c>
      <c r="BU221" s="45">
        <v>3.39E-2</v>
      </c>
      <c r="BV221" s="43">
        <f t="shared" si="400"/>
        <v>6.7387500000000003E-2</v>
      </c>
      <c r="BW221" s="43">
        <f t="shared" si="410"/>
        <v>4.8431250000000002E-2</v>
      </c>
      <c r="BX221" s="43">
        <f t="shared" si="411"/>
        <v>4.8393750000000013E-2</v>
      </c>
      <c r="BY221" s="43">
        <f t="shared" si="401"/>
        <v>6.7500000000000004E-2</v>
      </c>
      <c r="BZ221" s="43">
        <f t="shared" si="402"/>
        <v>0</v>
      </c>
      <c r="CA221" s="43">
        <f t="shared" si="412"/>
        <v>0</v>
      </c>
      <c r="CB221" s="43">
        <f t="shared" si="403"/>
        <v>5.6250000000000001E-2</v>
      </c>
      <c r="CC221" s="43">
        <f t="shared" si="404"/>
        <v>0</v>
      </c>
      <c r="CD221" s="45">
        <v>0</v>
      </c>
      <c r="CE221" s="43">
        <f t="shared" si="405"/>
        <v>0</v>
      </c>
      <c r="CF221" s="43" t="str">
        <f t="shared" si="406"/>
        <v>NA</v>
      </c>
      <c r="CG221" s="45">
        <v>0</v>
      </c>
    </row>
    <row r="222" spans="1:90" ht="18" customHeight="1">
      <c r="A222" s="260" t="s">
        <v>1434</v>
      </c>
      <c r="B222" s="260" t="s">
        <v>1435</v>
      </c>
      <c r="C222" s="260" t="s">
        <v>1286</v>
      </c>
      <c r="D222" s="260" t="s">
        <v>1389</v>
      </c>
      <c r="E222" s="260" t="s">
        <v>1411</v>
      </c>
      <c r="F222" s="260" t="s">
        <v>1412</v>
      </c>
      <c r="G222" s="260" t="s">
        <v>1413</v>
      </c>
      <c r="H222" s="260" t="s">
        <v>1436</v>
      </c>
      <c r="I222" s="260"/>
      <c r="J222" s="260"/>
      <c r="K222" s="260" t="s">
        <v>1437</v>
      </c>
      <c r="L222" s="260" t="s">
        <v>1438</v>
      </c>
      <c r="M222" s="260" t="s">
        <v>1439</v>
      </c>
      <c r="N222" s="260" t="s">
        <v>111</v>
      </c>
      <c r="O222" s="260" t="s">
        <v>112</v>
      </c>
      <c r="P222" s="10">
        <v>0</v>
      </c>
      <c r="Q222" s="11">
        <v>1</v>
      </c>
      <c r="R222" s="9">
        <f t="shared" si="393"/>
        <v>0.48000000000000004</v>
      </c>
      <c r="S222" s="11" t="str">
        <f>VLOOKUP(K222,'1128 TICS'!$K$13:$AK$27,9,0)</f>
        <v>Se realizó taller de emprendimiento digital, con  acompañamiento del MINTIC,  
Se iniciara en el mes de diciembre  un PROCESO DE FORMACIÓN CERTIFICADA EN HERRAMIENTAS TIC PARA IMPULSAR EL EMPRENDIMIENTO DE JÓVENES EN CUNDINAMARCA".</v>
      </c>
      <c r="T222" s="11">
        <v>0</v>
      </c>
      <c r="U222" s="11">
        <v>0</v>
      </c>
      <c r="V222" s="11">
        <v>0</v>
      </c>
      <c r="W222" s="11">
        <v>0</v>
      </c>
      <c r="X222" s="11">
        <v>0</v>
      </c>
      <c r="Y222" s="11">
        <v>0</v>
      </c>
      <c r="Z222" s="11">
        <v>0</v>
      </c>
      <c r="AA222" s="11"/>
      <c r="AB222" s="11"/>
      <c r="AC222" s="11"/>
      <c r="AD222" s="11">
        <v>0.5</v>
      </c>
      <c r="AE222" s="11">
        <v>0</v>
      </c>
      <c r="AF222" s="11">
        <f>VLOOKUP(K222,'1128 TICS'!$K$13:$AK$27,22,0)</f>
        <v>0.48000000000000004</v>
      </c>
      <c r="AG222" s="11">
        <f>VLOOKUP(K222,'1128 TICS'!$K$13:$AK$27,23,0)</f>
        <v>0</v>
      </c>
      <c r="AH222" s="9">
        <f t="shared" si="394"/>
        <v>0.48000000000000004</v>
      </c>
      <c r="AI222" s="9" t="str">
        <f>VLOOKUP(K222,'1128 TICS'!$K$13:$AK$27,25,0)</f>
        <v>Se realizó taller de emprendimiento digital, con  acompañamiento del MINTIC,  
Se iniciara en el mes de diciembre  un PROCESO DE FORMACIÓN CERTIFICADA EN HERRAMIENTAS TIC PARA IMPULSAR EL EMPRENDIMIENTO DE JÓVENES EN CUNDINAMARCA".</v>
      </c>
      <c r="AJ222" s="9" t="str">
        <f>VLOOKUP(K222,'1128 TICS'!$K$13:$AK$27,26,0)</f>
        <v>Se realizó taller de emprendimiento digital, con  acompañamiento del MINTIC,  
Se iniciara en el mes de diciembre  un PROCESO DE FORMACIÓN CERTIFICADA EN HERRAMIENTAS TIC PARA IMPULSAR EL EMPRENDIMIENTO DE JÓVENES EN CUNDINAMARCA".</v>
      </c>
      <c r="AK222" s="9">
        <f>VLOOKUP(K222,'1128 TICS'!$K$13:$AK$27,27,0)</f>
        <v>0</v>
      </c>
      <c r="AL222" s="11">
        <v>0.5</v>
      </c>
      <c r="AM222" s="11">
        <v>0</v>
      </c>
      <c r="AN222" s="11">
        <v>0</v>
      </c>
      <c r="AO222" s="11">
        <v>0</v>
      </c>
      <c r="AP222" s="11">
        <v>0</v>
      </c>
      <c r="AQ222" s="11">
        <v>0</v>
      </c>
      <c r="AR222" s="52"/>
      <c r="AS222" s="54">
        <v>0</v>
      </c>
      <c r="AT222" s="54">
        <f t="shared" si="407"/>
        <v>0</v>
      </c>
      <c r="AU222" s="52"/>
      <c r="AV222" s="89">
        <v>40000000</v>
      </c>
      <c r="AY222" s="89">
        <v>0</v>
      </c>
      <c r="AZ222" s="42">
        <f t="shared" si="395"/>
        <v>0.48000000000000004</v>
      </c>
      <c r="BA222" s="44">
        <v>0</v>
      </c>
      <c r="BB222" s="44" t="s">
        <v>115</v>
      </c>
      <c r="BC222" s="42">
        <f t="shared" si="396"/>
        <v>0.5</v>
      </c>
      <c r="BD222" s="42" cm="1">
        <f t="array" ref="BD222">_xlfn.IFS(AD222=0,"NA",AD222&gt;0,AH222/AD222)</f>
        <v>0.96000000000000008</v>
      </c>
      <c r="BE222" s="42">
        <f t="shared" si="397"/>
        <v>0.5</v>
      </c>
      <c r="BF222" s="44">
        <v>0</v>
      </c>
      <c r="BG222" s="42">
        <f t="shared" si="398"/>
        <v>0</v>
      </c>
      <c r="BH222" s="44" t="s">
        <v>115</v>
      </c>
      <c r="BI222" s="42">
        <f t="shared" si="399"/>
        <v>0</v>
      </c>
      <c r="BJ222" s="44" t="s">
        <v>115</v>
      </c>
      <c r="BK222" s="42">
        <f t="shared" si="408"/>
        <v>0.48000000000000004</v>
      </c>
      <c r="BL222" s="44" t="s">
        <v>115</v>
      </c>
      <c r="BM222" s="42" cm="1">
        <f t="array" ref="BM222">_xlfn.IFS(BD222="NA","NA",BD222&gt;100%,"100%",BD222&lt;100,BD222)</f>
        <v>0.96000000000000008</v>
      </c>
      <c r="BN222" s="42" cm="1">
        <f t="array" ref="BN222">_xlfn.IFS(BF222="NA","NA",BF222&gt;100%,"100%",BF222&lt;100,BF222)</f>
        <v>0</v>
      </c>
      <c r="BO222" s="42" t="str" cm="1">
        <f t="array" ref="BO222">_xlfn.IFS(BH222="NA","NA",BH222&gt;100%,"100%",BH222&lt;100,BH222)</f>
        <v>NA</v>
      </c>
      <c r="BP222" s="42" t="str" cm="1">
        <f t="array" ref="BP222">_xlfn.IFS(BJ222="NA","NA",BJ222&gt;100%,"100%",BJ222&lt;100,BJ222)</f>
        <v>NA</v>
      </c>
      <c r="BQ222" s="45">
        <v>0.22500000000000001</v>
      </c>
      <c r="BR222" s="43">
        <f t="shared" si="409"/>
        <v>0.10800000000000001</v>
      </c>
      <c r="BS222" s="45">
        <v>0</v>
      </c>
      <c r="BT222" s="45" t="s">
        <v>115</v>
      </c>
      <c r="BU222" s="45">
        <v>0</v>
      </c>
      <c r="BV222" s="43">
        <f t="shared" si="400"/>
        <v>0.1125</v>
      </c>
      <c r="BW222" s="43">
        <f t="shared" si="410"/>
        <v>0.10800000000000001</v>
      </c>
      <c r="BX222" s="43">
        <f t="shared" si="411"/>
        <v>0.10800000000000001</v>
      </c>
      <c r="BY222" s="43">
        <f t="shared" si="401"/>
        <v>0.1125</v>
      </c>
      <c r="BZ222" s="43">
        <f t="shared" si="402"/>
        <v>0</v>
      </c>
      <c r="CA222" s="43">
        <f t="shared" si="412"/>
        <v>0</v>
      </c>
      <c r="CB222" s="43">
        <f t="shared" si="403"/>
        <v>0</v>
      </c>
      <c r="CC222" s="43" t="str">
        <f t="shared" si="404"/>
        <v>NA</v>
      </c>
      <c r="CD222" s="45">
        <v>0</v>
      </c>
      <c r="CE222" s="43">
        <f t="shared" si="405"/>
        <v>0</v>
      </c>
      <c r="CF222" s="43" t="str">
        <f t="shared" si="406"/>
        <v>NA</v>
      </c>
      <c r="CG222" s="45">
        <v>0</v>
      </c>
    </row>
    <row r="223" spans="1:90" ht="18" customHeight="1">
      <c r="A223" s="260" t="s">
        <v>1434</v>
      </c>
      <c r="B223" s="260" t="s">
        <v>1435</v>
      </c>
      <c r="C223" s="260" t="s">
        <v>1286</v>
      </c>
      <c r="D223" s="260" t="s">
        <v>1389</v>
      </c>
      <c r="E223" s="260" t="s">
        <v>1411</v>
      </c>
      <c r="F223" s="260" t="s">
        <v>1440</v>
      </c>
      <c r="G223" s="260" t="s">
        <v>1441</v>
      </c>
      <c r="H223" s="260" t="s">
        <v>1442</v>
      </c>
      <c r="I223" s="260"/>
      <c r="J223" s="260"/>
      <c r="K223" s="260" t="s">
        <v>1443</v>
      </c>
      <c r="L223" s="260" t="s">
        <v>1444</v>
      </c>
      <c r="M223" s="260" t="s">
        <v>1445</v>
      </c>
      <c r="N223" s="260" t="s">
        <v>111</v>
      </c>
      <c r="O223" s="260" t="s">
        <v>124</v>
      </c>
      <c r="P223" s="10">
        <v>5</v>
      </c>
      <c r="Q223" s="11">
        <v>8</v>
      </c>
      <c r="R223" s="11">
        <f>(Z223+AH223)/CL223</f>
        <v>4</v>
      </c>
      <c r="S223" s="11" t="str">
        <f>VLOOKUP(K223,'1128 TICS'!$K$13:$AK$27,9,0)</f>
        <v>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v>
      </c>
      <c r="T223" s="11">
        <v>0</v>
      </c>
      <c r="U223" s="11">
        <v>8</v>
      </c>
      <c r="V223" s="11">
        <v>0</v>
      </c>
      <c r="W223" s="11">
        <v>8</v>
      </c>
      <c r="X223" s="11" t="s">
        <v>115</v>
      </c>
      <c r="Y223" s="11">
        <v>8</v>
      </c>
      <c r="Z223" s="11">
        <v>8</v>
      </c>
      <c r="AA223" s="11" t="s">
        <v>1446</v>
      </c>
      <c r="AB223" s="11" t="s">
        <v>1447</v>
      </c>
      <c r="AC223" s="11">
        <v>0</v>
      </c>
      <c r="AD223" s="11">
        <v>0</v>
      </c>
      <c r="AE223" s="11">
        <v>8</v>
      </c>
      <c r="AF223" s="11">
        <f>VLOOKUP(K223,'1128 TICS'!$K$13:$AK$27,22,0)</f>
        <v>0</v>
      </c>
      <c r="AG223" s="11">
        <f>VLOOKUP(K223,'1128 TICS'!$K$13:$AK$27,23,0)</f>
        <v>8</v>
      </c>
      <c r="AH223" s="11">
        <f>AG223</f>
        <v>8</v>
      </c>
      <c r="AI223" s="9" t="str">
        <f>VLOOKUP(K223,'1128 TICS'!$K$13:$AK$27,25,0)</f>
        <v>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v>
      </c>
      <c r="AJ223" s="9" t="str">
        <f>VLOOKUP(K223,'1128 TICS'!$K$13:$AK$27,26,0)</f>
        <v>SE ADELANTÓ INSTALACIÓN DE LA ESTRATEGÍA DE CONECTIVIDAD RED DE ALTA VELOCIDAD (RAV1) EN 14 MUNICIPIOS Y SE CONTINUA PRESTANDO PERMANANTEMENTE EL SERVICIO DE CONECTIVIDAD A 8 SECTORES DE DESARROLLO DEL DEPARTAMENTO, EN 1.228 SEDES, ASI; Agricultura, 16; Cultura, 228; Educación, 584; Gobierno, 164; Postconflicto, 4; Salud, 116; Seguridad, 49; turismo, 67 . SE INICIA LA INSTALACIÓN DE LA SEGUNDA ETAPA DE LA RED DE ALTA VELOCIDAD (RAV2)</v>
      </c>
      <c r="AK223" s="9">
        <f>VLOOKUP(K223,'1128 TICS'!$K$13:$AK$27,27,0)</f>
        <v>0</v>
      </c>
      <c r="AL223" s="11">
        <v>0</v>
      </c>
      <c r="AM223" s="11">
        <v>8</v>
      </c>
      <c r="AN223" s="11">
        <v>0</v>
      </c>
      <c r="AO223" s="11">
        <v>8</v>
      </c>
      <c r="AP223" s="11">
        <v>0</v>
      </c>
      <c r="AQ223" s="11">
        <v>0</v>
      </c>
      <c r="AR223" s="51">
        <v>4389527434</v>
      </c>
      <c r="AS223" s="54">
        <v>0</v>
      </c>
      <c r="AT223" s="54">
        <f t="shared" si="407"/>
        <v>4389527434</v>
      </c>
      <c r="AU223" s="51">
        <v>4320229753</v>
      </c>
      <c r="AV223" s="89">
        <v>7662142271</v>
      </c>
      <c r="AY223" s="89">
        <v>521196009</v>
      </c>
      <c r="AZ223" s="44" cm="1">
        <f t="array" ref="AZ223">_xlfn.IFS((BA223=0),(BD223/CL223),(BA223&gt;0),((BB223+BD223)/CL223),(BE223&gt;0),((BB223+BD223+BE223)/CL223),(BG223&gt;0),((BB223+BD223+BE223+G223)/CL223))</f>
        <v>0.5</v>
      </c>
      <c r="BA223" s="44">
        <v>0.25</v>
      </c>
      <c r="BB223" s="44">
        <v>1</v>
      </c>
      <c r="BC223" s="44">
        <f>IF(AE223&gt;0,(1/CL223),0)</f>
        <v>0.25</v>
      </c>
      <c r="BD223" s="44" cm="1">
        <f t="array" ref="BD223">_xlfn.IFS(AE223=0,"NA",AE223&gt;0,AH223/AE223)</f>
        <v>1</v>
      </c>
      <c r="BE223" s="44">
        <f>IF(AM223&gt;0,(1/CL223),0)</f>
        <v>0.25</v>
      </c>
      <c r="BF223" s="44">
        <v>0</v>
      </c>
      <c r="BG223" s="44">
        <f>IF(AO223&gt;0,(1/CL223),0)</f>
        <v>0.25</v>
      </c>
      <c r="BH223" s="44">
        <v>0</v>
      </c>
      <c r="BI223" s="44">
        <v>0</v>
      </c>
      <c r="BJ223" s="44" t="s">
        <v>115</v>
      </c>
      <c r="BK223" s="44">
        <f t="shared" si="408"/>
        <v>0.5</v>
      </c>
      <c r="BL223" s="44">
        <v>1</v>
      </c>
      <c r="BM223" s="42" cm="1">
        <f t="array" ref="BM223">_xlfn.IFS(BD223="NA","NA",BD223&gt;100%,"100%",BD223&lt;100,BD223)</f>
        <v>1</v>
      </c>
      <c r="BN223" s="44">
        <v>0</v>
      </c>
      <c r="BO223" s="44">
        <v>0</v>
      </c>
      <c r="BP223" s="44" t="s">
        <v>115</v>
      </c>
      <c r="BQ223" s="45">
        <v>0.22500000000000001</v>
      </c>
      <c r="BR223" s="43">
        <f t="shared" si="409"/>
        <v>0.1125</v>
      </c>
      <c r="BS223" s="45">
        <v>5.6300000000000003E-2</v>
      </c>
      <c r="BT223" s="45">
        <v>5.6300000000000003E-2</v>
      </c>
      <c r="BU223" s="45">
        <v>5.6300000000000003E-2</v>
      </c>
      <c r="BV223" s="45">
        <v>5.6300000000000003E-2</v>
      </c>
      <c r="BW223" s="43">
        <f t="shared" si="410"/>
        <v>5.6300000000000003E-2</v>
      </c>
      <c r="BX223" s="43">
        <f t="shared" si="411"/>
        <v>5.62E-2</v>
      </c>
      <c r="BY223" s="45">
        <v>5.6300000000000003E-2</v>
      </c>
      <c r="BZ223" s="45">
        <v>0</v>
      </c>
      <c r="CA223" s="43">
        <f t="shared" si="412"/>
        <v>0</v>
      </c>
      <c r="CB223" s="45">
        <v>5.6300000000000003E-2</v>
      </c>
      <c r="CC223" s="45">
        <v>0</v>
      </c>
      <c r="CD223" s="45">
        <v>0</v>
      </c>
      <c r="CE223" s="45">
        <v>0</v>
      </c>
      <c r="CF223" s="45" t="s">
        <v>115</v>
      </c>
      <c r="CG223" s="45">
        <v>0</v>
      </c>
      <c r="CH223">
        <f>IF(W223&gt;0,1,0)</f>
        <v>1</v>
      </c>
      <c r="CI223">
        <f>IF(AE223&gt;0,1,0)</f>
        <v>1</v>
      </c>
      <c r="CJ223">
        <f>IF(AM223&gt;0,1,0)</f>
        <v>1</v>
      </c>
      <c r="CK223">
        <f>IF(AO223&gt;0,1,0)</f>
        <v>1</v>
      </c>
      <c r="CL223">
        <f>CH223+CI223+CJ223+CK223</f>
        <v>4</v>
      </c>
    </row>
    <row r="224" spans="1:90" ht="18" customHeight="1">
      <c r="A224" s="260" t="s">
        <v>1434</v>
      </c>
      <c r="B224" s="260" t="s">
        <v>1435</v>
      </c>
      <c r="C224" s="260" t="s">
        <v>1286</v>
      </c>
      <c r="D224" s="260" t="s">
        <v>1389</v>
      </c>
      <c r="E224" s="260" t="s">
        <v>1411</v>
      </c>
      <c r="F224" s="260" t="s">
        <v>1440</v>
      </c>
      <c r="G224" s="260" t="s">
        <v>1441</v>
      </c>
      <c r="H224" s="260" t="s">
        <v>1448</v>
      </c>
      <c r="I224" s="260"/>
      <c r="J224" s="260"/>
      <c r="K224" s="260" t="s">
        <v>1449</v>
      </c>
      <c r="L224" s="260" t="s">
        <v>2967</v>
      </c>
      <c r="M224" s="260" t="s">
        <v>2968</v>
      </c>
      <c r="N224" s="260" t="s">
        <v>123</v>
      </c>
      <c r="O224" s="260" t="s">
        <v>112</v>
      </c>
      <c r="P224" s="10">
        <v>0</v>
      </c>
      <c r="Q224" s="11">
        <v>100</v>
      </c>
      <c r="R224" s="9">
        <f t="shared" ref="R224:R238" si="413">Z224+AH224</f>
        <v>60</v>
      </c>
      <c r="S224" s="11" t="str">
        <f>VLOOKUP(K224,'1128 TICS'!$K$13:$AK$27,9,0)</f>
        <v>LA  ADC BRINDA SERVICIO DE CONECTIVIDAD A 106 SEDES PUBLICAS DE SALUD</v>
      </c>
      <c r="T224" s="11">
        <v>30</v>
      </c>
      <c r="U224" s="11">
        <v>0</v>
      </c>
      <c r="V224" s="11">
        <v>30</v>
      </c>
      <c r="W224" s="11">
        <v>0</v>
      </c>
      <c r="X224" s="11">
        <v>60</v>
      </c>
      <c r="Y224" s="11">
        <v>0</v>
      </c>
      <c r="Z224" s="11">
        <v>60</v>
      </c>
      <c r="AA224" s="11" t="s">
        <v>1446</v>
      </c>
      <c r="AB224" s="11" t="s">
        <v>1452</v>
      </c>
      <c r="AC224" s="11">
        <v>0</v>
      </c>
      <c r="AD224" s="11">
        <v>30</v>
      </c>
      <c r="AE224" s="11">
        <v>0</v>
      </c>
      <c r="AF224" s="11">
        <f>VLOOKUP(K224,'1128 TICS'!$K$13:$AK$27,22,0)</f>
        <v>0</v>
      </c>
      <c r="AG224" s="11">
        <f>VLOOKUP(K224,'1128 TICS'!$K$13:$AK$27,23,0)</f>
        <v>116</v>
      </c>
      <c r="AH224" s="9">
        <f t="shared" ref="AH224:AH238" si="414">AF224</f>
        <v>0</v>
      </c>
      <c r="AI224" s="9" t="str">
        <f>VLOOKUP(K224,'1128 TICS'!$K$13:$AK$27,25,0)</f>
        <v>LA  ADC BRINDA SERVICIO DE CONECTIVIDAD A 116 SEDES PUBLICAS DE SALUD</v>
      </c>
      <c r="AJ224" s="9" t="str">
        <f>VLOOKUP(K224,'1128 TICS'!$K$13:$AK$27,26,0)</f>
        <v>LA  ADC BRINDA SERVICIO DE CONECTIVIDAD A 116 SEDES PUBLICAS DE SALUD</v>
      </c>
      <c r="AK224" s="9">
        <f>VLOOKUP(K224,'1128 TICS'!$K$13:$AK$27,27,0)</f>
        <v>0</v>
      </c>
      <c r="AL224" s="11">
        <v>20</v>
      </c>
      <c r="AM224" s="11">
        <v>0</v>
      </c>
      <c r="AN224" s="11">
        <v>20</v>
      </c>
      <c r="AO224" s="11">
        <v>0</v>
      </c>
      <c r="AP224" s="11">
        <v>0</v>
      </c>
      <c r="AQ224" s="11">
        <v>0</v>
      </c>
      <c r="AR224" s="51">
        <v>150000000</v>
      </c>
      <c r="AS224" s="54">
        <v>0</v>
      </c>
      <c r="AT224" s="54">
        <f t="shared" si="407"/>
        <v>150000000</v>
      </c>
      <c r="AU224" s="51">
        <v>150000000</v>
      </c>
      <c r="AV224" s="89">
        <v>60000000</v>
      </c>
      <c r="AY224" s="89">
        <v>7035000</v>
      </c>
      <c r="AZ224" s="42">
        <f t="shared" ref="AZ224:AZ238" si="415">R224/Q224</f>
        <v>0.6</v>
      </c>
      <c r="BA224" s="44">
        <v>0.3</v>
      </c>
      <c r="BB224" s="44">
        <v>2</v>
      </c>
      <c r="BC224" s="42">
        <f t="shared" ref="BC224:BC238" si="416">AD224/Q224</f>
        <v>0.3</v>
      </c>
      <c r="BD224" s="42" cm="1">
        <f t="array" ref="BD224">_xlfn.IFS(AD224=0,"NA",AD224&gt;0,AH224/AD224)</f>
        <v>0</v>
      </c>
      <c r="BE224" s="42">
        <f t="shared" ref="BE224:BE238" si="417">AL224/Q224</f>
        <v>0.2</v>
      </c>
      <c r="BF224" s="44">
        <v>0</v>
      </c>
      <c r="BG224" s="42">
        <f t="shared" ref="BG224:BG238" si="418">AN224/Q224</f>
        <v>0.2</v>
      </c>
      <c r="BH224" s="44">
        <v>0</v>
      </c>
      <c r="BI224" s="42">
        <f t="shared" ref="BI224:BI238" si="419">AP224/Q224</f>
        <v>0</v>
      </c>
      <c r="BJ224" s="44" t="s">
        <v>115</v>
      </c>
      <c r="BK224" s="42">
        <f t="shared" si="408"/>
        <v>0.6</v>
      </c>
      <c r="BL224" s="44">
        <v>1</v>
      </c>
      <c r="BM224" s="42" cm="1">
        <f t="array" ref="BM224">_xlfn.IFS(BD224="NA","NA",BD224&gt;100%,"100%",BD224&lt;100,BD224)</f>
        <v>0</v>
      </c>
      <c r="BN224" s="42" cm="1">
        <f t="array" ref="BN224">_xlfn.IFS(BF224="NA","NA",BF224&gt;100%,"100%",BF224&lt;100,BF224)</f>
        <v>0</v>
      </c>
      <c r="BO224" s="42" cm="1">
        <f t="array" ref="BO224">_xlfn.IFS(BH224="NA","NA",BH224&gt;100%,"100%",BH224&lt;100,BH224)</f>
        <v>0</v>
      </c>
      <c r="BP224" s="42" t="str" cm="1">
        <f t="array" ref="BP224">_xlfn.IFS(BJ224="NA","NA",BJ224&gt;100%,"100%",BJ224&lt;100,BJ224)</f>
        <v>NA</v>
      </c>
      <c r="BQ224" s="45">
        <v>0.22500000000000001</v>
      </c>
      <c r="BR224" s="43">
        <f t="shared" si="409"/>
        <v>0.13500000000000001</v>
      </c>
      <c r="BS224" s="45">
        <v>6.7500000000000004E-2</v>
      </c>
      <c r="BT224" s="45">
        <v>6.7500000000000004E-2</v>
      </c>
      <c r="BU224" s="45">
        <v>0.13500000000000001</v>
      </c>
      <c r="BV224" s="43">
        <f t="shared" ref="BV224:BV238" si="420">(AD224*BQ224)/Q224</f>
        <v>6.7500000000000004E-2</v>
      </c>
      <c r="BW224" s="43">
        <f t="shared" si="410"/>
        <v>0</v>
      </c>
      <c r="BX224" s="43">
        <f t="shared" si="411"/>
        <v>0</v>
      </c>
      <c r="BY224" s="43">
        <f t="shared" ref="BY224:BY238" si="421">(AL224*BQ224)/Q224</f>
        <v>4.4999999999999998E-2</v>
      </c>
      <c r="BZ224" s="43">
        <f t="shared" ref="BZ224:BZ238" si="422">IF(BN224="NA","NA",BN224*BY224)</f>
        <v>0</v>
      </c>
      <c r="CA224" s="43">
        <f t="shared" si="412"/>
        <v>0</v>
      </c>
      <c r="CB224" s="43">
        <f t="shared" ref="CB224:CB238" si="423">(AN224*BQ224)/Q224</f>
        <v>4.4999999999999998E-2</v>
      </c>
      <c r="CC224" s="43">
        <f t="shared" ref="CC224:CC238" si="424">IF(BO224="NA","NA",BO224*CB224)</f>
        <v>0</v>
      </c>
      <c r="CD224" s="45">
        <v>0</v>
      </c>
      <c r="CE224" s="43">
        <f t="shared" ref="CE224:CE238" si="425">(AP224*BQ224)/Q224</f>
        <v>0</v>
      </c>
      <c r="CF224" s="43" t="str">
        <f t="shared" ref="CF224:CF238" si="426">IF(BP224="NA","NA",BP224*CE224)</f>
        <v>NA</v>
      </c>
      <c r="CG224" s="45">
        <v>0</v>
      </c>
    </row>
    <row r="225" spans="1:90" ht="18" customHeight="1">
      <c r="A225" s="260" t="s">
        <v>1434</v>
      </c>
      <c r="B225" s="260" t="s">
        <v>1435</v>
      </c>
      <c r="C225" s="260" t="s">
        <v>1286</v>
      </c>
      <c r="D225" s="260" t="s">
        <v>1389</v>
      </c>
      <c r="E225" s="260" t="s">
        <v>1411</v>
      </c>
      <c r="F225" s="260" t="s">
        <v>1440</v>
      </c>
      <c r="G225" s="260" t="s">
        <v>1441</v>
      </c>
      <c r="H225" s="260" t="s">
        <v>1453</v>
      </c>
      <c r="I225" s="260"/>
      <c r="J225" s="260"/>
      <c r="K225" s="260" t="s">
        <v>1454</v>
      </c>
      <c r="L225" s="260" t="s">
        <v>2969</v>
      </c>
      <c r="M225" s="260" t="s">
        <v>2970</v>
      </c>
      <c r="N225" s="260" t="s">
        <v>111</v>
      </c>
      <c r="O225" s="260" t="s">
        <v>112</v>
      </c>
      <c r="P225" s="10">
        <v>160000</v>
      </c>
      <c r="Q225" s="11">
        <v>100000</v>
      </c>
      <c r="R225" s="9">
        <f t="shared" si="413"/>
        <v>11743</v>
      </c>
      <c r="S225" s="11" t="str">
        <f>VLOOKUP(K225,'1128 TICS'!$K$13:$AK$27,9,0)</f>
        <v>Se han capacitado 17.703 Cundinamarqueses en apropiación de herramientas tecnológicas de forma presencial y virtual</v>
      </c>
      <c r="T225" s="11">
        <v>10000</v>
      </c>
      <c r="U225" s="11">
        <v>0</v>
      </c>
      <c r="V225" s="11">
        <v>10000</v>
      </c>
      <c r="W225" s="11">
        <v>0</v>
      </c>
      <c r="X225" s="11">
        <v>11743</v>
      </c>
      <c r="Y225" s="11">
        <v>0</v>
      </c>
      <c r="Z225" s="11">
        <v>11743</v>
      </c>
      <c r="AA225" s="11" t="s">
        <v>1457</v>
      </c>
      <c r="AB225" s="11" t="s">
        <v>1458</v>
      </c>
      <c r="AC225" s="11">
        <v>0</v>
      </c>
      <c r="AD225" s="11">
        <v>30000</v>
      </c>
      <c r="AE225" s="11">
        <v>0</v>
      </c>
      <c r="AF225" s="11">
        <f>VLOOKUP(K225,'1128 TICS'!$K$13:$AK$27,22,0)</f>
        <v>0</v>
      </c>
      <c r="AG225" s="11">
        <f>VLOOKUP(K225,'1128 TICS'!$K$13:$AK$27,23,0)</f>
        <v>6</v>
      </c>
      <c r="AH225" s="9">
        <f t="shared" si="414"/>
        <v>0</v>
      </c>
      <c r="AI225" s="9" t="str">
        <f>VLOOKUP(K225,'1128 TICS'!$K$13:$AK$27,25,0)</f>
        <v xml:space="preserve">7.031   CUNDINAMARQUESES SE HAN CAPACITADO DE MANERA PRESENCIAL Y VIRTUAL, EN USO Y APROPIACIÓN DE LAS TIC. PERTENECIENTES A 6 SECORES DE DESARROLLO DEL DEPARRAMENTO (ESTUDIANTES, JAC, FUNCIONARIOS PUBLICOS, PERSONAS EN CONDICION DE DISCAPACIDAD, MIPYMES Y JOVENES) </v>
      </c>
      <c r="AJ225" s="9" t="str">
        <f>VLOOKUP(K225,'1128 TICS'!$K$13:$AK$27,26,0)</f>
        <v xml:space="preserve">  18.774 CUNDINAMARQUESES SE HAN CAPACITADO DE MANERA PRESCENCIAL Y VIRTUAL, EN USO Y APROPIACIÓN DE LAS TIC, PERTENECIENTES A 6 SECTORES DE DESARROLLO (ESTUDIENTES, JAC, FUNCIONARIOS PUBLICOS, PERSONAS EN CONDICION DE DISCAPACIDAD.MIPYMES Y JOVENES)</v>
      </c>
      <c r="AK225" s="9">
        <f>VLOOKUP(K225,'1128 TICS'!$K$13:$AK$27,27,0)</f>
        <v>0</v>
      </c>
      <c r="AL225" s="11">
        <v>30000</v>
      </c>
      <c r="AM225" s="11">
        <v>0</v>
      </c>
      <c r="AN225" s="11">
        <v>30000</v>
      </c>
      <c r="AO225" s="11">
        <v>0</v>
      </c>
      <c r="AP225" s="11">
        <v>0</v>
      </c>
      <c r="AQ225" s="11">
        <v>0</v>
      </c>
      <c r="AR225" s="51">
        <v>11495504</v>
      </c>
      <c r="AS225" s="54">
        <v>0</v>
      </c>
      <c r="AT225" s="54">
        <f t="shared" si="407"/>
        <v>11495504</v>
      </c>
      <c r="AU225" s="51">
        <v>11495504</v>
      </c>
      <c r="AV225" s="89">
        <v>85000000</v>
      </c>
      <c r="AY225" s="89">
        <v>29893336</v>
      </c>
      <c r="AZ225" s="42">
        <f t="shared" si="415"/>
        <v>0.11743000000000001</v>
      </c>
      <c r="BA225" s="44">
        <v>0.1</v>
      </c>
      <c r="BB225" s="44">
        <v>1.1742999999999999</v>
      </c>
      <c r="BC225" s="42">
        <f t="shared" si="416"/>
        <v>0.3</v>
      </c>
      <c r="BD225" s="42" cm="1">
        <f t="array" ref="BD225">_xlfn.IFS(AD225=0,"NA",AD225&gt;0,AH225/AD225)</f>
        <v>0</v>
      </c>
      <c r="BE225" s="42">
        <f t="shared" si="417"/>
        <v>0.3</v>
      </c>
      <c r="BF225" s="44">
        <v>0</v>
      </c>
      <c r="BG225" s="42">
        <f t="shared" si="418"/>
        <v>0.3</v>
      </c>
      <c r="BH225" s="44">
        <v>0</v>
      </c>
      <c r="BI225" s="42">
        <f t="shared" si="419"/>
        <v>0</v>
      </c>
      <c r="BJ225" s="44" t="s">
        <v>115</v>
      </c>
      <c r="BK225" s="42">
        <f t="shared" si="408"/>
        <v>0.11743000000000001</v>
      </c>
      <c r="BL225" s="44">
        <v>1</v>
      </c>
      <c r="BM225" s="42" cm="1">
        <f t="array" ref="BM225">_xlfn.IFS(BD225="NA","NA",BD225&gt;100%,"100%",BD225&lt;100,BD225)</f>
        <v>0</v>
      </c>
      <c r="BN225" s="42" cm="1">
        <f t="array" ref="BN225">_xlfn.IFS(BF225="NA","NA",BF225&gt;100%,"100%",BF225&lt;100,BF225)</f>
        <v>0</v>
      </c>
      <c r="BO225" s="42" cm="1">
        <f t="array" ref="BO225">_xlfn.IFS(BH225="NA","NA",BH225&gt;100%,"100%",BH225&lt;100,BH225)</f>
        <v>0</v>
      </c>
      <c r="BP225" s="42" t="str" cm="1">
        <f t="array" ref="BP225">_xlfn.IFS(BJ225="NA","NA",BJ225&gt;100%,"100%",BJ225&lt;100,BJ225)</f>
        <v>NA</v>
      </c>
      <c r="BQ225" s="45">
        <v>0.22500000000000001</v>
      </c>
      <c r="BR225" s="43">
        <f t="shared" si="409"/>
        <v>2.6421750000000001E-2</v>
      </c>
      <c r="BS225" s="45">
        <v>2.2499999999999999E-2</v>
      </c>
      <c r="BT225" s="45">
        <v>2.2499999999999999E-2</v>
      </c>
      <c r="BU225" s="45">
        <v>2.64E-2</v>
      </c>
      <c r="BV225" s="43">
        <f t="shared" si="420"/>
        <v>6.7500000000000004E-2</v>
      </c>
      <c r="BW225" s="43">
        <f t="shared" si="410"/>
        <v>0</v>
      </c>
      <c r="BX225" s="43">
        <f t="shared" si="411"/>
        <v>2.1750000000000935E-5</v>
      </c>
      <c r="BY225" s="43">
        <f t="shared" si="421"/>
        <v>6.7500000000000004E-2</v>
      </c>
      <c r="BZ225" s="43">
        <f t="shared" si="422"/>
        <v>0</v>
      </c>
      <c r="CA225" s="43">
        <f t="shared" si="412"/>
        <v>0</v>
      </c>
      <c r="CB225" s="43">
        <f t="shared" si="423"/>
        <v>6.7500000000000004E-2</v>
      </c>
      <c r="CC225" s="43">
        <f t="shared" si="424"/>
        <v>0</v>
      </c>
      <c r="CD225" s="45">
        <v>0</v>
      </c>
      <c r="CE225" s="43">
        <f t="shared" si="425"/>
        <v>0</v>
      </c>
      <c r="CF225" s="43" t="str">
        <f t="shared" si="426"/>
        <v>NA</v>
      </c>
      <c r="CG225" s="45">
        <v>0</v>
      </c>
    </row>
    <row r="226" spans="1:90" ht="18" customHeight="1">
      <c r="A226" s="260" t="s">
        <v>1434</v>
      </c>
      <c r="B226" s="260" t="s">
        <v>1435</v>
      </c>
      <c r="C226" s="260" t="s">
        <v>1286</v>
      </c>
      <c r="D226" s="260" t="s">
        <v>1389</v>
      </c>
      <c r="E226" s="260" t="s">
        <v>1411</v>
      </c>
      <c r="F226" s="260" t="s">
        <v>1440</v>
      </c>
      <c r="G226" s="260" t="s">
        <v>1441</v>
      </c>
      <c r="H226" s="260" t="s">
        <v>1459</v>
      </c>
      <c r="I226" s="260"/>
      <c r="J226" s="260"/>
      <c r="K226" s="260" t="s">
        <v>1460</v>
      </c>
      <c r="L226" s="260" t="s">
        <v>1461</v>
      </c>
      <c r="M226" s="260" t="s">
        <v>1462</v>
      </c>
      <c r="N226" s="260" t="s">
        <v>111</v>
      </c>
      <c r="O226" s="260" t="s">
        <v>112</v>
      </c>
      <c r="P226" s="10">
        <v>1</v>
      </c>
      <c r="Q226" s="11">
        <v>2</v>
      </c>
      <c r="R226" s="9">
        <f t="shared" si="413"/>
        <v>1</v>
      </c>
      <c r="S226" s="11" t="str">
        <f>VLOOKUP(K226,'1128 TICS'!$K$13:$AK$27,9,0)</f>
        <v>1. Se formuló y presentó ante el Ministerio TIC el proyecto regional Regiobici Cundinamarca y se está a la espera de firmar el Acuerdo de Voluntades entre los municipios y la Gobernación.
2. El proyecto Regiobici Cundinamarca, resultó ganador entre los presentados por la región de centro-oriente y es ahora un modelo o proyecto tipo para las demás entidades territoriales.</v>
      </c>
      <c r="T226" s="11">
        <v>0</v>
      </c>
      <c r="U226" s="11">
        <v>0</v>
      </c>
      <c r="V226" s="11">
        <v>0</v>
      </c>
      <c r="W226" s="11">
        <v>0</v>
      </c>
      <c r="X226" s="11">
        <v>0</v>
      </c>
      <c r="Y226" s="11">
        <v>0</v>
      </c>
      <c r="Z226" s="11">
        <v>0</v>
      </c>
      <c r="AA226" s="11"/>
      <c r="AB226" s="11"/>
      <c r="AC226" s="11"/>
      <c r="AD226" s="11">
        <v>1</v>
      </c>
      <c r="AE226" s="11">
        <v>0</v>
      </c>
      <c r="AF226" s="11">
        <f>VLOOKUP(K226,'1128 TICS'!$K$13:$AK$27,22,0)</f>
        <v>1</v>
      </c>
      <c r="AG226" s="11">
        <f>VLOOKUP(K226,'1128 TICS'!$K$13:$AK$27,23,0)</f>
        <v>0</v>
      </c>
      <c r="AH226" s="9">
        <f t="shared" si="414"/>
        <v>1</v>
      </c>
      <c r="AI226" s="9" t="str">
        <f>VLOOKUP(K226,'1128 TICS'!$K$13:$AK$27,25,0)</f>
        <v>1. El proyecto Regiobici Cundinamarca, resultó ganador entre los presentados por la región de centro-oriente y es ahora un modelo o proyecto tipo para las demás entidades territoriales. 2. Se suscribió el CONTRATO INTERADMINISTRATIVO STM – CDCTI - 466 -2021, entre la Secretaría de Movilidad y la Universidad Nacional de Colombia que tiene por objeto realizar los "ESTUDIOS DE DEMANDA PARA LA IMPLEMENTACIÓN DEL SISTEMA PÚBLICO DE BICICLETAS – REGIOBICI – EN LOS MUNICIPIOS DE MOSQUERA Y FUNZA", dicho estudio debe ser entregado en el mes de diciembre.</v>
      </c>
      <c r="AJ226" s="9" t="str">
        <f>VLOOKUP(K226,'1128 TICS'!$K$13:$AK$27,26,0)</f>
        <v>1. El proyecto Regiobici Cundinamarca, resultó ganador entre los presentados por la región de centro-oriente y es ahora un modelo o proyecto tipo para las demás entidades territoriales. 2. Se suscribió el CONTRATO INTERADMINISTRATIVO STM – CDCTI - 466 -2021, entre la Secretaría de Movilidad y la Universidad Nacional de Colombia que tiene por objeto realizar los "ESTUDIOS DE DEMANDA PARA LA IMPLEMENTACIÓN DEL SISTEMA PÚBLICO DE BICICLETAS – REGIOBICI – EN LOS MUNICIPIOS DE MOSQUERA Y FUNZA", dicho estudio debe ser entregado en el mes de diciembre.</v>
      </c>
      <c r="AK226" s="9">
        <f>VLOOKUP(K226,'1128 TICS'!$K$13:$AK$27,27,0)</f>
        <v>0</v>
      </c>
      <c r="AL226" s="11">
        <v>1</v>
      </c>
      <c r="AM226" s="11">
        <v>0</v>
      </c>
      <c r="AN226" s="11">
        <v>0</v>
      </c>
      <c r="AO226" s="11">
        <v>0</v>
      </c>
      <c r="AP226" s="11">
        <v>0</v>
      </c>
      <c r="AQ226" s="11">
        <v>0</v>
      </c>
      <c r="AR226" s="52"/>
      <c r="AS226" s="54">
        <v>0</v>
      </c>
      <c r="AT226" s="54">
        <f t="shared" si="407"/>
        <v>0</v>
      </c>
      <c r="AU226" s="52"/>
      <c r="AV226" s="89">
        <v>95000000</v>
      </c>
      <c r="AY226" s="89">
        <v>38240776</v>
      </c>
      <c r="AZ226" s="42">
        <f t="shared" si="415"/>
        <v>0.5</v>
      </c>
      <c r="BA226" s="44">
        <v>0</v>
      </c>
      <c r="BB226" s="44" t="s">
        <v>115</v>
      </c>
      <c r="BC226" s="42">
        <f t="shared" si="416"/>
        <v>0.5</v>
      </c>
      <c r="BD226" s="42" cm="1">
        <f t="array" ref="BD226">_xlfn.IFS(AD226=0,"NA",AD226&gt;0,AH226/AD226)</f>
        <v>1</v>
      </c>
      <c r="BE226" s="42">
        <f t="shared" si="417"/>
        <v>0.5</v>
      </c>
      <c r="BF226" s="44">
        <v>0</v>
      </c>
      <c r="BG226" s="42">
        <f t="shared" si="418"/>
        <v>0</v>
      </c>
      <c r="BH226" s="44" t="s">
        <v>115</v>
      </c>
      <c r="BI226" s="42">
        <f t="shared" si="419"/>
        <v>0</v>
      </c>
      <c r="BJ226" s="44" t="s">
        <v>115</v>
      </c>
      <c r="BK226" s="42">
        <f t="shared" si="408"/>
        <v>0.5</v>
      </c>
      <c r="BL226" s="44" t="s">
        <v>115</v>
      </c>
      <c r="BM226" s="42" cm="1">
        <f t="array" ref="BM226">_xlfn.IFS(BD226="NA","NA",BD226&gt;100%,"100%",BD226&lt;100,BD226)</f>
        <v>1</v>
      </c>
      <c r="BN226" s="42" cm="1">
        <f t="array" ref="BN226">_xlfn.IFS(BF226="NA","NA",BF226&gt;100%,"100%",BF226&lt;100,BF226)</f>
        <v>0</v>
      </c>
      <c r="BO226" s="42" t="str" cm="1">
        <f t="array" ref="BO226">_xlfn.IFS(BH226="NA","NA",BH226&gt;100%,"100%",BH226&lt;100,BH226)</f>
        <v>NA</v>
      </c>
      <c r="BP226" s="42" t="str" cm="1">
        <f t="array" ref="BP226">_xlfn.IFS(BJ226="NA","NA",BJ226&gt;100%,"100%",BJ226&lt;100,BJ226)</f>
        <v>NA</v>
      </c>
      <c r="BQ226" s="45">
        <v>0.22500000000000001</v>
      </c>
      <c r="BR226" s="43">
        <f t="shared" si="409"/>
        <v>0.1125</v>
      </c>
      <c r="BS226" s="45">
        <v>0</v>
      </c>
      <c r="BT226" s="45" t="s">
        <v>115</v>
      </c>
      <c r="BU226" s="45">
        <v>0</v>
      </c>
      <c r="BV226" s="43">
        <f t="shared" si="420"/>
        <v>0.1125</v>
      </c>
      <c r="BW226" s="43">
        <f t="shared" si="410"/>
        <v>0.1125</v>
      </c>
      <c r="BX226" s="43">
        <f t="shared" si="411"/>
        <v>0.1125</v>
      </c>
      <c r="BY226" s="43">
        <f t="shared" si="421"/>
        <v>0.1125</v>
      </c>
      <c r="BZ226" s="43">
        <f t="shared" si="422"/>
        <v>0</v>
      </c>
      <c r="CA226" s="43">
        <f t="shared" si="412"/>
        <v>0</v>
      </c>
      <c r="CB226" s="43">
        <f t="shared" si="423"/>
        <v>0</v>
      </c>
      <c r="CC226" s="43" t="str">
        <f t="shared" si="424"/>
        <v>NA</v>
      </c>
      <c r="CD226" s="45">
        <v>0</v>
      </c>
      <c r="CE226" s="43">
        <f t="shared" si="425"/>
        <v>0</v>
      </c>
      <c r="CF226" s="43" t="str">
        <f t="shared" si="426"/>
        <v>NA</v>
      </c>
      <c r="CG226" s="45">
        <v>0</v>
      </c>
    </row>
    <row r="227" spans="1:90" ht="18" customHeight="1">
      <c r="A227" s="260" t="s">
        <v>1434</v>
      </c>
      <c r="B227" s="260" t="s">
        <v>1435</v>
      </c>
      <c r="C227" s="260" t="s">
        <v>1286</v>
      </c>
      <c r="D227" s="260" t="s">
        <v>1389</v>
      </c>
      <c r="E227" s="260" t="s">
        <v>1411</v>
      </c>
      <c r="F227" s="260" t="s">
        <v>1440</v>
      </c>
      <c r="G227" s="260" t="s">
        <v>1441</v>
      </c>
      <c r="H227" s="260" t="s">
        <v>1463</v>
      </c>
      <c r="I227" s="260"/>
      <c r="J227" s="260"/>
      <c r="K227" s="260" t="s">
        <v>1464</v>
      </c>
      <c r="L227" s="260" t="s">
        <v>2971</v>
      </c>
      <c r="M227" s="260" t="s">
        <v>2972</v>
      </c>
      <c r="N227" s="260" t="s">
        <v>111</v>
      </c>
      <c r="O227" s="260" t="s">
        <v>112</v>
      </c>
      <c r="P227" s="10">
        <v>78</v>
      </c>
      <c r="Q227" s="11">
        <v>90</v>
      </c>
      <c r="R227" s="9">
        <f t="shared" si="413"/>
        <v>51</v>
      </c>
      <c r="S227" s="11" t="str">
        <f>VLOOKUP(K227,'1128 TICS'!$K$13:$AK$27,9,0)</f>
        <v>A LA FECHA SE ENCUENTRAN OPERATIVOS 46 CENTROS INTERACTIVOS.</v>
      </c>
      <c r="T227" s="11">
        <v>10</v>
      </c>
      <c r="U227" s="11">
        <v>0</v>
      </c>
      <c r="V227" s="11">
        <v>10</v>
      </c>
      <c r="W227" s="11">
        <v>0</v>
      </c>
      <c r="X227" s="11">
        <v>46</v>
      </c>
      <c r="Y227" s="11">
        <v>0</v>
      </c>
      <c r="Z227" s="11">
        <v>46</v>
      </c>
      <c r="AA227" s="11" t="s">
        <v>1467</v>
      </c>
      <c r="AB227" s="11" t="s">
        <v>1468</v>
      </c>
      <c r="AC227" s="11">
        <v>0</v>
      </c>
      <c r="AD227" s="11">
        <v>25</v>
      </c>
      <c r="AE227" s="11">
        <v>0</v>
      </c>
      <c r="AF227" s="11">
        <f>VLOOKUP(K227,'1128 TICS'!$K$13:$AK$27,22,0)</f>
        <v>5</v>
      </c>
      <c r="AG227" s="11">
        <f>VLOOKUP(K227,'1128 TICS'!$K$13:$AK$27,23,0)</f>
        <v>0</v>
      </c>
      <c r="AH227" s="9">
        <f t="shared" si="414"/>
        <v>5</v>
      </c>
      <c r="AI227" s="9" t="str">
        <f>VLOOKUP(K227,'1128 TICS'!$K$13:$AK$27,25,0)</f>
        <v>A LA FECHA SE ENCUENTRAN OPERATIVOS 51 CENTROS INTERACTIVOS (65% DE LOS CENTROS INSTALADOS)</v>
      </c>
      <c r="AJ227" s="9" t="str">
        <f>VLOOKUP(K227,'1128 TICS'!$K$13:$AK$27,26,0)</f>
        <v>A LA FECHA SE ENCUENTRAN OPERATIVOS 51 CENTROS INTERACTIVOS (65% DE LOS CENTROS INSTALADOS)</v>
      </c>
      <c r="AK227" s="9">
        <f>VLOOKUP(K227,'1128 TICS'!$K$13:$AK$27,27,0)</f>
        <v>0</v>
      </c>
      <c r="AL227" s="11">
        <v>30</v>
      </c>
      <c r="AM227" s="11">
        <v>0</v>
      </c>
      <c r="AN227" s="11">
        <v>25</v>
      </c>
      <c r="AO227" s="11">
        <v>0</v>
      </c>
      <c r="AP227" s="11">
        <v>0</v>
      </c>
      <c r="AQ227" s="11">
        <v>0</v>
      </c>
      <c r="AR227" s="51">
        <v>200000000</v>
      </c>
      <c r="AS227" s="54">
        <v>0</v>
      </c>
      <c r="AT227" s="54">
        <f t="shared" si="407"/>
        <v>200000000</v>
      </c>
      <c r="AU227" s="51">
        <v>72937480</v>
      </c>
      <c r="AV227" s="89">
        <v>30000000</v>
      </c>
      <c r="AY227" s="89">
        <v>0</v>
      </c>
      <c r="AZ227" s="42">
        <f t="shared" si="415"/>
        <v>0.56666666666666665</v>
      </c>
      <c r="BA227" s="44">
        <v>0.1111</v>
      </c>
      <c r="BB227" s="44">
        <v>4.5999999999999996</v>
      </c>
      <c r="BC227" s="42">
        <f t="shared" si="416"/>
        <v>0.27777777777777779</v>
      </c>
      <c r="BD227" s="42" cm="1">
        <f t="array" ref="BD227">_xlfn.IFS(AD227=0,"NA",AD227&gt;0,AH227/AD227)</f>
        <v>0.2</v>
      </c>
      <c r="BE227" s="42">
        <f t="shared" si="417"/>
        <v>0.33333333333333331</v>
      </c>
      <c r="BF227" s="44">
        <v>0</v>
      </c>
      <c r="BG227" s="42">
        <f t="shared" si="418"/>
        <v>0.27777777777777779</v>
      </c>
      <c r="BH227" s="44">
        <v>0</v>
      </c>
      <c r="BI227" s="42">
        <f t="shared" si="419"/>
        <v>0</v>
      </c>
      <c r="BJ227" s="44" t="s">
        <v>115</v>
      </c>
      <c r="BK227" s="42">
        <f t="shared" si="408"/>
        <v>0.56666666666666665</v>
      </c>
      <c r="BL227" s="44">
        <v>1</v>
      </c>
      <c r="BM227" s="42" cm="1">
        <f t="array" ref="BM227">_xlfn.IFS(BD227="NA","NA",BD227&gt;100%,"100%",BD227&lt;100,BD227)</f>
        <v>0.2</v>
      </c>
      <c r="BN227" s="42" cm="1">
        <f t="array" ref="BN227">_xlfn.IFS(BF227="NA","NA",BF227&gt;100%,"100%",BF227&lt;100,BF227)</f>
        <v>0</v>
      </c>
      <c r="BO227" s="42" cm="1">
        <f t="array" ref="BO227">_xlfn.IFS(BH227="NA","NA",BH227&gt;100%,"100%",BH227&lt;100,BH227)</f>
        <v>0</v>
      </c>
      <c r="BP227" s="42" t="str" cm="1">
        <f t="array" ref="BP227">_xlfn.IFS(BJ227="NA","NA",BJ227&gt;100%,"100%",BJ227&lt;100,BJ227)</f>
        <v>NA</v>
      </c>
      <c r="BQ227" s="45">
        <v>0.22500000000000001</v>
      </c>
      <c r="BR227" s="43">
        <f t="shared" si="409"/>
        <v>0.1275</v>
      </c>
      <c r="BS227" s="45">
        <v>2.5000000000000001E-2</v>
      </c>
      <c r="BT227" s="45">
        <v>2.5000000000000001E-2</v>
      </c>
      <c r="BU227" s="45">
        <v>0.115</v>
      </c>
      <c r="BV227" s="43">
        <f t="shared" si="420"/>
        <v>6.25E-2</v>
      </c>
      <c r="BW227" s="43">
        <f t="shared" si="410"/>
        <v>1.2500000000000001E-2</v>
      </c>
      <c r="BX227" s="43">
        <f t="shared" si="411"/>
        <v>1.2499999999999997E-2</v>
      </c>
      <c r="BY227" s="43">
        <f t="shared" si="421"/>
        <v>7.4999999999999997E-2</v>
      </c>
      <c r="BZ227" s="43">
        <f t="shared" si="422"/>
        <v>0</v>
      </c>
      <c r="CA227" s="43">
        <f t="shared" si="412"/>
        <v>0</v>
      </c>
      <c r="CB227" s="43">
        <f t="shared" si="423"/>
        <v>6.25E-2</v>
      </c>
      <c r="CC227" s="43">
        <f t="shared" si="424"/>
        <v>0</v>
      </c>
      <c r="CD227" s="45">
        <v>0</v>
      </c>
      <c r="CE227" s="43">
        <f t="shared" si="425"/>
        <v>0</v>
      </c>
      <c r="CF227" s="43" t="str">
        <f t="shared" si="426"/>
        <v>NA</v>
      </c>
      <c r="CG227" s="45">
        <v>0</v>
      </c>
    </row>
    <row r="228" spans="1:90" ht="18" customHeight="1">
      <c r="A228" s="260" t="s">
        <v>1409</v>
      </c>
      <c r="B228" s="260" t="s">
        <v>1410</v>
      </c>
      <c r="C228" s="260" t="s">
        <v>1286</v>
      </c>
      <c r="D228" s="260" t="s">
        <v>1389</v>
      </c>
      <c r="E228" s="260" t="s">
        <v>1469</v>
      </c>
      <c r="F228" s="260" t="s">
        <v>1470</v>
      </c>
      <c r="G228" s="260" t="s">
        <v>1471</v>
      </c>
      <c r="H228" s="260" t="s">
        <v>1472</v>
      </c>
      <c r="I228" s="260"/>
      <c r="J228" s="260"/>
      <c r="K228" s="260" t="s">
        <v>1473</v>
      </c>
      <c r="L228" s="260" t="s">
        <v>1474</v>
      </c>
      <c r="M228" s="260" t="s">
        <v>1475</v>
      </c>
      <c r="N228" s="260" t="s">
        <v>111</v>
      </c>
      <c r="O228" s="260" t="s">
        <v>112</v>
      </c>
      <c r="P228" s="10">
        <v>0</v>
      </c>
      <c r="Q228" s="11">
        <v>2</v>
      </c>
      <c r="R228" s="9">
        <f t="shared" si="413"/>
        <v>1.2</v>
      </c>
      <c r="S228" s="11" t="str">
        <f>VLOOKUP(K228,'1125 CTeI'!$K$13:$AK$20,9,0)</f>
        <v>Creación del primer actor CTeI, con la estructuración del grupo de investigación de la Secretaria de CTeI del departamento, quien a su vez  ha participado en eventos de CTeI a nivel nacional e internacional como el WEA-CITINF, se capacito a los integrantes del grupo en cuanto a metodologías y tipos de investigación, además del diseño y puesta en marcha del programa radial "Cundinamarca avanza en I+D" proyecto de generación de contenidos de comunicación social del conocimiento a través de la emisora el Dorado radio, presentando los avances de los productos que desarrolla el grupo de investigación. Se llevo a cabo la publicacion de un capítulo del libro "Productos relevantes del proyecto Fortalecimiento de la competitividad del sector floricultor colombiano mediante el uso de ciencia, tecnología e innovación aplicadas en Cundinamarca. Para la creación del segundo actor se realizó el Cumplimiento de requisitos previos para el inicio, estudio previo y suscripción del Convenio del Proyecto Generación de espacios de encuentro de la sociedad con la ciencia y la tecnología “Un viaje con la ciencia en el departamento de Cundinamarca”(Centro de ciencia itinerante).</v>
      </c>
      <c r="T228" s="11">
        <v>0.2</v>
      </c>
      <c r="U228" s="11">
        <v>0</v>
      </c>
      <c r="V228" s="11">
        <v>1</v>
      </c>
      <c r="W228" s="11">
        <v>0</v>
      </c>
      <c r="X228" s="11">
        <v>1</v>
      </c>
      <c r="Y228" s="11">
        <v>0</v>
      </c>
      <c r="Z228" s="11">
        <v>1</v>
      </c>
      <c r="AA228" s="11" t="s">
        <v>1476</v>
      </c>
      <c r="AB228" s="11" t="s">
        <v>1477</v>
      </c>
      <c r="AC228" s="11" t="s">
        <v>1478</v>
      </c>
      <c r="AD228" s="11">
        <v>0.5</v>
      </c>
      <c r="AE228" s="11">
        <v>0</v>
      </c>
      <c r="AF228" s="11">
        <f>VLOOKUP(K228,'1125 CTeI'!$K$13:$AK$20,22,0)</f>
        <v>0.2</v>
      </c>
      <c r="AG228" s="11">
        <f>VLOOKUP(K228,'1125 CTeI'!$K$13:$AK$20,23,0)</f>
        <v>0</v>
      </c>
      <c r="AH228" s="9">
        <f t="shared" si="414"/>
        <v>0.2</v>
      </c>
      <c r="AI228" s="9" t="str">
        <f>VLOOKUP(K228,'1125 CTeI'!$K$13:$AK$20,25,0)</f>
        <v>Firma de acta de inicio del convenio de espacios de encuentro de la sociedad con la ciencia y la tecnología “Un viaje con la ciencia en el departamento de Cundinamarca”.  El grupo de investigación realizó Un poster “Ciclos Ecosistémicos”, una ponencia magistral “Fortalecimiento Territorial”, un taller “Tipologías de Investigación” y dos ponencias denominadas “Creación Grupos de Investigación” y “Metodologías de Investigación”.</v>
      </c>
      <c r="AJ228" s="9" t="str">
        <f>VLOOKUP(K228,'1125 CTeI'!$K$13:$AK$20,26,0)</f>
        <v>Se firmo acta de inicio para la ejecución del convenio Generación de espacios de encuentro de la sociedad con la ciencia y la tecnología “Un viaje con la ciencia en el departamento de Cundinamarca” A través del grupo de investigación de la SCTeI se participó con un Poster denominado “Ciclos Ecosistémicos” y una ponencia magistral “Fortalecimiento Territorial” en el evento CITINF 2021, Participación en el primer Congreso internacional de CTeI de la Policía Nacional en el municipio de Sibaté con apoyo logístico, Participación en  el primer Congreso Académico y de Investigación Saberes Regionales en el municipio de Sopo con la realización de un taller “Tipologías de Investigación” y la presentación de  dos ponencias denominadas “Creación Grupos de Investigación” y “Metodologías de Investigación”. Realización del programa radial Cundinamarca Innovadora presentando el balance general de los proyectos e investigaciones realizadas durante la vigencia 2021.</v>
      </c>
      <c r="AK228" s="9" t="str">
        <f>VLOOKUP(K228,'1125 CTeI'!$K$13:$AK$20,27,0)</f>
        <v>No se presento</v>
      </c>
      <c r="AL228" s="11">
        <v>0.3</v>
      </c>
      <c r="AM228" s="11">
        <v>0</v>
      </c>
      <c r="AN228" s="11">
        <v>0.2</v>
      </c>
      <c r="AO228" s="11">
        <v>0</v>
      </c>
      <c r="AP228" s="11">
        <v>0</v>
      </c>
      <c r="AQ228" s="11">
        <v>0</v>
      </c>
      <c r="AR228" s="51">
        <v>4084983092</v>
      </c>
      <c r="AS228" s="54">
        <v>1500000000</v>
      </c>
      <c r="AT228" s="54">
        <f t="shared" si="407"/>
        <v>5584983092</v>
      </c>
      <c r="AU228" s="51">
        <v>1766073439</v>
      </c>
      <c r="AV228" s="89">
        <v>195000000</v>
      </c>
      <c r="AY228" s="89">
        <v>143354000</v>
      </c>
      <c r="AZ228" s="42">
        <f t="shared" si="415"/>
        <v>0.6</v>
      </c>
      <c r="BA228" s="44">
        <v>0.5</v>
      </c>
      <c r="BB228" s="44">
        <v>1</v>
      </c>
      <c r="BC228" s="42">
        <f t="shared" si="416"/>
        <v>0.25</v>
      </c>
      <c r="BD228" s="42" cm="1">
        <f t="array" ref="BD228">_xlfn.IFS(AD228=0,"NA",AD228&gt;0,AH228/AD228)</f>
        <v>0.4</v>
      </c>
      <c r="BE228" s="42">
        <f t="shared" si="417"/>
        <v>0.15</v>
      </c>
      <c r="BF228" s="44" t="s">
        <v>115</v>
      </c>
      <c r="BG228" s="42">
        <f t="shared" si="418"/>
        <v>0.1</v>
      </c>
      <c r="BH228" s="44">
        <v>0</v>
      </c>
      <c r="BI228" s="42">
        <f t="shared" si="419"/>
        <v>0</v>
      </c>
      <c r="BJ228" s="44" t="s">
        <v>115</v>
      </c>
      <c r="BK228" s="42">
        <f t="shared" si="408"/>
        <v>0.6</v>
      </c>
      <c r="BL228" s="44">
        <v>1</v>
      </c>
      <c r="BM228" s="42" cm="1">
        <f t="array" ref="BM228">_xlfn.IFS(BD228="NA","NA",BD228&gt;100%,"100%",BD228&lt;100,BD228)</f>
        <v>0.4</v>
      </c>
      <c r="BN228" s="42" t="str" cm="1">
        <f t="array" ref="BN228">_xlfn.IFS(BF228="NA","NA",BF228&gt;100%,"100%",BF228&lt;100,BF228)</f>
        <v>NA</v>
      </c>
      <c r="BO228" s="42" cm="1">
        <f t="array" ref="BO228">_xlfn.IFS(BH228="NA","NA",BH228&gt;100%,"100%",BH228&lt;100,BH228)</f>
        <v>0</v>
      </c>
      <c r="BP228" s="42" t="str" cm="1">
        <f t="array" ref="BP228">_xlfn.IFS(BJ228="NA","NA",BJ228&gt;100%,"100%",BJ228&lt;100,BJ228)</f>
        <v>NA</v>
      </c>
      <c r="BQ228" s="45">
        <v>0.22500000000000001</v>
      </c>
      <c r="BR228" s="43">
        <f t="shared" si="409"/>
        <v>0.13500000000000001</v>
      </c>
      <c r="BS228" s="45">
        <v>0.1125</v>
      </c>
      <c r="BT228" s="45">
        <v>0.1125</v>
      </c>
      <c r="BU228" s="45">
        <v>0.1125</v>
      </c>
      <c r="BV228" s="43">
        <f t="shared" si="420"/>
        <v>5.6250000000000001E-2</v>
      </c>
      <c r="BW228" s="43">
        <f t="shared" si="410"/>
        <v>2.2500000000000003E-2</v>
      </c>
      <c r="BX228" s="43">
        <f t="shared" si="411"/>
        <v>2.2500000000000006E-2</v>
      </c>
      <c r="BY228" s="43">
        <f t="shared" si="421"/>
        <v>3.3750000000000002E-2</v>
      </c>
      <c r="BZ228" s="43" t="str">
        <f t="shared" si="422"/>
        <v>NA</v>
      </c>
      <c r="CA228" s="43">
        <f t="shared" si="412"/>
        <v>0</v>
      </c>
      <c r="CB228" s="43">
        <f t="shared" si="423"/>
        <v>2.2500000000000003E-2</v>
      </c>
      <c r="CC228" s="43">
        <f t="shared" si="424"/>
        <v>0</v>
      </c>
      <c r="CD228" s="45">
        <v>0</v>
      </c>
      <c r="CE228" s="43">
        <f t="shared" si="425"/>
        <v>0</v>
      </c>
      <c r="CF228" s="43" t="str">
        <f t="shared" si="426"/>
        <v>NA</v>
      </c>
      <c r="CG228" s="45">
        <v>0</v>
      </c>
    </row>
    <row r="229" spans="1:90" ht="18" customHeight="1">
      <c r="A229" s="260" t="s">
        <v>1409</v>
      </c>
      <c r="B229" s="260" t="s">
        <v>1410</v>
      </c>
      <c r="C229" s="260" t="s">
        <v>1286</v>
      </c>
      <c r="D229" s="260" t="s">
        <v>1389</v>
      </c>
      <c r="E229" s="260" t="s">
        <v>1469</v>
      </c>
      <c r="F229" s="260" t="s">
        <v>1470</v>
      </c>
      <c r="G229" s="260" t="s">
        <v>1471</v>
      </c>
      <c r="H229" s="260" t="s">
        <v>1479</v>
      </c>
      <c r="I229" s="260"/>
      <c r="J229" s="260"/>
      <c r="K229" s="260" t="s">
        <v>1480</v>
      </c>
      <c r="L229" s="260" t="s">
        <v>1481</v>
      </c>
      <c r="M229" s="260" t="s">
        <v>1482</v>
      </c>
      <c r="N229" s="260" t="s">
        <v>111</v>
      </c>
      <c r="O229" s="260" t="s">
        <v>112</v>
      </c>
      <c r="P229" s="10">
        <v>110</v>
      </c>
      <c r="Q229" s="11">
        <v>250</v>
      </c>
      <c r="R229" s="9">
        <f t="shared" si="413"/>
        <v>147</v>
      </c>
      <c r="S229" s="11" t="str">
        <f>VLOOKUP(K229,'1125 CTeI'!$K$13:$AK$20,9,0)</f>
        <v>Con la ejecución del proyecto Implementación de Estrategias de Fomento a la Cultura y Servicios de Innovación, se beneficiaron 147 pequeñas y medianas empresas de las provincias de Sumapaz, sabana centro, Soacha y sábana occidente a través de bonos de innovación que permitieron impulsar y transformar las Mipymes del departamento los cuales ofrecieron servicios de innovación como: Prototipos y Pruebas Especializadas, Desarrollo  de Productos o Servicios Nuevos, Vigilancia Tecnológica e Inteligencia Competitiva, Servicios de Extensión Tecnológica y Propiedad Intelectual y Transferencia de Tecnología. Con el proyecto "Innovacion mas País" se beneficio a 30 empresas del sector industrial con un entrenamiento especializado y la implementación de un sistema de innovación para el mejoramiento de su competitividad, asi como la vinculación a una red de confianza colaborativa y apoyada por ANDI. A través de la secretaría se gestionó la firma del convenio para el proyecto Fortalecimiento de Capacidades de CTeI para la Reactivación Económica y la Transformación Productiva en Cundinamarca que busca fortalecimiento de capacidades de innovación para micro y pequeñas empresas, asociaciones productivas, pequeños productores de los sectores seleccionados incrementado su nivel de innovación.</v>
      </c>
      <c r="T229" s="11">
        <v>5</v>
      </c>
      <c r="U229" s="11">
        <v>0</v>
      </c>
      <c r="V229" s="11">
        <v>30</v>
      </c>
      <c r="W229" s="11">
        <v>0</v>
      </c>
      <c r="X229" s="11">
        <v>0</v>
      </c>
      <c r="Y229" s="11">
        <v>0</v>
      </c>
      <c r="Z229" s="11">
        <v>0</v>
      </c>
      <c r="AA229" s="11"/>
      <c r="AB229" s="11"/>
      <c r="AC229" s="11"/>
      <c r="AD229" s="11">
        <v>117</v>
      </c>
      <c r="AE229" s="11">
        <v>0</v>
      </c>
      <c r="AF229" s="11">
        <f>VLOOKUP(K229,'1125 CTeI'!$K$13:$AK$20,22,0)</f>
        <v>147</v>
      </c>
      <c r="AG229" s="11">
        <f>VLOOKUP(K229,'1125 CTeI'!$K$13:$AK$20,23,0)</f>
        <v>0</v>
      </c>
      <c r="AH229" s="9">
        <f t="shared" si="414"/>
        <v>147</v>
      </c>
      <c r="AI229" s="9" t="str">
        <f>VLOOKUP(K229,'1125 CTeI'!$K$13:$AK$20,25,0)</f>
        <v>Un evento de lanzamiento del proyecto Reactivación Economica</v>
      </c>
      <c r="AJ229" s="9" t="str">
        <f>VLOOKUP(K229,'1125 CTeI'!$K$13:$AK$20,26,0)</f>
        <v>Para el proyecto Fortalecimiento de Capacidades de CTeI para la Reactivación Económica y la Transformación Productiva en Cundinamarca Se realiza la difusión  en las 15 Provincias del Departamento de manera Presencial en las Cabeceras Municipales con el acompañamiento de las Alcaldías, Secretarias de desarrollo,Agricultura y Umatas,  Asi mismo se formaliza la Preinscripción e Inscripción de las Comunidades Agropecuarias y Agroalimentarias que deseen ser beneficiarias del proyecto.</v>
      </c>
      <c r="AK229" s="9" t="str">
        <f>VLOOKUP(K229,'1125 CTeI'!$K$13:$AK$20,27,0)</f>
        <v>No se presento</v>
      </c>
      <c r="AL229" s="11">
        <v>85</v>
      </c>
      <c r="AM229" s="11">
        <v>0</v>
      </c>
      <c r="AN229" s="11">
        <v>48</v>
      </c>
      <c r="AO229" s="11">
        <v>0</v>
      </c>
      <c r="AP229" s="11">
        <v>0</v>
      </c>
      <c r="AQ229" s="11">
        <v>0</v>
      </c>
      <c r="AR229" s="52"/>
      <c r="AS229" s="54">
        <v>235125000</v>
      </c>
      <c r="AT229" s="54">
        <f t="shared" si="407"/>
        <v>235125000</v>
      </c>
      <c r="AU229" s="52"/>
      <c r="AV229" s="89">
        <v>200000000</v>
      </c>
      <c r="AY229" s="89">
        <v>134670000</v>
      </c>
      <c r="AZ229" s="42">
        <f t="shared" si="415"/>
        <v>0.58799999999999997</v>
      </c>
      <c r="BA229" s="44">
        <v>0.12</v>
      </c>
      <c r="BB229" s="44">
        <v>0</v>
      </c>
      <c r="BC229" s="42">
        <f t="shared" si="416"/>
        <v>0.46800000000000003</v>
      </c>
      <c r="BD229" s="42" cm="1">
        <f t="array" ref="BD229">_xlfn.IFS(AD229=0,"NA",AD229&gt;0,AH229/AD229)</f>
        <v>1.2564102564102564</v>
      </c>
      <c r="BE229" s="42">
        <f t="shared" si="417"/>
        <v>0.34</v>
      </c>
      <c r="BF229" s="44">
        <v>0</v>
      </c>
      <c r="BG229" s="42">
        <f t="shared" si="418"/>
        <v>0.192</v>
      </c>
      <c r="BH229" s="44">
        <v>0</v>
      </c>
      <c r="BI229" s="42">
        <f t="shared" si="419"/>
        <v>0</v>
      </c>
      <c r="BJ229" s="44" t="s">
        <v>115</v>
      </c>
      <c r="BK229" s="42">
        <f t="shared" si="408"/>
        <v>0.58799999999999997</v>
      </c>
      <c r="BL229" s="44">
        <v>0</v>
      </c>
      <c r="BM229" s="42" t="str" cm="1">
        <f t="array" ref="BM229">_xlfn.IFS(BD229="NA","NA",BD229&gt;100%,"100%",BD229&lt;100,BD229)</f>
        <v>100%</v>
      </c>
      <c r="BN229" s="42" cm="1">
        <f t="array" ref="BN229">_xlfn.IFS(BF229="NA","NA",BF229&gt;100%,"100%",BF229&lt;100,BF229)</f>
        <v>0</v>
      </c>
      <c r="BO229" s="42" cm="1">
        <f t="array" ref="BO229">_xlfn.IFS(BH229="NA","NA",BH229&gt;100%,"100%",BH229&lt;100,BH229)</f>
        <v>0</v>
      </c>
      <c r="BP229" s="42" t="str" cm="1">
        <f t="array" ref="BP229">_xlfn.IFS(BJ229="NA","NA",BJ229&gt;100%,"100%",BJ229&lt;100,BJ229)</f>
        <v>NA</v>
      </c>
      <c r="BQ229" s="45">
        <v>0.22500000000000001</v>
      </c>
      <c r="BR229" s="43">
        <f t="shared" si="409"/>
        <v>0.1323</v>
      </c>
      <c r="BS229" s="45">
        <v>2.7E-2</v>
      </c>
      <c r="BT229" s="45">
        <v>0</v>
      </c>
      <c r="BU229" s="45">
        <v>0</v>
      </c>
      <c r="BV229" s="43">
        <f t="shared" si="420"/>
        <v>0.10529999999999999</v>
      </c>
      <c r="BW229" s="43">
        <f t="shared" si="410"/>
        <v>0.10529999999999999</v>
      </c>
      <c r="BX229" s="43">
        <f t="shared" si="411"/>
        <v>0.1323</v>
      </c>
      <c r="BY229" s="43">
        <f t="shared" si="421"/>
        <v>7.6499999999999999E-2</v>
      </c>
      <c r="BZ229" s="43">
        <f t="shared" si="422"/>
        <v>0</v>
      </c>
      <c r="CA229" s="43">
        <f t="shared" si="412"/>
        <v>0</v>
      </c>
      <c r="CB229" s="43">
        <f t="shared" si="423"/>
        <v>4.3200000000000002E-2</v>
      </c>
      <c r="CC229" s="43">
        <f t="shared" si="424"/>
        <v>0</v>
      </c>
      <c r="CD229" s="45">
        <v>0</v>
      </c>
      <c r="CE229" s="43">
        <f t="shared" si="425"/>
        <v>0</v>
      </c>
      <c r="CF229" s="43" t="str">
        <f t="shared" si="426"/>
        <v>NA</v>
      </c>
      <c r="CG229" s="45">
        <v>0</v>
      </c>
    </row>
    <row r="230" spans="1:90" ht="18" customHeight="1">
      <c r="A230" s="260" t="s">
        <v>1409</v>
      </c>
      <c r="B230" s="260" t="s">
        <v>1410</v>
      </c>
      <c r="C230" s="260" t="s">
        <v>1286</v>
      </c>
      <c r="D230" s="260" t="s">
        <v>1389</v>
      </c>
      <c r="E230" s="260" t="s">
        <v>1469</v>
      </c>
      <c r="F230" s="260" t="s">
        <v>1470</v>
      </c>
      <c r="G230" s="260" t="s">
        <v>1471</v>
      </c>
      <c r="H230" s="260" t="s">
        <v>1483</v>
      </c>
      <c r="I230" s="260"/>
      <c r="J230" s="260"/>
      <c r="K230" s="260" t="s">
        <v>1484</v>
      </c>
      <c r="L230" s="260" t="s">
        <v>1485</v>
      </c>
      <c r="M230" s="260" t="s">
        <v>1486</v>
      </c>
      <c r="N230" s="260" t="s">
        <v>111</v>
      </c>
      <c r="O230" s="260" t="s">
        <v>112</v>
      </c>
      <c r="P230" s="10">
        <v>0</v>
      </c>
      <c r="Q230" s="11">
        <v>2</v>
      </c>
      <c r="R230" s="9">
        <f t="shared" si="413"/>
        <v>0.35</v>
      </c>
      <c r="S230" s="11" t="str">
        <f>VLOOKUP(K230,'1125 CTeI'!$K$13:$AK$20,9,0)</f>
        <v>A través de la secretaría se gestionó los recursos de proyecto “Fortalecer y mejorar las capacidades de CTeI de los municipios del departamento de Cundinamarca para comprender, prevenir, atender y/o mitigar problemáticas sociales con enfoque diferencial de violencias basadas en género, derivadas por el Covid 19”, que nos permite el diseño de la herramienta denominada "Factores de Análisis Basados en la Equidad de Género (Mujer)". Se realizo la estructuración del proyecto para la construcción de la herramienta Índice Provincial CTeI en el marco de la convocatoria de Fortalecimiento territorial ofertada por Minciencias.</v>
      </c>
      <c r="T230" s="11">
        <v>0.2</v>
      </c>
      <c r="U230" s="11">
        <v>0</v>
      </c>
      <c r="V230" s="11">
        <v>0.5</v>
      </c>
      <c r="W230" s="11">
        <v>0</v>
      </c>
      <c r="X230" s="11">
        <v>0</v>
      </c>
      <c r="Y230" s="11">
        <v>0</v>
      </c>
      <c r="Z230" s="11">
        <v>0</v>
      </c>
      <c r="AA230" s="11"/>
      <c r="AB230" s="11"/>
      <c r="AC230" s="11"/>
      <c r="AD230" s="11">
        <v>1</v>
      </c>
      <c r="AE230" s="11">
        <v>0</v>
      </c>
      <c r="AF230" s="11">
        <f>VLOOKUP(K230,'1125 CTeI'!$K$13:$AK$20,22,0)</f>
        <v>0.35</v>
      </c>
      <c r="AG230" s="11">
        <f>VLOOKUP(K230,'1125 CTeI'!$K$13:$AK$20,23,0)</f>
        <v>0</v>
      </c>
      <c r="AH230" s="9">
        <f t="shared" si="414"/>
        <v>0.35</v>
      </c>
      <c r="AI230" s="9" t="str">
        <f>VLOOKUP(K230,'1125 CTeI'!$K$13:$AK$20,25,0)</f>
        <v>Documento Tecnico en lista de elegibles por minciencias convocatora de fortalecimiento territorial para la construccion de la herramienta Indice CTeI Provincial</v>
      </c>
      <c r="AJ230" s="9" t="str">
        <f>VLOOKUP(K230,'1125 CTeI'!$K$13:$AK$20,26,0)</f>
        <v>Documento Tecnico en lista de elegibles por minciencias convocatora de fortalecimiento territorial para la construccion de la herramienta Indice CTeI Provincial, mencionado proyecto se encuentra en cumplimiento de requisitos para su aprobación</v>
      </c>
      <c r="AK230" s="9" t="str">
        <f>VLOOKUP(K230,'1125 CTeI'!$K$13:$AK$20,27,0)</f>
        <v>No se presento</v>
      </c>
      <c r="AL230" s="11">
        <v>0.5</v>
      </c>
      <c r="AM230" s="11">
        <v>0</v>
      </c>
      <c r="AN230" s="11">
        <v>0.5</v>
      </c>
      <c r="AO230" s="11">
        <v>0</v>
      </c>
      <c r="AP230" s="11">
        <v>0</v>
      </c>
      <c r="AQ230" s="11">
        <v>0</v>
      </c>
      <c r="AR230" s="52"/>
      <c r="AS230" s="54">
        <v>0</v>
      </c>
      <c r="AT230" s="54">
        <f t="shared" si="407"/>
        <v>0</v>
      </c>
      <c r="AU230" s="52"/>
      <c r="AV230" s="89">
        <v>110000000</v>
      </c>
      <c r="AY230" s="89">
        <v>0</v>
      </c>
      <c r="AZ230" s="42">
        <f t="shared" si="415"/>
        <v>0.17499999999999999</v>
      </c>
      <c r="BA230" s="44">
        <v>0.25</v>
      </c>
      <c r="BB230" s="44">
        <v>0</v>
      </c>
      <c r="BC230" s="42">
        <f t="shared" si="416"/>
        <v>0.5</v>
      </c>
      <c r="BD230" s="42" cm="1">
        <f t="array" ref="BD230">_xlfn.IFS(AD230=0,"NA",AD230&gt;0,AH230/AD230)</f>
        <v>0.35</v>
      </c>
      <c r="BE230" s="42">
        <f t="shared" si="417"/>
        <v>0.25</v>
      </c>
      <c r="BF230" s="44">
        <v>0</v>
      </c>
      <c r="BG230" s="42">
        <f t="shared" si="418"/>
        <v>0.25</v>
      </c>
      <c r="BH230" s="44" t="s">
        <v>115</v>
      </c>
      <c r="BI230" s="42">
        <f t="shared" si="419"/>
        <v>0</v>
      </c>
      <c r="BJ230" s="44" t="s">
        <v>115</v>
      </c>
      <c r="BK230" s="42">
        <f t="shared" si="408"/>
        <v>0.17499999999999999</v>
      </c>
      <c r="BL230" s="44">
        <v>0</v>
      </c>
      <c r="BM230" s="42" cm="1">
        <f t="array" ref="BM230">_xlfn.IFS(BD230="NA","NA",BD230&gt;100%,"100%",BD230&lt;100,BD230)</f>
        <v>0.35</v>
      </c>
      <c r="BN230" s="42" cm="1">
        <f t="array" ref="BN230">_xlfn.IFS(BF230="NA","NA",BF230&gt;100%,"100%",BF230&lt;100,BF230)</f>
        <v>0</v>
      </c>
      <c r="BO230" s="42" t="str" cm="1">
        <f t="array" ref="BO230">_xlfn.IFS(BH230="NA","NA",BH230&gt;100%,"100%",BH230&lt;100,BH230)</f>
        <v>NA</v>
      </c>
      <c r="BP230" s="42" t="str" cm="1">
        <f t="array" ref="BP230">_xlfn.IFS(BJ230="NA","NA",BJ230&gt;100%,"100%",BJ230&lt;100,BJ230)</f>
        <v>NA</v>
      </c>
      <c r="BQ230" s="45">
        <v>0.22500000000000001</v>
      </c>
      <c r="BR230" s="43">
        <f t="shared" si="409"/>
        <v>3.9375E-2</v>
      </c>
      <c r="BS230" s="45">
        <v>5.6300000000000003E-2</v>
      </c>
      <c r="BT230" s="45">
        <v>0</v>
      </c>
      <c r="BU230" s="45">
        <v>0</v>
      </c>
      <c r="BV230" s="43">
        <f t="shared" si="420"/>
        <v>0.1125</v>
      </c>
      <c r="BW230" s="43">
        <f t="shared" si="410"/>
        <v>3.9375E-2</v>
      </c>
      <c r="BX230" s="43">
        <f t="shared" si="411"/>
        <v>3.9375E-2</v>
      </c>
      <c r="BY230" s="43">
        <f t="shared" si="421"/>
        <v>5.6250000000000001E-2</v>
      </c>
      <c r="BZ230" s="43">
        <f t="shared" si="422"/>
        <v>0</v>
      </c>
      <c r="CA230" s="43">
        <f t="shared" si="412"/>
        <v>0</v>
      </c>
      <c r="CB230" s="43">
        <f t="shared" si="423"/>
        <v>5.6250000000000001E-2</v>
      </c>
      <c r="CC230" s="43" t="str">
        <f t="shared" si="424"/>
        <v>NA</v>
      </c>
      <c r="CD230" s="45">
        <v>0</v>
      </c>
      <c r="CE230" s="43">
        <f t="shared" si="425"/>
        <v>0</v>
      </c>
      <c r="CF230" s="43" t="str">
        <f t="shared" si="426"/>
        <v>NA</v>
      </c>
      <c r="CG230" s="45">
        <v>0</v>
      </c>
    </row>
    <row r="231" spans="1:90" ht="18" customHeight="1">
      <c r="A231" s="260" t="s">
        <v>1409</v>
      </c>
      <c r="B231" s="260" t="s">
        <v>1410</v>
      </c>
      <c r="C231" s="260" t="s">
        <v>1286</v>
      </c>
      <c r="D231" s="260" t="s">
        <v>1389</v>
      </c>
      <c r="E231" s="260" t="s">
        <v>1469</v>
      </c>
      <c r="F231" s="260" t="s">
        <v>1470</v>
      </c>
      <c r="G231" s="260" t="s">
        <v>1471</v>
      </c>
      <c r="H231" s="260" t="s">
        <v>1487</v>
      </c>
      <c r="I231" s="260"/>
      <c r="J231" s="260"/>
      <c r="K231" s="260" t="s">
        <v>1488</v>
      </c>
      <c r="L231" s="260" t="s">
        <v>1489</v>
      </c>
      <c r="M231" s="260" t="s">
        <v>1490</v>
      </c>
      <c r="N231" s="260" t="s">
        <v>111</v>
      </c>
      <c r="O231" s="260" t="s">
        <v>112</v>
      </c>
      <c r="P231" s="10">
        <v>1</v>
      </c>
      <c r="Q231" s="11">
        <v>1</v>
      </c>
      <c r="R231" s="9">
        <f t="shared" si="413"/>
        <v>0.35</v>
      </c>
      <c r="S231" s="11" t="str">
        <f>VLOOKUP(K231,'1125 CTeI'!$K$13:$AK$20,9,0)</f>
        <v>Participación activa en las sesiones del CODEPS con el objetivo recibir la aprobación para la formulación y actualización de la Política Pública de CTeI, de acuerdo a la metodología de gestión de PP de la secretaria de Planeación se realizaron las siguientes acciones:  Activación de mesa institucional CTeI de la gobernación de Cundinamarca con la socialización del Plan Operativo, Activación de instancias de participación como el CODECTI y Consejo Regional CTeI de Sabana Centro, divulgación de la Política Pública CTeI a través de la emisora el Dorado radio, Pagina de la Gobernación y redes sociales. Inicio del Diagnostico Participativo a través del desarrollo de la mesa provincial de Medina Cundinamarca.</v>
      </c>
      <c r="T231" s="11">
        <v>0.1</v>
      </c>
      <c r="U231" s="11">
        <v>0</v>
      </c>
      <c r="V231" s="11">
        <v>0</v>
      </c>
      <c r="W231" s="11">
        <v>0</v>
      </c>
      <c r="X231" s="11">
        <v>0</v>
      </c>
      <c r="Y231" s="11">
        <v>0</v>
      </c>
      <c r="Z231" s="11">
        <v>0</v>
      </c>
      <c r="AA231" s="11"/>
      <c r="AB231" s="11"/>
      <c r="AC231" s="11"/>
      <c r="AD231" s="11">
        <v>0.4</v>
      </c>
      <c r="AE231" s="11">
        <v>0</v>
      </c>
      <c r="AF231" s="11">
        <f>VLOOKUP(K231,'1125 CTeI'!$K$13:$AK$20,22,0)</f>
        <v>0.35</v>
      </c>
      <c r="AG231" s="11">
        <f>VLOOKUP(K231,'1125 CTeI'!$K$13:$AK$20,23,0)</f>
        <v>0</v>
      </c>
      <c r="AH231" s="9">
        <f t="shared" si="414"/>
        <v>0.35</v>
      </c>
      <c r="AI231" s="9" t="str">
        <f>VLOOKUP(K231,'1125 CTeI'!$K$13:$AK$20,25,0)</f>
        <v xml:space="preserve">Diagnostico estadistico de CTeI </v>
      </c>
      <c r="AJ231" s="9" t="str">
        <f>VLOOKUP(K231,'1125 CTeI'!$K$13:$AK$20,26,0)</f>
        <v>Avance en el diagnostico participativo y estadistico para la actualizacion de la politica publica de CTeI, según lineamientos de la secretaria de Planeación de la Gobernación de Cundinamarca</v>
      </c>
      <c r="AK231" s="9" t="str">
        <f>VLOOKUP(K231,'1125 CTeI'!$K$13:$AK$20,27,0)</f>
        <v>No se presento</v>
      </c>
      <c r="AL231" s="11">
        <v>0.4</v>
      </c>
      <c r="AM231" s="11">
        <v>0</v>
      </c>
      <c r="AN231" s="11">
        <v>0.2</v>
      </c>
      <c r="AO231" s="11">
        <v>0</v>
      </c>
      <c r="AP231" s="11">
        <v>0</v>
      </c>
      <c r="AQ231" s="11">
        <v>0</v>
      </c>
      <c r="AR231" s="52"/>
      <c r="AS231" s="54">
        <v>0</v>
      </c>
      <c r="AT231" s="54">
        <f t="shared" si="407"/>
        <v>0</v>
      </c>
      <c r="AU231" s="52"/>
      <c r="AV231" s="89">
        <v>95000000</v>
      </c>
      <c r="AY231" s="89">
        <v>0</v>
      </c>
      <c r="AZ231" s="42">
        <f t="shared" si="415"/>
        <v>0.35</v>
      </c>
      <c r="BA231" s="44">
        <v>0</v>
      </c>
      <c r="BB231" s="44" t="s">
        <v>115</v>
      </c>
      <c r="BC231" s="42">
        <f t="shared" si="416"/>
        <v>0.4</v>
      </c>
      <c r="BD231" s="42" cm="1">
        <f t="array" ref="BD231">_xlfn.IFS(AD231=0,"NA",AD231&gt;0,AH231/AD231)</f>
        <v>0.87499999999999989</v>
      </c>
      <c r="BE231" s="42">
        <f t="shared" si="417"/>
        <v>0.4</v>
      </c>
      <c r="BF231" s="44">
        <v>0</v>
      </c>
      <c r="BG231" s="42">
        <f t="shared" si="418"/>
        <v>0.2</v>
      </c>
      <c r="BH231" s="44" t="s">
        <v>115</v>
      </c>
      <c r="BI231" s="42">
        <f t="shared" si="419"/>
        <v>0</v>
      </c>
      <c r="BJ231" s="44" t="s">
        <v>115</v>
      </c>
      <c r="BK231" s="42">
        <f t="shared" si="408"/>
        <v>0.35</v>
      </c>
      <c r="BL231" s="44" t="s">
        <v>115</v>
      </c>
      <c r="BM231" s="42" cm="1">
        <f t="array" ref="BM231">_xlfn.IFS(BD231="NA","NA",BD231&gt;100%,"100%",BD231&lt;100,BD231)</f>
        <v>0.87499999999999989</v>
      </c>
      <c r="BN231" s="42" cm="1">
        <f t="array" ref="BN231">_xlfn.IFS(BF231="NA","NA",BF231&gt;100%,"100%",BF231&lt;100,BF231)</f>
        <v>0</v>
      </c>
      <c r="BO231" s="42" t="str" cm="1">
        <f t="array" ref="BO231">_xlfn.IFS(BH231="NA","NA",BH231&gt;100%,"100%",BH231&lt;100,BH231)</f>
        <v>NA</v>
      </c>
      <c r="BP231" s="42" t="str" cm="1">
        <f t="array" ref="BP231">_xlfn.IFS(BJ231="NA","NA",BJ231&gt;100%,"100%",BJ231&lt;100,BJ231)</f>
        <v>NA</v>
      </c>
      <c r="BQ231" s="45">
        <v>0.22500000000000001</v>
      </c>
      <c r="BR231" s="43">
        <f t="shared" si="409"/>
        <v>7.8750000000000001E-2</v>
      </c>
      <c r="BS231" s="45">
        <v>0</v>
      </c>
      <c r="BT231" s="45" t="s">
        <v>115</v>
      </c>
      <c r="BU231" s="45">
        <v>0</v>
      </c>
      <c r="BV231" s="43">
        <f t="shared" si="420"/>
        <v>9.0000000000000011E-2</v>
      </c>
      <c r="BW231" s="43">
        <f t="shared" si="410"/>
        <v>7.8750000000000001E-2</v>
      </c>
      <c r="BX231" s="43">
        <f t="shared" si="411"/>
        <v>7.8750000000000001E-2</v>
      </c>
      <c r="BY231" s="43">
        <f t="shared" si="421"/>
        <v>9.0000000000000011E-2</v>
      </c>
      <c r="BZ231" s="43">
        <f t="shared" si="422"/>
        <v>0</v>
      </c>
      <c r="CA231" s="43">
        <f t="shared" si="412"/>
        <v>0</v>
      </c>
      <c r="CB231" s="43">
        <f t="shared" si="423"/>
        <v>4.5000000000000005E-2</v>
      </c>
      <c r="CC231" s="43" t="str">
        <f t="shared" si="424"/>
        <v>NA</v>
      </c>
      <c r="CD231" s="45">
        <v>0</v>
      </c>
      <c r="CE231" s="43">
        <f t="shared" si="425"/>
        <v>0</v>
      </c>
      <c r="CF231" s="43" t="str">
        <f t="shared" si="426"/>
        <v>NA</v>
      </c>
      <c r="CG231" s="45">
        <v>0</v>
      </c>
    </row>
    <row r="232" spans="1:90" ht="18" customHeight="1">
      <c r="A232" s="260" t="s">
        <v>1409</v>
      </c>
      <c r="B232" s="260" t="s">
        <v>1410</v>
      </c>
      <c r="C232" s="260" t="s">
        <v>1286</v>
      </c>
      <c r="D232" s="260" t="s">
        <v>1389</v>
      </c>
      <c r="E232" s="260" t="s">
        <v>1469</v>
      </c>
      <c r="F232" s="260" t="s">
        <v>1470</v>
      </c>
      <c r="G232" s="260" t="s">
        <v>1471</v>
      </c>
      <c r="H232" s="260" t="s">
        <v>1491</v>
      </c>
      <c r="I232" s="260"/>
      <c r="J232" s="260"/>
      <c r="K232" s="260" t="s">
        <v>1492</v>
      </c>
      <c r="L232" s="260" t="s">
        <v>1493</v>
      </c>
      <c r="M232" s="260" t="s">
        <v>1494</v>
      </c>
      <c r="N232" s="260" t="s">
        <v>111</v>
      </c>
      <c r="O232" s="260" t="s">
        <v>112</v>
      </c>
      <c r="P232" s="10">
        <v>0</v>
      </c>
      <c r="Q232" s="11">
        <v>8</v>
      </c>
      <c r="R232" s="9">
        <f t="shared" si="413"/>
        <v>3</v>
      </c>
      <c r="S232" s="11" t="str">
        <f>VLOOKUP(K232,'1125 CTeI'!$K$13:$AK$20,9,0)</f>
        <v xml:space="preserve">La Secretaría de CTeI participo en el II conversatorio” Hablemos de CTeI en Sabana Centro” realizado en el municipio de Sopó, Conto con la participación de la Exministra de ciencia, tecnología e innovación Dra. Mabel Torres Torres y la Dra. Nelly Russi Secretaria de Ciencia, Tecnología e Innovación del departamento de Cundinamarca quien socializó las acciones a desarrollar en el marco de la actualización de la Política Pública CTeI, avance en proceso de Apropiación social del conocimiento, entrega de becas en estudios de alto nivel para jóvenes cundinamarqueses, consolidación y desarrollo de proyectos que respaldan los agricultores y ganaderos para mejorar sus procesos productivos y el trabajo articulado interinstitucional identificando las capacidades y desarrollo de los actores del Ecosistema Departamental.
La Secretaría de CTeI participa como co-organizador del evento Open Innovation Summit (OISummit) 2021, Evento que busca generar relacionamiento entre los emprendedores e investigadores con empresarios e inversionistas, con el fin de generar nuevas alianzas y negocios entre las partes a través de un formato de speed dating o citas rápidas. Cundinamarca participó con 20 emprendimientos que incorporan CTeI, tuvieron la oportunidad de participar en citas de 20 minutos para presentar sus emprendimientos con inversionistas y representantes de 30 empresas nacionales e internacionales. También La Secretaría de CTeI Participo como coorganizador  con la escuela de Infantería del ejército nacional del evento internacional CITINF 2021 el cual permitió la participación de estudiantes, docentes, investigadores, miembros de las fuerzas militares, emprendedores y empresarios en un encuentro que consintió en la presentación de ponencias magistrales, artículos de revista, posters y stands que muestran el avance en ciencia, tecnología e innovación en la industria militar y el ecosistema de CTeI.
</v>
      </c>
      <c r="T232" s="11">
        <v>2</v>
      </c>
      <c r="U232" s="11">
        <v>0</v>
      </c>
      <c r="V232" s="11">
        <v>2</v>
      </c>
      <c r="W232" s="11">
        <v>0</v>
      </c>
      <c r="X232" s="11">
        <v>0</v>
      </c>
      <c r="Y232" s="11">
        <v>0</v>
      </c>
      <c r="Z232" s="11">
        <v>0</v>
      </c>
      <c r="AA232" s="11" t="s">
        <v>1495</v>
      </c>
      <c r="AB232" s="11"/>
      <c r="AC232" s="11">
        <v>0</v>
      </c>
      <c r="AD232" s="11">
        <v>3</v>
      </c>
      <c r="AE232" s="11">
        <v>0</v>
      </c>
      <c r="AF232" s="11">
        <f>VLOOKUP(K232,'1125 CTeI'!$K$13:$AK$20,22,0)</f>
        <v>3</v>
      </c>
      <c r="AG232" s="11">
        <f>VLOOKUP(K232,'1125 CTeI'!$K$13:$AK$20,23,0)</f>
        <v>0</v>
      </c>
      <c r="AH232" s="9">
        <f t="shared" si="414"/>
        <v>3</v>
      </c>
      <c r="AI232" s="9" t="str">
        <f>VLOOKUP(K232,'1125 CTeI'!$K$13:$AK$20,25,0)</f>
        <v>Realización  del Evento Internacional CITINF 2021 y Primer Congreso CTeI de la Policia Nacional.</v>
      </c>
      <c r="AJ232" s="9" t="str">
        <f>VLOOKUP(K232,'1125 CTeI'!$K$13:$AK$20,26,0)</f>
        <v>La Secretaría de CTeI Participo como coorganizador con la escuela de Infantería del ejército nacional del evento internacional CITINF 2021 el cual permitió la participación de estudiantes, docentes, investigadores, miembros de las fuerzas militares, emprendedores y empresarios en un encuentro que consintió en la presentación de ponencias magistrales, artículos de revista, posters y stands que muestran el avance en ciencia, tecnología e innovación en la industria militar y el ecosistema de CTeI. Además la secretaría participo en el primer congreso de CTeI realizado por la policía Nacional en el municipio de Sibaté presentando el avance en estrategias de pedagógicas de prevención.</v>
      </c>
      <c r="AK232" s="9" t="str">
        <f>VLOOKUP(K232,'1125 CTeI'!$K$13:$AK$20,27,0)</f>
        <v>No se Presento</v>
      </c>
      <c r="AL232" s="11">
        <v>3</v>
      </c>
      <c r="AM232" s="11">
        <v>0</v>
      </c>
      <c r="AN232" s="11">
        <v>2</v>
      </c>
      <c r="AO232" s="11">
        <v>0</v>
      </c>
      <c r="AP232" s="11">
        <v>0</v>
      </c>
      <c r="AQ232" s="11">
        <v>0</v>
      </c>
      <c r="AR232" s="51">
        <v>81000000</v>
      </c>
      <c r="AS232" s="54">
        <v>0</v>
      </c>
      <c r="AT232" s="54">
        <f t="shared" si="407"/>
        <v>81000000</v>
      </c>
      <c r="AU232" s="51">
        <v>0</v>
      </c>
      <c r="AV232" s="89">
        <v>95000000</v>
      </c>
      <c r="AY232" s="89">
        <v>0</v>
      </c>
      <c r="AZ232" s="42">
        <f t="shared" si="415"/>
        <v>0.375</v>
      </c>
      <c r="BA232" s="44">
        <v>0.25</v>
      </c>
      <c r="BB232" s="44">
        <v>0</v>
      </c>
      <c r="BC232" s="42">
        <f t="shared" si="416"/>
        <v>0.375</v>
      </c>
      <c r="BD232" s="42" cm="1">
        <f t="array" ref="BD232">_xlfn.IFS(AD232=0,"NA",AD232&gt;0,AH232/AD232)</f>
        <v>1</v>
      </c>
      <c r="BE232" s="42">
        <f t="shared" si="417"/>
        <v>0.375</v>
      </c>
      <c r="BF232" s="44">
        <v>0</v>
      </c>
      <c r="BG232" s="42">
        <f t="shared" si="418"/>
        <v>0.25</v>
      </c>
      <c r="BH232" s="44">
        <v>0</v>
      </c>
      <c r="BI232" s="42">
        <f t="shared" si="419"/>
        <v>0</v>
      </c>
      <c r="BJ232" s="44" t="s">
        <v>115</v>
      </c>
      <c r="BK232" s="42">
        <f t="shared" si="408"/>
        <v>0.375</v>
      </c>
      <c r="BL232" s="44">
        <v>0</v>
      </c>
      <c r="BM232" s="42" cm="1">
        <f t="array" ref="BM232">_xlfn.IFS(BD232="NA","NA",BD232&gt;100%,"100%",BD232&lt;100,BD232)</f>
        <v>1</v>
      </c>
      <c r="BN232" s="42" cm="1">
        <f t="array" ref="BN232">_xlfn.IFS(BF232="NA","NA",BF232&gt;100%,"100%",BF232&lt;100,BF232)</f>
        <v>0</v>
      </c>
      <c r="BO232" s="42" cm="1">
        <f t="array" ref="BO232">_xlfn.IFS(BH232="NA","NA",BH232&gt;100%,"100%",BH232&lt;100,BH232)</f>
        <v>0</v>
      </c>
      <c r="BP232" s="42" t="str" cm="1">
        <f t="array" ref="BP232">_xlfn.IFS(BJ232="NA","NA",BJ232&gt;100%,"100%",BJ232&lt;100,BJ232)</f>
        <v>NA</v>
      </c>
      <c r="BQ232" s="45">
        <v>0.22500000000000001</v>
      </c>
      <c r="BR232" s="43">
        <f t="shared" si="409"/>
        <v>8.4375000000000006E-2</v>
      </c>
      <c r="BS232" s="45">
        <v>5.6300000000000003E-2</v>
      </c>
      <c r="BT232" s="45">
        <v>0</v>
      </c>
      <c r="BU232" s="45">
        <v>0</v>
      </c>
      <c r="BV232" s="43">
        <f t="shared" si="420"/>
        <v>8.4375000000000006E-2</v>
      </c>
      <c r="BW232" s="43">
        <f t="shared" si="410"/>
        <v>8.4375000000000006E-2</v>
      </c>
      <c r="BX232" s="43">
        <f t="shared" si="411"/>
        <v>8.4375000000000006E-2</v>
      </c>
      <c r="BY232" s="43">
        <f t="shared" si="421"/>
        <v>8.4375000000000006E-2</v>
      </c>
      <c r="BZ232" s="43">
        <f t="shared" si="422"/>
        <v>0</v>
      </c>
      <c r="CA232" s="43">
        <f t="shared" si="412"/>
        <v>0</v>
      </c>
      <c r="CB232" s="43">
        <f t="shared" si="423"/>
        <v>5.6250000000000001E-2</v>
      </c>
      <c r="CC232" s="43">
        <f t="shared" si="424"/>
        <v>0</v>
      </c>
      <c r="CD232" s="45">
        <v>0</v>
      </c>
      <c r="CE232" s="43">
        <f t="shared" si="425"/>
        <v>0</v>
      </c>
      <c r="CF232" s="43" t="str">
        <f t="shared" si="426"/>
        <v>NA</v>
      </c>
      <c r="CG232" s="45">
        <v>0</v>
      </c>
    </row>
    <row r="233" spans="1:90" ht="18" customHeight="1">
      <c r="A233" s="260" t="s">
        <v>292</v>
      </c>
      <c r="B233" s="260" t="s">
        <v>293</v>
      </c>
      <c r="C233" s="260" t="s">
        <v>1286</v>
      </c>
      <c r="D233" s="260" t="s">
        <v>1389</v>
      </c>
      <c r="E233" s="260" t="s">
        <v>1469</v>
      </c>
      <c r="F233" s="260" t="s">
        <v>1470</v>
      </c>
      <c r="G233" s="260" t="s">
        <v>1471</v>
      </c>
      <c r="H233" s="260" t="s">
        <v>2973</v>
      </c>
      <c r="I233" s="260" t="s">
        <v>255</v>
      </c>
      <c r="J233" s="260"/>
      <c r="K233" s="260" t="s">
        <v>2974</v>
      </c>
      <c r="L233" s="12" t="s">
        <v>2975</v>
      </c>
      <c r="M233" s="260" t="s">
        <v>2976</v>
      </c>
      <c r="N233" s="260" t="s">
        <v>111</v>
      </c>
      <c r="O233" s="260" t="s">
        <v>112</v>
      </c>
      <c r="P233" s="10">
        <v>0</v>
      </c>
      <c r="Q233" s="11">
        <v>100</v>
      </c>
      <c r="R233" s="9" t="e">
        <f t="shared" si="413"/>
        <v>#N/A</v>
      </c>
      <c r="S233" s="11" t="e">
        <f>VLOOKUP(K233,'1108 Educación'!$K$13:$AK$40,9,0)</f>
        <v>#N/A</v>
      </c>
      <c r="T233" s="11">
        <v>0</v>
      </c>
      <c r="U233" s="11">
        <v>0</v>
      </c>
      <c r="V233" s="11">
        <v>0</v>
      </c>
      <c r="W233" s="11">
        <v>0</v>
      </c>
      <c r="X233" s="11">
        <v>0</v>
      </c>
      <c r="Y233" s="11">
        <v>0</v>
      </c>
      <c r="Z233" s="11">
        <v>0</v>
      </c>
      <c r="AA233" s="11"/>
      <c r="AB233" s="11"/>
      <c r="AC233" s="11"/>
      <c r="AD233" s="11">
        <v>50</v>
      </c>
      <c r="AE233" s="11">
        <v>0</v>
      </c>
      <c r="AF233" s="11" t="e">
        <f>VLOOKUP(K233,'1108 Educación'!$K$13:$AK$40,22,0)</f>
        <v>#N/A</v>
      </c>
      <c r="AG233" s="11" t="e">
        <f>VLOOKUP(K233,'1108 Educación'!$K$13:$AK$40,23,0)</f>
        <v>#N/A</v>
      </c>
      <c r="AH233" s="9" t="e">
        <f t="shared" si="414"/>
        <v>#N/A</v>
      </c>
      <c r="AI233" s="9" t="e">
        <f>VLOOKUP(K233,'1108 Educación'!$K$13:$AK$40,25,0)</f>
        <v>#N/A</v>
      </c>
      <c r="AJ233" s="9" t="e">
        <f>VLOOKUP(K233,'1108 Educación'!$K$13:$AK$40,26,0)</f>
        <v>#N/A</v>
      </c>
      <c r="AK233" s="9" t="e">
        <f>VLOOKUP(K233,'1108 Educación'!$K$13:$AK$40,27,0)</f>
        <v>#N/A</v>
      </c>
      <c r="AL233" s="11">
        <v>25</v>
      </c>
      <c r="AM233" s="11">
        <v>0</v>
      </c>
      <c r="AN233" s="11">
        <v>25</v>
      </c>
      <c r="AO233" s="11">
        <v>0</v>
      </c>
      <c r="AP233" s="11">
        <v>0</v>
      </c>
      <c r="AQ233" s="11">
        <v>0</v>
      </c>
      <c r="AR233" s="52"/>
      <c r="AS233" s="54">
        <v>0</v>
      </c>
      <c r="AT233" s="54">
        <f t="shared" si="407"/>
        <v>0</v>
      </c>
      <c r="AU233" s="52"/>
      <c r="AV233" s="89">
        <v>0</v>
      </c>
      <c r="AY233" s="89">
        <v>0</v>
      </c>
      <c r="AZ233" s="42" t="e">
        <f t="shared" si="415"/>
        <v>#N/A</v>
      </c>
      <c r="BA233" s="44">
        <v>0</v>
      </c>
      <c r="BB233" s="44" t="s">
        <v>115</v>
      </c>
      <c r="BC233" s="42">
        <f t="shared" si="416"/>
        <v>0.5</v>
      </c>
      <c r="BD233" s="42" t="e" cm="1">
        <f t="array" ref="BD233">_xlfn.IFS(AD233=0,"NA",AD233&gt;0,AH233/AD233)</f>
        <v>#N/A</v>
      </c>
      <c r="BE233" s="42">
        <f t="shared" si="417"/>
        <v>0.25</v>
      </c>
      <c r="BF233" s="44">
        <v>0</v>
      </c>
      <c r="BG233" s="42">
        <f t="shared" si="418"/>
        <v>0.25</v>
      </c>
      <c r="BH233" s="44">
        <v>0</v>
      </c>
      <c r="BI233" s="42">
        <f t="shared" si="419"/>
        <v>0</v>
      </c>
      <c r="BJ233" s="44" t="s">
        <v>115</v>
      </c>
      <c r="BK233" s="42" t="e">
        <f t="shared" si="408"/>
        <v>#N/A</v>
      </c>
      <c r="BL233" s="44" t="s">
        <v>115</v>
      </c>
      <c r="BM233" s="42" t="e" cm="1">
        <f t="array" ref="BM233">_xlfn.IFS(BD233="NA","NA",BD233&gt;100%,"100%",BD233&lt;100,BD233)</f>
        <v>#N/A</v>
      </c>
      <c r="BN233" s="42" cm="1">
        <f t="array" ref="BN233">_xlfn.IFS(BF233="NA","NA",BF233&gt;100%,"100%",BF233&lt;100,BF233)</f>
        <v>0</v>
      </c>
      <c r="BO233" s="42" cm="1">
        <f t="array" ref="BO233">_xlfn.IFS(BH233="NA","NA",BH233&gt;100%,"100%",BH233&lt;100,BH233)</f>
        <v>0</v>
      </c>
      <c r="BP233" s="42" t="str" cm="1">
        <f t="array" ref="BP233">_xlfn.IFS(BJ233="NA","NA",BJ233&gt;100%,"100%",BJ233&lt;100,BJ233)</f>
        <v>NA</v>
      </c>
      <c r="BQ233" s="45">
        <v>0.22500000000000001</v>
      </c>
      <c r="BR233" s="43" t="e">
        <f t="shared" si="409"/>
        <v>#N/A</v>
      </c>
      <c r="BS233" s="45">
        <v>0</v>
      </c>
      <c r="BT233" s="45" t="s">
        <v>115</v>
      </c>
      <c r="BU233" s="45">
        <v>0</v>
      </c>
      <c r="BV233" s="43">
        <f t="shared" si="420"/>
        <v>0.1125</v>
      </c>
      <c r="BW233" s="43" t="e">
        <f t="shared" si="410"/>
        <v>#N/A</v>
      </c>
      <c r="BX233" s="43" t="e">
        <f t="shared" si="411"/>
        <v>#N/A</v>
      </c>
      <c r="BY233" s="43">
        <f t="shared" si="421"/>
        <v>5.6250000000000001E-2</v>
      </c>
      <c r="BZ233" s="43">
        <f t="shared" si="422"/>
        <v>0</v>
      </c>
      <c r="CA233" s="43" t="e">
        <f t="shared" si="412"/>
        <v>#N/A</v>
      </c>
      <c r="CB233" s="43">
        <f t="shared" si="423"/>
        <v>5.6250000000000001E-2</v>
      </c>
      <c r="CC233" s="43">
        <f t="shared" si="424"/>
        <v>0</v>
      </c>
      <c r="CD233" s="45">
        <v>0</v>
      </c>
      <c r="CE233" s="43">
        <f t="shared" si="425"/>
        <v>0</v>
      </c>
      <c r="CF233" s="43" t="str">
        <f t="shared" si="426"/>
        <v>NA</v>
      </c>
      <c r="CG233" s="45">
        <v>0</v>
      </c>
    </row>
    <row r="234" spans="1:90" ht="18" customHeight="1">
      <c r="A234" s="260" t="s">
        <v>292</v>
      </c>
      <c r="B234" s="260" t="s">
        <v>293</v>
      </c>
      <c r="C234" s="260" t="s">
        <v>1286</v>
      </c>
      <c r="D234" s="260" t="s">
        <v>1389</v>
      </c>
      <c r="E234" s="260" t="s">
        <v>1469</v>
      </c>
      <c r="F234" s="260" t="s">
        <v>1470</v>
      </c>
      <c r="G234" s="260" t="s">
        <v>1471</v>
      </c>
      <c r="H234" s="260" t="s">
        <v>2977</v>
      </c>
      <c r="I234" s="260" t="s">
        <v>255</v>
      </c>
      <c r="J234" s="260" t="s">
        <v>632</v>
      </c>
      <c r="K234" s="260" t="s">
        <v>2978</v>
      </c>
      <c r="L234" s="260" t="s">
        <v>2979</v>
      </c>
      <c r="M234" s="260" t="s">
        <v>2980</v>
      </c>
      <c r="N234" s="260" t="s">
        <v>111</v>
      </c>
      <c r="O234" s="260" t="s">
        <v>112</v>
      </c>
      <c r="P234" s="10">
        <v>15</v>
      </c>
      <c r="Q234" s="11">
        <v>86</v>
      </c>
      <c r="R234" s="9" t="e">
        <f t="shared" si="413"/>
        <v>#N/A</v>
      </c>
      <c r="S234" s="11" t="e">
        <f>VLOOKUP(K234,'1108 Educación'!$K$13:$AK$40,9,0)</f>
        <v>#N/A</v>
      </c>
      <c r="T234" s="11">
        <v>0</v>
      </c>
      <c r="U234" s="11">
        <v>0</v>
      </c>
      <c r="V234" s="11">
        <v>0</v>
      </c>
      <c r="W234" s="11">
        <v>0</v>
      </c>
      <c r="X234" s="11">
        <v>0</v>
      </c>
      <c r="Y234" s="11">
        <v>0</v>
      </c>
      <c r="Z234" s="11">
        <v>0</v>
      </c>
      <c r="AA234" s="11"/>
      <c r="AB234" s="11"/>
      <c r="AC234" s="11"/>
      <c r="AD234" s="11">
        <v>44</v>
      </c>
      <c r="AE234" s="11">
        <v>0</v>
      </c>
      <c r="AF234" s="11" t="e">
        <f>VLOOKUP(K234,'1108 Educación'!$K$13:$AK$40,22,0)</f>
        <v>#N/A</v>
      </c>
      <c r="AG234" s="11" t="e">
        <f>VLOOKUP(K234,'1108 Educación'!$K$13:$AK$40,23,0)</f>
        <v>#N/A</v>
      </c>
      <c r="AH234" s="9" t="e">
        <f t="shared" si="414"/>
        <v>#N/A</v>
      </c>
      <c r="AI234" s="9" t="e">
        <f>VLOOKUP(K234,'1108 Educación'!$K$13:$AK$40,25,0)</f>
        <v>#N/A</v>
      </c>
      <c r="AJ234" s="9" t="e">
        <f>VLOOKUP(K234,'1108 Educación'!$K$13:$AK$40,26,0)</f>
        <v>#N/A</v>
      </c>
      <c r="AK234" s="9" t="e">
        <f>VLOOKUP(K234,'1108 Educación'!$K$13:$AK$40,27,0)</f>
        <v>#N/A</v>
      </c>
      <c r="AL234" s="11">
        <v>22</v>
      </c>
      <c r="AM234" s="11">
        <v>0</v>
      </c>
      <c r="AN234" s="11">
        <v>20</v>
      </c>
      <c r="AO234" s="11">
        <v>0</v>
      </c>
      <c r="AP234" s="11">
        <v>0</v>
      </c>
      <c r="AQ234" s="11">
        <v>0</v>
      </c>
      <c r="AR234" s="52"/>
      <c r="AS234" s="54">
        <v>0</v>
      </c>
      <c r="AT234" s="54">
        <f t="shared" si="407"/>
        <v>0</v>
      </c>
      <c r="AU234" s="52"/>
      <c r="AV234" s="89">
        <v>0</v>
      </c>
      <c r="AY234" s="89">
        <v>0</v>
      </c>
      <c r="AZ234" s="42" t="e">
        <f t="shared" si="415"/>
        <v>#N/A</v>
      </c>
      <c r="BA234" s="44">
        <v>0</v>
      </c>
      <c r="BB234" s="44" t="s">
        <v>115</v>
      </c>
      <c r="BC234" s="42">
        <f t="shared" si="416"/>
        <v>0.51162790697674421</v>
      </c>
      <c r="BD234" s="42" t="e" cm="1">
        <f t="array" ref="BD234">_xlfn.IFS(AD234=0,"NA",AD234&gt;0,AH234/AD234)</f>
        <v>#N/A</v>
      </c>
      <c r="BE234" s="42">
        <f t="shared" si="417"/>
        <v>0.2558139534883721</v>
      </c>
      <c r="BF234" s="44">
        <v>0</v>
      </c>
      <c r="BG234" s="42">
        <f t="shared" si="418"/>
        <v>0.23255813953488372</v>
      </c>
      <c r="BH234" s="44">
        <v>0</v>
      </c>
      <c r="BI234" s="42">
        <f t="shared" si="419"/>
        <v>0</v>
      </c>
      <c r="BJ234" s="44" t="s">
        <v>115</v>
      </c>
      <c r="BK234" s="42" t="e">
        <f t="shared" si="408"/>
        <v>#N/A</v>
      </c>
      <c r="BL234" s="44" t="s">
        <v>115</v>
      </c>
      <c r="BM234" s="42" t="e" cm="1">
        <f t="array" ref="BM234">_xlfn.IFS(BD234="NA","NA",BD234&gt;100%,"100%",BD234&lt;100,BD234)</f>
        <v>#N/A</v>
      </c>
      <c r="BN234" s="42" cm="1">
        <f t="array" ref="BN234">_xlfn.IFS(BF234="NA","NA",BF234&gt;100%,"100%",BF234&lt;100,BF234)</f>
        <v>0</v>
      </c>
      <c r="BO234" s="42" cm="1">
        <f t="array" ref="BO234">_xlfn.IFS(BH234="NA","NA",BH234&gt;100%,"100%",BH234&lt;100,BH234)</f>
        <v>0</v>
      </c>
      <c r="BP234" s="42" t="str" cm="1">
        <f t="array" ref="BP234">_xlfn.IFS(BJ234="NA","NA",BJ234&gt;100%,"100%",BJ234&lt;100,BJ234)</f>
        <v>NA</v>
      </c>
      <c r="BQ234" s="45">
        <v>0.22500000000000001</v>
      </c>
      <c r="BR234" s="43" t="e">
        <f t="shared" si="409"/>
        <v>#N/A</v>
      </c>
      <c r="BS234" s="45">
        <v>0</v>
      </c>
      <c r="BT234" s="45" t="s">
        <v>115</v>
      </c>
      <c r="BU234" s="45">
        <v>0</v>
      </c>
      <c r="BV234" s="43">
        <f t="shared" si="420"/>
        <v>0.11511627906976744</v>
      </c>
      <c r="BW234" s="43" t="e">
        <f t="shared" si="410"/>
        <v>#N/A</v>
      </c>
      <c r="BX234" s="43" t="e">
        <f t="shared" si="411"/>
        <v>#N/A</v>
      </c>
      <c r="BY234" s="43">
        <f t="shared" si="421"/>
        <v>5.7558139534883722E-2</v>
      </c>
      <c r="BZ234" s="43">
        <f t="shared" si="422"/>
        <v>0</v>
      </c>
      <c r="CA234" s="43" t="e">
        <f t="shared" si="412"/>
        <v>#N/A</v>
      </c>
      <c r="CB234" s="43">
        <f t="shared" si="423"/>
        <v>5.232558139534884E-2</v>
      </c>
      <c r="CC234" s="43">
        <f t="shared" si="424"/>
        <v>0</v>
      </c>
      <c r="CD234" s="45">
        <v>0</v>
      </c>
      <c r="CE234" s="43">
        <f t="shared" si="425"/>
        <v>0</v>
      </c>
      <c r="CF234" s="43" t="str">
        <f t="shared" si="426"/>
        <v>NA</v>
      </c>
      <c r="CG234" s="45">
        <v>0</v>
      </c>
    </row>
    <row r="235" spans="1:90" ht="18" customHeight="1">
      <c r="A235" s="260" t="s">
        <v>428</v>
      </c>
      <c r="B235" s="260" t="s">
        <v>429</v>
      </c>
      <c r="C235" s="260" t="s">
        <v>1286</v>
      </c>
      <c r="D235" s="260" t="s">
        <v>1496</v>
      </c>
      <c r="E235" s="260" t="s">
        <v>1497</v>
      </c>
      <c r="F235" s="260" t="s">
        <v>1498</v>
      </c>
      <c r="G235" s="260" t="s">
        <v>1499</v>
      </c>
      <c r="H235" s="260" t="s">
        <v>1500</v>
      </c>
      <c r="I235" s="260"/>
      <c r="J235" s="260"/>
      <c r="K235" s="260" t="s">
        <v>1501</v>
      </c>
      <c r="L235" s="260" t="s">
        <v>1502</v>
      </c>
      <c r="M235" s="260" t="s">
        <v>1503</v>
      </c>
      <c r="N235" s="260" t="s">
        <v>111</v>
      </c>
      <c r="O235" s="260" t="s">
        <v>112</v>
      </c>
      <c r="P235" s="10">
        <v>0</v>
      </c>
      <c r="Q235" s="11">
        <v>350</v>
      </c>
      <c r="R235" s="9">
        <f t="shared" si="413"/>
        <v>168.59</v>
      </c>
      <c r="S235" s="11" t="str">
        <f>VLOOKUP(K235,'1223 ICCU'!$K$13:$AK$25,9,0)</f>
        <v> Durante el cuatrienio se han realizado el mejoramiento de 168,59 Km de vías de primer orden, mejorando la transitabilidad y seguridad en las vías con tercer carril y segunda calzada, que propician mayor conectividad y reducción en los tiempos de desplazamiento.</v>
      </c>
      <c r="T235" s="11">
        <v>65</v>
      </c>
      <c r="U235" s="11">
        <v>0</v>
      </c>
      <c r="V235" s="11">
        <v>70</v>
      </c>
      <c r="W235" s="11">
        <v>0</v>
      </c>
      <c r="X235" s="11">
        <v>74.650000000000006</v>
      </c>
      <c r="Y235" s="11">
        <v>0</v>
      </c>
      <c r="Z235" s="11">
        <v>74.650000000000006</v>
      </c>
      <c r="AA235" s="11" t="s">
        <v>1504</v>
      </c>
      <c r="AB235" s="11" t="s">
        <v>1505</v>
      </c>
      <c r="AC235" s="11">
        <v>0</v>
      </c>
      <c r="AD235" s="11">
        <v>100</v>
      </c>
      <c r="AE235" s="11">
        <v>0</v>
      </c>
      <c r="AF235" s="99">
        <f>VLOOKUP(K235,'1223 ICCU'!K13:AK25,22,0)</f>
        <v>93.94</v>
      </c>
      <c r="AG235" s="11" t="str">
        <f>VLOOKUP(K235,'1223 ICCU'!$K$13:$AK$25,23,0)</f>
        <v> </v>
      </c>
      <c r="AH235" s="9">
        <f t="shared" si="414"/>
        <v>93.94</v>
      </c>
      <c r="AI235" s="9" t="str">
        <f>VLOOKUP(K235,'1223 ICCU'!$K$13:$AK$25,25,0)</f>
        <v>93,94 Km de vías de primer orden mejorados</v>
      </c>
      <c r="AJ235" s="9" t="str">
        <f>VLOOKUP(K235,'1223 ICCU'!$K$13:$AK$25,26,0)</f>
        <v> Durante la vigencia 2021 se han mejorado 93,94 Km de vías de primer orden, en ejecución del proyecto correspondiente a los meses de enero, febrero, marzo y abril de 2021, el cual tiene una ejecución de total de  37.31 km, equivalente a 30.08 km de tercer carril y 7.23 km de segunda calzada nueva. Para el presente reporte de acuerdo con el informe presentado por INVIAS se obtuvo una ejecución financiera y un avance de: 0,36 km de tercer carril y 1,15 km de segunda calzada. Cabe resaltar que dicha inversión corresponde a gestión no incorporada, la cual sale del presupuesto de la nación, el cual tiene impacto en la vía Departamental de primer orden Chía- Mosquera - La Mesa -Girardot. Conforme al reporte de la ANI de fecha 15 de julio de 2021, en la que se reporta el avance de las unidades funcionales UF2 Y UF3  que corresponde a los sectores Cumaral - Paratebueno con 14 km y Paratebueno - Villanueva con 12 km. Ejecución financiera de las concesiones Devisab y Panamericana.</v>
      </c>
      <c r="AK235" s="9" t="str">
        <f>VLOOKUP(K235,'1223 ICCU'!$K$13:$AK$25,27,0)</f>
        <v> </v>
      </c>
      <c r="AL235" s="11">
        <v>90</v>
      </c>
      <c r="AM235" s="11">
        <v>0</v>
      </c>
      <c r="AN235" s="11">
        <v>85.35</v>
      </c>
      <c r="AO235" s="11">
        <v>0</v>
      </c>
      <c r="AP235" s="11">
        <v>0</v>
      </c>
      <c r="AQ235" s="11">
        <v>0</v>
      </c>
      <c r="AR235" s="52"/>
      <c r="AS235" s="54">
        <v>1285000000000</v>
      </c>
      <c r="AT235" s="54">
        <f t="shared" si="407"/>
        <v>1285000000000</v>
      </c>
      <c r="AU235" s="52"/>
      <c r="AV235" s="89">
        <v>52302000000</v>
      </c>
      <c r="AY235" s="89">
        <v>52302000000</v>
      </c>
      <c r="AZ235" s="42">
        <f t="shared" si="415"/>
        <v>0.48168571428571427</v>
      </c>
      <c r="BA235" s="44">
        <v>0.2</v>
      </c>
      <c r="BB235" s="44">
        <v>1.0664</v>
      </c>
      <c r="BC235" s="42">
        <f t="shared" si="416"/>
        <v>0.2857142857142857</v>
      </c>
      <c r="BD235" s="42" cm="1">
        <f t="array" ref="BD235">_xlfn.IFS(AD235=0,"NA",AD235&gt;0,AH235/AD235)</f>
        <v>0.93940000000000001</v>
      </c>
      <c r="BE235" s="42">
        <f t="shared" si="417"/>
        <v>0.25714285714285712</v>
      </c>
      <c r="BF235" s="44">
        <v>0</v>
      </c>
      <c r="BG235" s="42">
        <f t="shared" si="418"/>
        <v>0.24385714285714283</v>
      </c>
      <c r="BH235" s="44">
        <v>0</v>
      </c>
      <c r="BI235" s="42">
        <f t="shared" si="419"/>
        <v>0</v>
      </c>
      <c r="BJ235" s="44" t="s">
        <v>115</v>
      </c>
      <c r="BK235" s="42">
        <f t="shared" si="408"/>
        <v>0.48168571428571427</v>
      </c>
      <c r="BL235" s="44">
        <v>1</v>
      </c>
      <c r="BM235" s="42" cm="1">
        <f t="array" ref="BM235">_xlfn.IFS(BD235="NA","NA",BD235&gt;100%,"100%",BD235&lt;100,BD235)</f>
        <v>0.93940000000000001</v>
      </c>
      <c r="BN235" s="42" cm="1">
        <f t="array" ref="BN235">_xlfn.IFS(BF235="NA","NA",BF235&gt;100%,"100%",BF235&lt;100,BF235)</f>
        <v>0</v>
      </c>
      <c r="BO235" s="42" cm="1">
        <f t="array" ref="BO235">_xlfn.IFS(BH235="NA","NA",BH235&gt;100%,"100%",BH235&lt;100,BH235)</f>
        <v>0</v>
      </c>
      <c r="BP235" s="42" t="str" cm="1">
        <f t="array" ref="BP235">_xlfn.IFS(BJ235="NA","NA",BJ235&gt;100%,"100%",BJ235&lt;100,BJ235)</f>
        <v>NA</v>
      </c>
      <c r="BQ235" s="45">
        <v>0.22500000000000001</v>
      </c>
      <c r="BR235" s="43">
        <f t="shared" si="409"/>
        <v>0.10837928571428572</v>
      </c>
      <c r="BS235" s="45">
        <v>4.4999999999999998E-2</v>
      </c>
      <c r="BT235" s="45">
        <v>4.4999999999999998E-2</v>
      </c>
      <c r="BU235" s="45">
        <v>4.8000000000000001E-2</v>
      </c>
      <c r="BV235" s="43">
        <f t="shared" si="420"/>
        <v>6.4285714285714279E-2</v>
      </c>
      <c r="BW235" s="43">
        <f t="shared" si="410"/>
        <v>6.0389999999999992E-2</v>
      </c>
      <c r="BX235" s="43">
        <f t="shared" si="411"/>
        <v>6.0379285714285719E-2</v>
      </c>
      <c r="BY235" s="43">
        <f t="shared" si="421"/>
        <v>5.7857142857142857E-2</v>
      </c>
      <c r="BZ235" s="43">
        <f t="shared" si="422"/>
        <v>0</v>
      </c>
      <c r="CA235" s="43">
        <f t="shared" si="412"/>
        <v>0</v>
      </c>
      <c r="CB235" s="43">
        <f t="shared" si="423"/>
        <v>5.4867857142857142E-2</v>
      </c>
      <c r="CC235" s="43">
        <f t="shared" si="424"/>
        <v>0</v>
      </c>
      <c r="CD235" s="45">
        <v>0</v>
      </c>
      <c r="CE235" s="43">
        <f t="shared" si="425"/>
        <v>0</v>
      </c>
      <c r="CF235" s="43" t="str">
        <f t="shared" si="426"/>
        <v>NA</v>
      </c>
      <c r="CG235" s="45">
        <v>0</v>
      </c>
    </row>
    <row r="236" spans="1:90" ht="18" customHeight="1">
      <c r="A236" s="260" t="s">
        <v>428</v>
      </c>
      <c r="B236" s="260" t="s">
        <v>429</v>
      </c>
      <c r="C236" s="260" t="s">
        <v>1286</v>
      </c>
      <c r="D236" s="260" t="s">
        <v>1496</v>
      </c>
      <c r="E236" s="260" t="s">
        <v>1497</v>
      </c>
      <c r="F236" s="260" t="s">
        <v>1498</v>
      </c>
      <c r="G236" s="260" t="s">
        <v>1499</v>
      </c>
      <c r="H236" s="260" t="s">
        <v>1506</v>
      </c>
      <c r="I236" s="260"/>
      <c r="J236" s="260"/>
      <c r="K236" s="260" t="s">
        <v>1507</v>
      </c>
      <c r="L236" s="260" t="s">
        <v>1508</v>
      </c>
      <c r="M236" s="260" t="s">
        <v>1509</v>
      </c>
      <c r="N236" s="260" t="s">
        <v>111</v>
      </c>
      <c r="O236" s="260" t="s">
        <v>112</v>
      </c>
      <c r="P236" s="10">
        <v>0</v>
      </c>
      <c r="Q236" s="11">
        <v>300</v>
      </c>
      <c r="R236" s="9">
        <f t="shared" si="413"/>
        <v>0</v>
      </c>
      <c r="S236" s="11" t="str">
        <f>VLOOKUP(K236,'1223 ICCU'!$K$13:$AK$25,9,0)</f>
        <v> Durante el cuatrienio se han realizado estudios y diseños a 107,79 Km de vías en el Departamento para proyectos de infraestructura víal.</v>
      </c>
      <c r="T236" s="11">
        <v>50</v>
      </c>
      <c r="U236" s="11">
        <v>0</v>
      </c>
      <c r="V236" s="11">
        <v>0</v>
      </c>
      <c r="W236" s="11">
        <v>0</v>
      </c>
      <c r="X236" s="11">
        <v>0</v>
      </c>
      <c r="Y236" s="11">
        <v>0</v>
      </c>
      <c r="Z236" s="11">
        <v>0</v>
      </c>
      <c r="AA236" s="11"/>
      <c r="AB236" s="11"/>
      <c r="AC236" s="11"/>
      <c r="AD236" s="11">
        <v>125</v>
      </c>
      <c r="AE236" s="11">
        <v>0</v>
      </c>
      <c r="AF236" s="99">
        <v>0</v>
      </c>
      <c r="AG236" s="11" t="str">
        <f>VLOOKUP(K236,'1223 ICCU'!$K$13:$AK$25,23,0)</f>
        <v> </v>
      </c>
      <c r="AH236" s="9">
        <f t="shared" si="414"/>
        <v>0</v>
      </c>
      <c r="AI236" s="9" t="str">
        <f>VLOOKUP(K236,'1223 ICCU'!$K$13:$AK$25,25,0)</f>
        <v>107,79 Km de vías con estudios y diseños para infraestructura víal en el departamento.</v>
      </c>
      <c r="AJ236" s="9" t="str">
        <f>VLOOKUP(K236,'1223 ICCU'!$K$13:$AK$25,26,0)</f>
        <v>Durante la vigencia 2021 se han realizado Estudios y Diseños a 107,79 Km de vías en los municipios de Villeta, Quebradanegra, Útica, Reventones-Los Alpes, Ubalá- Sueva, Nimaima-Nocaima, La Calera, Pulí-San juan de Rio seco, Cabrera, Venecia, Pandi, Arbeláez, Fusagasugá.</v>
      </c>
      <c r="AK236" s="9" t="str">
        <f>VLOOKUP(K236,'1223 ICCU'!$K$13:$AK$25,27,0)</f>
        <v> </v>
      </c>
      <c r="AL236" s="11">
        <v>100</v>
      </c>
      <c r="AM236" s="11">
        <v>0</v>
      </c>
      <c r="AN236" s="11">
        <v>75</v>
      </c>
      <c r="AO236" s="11">
        <v>0</v>
      </c>
      <c r="AP236" s="11">
        <v>0</v>
      </c>
      <c r="AQ236" s="11">
        <v>0</v>
      </c>
      <c r="AR236" s="52"/>
      <c r="AS236" s="54">
        <v>0</v>
      </c>
      <c r="AT236" s="54">
        <f t="shared" si="407"/>
        <v>0</v>
      </c>
      <c r="AU236" s="52"/>
      <c r="AV236" s="89"/>
      <c r="AY236" s="89">
        <v>0</v>
      </c>
      <c r="AZ236" s="42">
        <f t="shared" si="415"/>
        <v>0</v>
      </c>
      <c r="BA236" s="44">
        <v>0</v>
      </c>
      <c r="BB236" s="44" t="s">
        <v>115</v>
      </c>
      <c r="BC236" s="42">
        <f t="shared" si="416"/>
        <v>0.41666666666666669</v>
      </c>
      <c r="BD236" s="42" cm="1">
        <f t="array" ref="BD236">_xlfn.IFS(AD236=0,"NA",AD236&gt;0,AH236/AD236)</f>
        <v>0</v>
      </c>
      <c r="BE236" s="42">
        <f t="shared" si="417"/>
        <v>0.33333333333333331</v>
      </c>
      <c r="BF236" s="44">
        <v>0</v>
      </c>
      <c r="BG236" s="42">
        <f t="shared" si="418"/>
        <v>0.25</v>
      </c>
      <c r="BH236" s="44">
        <v>0</v>
      </c>
      <c r="BI236" s="42">
        <f t="shared" si="419"/>
        <v>0</v>
      </c>
      <c r="BJ236" s="44" t="s">
        <v>115</v>
      </c>
      <c r="BK236" s="42">
        <f t="shared" si="408"/>
        <v>0</v>
      </c>
      <c r="BL236" s="44" t="s">
        <v>115</v>
      </c>
      <c r="BM236" s="42" cm="1">
        <f t="array" ref="BM236">_xlfn.IFS(BD236="NA","NA",BD236&gt;100%,"100%",BD236&lt;100,BD236)</f>
        <v>0</v>
      </c>
      <c r="BN236" s="42" cm="1">
        <f t="array" ref="BN236">_xlfn.IFS(BF236="NA","NA",BF236&gt;100%,"100%",BF236&lt;100,BF236)</f>
        <v>0</v>
      </c>
      <c r="BO236" s="42" cm="1">
        <f t="array" ref="BO236">_xlfn.IFS(BH236="NA","NA",BH236&gt;100%,"100%",BH236&lt;100,BH236)</f>
        <v>0</v>
      </c>
      <c r="BP236" s="42" t="str" cm="1">
        <f t="array" ref="BP236">_xlfn.IFS(BJ236="NA","NA",BJ236&gt;100%,"100%",BJ236&lt;100,BJ236)</f>
        <v>NA</v>
      </c>
      <c r="BQ236" s="45">
        <v>0.22500000000000001</v>
      </c>
      <c r="BR236" s="43">
        <f t="shared" si="409"/>
        <v>0</v>
      </c>
      <c r="BS236" s="45">
        <v>0</v>
      </c>
      <c r="BT236" s="45" t="s">
        <v>115</v>
      </c>
      <c r="BU236" s="45">
        <v>0</v>
      </c>
      <c r="BV236" s="43">
        <f t="shared" si="420"/>
        <v>9.375E-2</v>
      </c>
      <c r="BW236" s="43">
        <f t="shared" si="410"/>
        <v>0</v>
      </c>
      <c r="BX236" s="43">
        <f t="shared" si="411"/>
        <v>0</v>
      </c>
      <c r="BY236" s="43">
        <f t="shared" si="421"/>
        <v>7.4999999999999997E-2</v>
      </c>
      <c r="BZ236" s="43">
        <f t="shared" si="422"/>
        <v>0</v>
      </c>
      <c r="CA236" s="43">
        <f t="shared" si="412"/>
        <v>0</v>
      </c>
      <c r="CB236" s="43">
        <f t="shared" si="423"/>
        <v>5.6250000000000001E-2</v>
      </c>
      <c r="CC236" s="43">
        <f t="shared" si="424"/>
        <v>0</v>
      </c>
      <c r="CD236" s="45">
        <v>0</v>
      </c>
      <c r="CE236" s="43">
        <f t="shared" si="425"/>
        <v>0</v>
      </c>
      <c r="CF236" s="43" t="str">
        <f t="shared" si="426"/>
        <v>NA</v>
      </c>
      <c r="CG236" s="45">
        <v>0</v>
      </c>
    </row>
    <row r="237" spans="1:90" ht="18" customHeight="1">
      <c r="A237" s="260" t="s">
        <v>428</v>
      </c>
      <c r="B237" s="260" t="s">
        <v>429</v>
      </c>
      <c r="C237" s="260" t="s">
        <v>1286</v>
      </c>
      <c r="D237" s="260" t="s">
        <v>1496</v>
      </c>
      <c r="E237" s="260" t="s">
        <v>1497</v>
      </c>
      <c r="F237" s="260" t="s">
        <v>1498</v>
      </c>
      <c r="G237" s="260" t="s">
        <v>1499</v>
      </c>
      <c r="H237" s="260" t="s">
        <v>1510</v>
      </c>
      <c r="I237" s="260"/>
      <c r="J237" s="260"/>
      <c r="K237" s="260" t="s">
        <v>1511</v>
      </c>
      <c r="L237" s="260" t="s">
        <v>1512</v>
      </c>
      <c r="M237" s="260" t="s">
        <v>1503</v>
      </c>
      <c r="N237" s="260" t="s">
        <v>111</v>
      </c>
      <c r="O237" s="260" t="s">
        <v>112</v>
      </c>
      <c r="P237" s="10">
        <v>0</v>
      </c>
      <c r="Q237" s="11">
        <v>270</v>
      </c>
      <c r="R237" s="9">
        <f t="shared" si="413"/>
        <v>52.47</v>
      </c>
      <c r="S237" s="11" t="str">
        <f>VLOOKUP(K237,'1223 ICCU'!$K$13:$AK$25,9,0)</f>
        <v xml:space="preserve">Durante el cuatrienio se han adelantado obras de infraestructura en 52,47 Km de vías de segundo orden contribuyendo a la ejecución del proyecto memorable Plan 500, adicionalmente se han puesto en operación 4 casetas de recaudo para la financiación de proyectos de infraestructura operadas directamente por el Departamento, y se adelantó la reversión de la concesión Tequendama, permitiendo un recaudo directo para la ejecución de obras de mejoramiento, mantenimiento y rehabilitación que permitiran mejorar las condiciones de la red vial de segundo orden. </v>
      </c>
      <c r="T237" s="11">
        <v>25</v>
      </c>
      <c r="U237" s="11">
        <v>0</v>
      </c>
      <c r="V237" s="11">
        <v>0</v>
      </c>
      <c r="W237" s="11">
        <v>0</v>
      </c>
      <c r="X237" s="11">
        <v>0</v>
      </c>
      <c r="Y237" s="11">
        <v>0</v>
      </c>
      <c r="Z237" s="11">
        <v>0</v>
      </c>
      <c r="AA237" s="11"/>
      <c r="AB237" s="11"/>
      <c r="AC237" s="11"/>
      <c r="AD237" s="11">
        <v>85</v>
      </c>
      <c r="AE237" s="11">
        <v>0</v>
      </c>
      <c r="AF237" s="11">
        <f>VLOOKUP(K237,'1223 ICCU'!$K$13:$AK$25,22,0)</f>
        <v>52.47</v>
      </c>
      <c r="AG237" s="11" t="str">
        <f>VLOOKUP(K237,'1223 ICCU'!$K$13:$AK$25,23,0)</f>
        <v> </v>
      </c>
      <c r="AH237" s="9">
        <f t="shared" si="414"/>
        <v>52.47</v>
      </c>
      <c r="AI237" s="9" t="str">
        <f>VLOOKUP(K237,'1223 ICCU'!$K$13:$AK$25,25,0)</f>
        <v xml:space="preserve">52,47 Km de vías de segundo orden mejorados </v>
      </c>
      <c r="AJ237" s="9" t="str">
        <f>VLOOKUP(K237,'1223 ICCU'!$K$13:$AK$25,26,0)</f>
        <v>Durante la vigencia 2021 se han ejecutado obras de mejoramiento en 52,47 Km de vías de segundo orden en el Departamento, beneficiando a los municipios de Nimaima, La Peña, Cachipay, Guachetá, Anolaima, Sesquilé, Cáqueza, Chaguaní, Pacho, Supatá, Lenguazaque, Villapinzón, La Palma.</v>
      </c>
      <c r="AK237" s="9" t="str">
        <f>VLOOKUP(K237,'1223 ICCU'!$K$13:$AK$25,27,0)</f>
        <v> </v>
      </c>
      <c r="AL237" s="11">
        <v>100</v>
      </c>
      <c r="AM237" s="11">
        <v>0</v>
      </c>
      <c r="AN237" s="11">
        <v>85</v>
      </c>
      <c r="AO237" s="11">
        <v>0</v>
      </c>
      <c r="AP237" s="11">
        <v>0</v>
      </c>
      <c r="AQ237" s="11">
        <v>0</v>
      </c>
      <c r="AR237" s="51">
        <v>13162805275</v>
      </c>
      <c r="AS237" s="54">
        <v>-1526347067</v>
      </c>
      <c r="AT237" s="54">
        <f t="shared" si="407"/>
        <v>11636458208</v>
      </c>
      <c r="AU237" s="51">
        <v>13162805275</v>
      </c>
      <c r="AV237" s="89">
        <v>2860000000</v>
      </c>
      <c r="AY237" s="89">
        <v>2275832205</v>
      </c>
      <c r="AZ237" s="42">
        <f t="shared" si="415"/>
        <v>0.19433333333333333</v>
      </c>
      <c r="BA237" s="44">
        <v>0</v>
      </c>
      <c r="BB237" s="44" t="s">
        <v>115</v>
      </c>
      <c r="BC237" s="42">
        <f t="shared" si="416"/>
        <v>0.31481481481481483</v>
      </c>
      <c r="BD237" s="42" cm="1">
        <f t="array" ref="BD237">_xlfn.IFS(AD237=0,"NA",AD237&gt;0,AH237/AD237)</f>
        <v>0.61729411764705877</v>
      </c>
      <c r="BE237" s="42">
        <f t="shared" si="417"/>
        <v>0.37037037037037035</v>
      </c>
      <c r="BF237" s="44">
        <v>0</v>
      </c>
      <c r="BG237" s="42">
        <f t="shared" si="418"/>
        <v>0.31481481481481483</v>
      </c>
      <c r="BH237" s="44">
        <v>0</v>
      </c>
      <c r="BI237" s="42">
        <f t="shared" si="419"/>
        <v>0</v>
      </c>
      <c r="BJ237" s="44" t="s">
        <v>115</v>
      </c>
      <c r="BK237" s="42">
        <f t="shared" si="408"/>
        <v>0.19433333333333333</v>
      </c>
      <c r="BL237" s="44" t="s">
        <v>115</v>
      </c>
      <c r="BM237" s="42" cm="1">
        <f t="array" ref="BM237">_xlfn.IFS(BD237="NA","NA",BD237&gt;100%,"100%",BD237&lt;100,BD237)</f>
        <v>0.61729411764705877</v>
      </c>
      <c r="BN237" s="42" cm="1">
        <f t="array" ref="BN237">_xlfn.IFS(BF237="NA","NA",BF237&gt;100%,"100%",BF237&lt;100,BF237)</f>
        <v>0</v>
      </c>
      <c r="BO237" s="42" cm="1">
        <f t="array" ref="BO237">_xlfn.IFS(BH237="NA","NA",BH237&gt;100%,"100%",BH237&lt;100,BH237)</f>
        <v>0</v>
      </c>
      <c r="BP237" s="42" t="str" cm="1">
        <f t="array" ref="BP237">_xlfn.IFS(BJ237="NA","NA",BJ237&gt;100%,"100%",BJ237&lt;100,BJ237)</f>
        <v>NA</v>
      </c>
      <c r="BQ237" s="45">
        <v>0.22500000000000001</v>
      </c>
      <c r="BR237" s="43">
        <f t="shared" si="409"/>
        <v>4.3725E-2</v>
      </c>
      <c r="BS237" s="45">
        <v>0</v>
      </c>
      <c r="BT237" s="45" t="s">
        <v>115</v>
      </c>
      <c r="BU237" s="45">
        <v>0</v>
      </c>
      <c r="BV237" s="43">
        <f t="shared" si="420"/>
        <v>7.0833333333333331E-2</v>
      </c>
      <c r="BW237" s="43">
        <f t="shared" si="410"/>
        <v>4.3724999999999993E-2</v>
      </c>
      <c r="BX237" s="43">
        <f t="shared" si="411"/>
        <v>4.3725E-2</v>
      </c>
      <c r="BY237" s="43">
        <f t="shared" si="421"/>
        <v>8.3333333333333329E-2</v>
      </c>
      <c r="BZ237" s="43">
        <f t="shared" si="422"/>
        <v>0</v>
      </c>
      <c r="CA237" s="43">
        <f t="shared" si="412"/>
        <v>0</v>
      </c>
      <c r="CB237" s="43">
        <f t="shared" si="423"/>
        <v>7.0833333333333331E-2</v>
      </c>
      <c r="CC237" s="43">
        <f t="shared" si="424"/>
        <v>0</v>
      </c>
      <c r="CD237" s="45">
        <v>0</v>
      </c>
      <c r="CE237" s="43">
        <f t="shared" si="425"/>
        <v>0</v>
      </c>
      <c r="CF237" s="43" t="str">
        <f t="shared" si="426"/>
        <v>NA</v>
      </c>
      <c r="CG237" s="45">
        <v>0</v>
      </c>
    </row>
    <row r="238" spans="1:90" ht="18" customHeight="1">
      <c r="A238" s="260" t="s">
        <v>428</v>
      </c>
      <c r="B238" s="260" t="s">
        <v>429</v>
      </c>
      <c r="C238" s="260" t="s">
        <v>1286</v>
      </c>
      <c r="D238" s="260" t="s">
        <v>1496</v>
      </c>
      <c r="E238" s="260" t="s">
        <v>1497</v>
      </c>
      <c r="F238" s="260" t="s">
        <v>1498</v>
      </c>
      <c r="G238" s="260" t="s">
        <v>1499</v>
      </c>
      <c r="H238" s="260" t="s">
        <v>1513</v>
      </c>
      <c r="I238" s="260"/>
      <c r="J238" s="260"/>
      <c r="K238" s="260" t="s">
        <v>1514</v>
      </c>
      <c r="L238" s="260" t="s">
        <v>1515</v>
      </c>
      <c r="M238" s="260" t="s">
        <v>1516</v>
      </c>
      <c r="N238" s="260" t="s">
        <v>111</v>
      </c>
      <c r="O238" s="260" t="s">
        <v>112</v>
      </c>
      <c r="P238" s="10">
        <v>0</v>
      </c>
      <c r="Q238" s="11">
        <v>130</v>
      </c>
      <c r="R238" s="9">
        <f t="shared" si="413"/>
        <v>2.48</v>
      </c>
      <c r="S238" s="11" t="str">
        <f>VLOOKUP(K238,'1223 ICCU'!$K$13:$AK$25,9,0)</f>
        <v> Durante el cuatrienio se han rehabilitado de 3.61 Km de vías de segundo orden, realizando obras de mitigación en los sitios inestables que contribuyen a la seguridad vial del Departamento.</v>
      </c>
      <c r="T238" s="11">
        <v>20</v>
      </c>
      <c r="U238" s="11">
        <v>0</v>
      </c>
      <c r="V238" s="11">
        <v>5</v>
      </c>
      <c r="W238" s="11">
        <v>0</v>
      </c>
      <c r="X238" s="11">
        <v>2.48</v>
      </c>
      <c r="Y238" s="11">
        <v>0</v>
      </c>
      <c r="Z238" s="11">
        <v>2.48</v>
      </c>
      <c r="AA238" s="11" t="s">
        <v>1517</v>
      </c>
      <c r="AB238" s="11" t="s">
        <v>1518</v>
      </c>
      <c r="AC238" s="11" t="s">
        <v>1519</v>
      </c>
      <c r="AD238" s="11">
        <v>55</v>
      </c>
      <c r="AE238" s="11">
        <v>0</v>
      </c>
      <c r="AF238" s="99">
        <v>0</v>
      </c>
      <c r="AG238" s="11" t="str">
        <f>VLOOKUP(K238,'1223 ICCU'!$K$13:$AK$25,23,0)</f>
        <v> </v>
      </c>
      <c r="AH238" s="9">
        <f t="shared" si="414"/>
        <v>0</v>
      </c>
      <c r="AI238" s="9" t="str">
        <f>VLOOKUP(K238,'1223 ICCU'!$K$13:$AK$25,25,0)</f>
        <v>1.13 Km de vías de segundo orden rehabilitadas</v>
      </c>
      <c r="AJ238" s="9" t="str">
        <f>VLOOKUP(K238,'1223 ICCU'!$K$13:$AK$25,26,0)</f>
        <v> Durante la vigencia 2021 se han rehabilitado 1,13 Km de vías de segundo orden, realizando obras de mitigación en los sitios inestables que contribuyen a la seguridad vial del Departamento.</v>
      </c>
      <c r="AK238" s="9" t="str">
        <f>VLOOKUP(K238,'1223 ICCU'!$K$13:$AK$25,27,0)</f>
        <v> </v>
      </c>
      <c r="AL238" s="11">
        <v>52.52</v>
      </c>
      <c r="AM238" s="11">
        <v>0</v>
      </c>
      <c r="AN238" s="11">
        <v>20</v>
      </c>
      <c r="AO238" s="11">
        <v>0</v>
      </c>
      <c r="AP238" s="11">
        <v>0</v>
      </c>
      <c r="AQ238" s="11">
        <v>0</v>
      </c>
      <c r="AR238" s="51">
        <v>2119000000</v>
      </c>
      <c r="AS238" s="54">
        <v>2477775238</v>
      </c>
      <c r="AT238" s="54">
        <f t="shared" si="407"/>
        <v>4596775238</v>
      </c>
      <c r="AU238" s="51">
        <v>2119000000</v>
      </c>
      <c r="AV238" s="89">
        <v>25133188800</v>
      </c>
      <c r="AY238" s="89">
        <v>12611220015</v>
      </c>
      <c r="AZ238" s="42">
        <f t="shared" si="415"/>
        <v>1.9076923076923078E-2</v>
      </c>
      <c r="BA238" s="44">
        <v>3.85E-2</v>
      </c>
      <c r="BB238" s="44">
        <v>0.496</v>
      </c>
      <c r="BC238" s="42">
        <f t="shared" si="416"/>
        <v>0.42307692307692307</v>
      </c>
      <c r="BD238" s="42" cm="1">
        <f t="array" ref="BD238">_xlfn.IFS(AD238=0,"NA",AD238&gt;0,AH238/AD238)</f>
        <v>0</v>
      </c>
      <c r="BE238" s="42">
        <f t="shared" si="417"/>
        <v>0.40400000000000003</v>
      </c>
      <c r="BF238" s="44">
        <v>0</v>
      </c>
      <c r="BG238" s="42">
        <f t="shared" si="418"/>
        <v>0.15384615384615385</v>
      </c>
      <c r="BH238" s="44">
        <v>0</v>
      </c>
      <c r="BI238" s="42">
        <f t="shared" si="419"/>
        <v>0</v>
      </c>
      <c r="BJ238" s="44" t="s">
        <v>115</v>
      </c>
      <c r="BK238" s="42">
        <f t="shared" si="408"/>
        <v>1.9076923076923078E-2</v>
      </c>
      <c r="BL238" s="44">
        <v>0.496</v>
      </c>
      <c r="BM238" s="42" cm="1">
        <f t="array" ref="BM238">_xlfn.IFS(BD238="NA","NA",BD238&gt;100%,"100%",BD238&lt;100,BD238)</f>
        <v>0</v>
      </c>
      <c r="BN238" s="42" cm="1">
        <f t="array" ref="BN238">_xlfn.IFS(BF238="NA","NA",BF238&gt;100%,"100%",BF238&lt;100,BF238)</f>
        <v>0</v>
      </c>
      <c r="BO238" s="42" cm="1">
        <f t="array" ref="BO238">_xlfn.IFS(BH238="NA","NA",BH238&gt;100%,"100%",BH238&lt;100,BH238)</f>
        <v>0</v>
      </c>
      <c r="BP238" s="42" t="str" cm="1">
        <f t="array" ref="BP238">_xlfn.IFS(BJ238="NA","NA",BJ238&gt;100%,"100%",BJ238&lt;100,BJ238)</f>
        <v>NA</v>
      </c>
      <c r="BQ238" s="45">
        <v>0.22500000000000001</v>
      </c>
      <c r="BR238" s="43">
        <f t="shared" si="409"/>
        <v>4.2923076923076925E-3</v>
      </c>
      <c r="BS238" s="45">
        <v>8.6999999999999994E-3</v>
      </c>
      <c r="BT238" s="45">
        <v>4.3E-3</v>
      </c>
      <c r="BU238" s="45">
        <v>4.3E-3</v>
      </c>
      <c r="BV238" s="43">
        <f t="shared" si="420"/>
        <v>9.5192307692307687E-2</v>
      </c>
      <c r="BW238" s="43">
        <f t="shared" si="410"/>
        <v>0</v>
      </c>
      <c r="BX238" s="43">
        <f t="shared" si="411"/>
        <v>-7.6923076923075123E-6</v>
      </c>
      <c r="BY238" s="43">
        <f t="shared" si="421"/>
        <v>9.0899999999999995E-2</v>
      </c>
      <c r="BZ238" s="43">
        <f t="shared" si="422"/>
        <v>0</v>
      </c>
      <c r="CA238" s="43">
        <f t="shared" si="412"/>
        <v>0</v>
      </c>
      <c r="CB238" s="43">
        <f t="shared" si="423"/>
        <v>3.4615384615384617E-2</v>
      </c>
      <c r="CC238" s="43">
        <f t="shared" si="424"/>
        <v>0</v>
      </c>
      <c r="CD238" s="45">
        <v>0</v>
      </c>
      <c r="CE238" s="43">
        <f t="shared" si="425"/>
        <v>0</v>
      </c>
      <c r="CF238" s="43" t="str">
        <f t="shared" si="426"/>
        <v>NA</v>
      </c>
      <c r="CG238" s="45">
        <v>0</v>
      </c>
    </row>
    <row r="239" spans="1:90" ht="18" customHeight="1">
      <c r="A239" s="260" t="s">
        <v>428</v>
      </c>
      <c r="B239" s="260" t="s">
        <v>429</v>
      </c>
      <c r="C239" s="260" t="s">
        <v>1286</v>
      </c>
      <c r="D239" s="260" t="s">
        <v>1496</v>
      </c>
      <c r="E239" s="260" t="s">
        <v>1497</v>
      </c>
      <c r="F239" s="260" t="s">
        <v>1498</v>
      </c>
      <c r="G239" s="260" t="s">
        <v>1499</v>
      </c>
      <c r="H239" s="260" t="s">
        <v>1520</v>
      </c>
      <c r="I239" s="260"/>
      <c r="J239" s="260"/>
      <c r="K239" s="260" t="s">
        <v>1521</v>
      </c>
      <c r="L239" s="260" t="s">
        <v>1522</v>
      </c>
      <c r="M239" s="260" t="s">
        <v>1523</v>
      </c>
      <c r="N239" s="260" t="s">
        <v>111</v>
      </c>
      <c r="O239" s="260" t="s">
        <v>124</v>
      </c>
      <c r="P239" s="10">
        <v>1000</v>
      </c>
      <c r="Q239" s="11">
        <v>1000</v>
      </c>
      <c r="R239" s="11">
        <f>(Z239+AH239)/CL239</f>
        <v>664.1875</v>
      </c>
      <c r="S239" s="11" t="str">
        <f>VLOOKUP(K239,'1223 ICCU'!$K$13:$AK$25,9,0)</f>
        <v>Durante el cuatrienio se ha mantenido la ejecución anual de 1000 km de vías pavimentadas a través de los tres contratos de concesion.</v>
      </c>
      <c r="T239" s="11">
        <v>0</v>
      </c>
      <c r="U239" s="11">
        <v>1000</v>
      </c>
      <c r="V239" s="11">
        <v>0</v>
      </c>
      <c r="W239" s="11">
        <v>1000</v>
      </c>
      <c r="X239" s="11" t="s">
        <v>115</v>
      </c>
      <c r="Y239" s="11">
        <v>1160.29</v>
      </c>
      <c r="Z239" s="11">
        <v>1160.29</v>
      </c>
      <c r="AA239" s="11" t="s">
        <v>1524</v>
      </c>
      <c r="AB239" s="11" t="s">
        <v>1525</v>
      </c>
      <c r="AC239" s="11" t="s">
        <v>1526</v>
      </c>
      <c r="AD239" s="11">
        <v>0</v>
      </c>
      <c r="AE239" s="11">
        <v>1000</v>
      </c>
      <c r="AF239" s="11" t="str">
        <f>VLOOKUP(K239,'1223 ICCU'!$K$13:$AK$25,22,0)</f>
        <v> </v>
      </c>
      <c r="AG239" s="11">
        <f>VLOOKUP(K239,'1223 ICCU'!$K$13:$AK$25,23,0)</f>
        <v>1496.46</v>
      </c>
      <c r="AH239" s="11">
        <f>AG239</f>
        <v>1496.46</v>
      </c>
      <c r="AI239" s="9" t="str">
        <f>VLOOKUP(K239,'1223 ICCU'!$K$13:$AK$25,25,0)</f>
        <v>1.496,46 Km de mantenimiento a vías Departamentales pavimentadas</v>
      </c>
      <c r="AJ239" s="9" t="str">
        <f>VLOOKUP(K239,'1223 ICCU'!$K$13:$AK$25,26,0)</f>
        <v>Durante la vigencia 2021 se ha realizado mantenimiento de 1.496,46 Km de vías pavimentadas del Departamento, con ejecución de proyectos de rehabilitación y mantenimiento rutinario de la red vial secundaria del Departamento de Cundinamarca, rehabilitando las vías de los municipios de La Calera, Guasca, Junín, Tausa, Sutatausa, Cucunuba, Tibirita, Pandi, Fusagasugá, Arbeláez, La Mesa, La Palma, La Peña, Pacho, Zipaquirá, Yacopí, Cota, Tenjo, Pasca, San Bernardo, Gachalá, Gachetá, Junín, Ubalá, Pacho, El Peñón, La Palma, Ubaté, Lenguazaque, Gachalá, Medina, Ubalá, Cogua, Manta, Pandi, Venecia, Cabrera, Manta, La Palma, Pacho, Sibaté, Silvania, Agua de Dios, Ricaurte, Anapoima, Bojacá, Soacha, Tena, Villeta, Sasaima, La Vega, Albán, San Juan de Rioseco, Pulí, Chaguaní, Vianí, Bituima, Guayabal de Síquima, Anolaima, Quipile, Ubaque, Chipaque, Gama, Suesca, Nocaima, Topaipí, Útica, Quebrada Negra, San Francisco, Pacho, Supatá, El Colegio.</v>
      </c>
      <c r="AK239" s="9" t="str">
        <f>VLOOKUP(K239,'1223 ICCU'!$K$13:$AK$25,27,0)</f>
        <v> </v>
      </c>
      <c r="AL239" s="11">
        <v>0</v>
      </c>
      <c r="AM239" s="11">
        <v>1000</v>
      </c>
      <c r="AN239" s="11">
        <v>0</v>
      </c>
      <c r="AO239" s="11">
        <v>1000</v>
      </c>
      <c r="AP239" s="11">
        <v>0</v>
      </c>
      <c r="AQ239" s="11">
        <v>0</v>
      </c>
      <c r="AR239" s="51">
        <v>1000000000</v>
      </c>
      <c r="AS239" s="54">
        <v>0</v>
      </c>
      <c r="AT239" s="54">
        <f t="shared" si="407"/>
        <v>1000000000</v>
      </c>
      <c r="AU239" s="51">
        <v>1000000000</v>
      </c>
      <c r="AV239" s="89">
        <v>5000000000</v>
      </c>
      <c r="AY239" s="89">
        <v>1415459756</v>
      </c>
      <c r="AZ239" s="44" cm="1">
        <f t="array" ref="AZ239">_xlfn.IFS((BA239=0),(BD239/CL239),(BA239&gt;0),((BB239+BD239)/CL239),(BE239&gt;0),((BB239+BD239+BE239)/CL239),(BG239&gt;0),((BB239+BD239+BE239+G239)/CL239))</f>
        <v>0.66419000000000006</v>
      </c>
      <c r="BA239" s="44">
        <v>0.25</v>
      </c>
      <c r="BB239" s="44">
        <v>1.1603000000000001</v>
      </c>
      <c r="BC239" s="44">
        <f>IF(AE239&gt;0,(1/CL239),0)</f>
        <v>0.25</v>
      </c>
      <c r="BD239" s="44" cm="1">
        <f t="array" ref="BD239">_xlfn.IFS(AE239=0,"NA",AE239&gt;0,AH239/AE239)</f>
        <v>1.4964600000000001</v>
      </c>
      <c r="BE239" s="44">
        <f>IF(AM239&gt;0,(1/CL239),0)</f>
        <v>0.25</v>
      </c>
      <c r="BF239" s="44">
        <v>0</v>
      </c>
      <c r="BG239" s="44">
        <f>IF(AO239&gt;0,(1/CL239),0)</f>
        <v>0.25</v>
      </c>
      <c r="BH239" s="44">
        <v>0</v>
      </c>
      <c r="BI239" s="44">
        <v>0</v>
      </c>
      <c r="BJ239" s="44" t="s">
        <v>115</v>
      </c>
      <c r="BK239" s="44">
        <f t="shared" si="408"/>
        <v>0.66419000000000006</v>
      </c>
      <c r="BL239" s="44">
        <v>1</v>
      </c>
      <c r="BM239" s="42" t="str" cm="1">
        <f t="array" ref="BM239">_xlfn.IFS(BD239="NA","NA",BD239&gt;100%,"100%",BD239&lt;100,BD239)</f>
        <v>100%</v>
      </c>
      <c r="BN239" s="44">
        <v>0</v>
      </c>
      <c r="BO239" s="44">
        <v>0</v>
      </c>
      <c r="BP239" s="44" t="s">
        <v>115</v>
      </c>
      <c r="BQ239" s="45">
        <v>0.22500000000000001</v>
      </c>
      <c r="BR239" s="43">
        <f t="shared" si="409"/>
        <v>0.14944275000000001</v>
      </c>
      <c r="BS239" s="45">
        <v>5.6300000000000003E-2</v>
      </c>
      <c r="BT239" s="45">
        <v>5.6300000000000003E-2</v>
      </c>
      <c r="BU239" s="45">
        <v>5.6300000000000003E-2</v>
      </c>
      <c r="BV239" s="45">
        <v>5.6300000000000003E-2</v>
      </c>
      <c r="BW239" s="43">
        <f t="shared" si="410"/>
        <v>5.6300000000000003E-2</v>
      </c>
      <c r="BX239" s="43">
        <f t="shared" si="411"/>
        <v>9.314275000000001E-2</v>
      </c>
      <c r="BY239" s="45">
        <v>5.6300000000000003E-2</v>
      </c>
      <c r="BZ239" s="45">
        <v>0</v>
      </c>
      <c r="CA239" s="43">
        <f t="shared" si="412"/>
        <v>0</v>
      </c>
      <c r="CB239" s="45">
        <v>5.6300000000000003E-2</v>
      </c>
      <c r="CC239" s="45">
        <v>0</v>
      </c>
      <c r="CD239" s="45">
        <v>0</v>
      </c>
      <c r="CE239" s="45">
        <v>0</v>
      </c>
      <c r="CF239" s="45" t="s">
        <v>115</v>
      </c>
      <c r="CG239" s="45">
        <v>0</v>
      </c>
      <c r="CH239">
        <f>IF(W239&gt;0,1,0)</f>
        <v>1</v>
      </c>
      <c r="CI239">
        <f>IF(AE239&gt;0,1,0)</f>
        <v>1</v>
      </c>
      <c r="CJ239">
        <f>IF(AM239&gt;0,1,0)</f>
        <v>1</v>
      </c>
      <c r="CK239">
        <f>IF(AO239&gt;0,1,0)</f>
        <v>1</v>
      </c>
      <c r="CL239">
        <f>CH239+CI239+CJ239+CK239</f>
        <v>4</v>
      </c>
    </row>
    <row r="240" spans="1:90" ht="18" customHeight="1">
      <c r="A240" s="260" t="s">
        <v>428</v>
      </c>
      <c r="B240" s="260" t="s">
        <v>429</v>
      </c>
      <c r="C240" s="260" t="s">
        <v>1286</v>
      </c>
      <c r="D240" s="260" t="s">
        <v>1496</v>
      </c>
      <c r="E240" s="260" t="s">
        <v>1497</v>
      </c>
      <c r="F240" s="260" t="s">
        <v>1498</v>
      </c>
      <c r="G240" s="260" t="s">
        <v>1499</v>
      </c>
      <c r="H240" s="260" t="s">
        <v>1527</v>
      </c>
      <c r="I240" s="260"/>
      <c r="J240" s="260"/>
      <c r="K240" s="260" t="s">
        <v>1528</v>
      </c>
      <c r="L240" s="260" t="s">
        <v>1529</v>
      </c>
      <c r="M240" s="260" t="s">
        <v>1523</v>
      </c>
      <c r="N240" s="260" t="s">
        <v>111</v>
      </c>
      <c r="O240" s="260" t="s">
        <v>112</v>
      </c>
      <c r="P240" s="10">
        <v>10000</v>
      </c>
      <c r="Q240" s="11">
        <v>10000</v>
      </c>
      <c r="R240" s="9">
        <f t="shared" ref="R240:R241" si="427">Z240+AH240</f>
        <v>122.81</v>
      </c>
      <c r="S240" s="11" t="str">
        <f>VLOOKUP(K240,'1223 ICCU'!$K$13:$AK$25,9,0)</f>
        <v> Durante el cuatrenio se ha realizado mantenimiento de 5.555,83 Km de vías de segundo y tercer orden en afirmado, con la atención y prevención de emergencias viales, así mismo, la operación de combos de maquinaria que contribuyen al mantenimiento de las vías existentes en afirmado en las diferentes provincias del Departamento.</v>
      </c>
      <c r="T240" s="11">
        <v>1500</v>
      </c>
      <c r="U240" s="11">
        <v>0</v>
      </c>
      <c r="V240" s="11">
        <v>200</v>
      </c>
      <c r="W240" s="11">
        <v>0</v>
      </c>
      <c r="X240" s="11">
        <v>122.81</v>
      </c>
      <c r="Y240" s="11">
        <v>0</v>
      </c>
      <c r="Z240" s="11">
        <v>122.81</v>
      </c>
      <c r="AA240" s="11" t="s">
        <v>1530</v>
      </c>
      <c r="AB240" s="11" t="s">
        <v>1531</v>
      </c>
      <c r="AC240" s="11" t="s">
        <v>1526</v>
      </c>
      <c r="AD240" s="11">
        <v>5500</v>
      </c>
      <c r="AE240" s="11">
        <v>0</v>
      </c>
      <c r="AF240" s="99">
        <v>0</v>
      </c>
      <c r="AG240" s="11" t="str">
        <f>VLOOKUP(K240,'1223 ICCU'!$K$13:$AK$25,23,0)</f>
        <v> </v>
      </c>
      <c r="AH240" s="9">
        <f t="shared" ref="AH240:AH241" si="428">AF240</f>
        <v>0</v>
      </c>
      <c r="AI240" s="9" t="str">
        <f>VLOOKUP(K240,'1223 ICCU'!$K$13:$AK$25,25,0)</f>
        <v>5133,02 Km de vías de segundo y tercer orden en afirmado</v>
      </c>
      <c r="AJ240" s="9" t="str">
        <f>VLOOKUP(K240,'1223 ICCU'!$K$13:$AK$25,26,0)</f>
        <v> Durante la vigencia 2021 se ha realizado mantenimiento de 5.133,02 Km de vías de segundo y tercer orden en afirmado, con la atención y prevención de emergencias viales, así mismo, la operación de combos de maquinaria que contribuyen al mantenimiento de las vías existentes en afirmado en las diferentes provincias del Departamento.</v>
      </c>
      <c r="AK240" s="9" t="str">
        <f>VLOOKUP(K240,'1223 ICCU'!$K$13:$AK$25,27,0)</f>
        <v> </v>
      </c>
      <c r="AL240" s="11">
        <v>2377.9</v>
      </c>
      <c r="AM240" s="11">
        <v>0</v>
      </c>
      <c r="AN240" s="11">
        <v>2000</v>
      </c>
      <c r="AO240" s="11">
        <v>0</v>
      </c>
      <c r="AP240" s="11">
        <v>0</v>
      </c>
      <c r="AQ240" s="11">
        <v>0</v>
      </c>
      <c r="AR240" s="51">
        <v>18862905184</v>
      </c>
      <c r="AS240" s="54">
        <v>0</v>
      </c>
      <c r="AT240" s="54">
        <f t="shared" si="407"/>
        <v>18862905184</v>
      </c>
      <c r="AU240" s="51">
        <v>18862905184</v>
      </c>
      <c r="AV240" s="89">
        <v>30617013447</v>
      </c>
      <c r="AY240" s="89">
        <v>24850322421</v>
      </c>
      <c r="AZ240" s="42">
        <f t="shared" ref="AZ240:AZ241" si="429">R240/Q240</f>
        <v>1.2281E-2</v>
      </c>
      <c r="BA240" s="44">
        <v>0.02</v>
      </c>
      <c r="BB240" s="44">
        <v>0.61409999999999998</v>
      </c>
      <c r="BC240" s="42">
        <f t="shared" ref="BC240:BC241" si="430">AD240/Q240</f>
        <v>0.55000000000000004</v>
      </c>
      <c r="BD240" s="42" cm="1">
        <f t="array" ref="BD240">_xlfn.IFS(AD240=0,"NA",AD240&gt;0,AH240/AD240)</f>
        <v>0</v>
      </c>
      <c r="BE240" s="42">
        <f t="shared" ref="BE240:BE241" si="431">AL240/Q240</f>
        <v>0.23779</v>
      </c>
      <c r="BF240" s="44">
        <v>0</v>
      </c>
      <c r="BG240" s="42">
        <f t="shared" ref="BG240:BG241" si="432">AN240/Q240</f>
        <v>0.2</v>
      </c>
      <c r="BH240" s="44">
        <v>0</v>
      </c>
      <c r="BI240" s="42">
        <f t="shared" ref="BI240:BI241" si="433">AP240/Q240</f>
        <v>0</v>
      </c>
      <c r="BJ240" s="44" t="s">
        <v>115</v>
      </c>
      <c r="BK240" s="42">
        <f t="shared" si="408"/>
        <v>1.2281E-2</v>
      </c>
      <c r="BL240" s="44">
        <v>0.61409999999999998</v>
      </c>
      <c r="BM240" s="42" cm="1">
        <f t="array" ref="BM240">_xlfn.IFS(BD240="NA","NA",BD240&gt;100%,"100%",BD240&lt;100,BD240)</f>
        <v>0</v>
      </c>
      <c r="BN240" s="42" cm="1">
        <f t="array" ref="BN240">_xlfn.IFS(BF240="NA","NA",BF240&gt;100%,"100%",BF240&lt;100,BF240)</f>
        <v>0</v>
      </c>
      <c r="BO240" s="42" cm="1">
        <f t="array" ref="BO240">_xlfn.IFS(BH240="NA","NA",BH240&gt;100%,"100%",BH240&lt;100,BH240)</f>
        <v>0</v>
      </c>
      <c r="BP240" s="42" t="str" cm="1">
        <f t="array" ref="BP240">_xlfn.IFS(BJ240="NA","NA",BJ240&gt;100%,"100%",BJ240&lt;100,BJ240)</f>
        <v>NA</v>
      </c>
      <c r="BQ240" s="45">
        <v>0.22500000000000001</v>
      </c>
      <c r="BR240" s="43">
        <f t="shared" si="409"/>
        <v>2.7632250000000002E-3</v>
      </c>
      <c r="BS240" s="45">
        <v>4.4999999999999997E-3</v>
      </c>
      <c r="BT240" s="45">
        <v>2.8E-3</v>
      </c>
      <c r="BU240" s="45">
        <v>2.8E-3</v>
      </c>
      <c r="BV240" s="43">
        <f t="shared" ref="BV240:BV241" si="434">(AD240*BQ240)/Q240</f>
        <v>0.12375</v>
      </c>
      <c r="BW240" s="43">
        <f t="shared" si="410"/>
        <v>0</v>
      </c>
      <c r="BX240" s="43">
        <f t="shared" si="411"/>
        <v>-3.6774999999999742E-5</v>
      </c>
      <c r="BY240" s="43">
        <f t="shared" ref="BY240:BY241" si="435">(AL240*BQ240)/Q240</f>
        <v>5.3502750000000002E-2</v>
      </c>
      <c r="BZ240" s="43">
        <f t="shared" ref="BZ240:BZ241" si="436">IF(BN240="NA","NA",BN240*BY240)</f>
        <v>0</v>
      </c>
      <c r="CA240" s="43">
        <f t="shared" si="412"/>
        <v>0</v>
      </c>
      <c r="CB240" s="43">
        <f t="shared" ref="CB240:CB241" si="437">(AN240*BQ240)/Q240</f>
        <v>4.4999999999999998E-2</v>
      </c>
      <c r="CC240" s="43">
        <f t="shared" ref="CC240:CC241" si="438">IF(BO240="NA","NA",BO240*CB240)</f>
        <v>0</v>
      </c>
      <c r="CD240" s="45">
        <v>0</v>
      </c>
      <c r="CE240" s="43">
        <f t="shared" ref="CE240:CE241" si="439">(AP240*BQ240)/Q240</f>
        <v>0</v>
      </c>
      <c r="CF240" s="43" t="str">
        <f t="shared" ref="CF240:CF241" si="440">IF(BP240="NA","NA",BP240*CE240)</f>
        <v>NA</v>
      </c>
      <c r="CG240" s="45">
        <v>0</v>
      </c>
    </row>
    <row r="241" spans="1:90" ht="18" customHeight="1">
      <c r="A241" s="260" t="s">
        <v>428</v>
      </c>
      <c r="B241" s="260" t="s">
        <v>429</v>
      </c>
      <c r="C241" s="260" t="s">
        <v>1286</v>
      </c>
      <c r="D241" s="260" t="s">
        <v>1496</v>
      </c>
      <c r="E241" s="260" t="s">
        <v>1497</v>
      </c>
      <c r="F241" s="260" t="s">
        <v>1498</v>
      </c>
      <c r="G241" s="260" t="s">
        <v>1499</v>
      </c>
      <c r="H241" s="260" t="s">
        <v>1532</v>
      </c>
      <c r="I241" s="260"/>
      <c r="J241" s="260"/>
      <c r="K241" s="260" t="s">
        <v>1533</v>
      </c>
      <c r="L241" s="260" t="s">
        <v>1534</v>
      </c>
      <c r="M241" s="260" t="s">
        <v>1535</v>
      </c>
      <c r="N241" s="260" t="s">
        <v>111</v>
      </c>
      <c r="O241" s="260" t="s">
        <v>112</v>
      </c>
      <c r="P241" s="10">
        <v>176</v>
      </c>
      <c r="Q241" s="11">
        <v>220</v>
      </c>
      <c r="R241" s="9">
        <f t="shared" si="427"/>
        <v>59</v>
      </c>
      <c r="S241" s="11" t="str">
        <f>VLOOKUP(K241,'1223 ICCU'!$K$13:$AK$25,9,0)</f>
        <v xml:space="preserve">Durante el cuatrienio se han intervenido 58 puentes en el departamento con obras de construcción y mejoramiento, permitiendo mejorar las condiciones de conectividad y reduciendo los tiempos de desplazamiento. </v>
      </c>
      <c r="T241" s="11">
        <v>40</v>
      </c>
      <c r="U241" s="11">
        <v>0</v>
      </c>
      <c r="V241" s="11">
        <v>10</v>
      </c>
      <c r="W241" s="11">
        <v>0</v>
      </c>
      <c r="X241" s="11">
        <v>6</v>
      </c>
      <c r="Y241" s="11">
        <v>0</v>
      </c>
      <c r="Z241" s="11">
        <v>6</v>
      </c>
      <c r="AA241" s="11" t="s">
        <v>1536</v>
      </c>
      <c r="AB241" s="11" t="s">
        <v>1537</v>
      </c>
      <c r="AC241" s="11">
        <v>0</v>
      </c>
      <c r="AD241" s="11">
        <v>70</v>
      </c>
      <c r="AE241" s="11">
        <v>0</v>
      </c>
      <c r="AF241" s="11">
        <f>VLOOKUP(K241,'1223 ICCU'!$K$13:$AK$25,22,0)</f>
        <v>53</v>
      </c>
      <c r="AG241" s="11" t="str">
        <f>VLOOKUP(K241,'1223 ICCU'!$K$13:$AK$25,23,0)</f>
        <v> </v>
      </c>
      <c r="AH241" s="9">
        <f t="shared" si="428"/>
        <v>53</v>
      </c>
      <c r="AI241" s="9" t="str">
        <f>VLOOKUP(K241,'1223 ICCU'!$K$13:$AK$25,25,0)</f>
        <v xml:space="preserve">53 puentes intervenidos </v>
      </c>
      <c r="AJ241" s="9" t="str">
        <f>VLOOKUP(K241,'1223 ICCU'!$K$13:$AK$25,26,0)</f>
        <v>Durante la vigencia 2021 se han ejecutado obras de construcción y adecuación 53 puentes en el Departamento, beneficiando a los municipios de: Lenguazaque, Carmen de Carupa, Machetá, Villapinzón, Tibirita, San Cayetano, Viotá, Paime, Guayabetal, Fúquene, Ubalá, San Antonio del Tequendama, Quipile, Medina, Anapoima, Alban, Gachetá, Tocaima, Bituima, Gutiérrez, Cachipay, Manta, El Colegio, Fusagasugá, Suesca.</v>
      </c>
      <c r="AK241" s="9" t="str">
        <f>VLOOKUP(K241,'1223 ICCU'!$K$13:$AK$25,27,0)</f>
        <v> </v>
      </c>
      <c r="AL241" s="11">
        <v>80</v>
      </c>
      <c r="AM241" s="11">
        <v>0</v>
      </c>
      <c r="AN241" s="11">
        <v>64</v>
      </c>
      <c r="AO241" s="11">
        <v>0</v>
      </c>
      <c r="AP241" s="11">
        <v>0</v>
      </c>
      <c r="AQ241" s="11">
        <v>0</v>
      </c>
      <c r="AR241" s="51">
        <v>6000000000</v>
      </c>
      <c r="AS241" s="54">
        <v>20000000</v>
      </c>
      <c r="AT241" s="54">
        <f t="shared" si="407"/>
        <v>6020000000</v>
      </c>
      <c r="AU241" s="51">
        <v>6000000000</v>
      </c>
      <c r="AV241" s="89">
        <v>5000000000</v>
      </c>
      <c r="AY241" s="89">
        <v>509712500</v>
      </c>
      <c r="AZ241" s="42">
        <f t="shared" si="429"/>
        <v>0.26818181818181819</v>
      </c>
      <c r="BA241" s="44">
        <v>4.5499999999999999E-2</v>
      </c>
      <c r="BB241" s="44">
        <v>0.6</v>
      </c>
      <c r="BC241" s="42">
        <f t="shared" si="430"/>
        <v>0.31818181818181818</v>
      </c>
      <c r="BD241" s="42" cm="1">
        <f t="array" ref="BD241">_xlfn.IFS(AD241=0,"NA",AD241&gt;0,AH241/AD241)</f>
        <v>0.75714285714285712</v>
      </c>
      <c r="BE241" s="42">
        <f t="shared" si="431"/>
        <v>0.36363636363636365</v>
      </c>
      <c r="BF241" s="44">
        <v>0</v>
      </c>
      <c r="BG241" s="42">
        <f t="shared" si="432"/>
        <v>0.29090909090909089</v>
      </c>
      <c r="BH241" s="44">
        <v>0</v>
      </c>
      <c r="BI241" s="42">
        <f t="shared" si="433"/>
        <v>0</v>
      </c>
      <c r="BJ241" s="44" t="s">
        <v>115</v>
      </c>
      <c r="BK241" s="42">
        <f t="shared" si="408"/>
        <v>0.26818181818181819</v>
      </c>
      <c r="BL241" s="44">
        <v>0.6</v>
      </c>
      <c r="BM241" s="42" cm="1">
        <f t="array" ref="BM241">_xlfn.IFS(BD241="NA","NA",BD241&gt;100%,"100%",BD241&lt;100,BD241)</f>
        <v>0.75714285714285712</v>
      </c>
      <c r="BN241" s="42" cm="1">
        <f t="array" ref="BN241">_xlfn.IFS(BF241="NA","NA",BF241&gt;100%,"100%",BF241&lt;100,BF241)</f>
        <v>0</v>
      </c>
      <c r="BO241" s="42" cm="1">
        <f t="array" ref="BO241">_xlfn.IFS(BH241="NA","NA",BH241&gt;100%,"100%",BH241&lt;100,BH241)</f>
        <v>0</v>
      </c>
      <c r="BP241" s="42" t="str" cm="1">
        <f t="array" ref="BP241">_xlfn.IFS(BJ241="NA","NA",BJ241&gt;100%,"100%",BJ241&lt;100,BJ241)</f>
        <v>NA</v>
      </c>
      <c r="BQ241" s="45">
        <v>0.22500000000000001</v>
      </c>
      <c r="BR241" s="43">
        <f t="shared" si="409"/>
        <v>6.0340909090909091E-2</v>
      </c>
      <c r="BS241" s="45">
        <v>1.0200000000000001E-2</v>
      </c>
      <c r="BT241" s="45">
        <v>6.1000000000000004E-3</v>
      </c>
      <c r="BU241" s="45">
        <v>6.1000000000000004E-3</v>
      </c>
      <c r="BV241" s="43">
        <f t="shared" si="434"/>
        <v>7.1590909090909094E-2</v>
      </c>
      <c r="BW241" s="43">
        <f t="shared" si="410"/>
        <v>5.4204545454545457E-2</v>
      </c>
      <c r="BX241" s="43">
        <f t="shared" si="411"/>
        <v>5.424090909090909E-2</v>
      </c>
      <c r="BY241" s="43">
        <f t="shared" si="435"/>
        <v>8.1818181818181818E-2</v>
      </c>
      <c r="BZ241" s="43">
        <f t="shared" si="436"/>
        <v>0</v>
      </c>
      <c r="CA241" s="43">
        <f t="shared" si="412"/>
        <v>0</v>
      </c>
      <c r="CB241" s="43">
        <f t="shared" si="437"/>
        <v>6.545454545454546E-2</v>
      </c>
      <c r="CC241" s="43">
        <f t="shared" si="438"/>
        <v>0</v>
      </c>
      <c r="CD241" s="45">
        <v>0</v>
      </c>
      <c r="CE241" s="43">
        <f t="shared" si="439"/>
        <v>0</v>
      </c>
      <c r="CF241" s="43" t="str">
        <f t="shared" si="440"/>
        <v>NA</v>
      </c>
      <c r="CG241" s="45">
        <v>0</v>
      </c>
    </row>
    <row r="242" spans="1:90" ht="18" customHeight="1">
      <c r="A242" s="260" t="s">
        <v>428</v>
      </c>
      <c r="B242" s="260" t="s">
        <v>429</v>
      </c>
      <c r="C242" s="260" t="s">
        <v>1286</v>
      </c>
      <c r="D242" s="260" t="s">
        <v>1496</v>
      </c>
      <c r="E242" s="260" t="s">
        <v>1497</v>
      </c>
      <c r="F242" s="260" t="s">
        <v>1498</v>
      </c>
      <c r="G242" s="260" t="s">
        <v>1499</v>
      </c>
      <c r="H242" s="260" t="s">
        <v>1538</v>
      </c>
      <c r="I242" s="260"/>
      <c r="J242" s="260"/>
      <c r="K242" s="260" t="s">
        <v>1539</v>
      </c>
      <c r="L242" s="260" t="s">
        <v>1540</v>
      </c>
      <c r="M242" s="260" t="s">
        <v>1541</v>
      </c>
      <c r="N242" s="260" t="s">
        <v>123</v>
      </c>
      <c r="O242" s="260" t="s">
        <v>124</v>
      </c>
      <c r="P242" s="10">
        <v>100</v>
      </c>
      <c r="Q242" s="11">
        <v>100</v>
      </c>
      <c r="R242" s="11">
        <f>(Z242+AH242)/CL242</f>
        <v>50</v>
      </c>
      <c r="S242" s="11" t="str">
        <f>VLOOKUP(K242,'1223 ICCU'!$K$13:$AK$25,9,0)</f>
        <v xml:space="preserve">Durante el cuatrienio se han atendido el 100% de las emeregencias viales presentadas en el Departamento, garantizando la transitabilidad y mejorando la seguridad vial. </v>
      </c>
      <c r="T242" s="11">
        <v>0</v>
      </c>
      <c r="U242" s="11">
        <v>100</v>
      </c>
      <c r="V242" s="11">
        <v>0</v>
      </c>
      <c r="W242" s="11">
        <v>100</v>
      </c>
      <c r="X242" s="11" t="s">
        <v>115</v>
      </c>
      <c r="Y242" s="11">
        <v>100</v>
      </c>
      <c r="Z242" s="11">
        <v>100</v>
      </c>
      <c r="AA242" s="11" t="s">
        <v>1542</v>
      </c>
      <c r="AB242" s="11" t="s">
        <v>1543</v>
      </c>
      <c r="AC242" s="11">
        <v>0</v>
      </c>
      <c r="AD242" s="11">
        <v>0</v>
      </c>
      <c r="AE242" s="11">
        <v>100</v>
      </c>
      <c r="AF242" s="11" t="str">
        <f>VLOOKUP(K242,'1223 ICCU'!$K$13:$AK$25,22,0)</f>
        <v> </v>
      </c>
      <c r="AG242" s="11">
        <f>VLOOKUP(K242,'1223 ICCU'!$K$13:$AK$25,23,0)</f>
        <v>100</v>
      </c>
      <c r="AH242" s="11">
        <f>AG242</f>
        <v>100</v>
      </c>
      <c r="AI242" s="9" t="str">
        <f>VLOOKUP(K242,'1223 ICCU'!$K$13:$AK$25,25,0)</f>
        <v xml:space="preserve">100% de las emergencias viales reportadas por los municipios atendidas </v>
      </c>
      <c r="AJ242" s="9" t="str">
        <f>VLOOKUP(K242,'1223 ICCU'!$K$13:$AK$25,26,0)</f>
        <v>Durante el año 2021 se han atendido al 100% las emergencias presentadas en el Departamento. Se han atendido 120 emergencias en 65 municpios del Departamento.</v>
      </c>
      <c r="AK242" s="9" t="str">
        <f>VLOOKUP(K242,'1223 ICCU'!$K$13:$AK$25,27,0)</f>
        <v> </v>
      </c>
      <c r="AL242" s="11">
        <v>0</v>
      </c>
      <c r="AM242" s="11">
        <v>100</v>
      </c>
      <c r="AN242" s="11">
        <v>0</v>
      </c>
      <c r="AO242" s="11">
        <v>100</v>
      </c>
      <c r="AP242" s="11">
        <v>0</v>
      </c>
      <c r="AQ242" s="11">
        <v>0</v>
      </c>
      <c r="AR242" s="51">
        <v>350000000</v>
      </c>
      <c r="AS242" s="54">
        <v>450000000</v>
      </c>
      <c r="AT242" s="54">
        <f t="shared" si="407"/>
        <v>800000000</v>
      </c>
      <c r="AU242" s="51">
        <v>350000000</v>
      </c>
      <c r="AV242" s="89">
        <v>9000000000</v>
      </c>
      <c r="AY242" s="89">
        <v>8999993540</v>
      </c>
      <c r="AZ242" s="44" cm="1">
        <f t="array" ref="AZ242">_xlfn.IFS((BA242=0),(BD242/CL242),(BA242&gt;0),((BB242+BD242)/CL242),(BE242&gt;0),((BB242+BD242+BE242)/CL242),(BG242&gt;0),((BB242+BD242+BE242+G242)/CL242))</f>
        <v>0.5</v>
      </c>
      <c r="BA242" s="44">
        <v>0.25</v>
      </c>
      <c r="BB242" s="44">
        <v>1</v>
      </c>
      <c r="BC242" s="44">
        <f>IF(AE242&gt;0,(1/CL242),0)</f>
        <v>0.25</v>
      </c>
      <c r="BD242" s="44" cm="1">
        <f t="array" ref="BD242">_xlfn.IFS(AE242=0,"NA",AE242&gt;0,AH242/AE242)</f>
        <v>1</v>
      </c>
      <c r="BE242" s="44">
        <f>IF(AM242&gt;0,(1/CL242),0)</f>
        <v>0.25</v>
      </c>
      <c r="BF242" s="44">
        <v>0</v>
      </c>
      <c r="BG242" s="44">
        <f>IF(AO242&gt;0,(1/CL242),0)</f>
        <v>0.25</v>
      </c>
      <c r="BH242" s="44">
        <v>0</v>
      </c>
      <c r="BI242" s="44">
        <v>0</v>
      </c>
      <c r="BJ242" s="44" t="s">
        <v>115</v>
      </c>
      <c r="BK242" s="44">
        <f t="shared" si="408"/>
        <v>0.5</v>
      </c>
      <c r="BL242" s="44">
        <v>1</v>
      </c>
      <c r="BM242" s="42" cm="1">
        <f t="array" ref="BM242">_xlfn.IFS(BD242="NA","NA",BD242&gt;100%,"100%",BD242&lt;100,BD242)</f>
        <v>1</v>
      </c>
      <c r="BN242" s="44">
        <v>0</v>
      </c>
      <c r="BO242" s="44">
        <v>0</v>
      </c>
      <c r="BP242" s="44" t="s">
        <v>115</v>
      </c>
      <c r="BQ242" s="45">
        <v>0.22500000000000001</v>
      </c>
      <c r="BR242" s="43">
        <f t="shared" si="409"/>
        <v>0.1125</v>
      </c>
      <c r="BS242" s="45">
        <v>5.6300000000000003E-2</v>
      </c>
      <c r="BT242" s="45">
        <v>5.6300000000000003E-2</v>
      </c>
      <c r="BU242" s="45">
        <v>5.6300000000000003E-2</v>
      </c>
      <c r="BV242" s="45">
        <v>5.6300000000000003E-2</v>
      </c>
      <c r="BW242" s="43">
        <f t="shared" si="410"/>
        <v>5.6300000000000003E-2</v>
      </c>
      <c r="BX242" s="43">
        <f t="shared" si="411"/>
        <v>5.62E-2</v>
      </c>
      <c r="BY242" s="45">
        <v>5.6300000000000003E-2</v>
      </c>
      <c r="BZ242" s="45">
        <v>0</v>
      </c>
      <c r="CA242" s="43">
        <f t="shared" si="412"/>
        <v>0</v>
      </c>
      <c r="CB242" s="45">
        <v>5.6300000000000003E-2</v>
      </c>
      <c r="CC242" s="45">
        <v>0</v>
      </c>
      <c r="CD242" s="45">
        <v>0</v>
      </c>
      <c r="CE242" s="45">
        <v>0</v>
      </c>
      <c r="CF242" s="45" t="s">
        <v>115</v>
      </c>
      <c r="CG242" s="45">
        <v>0</v>
      </c>
      <c r="CH242">
        <f>IF(W242&gt;0,1,0)</f>
        <v>1</v>
      </c>
      <c r="CI242">
        <f>IF(AE242&gt;0,1,0)</f>
        <v>1</v>
      </c>
      <c r="CJ242">
        <f>IF(AM242&gt;0,1,0)</f>
        <v>1</v>
      </c>
      <c r="CK242">
        <f>IF(AO242&gt;0,1,0)</f>
        <v>1</v>
      </c>
      <c r="CL242">
        <f>CH242+CI242+CJ242+CK242</f>
        <v>4</v>
      </c>
    </row>
    <row r="243" spans="1:90" ht="18" customHeight="1">
      <c r="A243" s="260" t="s">
        <v>428</v>
      </c>
      <c r="B243" s="260" t="s">
        <v>429</v>
      </c>
      <c r="C243" s="260" t="s">
        <v>1286</v>
      </c>
      <c r="D243" s="260" t="s">
        <v>1496</v>
      </c>
      <c r="E243" s="260" t="s">
        <v>1497</v>
      </c>
      <c r="F243" s="260" t="s">
        <v>1498</v>
      </c>
      <c r="G243" s="260" t="s">
        <v>1499</v>
      </c>
      <c r="H243" s="260" t="s">
        <v>1544</v>
      </c>
      <c r="I243" s="260"/>
      <c r="J243" s="260"/>
      <c r="K243" s="260" t="s">
        <v>1545</v>
      </c>
      <c r="L243" s="260" t="s">
        <v>2981</v>
      </c>
      <c r="M243" s="260" t="s">
        <v>1547</v>
      </c>
      <c r="N243" s="260" t="s">
        <v>111</v>
      </c>
      <c r="O243" s="260" t="s">
        <v>112</v>
      </c>
      <c r="P243" s="10">
        <v>120068</v>
      </c>
      <c r="Q243" s="11">
        <v>120000</v>
      </c>
      <c r="R243" s="9">
        <f t="shared" ref="R243:R265" si="441">Z243+AH243</f>
        <v>27960.14</v>
      </c>
      <c r="S243" s="11" t="str">
        <f>VLOOKUP(K243,'1223 ICCU'!$K$13:$AK$25,9,0)</f>
        <v xml:space="preserve">Durante el cuatrienio se han ejecutado obras de mejoramiento en 27.960,14 m2 de vías urbanas mejorando las condiciones de la infraestructura vial en el casco urbano de los municipios del Departamento, y permitiendo una mejor transitabilidad al interior de cada entidad territorial. </v>
      </c>
      <c r="T243" s="11">
        <v>10000</v>
      </c>
      <c r="U243" s="11">
        <v>0</v>
      </c>
      <c r="V243" s="11">
        <v>6000</v>
      </c>
      <c r="W243" s="11">
        <v>0</v>
      </c>
      <c r="X243" s="11">
        <v>4509.6099999999997</v>
      </c>
      <c r="Y243" s="11">
        <v>0</v>
      </c>
      <c r="Z243" s="11">
        <v>4509.6099999999997</v>
      </c>
      <c r="AA243" s="11" t="s">
        <v>1548</v>
      </c>
      <c r="AB243" s="11" t="s">
        <v>1549</v>
      </c>
      <c r="AC243" s="11" t="s">
        <v>1550</v>
      </c>
      <c r="AD243" s="11">
        <v>32000</v>
      </c>
      <c r="AE243" s="11">
        <v>0</v>
      </c>
      <c r="AF243" s="11">
        <f>VLOOKUP(K243,'1223 ICCU'!$K$13:$AK$25,22,0)</f>
        <v>23450.53</v>
      </c>
      <c r="AG243" s="11" t="str">
        <f>VLOOKUP(K243,'1223 ICCU'!$K$13:$AK$25,23,0)</f>
        <v> </v>
      </c>
      <c r="AH243" s="9">
        <f t="shared" ref="AH243:AH265" si="442">AF243</f>
        <v>23450.53</v>
      </c>
      <c r="AI243" s="9" t="str">
        <f>VLOOKUP(K243,'1223 ICCU'!$K$13:$AK$25,25,0)</f>
        <v xml:space="preserve">23.450,53 m2 de vías urbanas mejorados </v>
      </c>
      <c r="AJ243" s="9" t="str">
        <f>VLOOKUP(K243,'1223 ICCU'!$K$13:$AK$25,26,0)</f>
        <v>Durante la vigencia 2021 se han ejecutado obras de mejoramiento en 23.450,53m2 de vías urbanas en el Departamento beneficiando los municipios de El Colegio, La Mesa, Apulo, Pacho, Chocontá, Sutatausa, Susa, Agua de Dios.</v>
      </c>
      <c r="AK243" s="9" t="str">
        <f>VLOOKUP(K243,'1223 ICCU'!$K$13:$AK$25,27,0)</f>
        <v> </v>
      </c>
      <c r="AL243" s="11">
        <v>41490</v>
      </c>
      <c r="AM243" s="11">
        <v>0</v>
      </c>
      <c r="AN243" s="11">
        <v>42000</v>
      </c>
      <c r="AO243" s="11">
        <v>0</v>
      </c>
      <c r="AP243" s="11">
        <v>0</v>
      </c>
      <c r="AQ243" s="11">
        <v>0</v>
      </c>
      <c r="AR243" s="51">
        <v>6000000000</v>
      </c>
      <c r="AS243" s="54">
        <v>20000000</v>
      </c>
      <c r="AT243" s="54">
        <f t="shared" si="407"/>
        <v>6020000000</v>
      </c>
      <c r="AU243" s="51">
        <v>6000000000</v>
      </c>
      <c r="AV243" s="89">
        <v>5438359513</v>
      </c>
      <c r="AY243" s="89">
        <v>0</v>
      </c>
      <c r="AZ243" s="42">
        <f t="shared" ref="AZ243:AZ265" si="443">R243/Q243</f>
        <v>0.23300116666666665</v>
      </c>
      <c r="BA243" s="44">
        <v>0.05</v>
      </c>
      <c r="BB243" s="44">
        <v>0.75160000000000005</v>
      </c>
      <c r="BC243" s="42">
        <f t="shared" ref="BC243:BC265" si="444">AD243/Q243</f>
        <v>0.26666666666666666</v>
      </c>
      <c r="BD243" s="42" cm="1">
        <f t="array" ref="BD243">_xlfn.IFS(AD243=0,"NA",AD243&gt;0,AH243/AD243)</f>
        <v>0.73282906250000002</v>
      </c>
      <c r="BE243" s="42">
        <f t="shared" ref="BE243:BE265" si="445">AL243/Q243</f>
        <v>0.34575</v>
      </c>
      <c r="BF243" s="44">
        <v>0</v>
      </c>
      <c r="BG243" s="42">
        <f t="shared" ref="BG243:BG265" si="446">AN243/Q243</f>
        <v>0.35</v>
      </c>
      <c r="BH243" s="44">
        <v>0</v>
      </c>
      <c r="BI243" s="42">
        <f t="shared" ref="BI243:BI265" si="447">AP243/Q243</f>
        <v>0</v>
      </c>
      <c r="BJ243" s="44" t="s">
        <v>115</v>
      </c>
      <c r="BK243" s="42">
        <f t="shared" si="408"/>
        <v>0.23300116666666665</v>
      </c>
      <c r="BL243" s="44">
        <v>0.75160000000000005</v>
      </c>
      <c r="BM243" s="42" cm="1">
        <f t="array" ref="BM243">_xlfn.IFS(BD243="NA","NA",BD243&gt;100%,"100%",BD243&lt;100,BD243)</f>
        <v>0.73282906250000002</v>
      </c>
      <c r="BN243" s="42" cm="1">
        <f t="array" ref="BN243">_xlfn.IFS(BF243="NA","NA",BF243&gt;100%,"100%",BF243&lt;100,BF243)</f>
        <v>0</v>
      </c>
      <c r="BO243" s="42" cm="1">
        <f t="array" ref="BO243">_xlfn.IFS(BH243="NA","NA",BH243&gt;100%,"100%",BH243&lt;100,BH243)</f>
        <v>0</v>
      </c>
      <c r="BP243" s="42" t="str" cm="1">
        <f t="array" ref="BP243">_xlfn.IFS(BJ243="NA","NA",BJ243&gt;100%,"100%",BJ243&lt;100,BJ243)</f>
        <v>NA</v>
      </c>
      <c r="BQ243" s="45">
        <v>0.22500000000000001</v>
      </c>
      <c r="BR243" s="43">
        <f t="shared" si="409"/>
        <v>5.24252625E-2</v>
      </c>
      <c r="BS243" s="45">
        <v>1.1299999999999999E-2</v>
      </c>
      <c r="BT243" s="45">
        <v>8.5000000000000006E-3</v>
      </c>
      <c r="BU243" s="45">
        <v>8.5000000000000006E-3</v>
      </c>
      <c r="BV243" s="43">
        <f t="shared" ref="BV243:BV265" si="448">(AD243*BQ243)/Q243</f>
        <v>0.06</v>
      </c>
      <c r="BW243" s="43">
        <f t="shared" si="410"/>
        <v>4.3969743749999998E-2</v>
      </c>
      <c r="BX243" s="43">
        <f t="shared" si="411"/>
        <v>4.3925262499999999E-2</v>
      </c>
      <c r="BY243" s="43">
        <f t="shared" ref="BY243:BY265" si="449">(AL243*BQ243)/Q243</f>
        <v>7.7793749999999995E-2</v>
      </c>
      <c r="BZ243" s="43">
        <f t="shared" ref="BZ243:BZ265" si="450">IF(BN243="NA","NA",BN243*BY243)</f>
        <v>0</v>
      </c>
      <c r="CA243" s="43">
        <f t="shared" si="412"/>
        <v>0</v>
      </c>
      <c r="CB243" s="43">
        <f t="shared" ref="CB243:CB265" si="451">(AN243*BQ243)/Q243</f>
        <v>7.8750000000000001E-2</v>
      </c>
      <c r="CC243" s="43">
        <f t="shared" ref="CC243:CC265" si="452">IF(BO243="NA","NA",BO243*CB243)</f>
        <v>0</v>
      </c>
      <c r="CD243" s="45">
        <v>0</v>
      </c>
      <c r="CE243" s="43">
        <f t="shared" ref="CE243:CE265" si="453">(AP243*BQ243)/Q243</f>
        <v>0</v>
      </c>
      <c r="CF243" s="43" t="str">
        <f t="shared" ref="CF243:CF265" si="454">IF(BP243="NA","NA",BP243*CE243)</f>
        <v>NA</v>
      </c>
      <c r="CG243" s="45">
        <v>0</v>
      </c>
    </row>
    <row r="244" spans="1:90" ht="18" customHeight="1">
      <c r="A244" s="260" t="s">
        <v>428</v>
      </c>
      <c r="B244" s="260" t="s">
        <v>429</v>
      </c>
      <c r="C244" s="260" t="s">
        <v>1286</v>
      </c>
      <c r="D244" s="260" t="s">
        <v>1496</v>
      </c>
      <c r="E244" s="260" t="s">
        <v>1497</v>
      </c>
      <c r="F244" s="260" t="s">
        <v>1498</v>
      </c>
      <c r="G244" s="260" t="s">
        <v>1499</v>
      </c>
      <c r="H244" s="260" t="s">
        <v>1551</v>
      </c>
      <c r="I244" s="260"/>
      <c r="J244" s="260"/>
      <c r="K244" s="260" t="s">
        <v>1552</v>
      </c>
      <c r="L244" s="260" t="s">
        <v>2982</v>
      </c>
      <c r="M244" s="260" t="s">
        <v>1547</v>
      </c>
      <c r="N244" s="260" t="s">
        <v>111</v>
      </c>
      <c r="O244" s="260" t="s">
        <v>112</v>
      </c>
      <c r="P244" s="10">
        <v>820977</v>
      </c>
      <c r="Q244" s="11">
        <v>1000000</v>
      </c>
      <c r="R244" s="9">
        <f t="shared" si="441"/>
        <v>293511.02</v>
      </c>
      <c r="S244" s="11" t="str">
        <f>VLOOKUP(K244,'1223 ICCU'!$K$13:$AK$25,9,0)</f>
        <v xml:space="preserve">Durante el cuatrienio se han construido 293.511,02 m2 de placa huella en las diferentes provincias del Departamento, mejorando las condiciones de la red terciaria Departamental y contribuyendo así en la mejora de las condiciones de conectividad y transitabilidad, fomentando las dinámicas competitivas y mejorando la calidad de vida de los habitantes de Cundinamarca. </v>
      </c>
      <c r="T244" s="11">
        <v>40000</v>
      </c>
      <c r="U244" s="11">
        <v>0</v>
      </c>
      <c r="V244" s="11">
        <v>100000</v>
      </c>
      <c r="W244" s="11">
        <v>0</v>
      </c>
      <c r="X244" s="11">
        <v>101691.3</v>
      </c>
      <c r="Y244" s="11">
        <v>0</v>
      </c>
      <c r="Z244" s="11">
        <v>101691.3</v>
      </c>
      <c r="AA244" s="11" t="s">
        <v>1554</v>
      </c>
      <c r="AB244" s="11" t="s">
        <v>1555</v>
      </c>
      <c r="AC244" s="11">
        <v>0</v>
      </c>
      <c r="AD244" s="11">
        <v>300000</v>
      </c>
      <c r="AE244" s="11">
        <v>0</v>
      </c>
      <c r="AF244" s="11">
        <f>VLOOKUP(K244,'1223 ICCU'!$K$13:$AK$25,22,0)</f>
        <v>191819.72</v>
      </c>
      <c r="AG244" s="11" t="str">
        <f>VLOOKUP(K244,'1223 ICCU'!$K$13:$AK$25,23,0)</f>
        <v> </v>
      </c>
      <c r="AH244" s="9">
        <f t="shared" si="442"/>
        <v>191819.72</v>
      </c>
      <c r="AI244" s="9" t="str">
        <f>VLOOKUP(K244,'1223 ICCU'!$K$13:$AK$25,25,0)</f>
        <v>191.819,72 m2 de placa huella construidos</v>
      </c>
      <c r="AJ244" s="9" t="str">
        <f>VLOOKUP(K244,'1223 ICCU'!$K$13:$AK$25,26,0)</f>
        <v>Durante el año 2021 se han construido 191.819,72 m2 de placa huella, beneficiando a los municipios de: Apulo, Granada, Sibaté, Silvania, Zipaquirá, Paime, El Colegio, Chocontá, Tena, Machetá, La Mesa, Cáqueza, Quetame, Gama, San Antonio, Viotá, Apulo, Arbeláez, Chocontá, Villagómez, Quebradanegra, Topaipí, Villapinzón, Vianí, Vergara, Chaguaní, Bituima, Villeta, Pacho, Carmén de Carupa, Chipaque, Cabrera, Pasca, San Bernardo, Silvania, Nemocón, Granada, Zipaquirá, Guayabetal, Pandi, Cachipay, San Cayetano, Guataquí, Nariño, Cabrera, Paca, San Bernardo.</v>
      </c>
      <c r="AK244" s="9" t="str">
        <f>VLOOKUP(K244,'1223 ICCU'!$K$13:$AK$25,27,0)</f>
        <v> </v>
      </c>
      <c r="AL244" s="11">
        <v>400000</v>
      </c>
      <c r="AM244" s="11">
        <v>0</v>
      </c>
      <c r="AN244" s="11">
        <v>200000</v>
      </c>
      <c r="AO244" s="11">
        <v>0</v>
      </c>
      <c r="AP244" s="11">
        <v>0</v>
      </c>
      <c r="AQ244" s="11">
        <v>0</v>
      </c>
      <c r="AR244" s="51">
        <v>11459951000</v>
      </c>
      <c r="AS244" s="54">
        <v>-430000000</v>
      </c>
      <c r="AT244" s="54">
        <f t="shared" si="407"/>
        <v>11029951000</v>
      </c>
      <c r="AU244" s="51">
        <v>11459951000</v>
      </c>
      <c r="AV244" s="95">
        <v>20000000000</v>
      </c>
      <c r="AY244" s="89">
        <v>398141000</v>
      </c>
      <c r="AZ244" s="42">
        <f t="shared" si="443"/>
        <v>0.29351102000000001</v>
      </c>
      <c r="BA244" s="44">
        <v>0.1</v>
      </c>
      <c r="BB244" s="44">
        <v>1.0168999999999999</v>
      </c>
      <c r="BC244" s="42">
        <f t="shared" si="444"/>
        <v>0.3</v>
      </c>
      <c r="BD244" s="42" cm="1">
        <f t="array" ref="BD244">_xlfn.IFS(AD244=0,"NA",AD244&gt;0,AH244/AD244)</f>
        <v>0.63939906666666668</v>
      </c>
      <c r="BE244" s="42">
        <f t="shared" si="445"/>
        <v>0.4</v>
      </c>
      <c r="BF244" s="44">
        <v>0</v>
      </c>
      <c r="BG244" s="42">
        <f t="shared" si="446"/>
        <v>0.2</v>
      </c>
      <c r="BH244" s="44">
        <v>0</v>
      </c>
      <c r="BI244" s="42">
        <f t="shared" si="447"/>
        <v>0</v>
      </c>
      <c r="BJ244" s="44" t="s">
        <v>115</v>
      </c>
      <c r="BK244" s="42">
        <f t="shared" si="408"/>
        <v>0.29351102000000001</v>
      </c>
      <c r="BL244" s="44">
        <v>1</v>
      </c>
      <c r="BM244" s="42" cm="1">
        <f t="array" ref="BM244">_xlfn.IFS(BD244="NA","NA",BD244&gt;100%,"100%",BD244&lt;100,BD244)</f>
        <v>0.63939906666666668</v>
      </c>
      <c r="BN244" s="42" cm="1">
        <f t="array" ref="BN244">_xlfn.IFS(BF244="NA","NA",BF244&gt;100%,"100%",BF244&lt;100,BF244)</f>
        <v>0</v>
      </c>
      <c r="BO244" s="42" cm="1">
        <f t="array" ref="BO244">_xlfn.IFS(BH244="NA","NA",BH244&gt;100%,"100%",BH244&lt;100,BH244)</f>
        <v>0</v>
      </c>
      <c r="BP244" s="42" t="str" cm="1">
        <f t="array" ref="BP244">_xlfn.IFS(BJ244="NA","NA",BJ244&gt;100%,"100%",BJ244&lt;100,BJ244)</f>
        <v>NA</v>
      </c>
      <c r="BQ244" s="45">
        <v>0.22500000000000001</v>
      </c>
      <c r="BR244" s="43">
        <f t="shared" si="409"/>
        <v>6.6039979499999998E-2</v>
      </c>
      <c r="BS244" s="45">
        <v>2.2499999999999999E-2</v>
      </c>
      <c r="BT244" s="45">
        <v>2.2499999999999999E-2</v>
      </c>
      <c r="BU244" s="45">
        <v>2.29E-2</v>
      </c>
      <c r="BV244" s="43">
        <f t="shared" si="448"/>
        <v>6.7500000000000004E-2</v>
      </c>
      <c r="BW244" s="43">
        <f t="shared" si="410"/>
        <v>4.3159437000000002E-2</v>
      </c>
      <c r="BX244" s="43">
        <f t="shared" si="411"/>
        <v>4.3139979499999995E-2</v>
      </c>
      <c r="BY244" s="43">
        <f t="shared" si="449"/>
        <v>0.09</v>
      </c>
      <c r="BZ244" s="43">
        <f t="shared" si="450"/>
        <v>0</v>
      </c>
      <c r="CA244" s="43">
        <f t="shared" si="412"/>
        <v>0</v>
      </c>
      <c r="CB244" s="43">
        <f t="shared" si="451"/>
        <v>4.4999999999999998E-2</v>
      </c>
      <c r="CC244" s="43">
        <f t="shared" si="452"/>
        <v>0</v>
      </c>
      <c r="CD244" s="45">
        <v>0</v>
      </c>
      <c r="CE244" s="43">
        <f t="shared" si="453"/>
        <v>0</v>
      </c>
      <c r="CF244" s="43" t="str">
        <f t="shared" si="454"/>
        <v>NA</v>
      </c>
      <c r="CG244" s="45">
        <v>0</v>
      </c>
    </row>
    <row r="245" spans="1:90" s="16" customFormat="1" ht="18" customHeight="1">
      <c r="A245" s="13" t="s">
        <v>388</v>
      </c>
      <c r="B245" s="13" t="s">
        <v>389</v>
      </c>
      <c r="C245" s="13" t="s">
        <v>1286</v>
      </c>
      <c r="D245" s="13" t="s">
        <v>1496</v>
      </c>
      <c r="E245" s="13" t="s">
        <v>1497</v>
      </c>
      <c r="F245" s="13" t="s">
        <v>1498</v>
      </c>
      <c r="G245" s="13" t="s">
        <v>1499</v>
      </c>
      <c r="H245" s="13" t="s">
        <v>1556</v>
      </c>
      <c r="I245" s="13"/>
      <c r="J245" s="13"/>
      <c r="K245" s="13" t="s">
        <v>1557</v>
      </c>
      <c r="L245" s="13" t="s">
        <v>1558</v>
      </c>
      <c r="M245" s="13" t="s">
        <v>131</v>
      </c>
      <c r="N245" s="13" t="s">
        <v>111</v>
      </c>
      <c r="O245" s="13" t="s">
        <v>112</v>
      </c>
      <c r="P245" s="14">
        <v>1</v>
      </c>
      <c r="Q245" s="15">
        <v>1</v>
      </c>
      <c r="R245" s="9">
        <f t="shared" si="441"/>
        <v>0.28000000000000003</v>
      </c>
      <c r="S245" s="11" t="str">
        <f>VLOOKUP(K245,'1123 Transporte'!$K$13:$AK$23,9,0)</f>
        <v>*COMPONENTE  DESARROLLAR LA ESTRATEGIA GESTORES DE PROMOCIÓN DE SEGURIDAD VIAL – GPS67 gestores viales en los corredores Chía – Mosquera,Soacha – Sibate.*COMPONENTE DOTACIÓNElementos de señalización como 80 conos para intersección vial y señalización con elementos visuales para la gestión del tráfico.*COMPONENTE IMPLEMENTAR PARQUES PEDAGÓGICOS.Se ha identificado un parque móvil pedagógico infantil el cual está en mantenimiento con el objetivo de aplicar el uso del mismo en el 4 trimestre*COMPONENTE ESTRATEGIA DEL PROGRAMA DE APROPIACIÓN Y PEDAGOGÍA EN EL TRANSPORTE MULTIMODALse han desarrollado acercamientos con empresas de Transporte público de pasajeros en las provincias de Sabana de Occidente, Sabana Centro, Tequendama y Sumapaz, las cuales vienen implementado sus Planes Estratégicos de Seguridad Vial.COMPONENTE FLORA Y FAUNASe  logro  el reconocimiento y  recorrido, diagnostico e inventario de flora y fauna a las siguientes vías de segundo orden departamental denominadas troncales: en las Provincia de Ubaté y  Sabana Occidente: El Rosal, Funza, Subachoque y ZipacónTres jornadas de capacitación con 80 servidores públicos autoridades de tránsitoLas tres capacitaciones planeadas se pudieron cumplir por medio virtual y estuvo dirigida a autoridades de tránsito de los municipios de Sabana de Occidente y actores viales (bici usuarios y transportadores)</v>
      </c>
      <c r="T245" s="11">
        <v>0.05</v>
      </c>
      <c r="U245" s="11">
        <v>0</v>
      </c>
      <c r="V245" s="11">
        <v>0.05</v>
      </c>
      <c r="W245" s="11">
        <v>0</v>
      </c>
      <c r="X245" s="11">
        <v>0.05</v>
      </c>
      <c r="Y245" s="11">
        <v>0</v>
      </c>
      <c r="Z245" s="11">
        <v>0.05</v>
      </c>
      <c r="AA245" s="11" t="s">
        <v>1559</v>
      </c>
      <c r="AB245" s="11" t="s">
        <v>1560</v>
      </c>
      <c r="AC245" s="11">
        <v>0</v>
      </c>
      <c r="AD245" s="11">
        <v>0.25</v>
      </c>
      <c r="AE245" s="11">
        <v>0</v>
      </c>
      <c r="AF245" s="11">
        <f>VLOOKUP(K245,'1123 Transporte'!$K$13:$AK$23,22,0)</f>
        <v>0.23</v>
      </c>
      <c r="AG245" s="11">
        <f>VLOOKUP(K245,'1123 Transporte'!$K$13:$AK$23,23,0)</f>
        <v>0</v>
      </c>
      <c r="AH245" s="9">
        <f t="shared" si="442"/>
        <v>0.23</v>
      </c>
      <c r="AI245" s="9" t="str">
        <f>VLOOKUP(K245,'1123 Transporte'!$K$13:$AK$23,25,0)</f>
        <v>Gestores de Seguridad Vial ,programas de capacitacion en prevencion vial a usuarios y biciusurios entrega de cartillas a los diferentes actores viales por parte de la secretaria de transporte y movilidad.</v>
      </c>
      <c r="AJ245" s="9" t="str">
        <f>VLOOKUP(K245,'1123 Transporte'!$K$13:$AK$23,26,0)</f>
        <v xml:space="preserve">META 234
Actividad estrategia GPS
A partir de 1 de marzo de 2021 se empezó a realizar la gestión del corredor Calle 13 con la Estrategia Gestores de Seguridad Vial del Departamento de Cundinamarca, realizando control y gestión de pasos seguros a bici usuarios y Peatones en los puntos críticos de este corredor de la Sabana de Occidente.
Se realizaron apoyos para el control de Bici usuarios en los Municipios de Choachi, Chia y Cogua
Con la estrategia se realizó acompañamiento a las Ciclo vías por la Vida en los municipios de Suesca – Gachancipa y Villeta - Quebradanegra
Actividad estrategia Previsión y prevención
Se realizaron dos Ciclo vías por la Vida, generando espacios seguros para el desarrollo de la movilidad en bicicleta con los siguientes resultados:
1.	Suesca -  Gachancipa
550 Asistentes al evento a los cuales se les realizo sensibilización en el uso seguro de la bicicleta como medio de Transporte, resaltando el uso adecuado de los elementos de protección como el casco y prendas reflectivas para el tránsito nocturno.
2.	Villeta – Quebradanegra – Villeta
1120 Asistentes al evento a los cuales se les realizo sensibilización en el uso seguro de la bicicleta como medio de Transporte, resaltando el uso adecuado de los elementos de protección como el casco y prendas reflectivas para el tránsito nocturno.
Actividad estrategia de cultura ciudadana “ El Chacho de la Via”
1.	Se realizó actividades de sensibilización en biciusuarios con el uso adecuado y seguro de la bicicleta y sus elementos de protección asi:
Suesca: 140
Gachancipa: 160
Villeta: 151
Quebradanegra: 60 
2.	Capacitación a Motociclistas sobre el uso del casco según resolución 23385 de 2020 en el Municipio de Chipaque con participación de 70 Motociclistas
3.	Desarrollo de sensibilización a Motociclistas y Conductores de Vehículos en los ingresos a Cundinamarca desde Bogotá con un total de 2000 personas sensibilizadas en cuidado y prevención al transitar en el puente festivo de Semana Santa.
META 234 Avance mes de Abril de 2021
Actividad estrategia GPS
A partir de 1 de marzo de 2021 se empezó a realizar la gestión del corredor Calle 13 con la Estrategia Gestores de Seguridad Vial del Departamento de Cundinamarca, realizando control y gestión de pasos seguros a bici usuarios y Peatones en los puntos críticos de este corredor de la Sabana de Occidente.
Actividad estrategia Previsión y prevención
1.	Se inició el proceso con 19 profesionales expertos en seguridad vial para realizar el acompañamiento y apoyo a los 116 municipios del departamento en el desarrollo de los  locales de seguridad vial y a su vez apoyo en los planes estratégicos de seguridad vial en las empresas que según la normatividad vigente lo requieran.
Actividad estrategia de cultura ciudadana “ El Chacho de la Via”
1.	Desarrollo de sensibilización a Motociclistas y Conductores de Vehículos en los ingresos a Cundinamarca desde Bogotá con un total de 2500 personas sensibilizadas en cuidado y prevención al transitar en el puente festivo de Semana Santa el día 1 de abril 
Avance mes de junio 30 
* Estrategia GPS a partir de 1 de marzo de 2021 corredor calle 13 con la estrategia gestores de seguridad vial del departamento
* Estrategia GPS a partir de 7 de mayo de 2021 en el tramo Sibate - San Miguel -  Fusagasuga para la intervencion en esta importante via con alta siniestralidad
* Acompañamiento ciclovías para el control de bici usuarios en los municipios de , Suesca , Gachancipá, Villeta, quebrada negra, Tausa, Cogua, Fusagasuga, Sibate y Pacho
* Estrategia previsión y prevención en el uso seguro de la bicicleta como medio de transporte elementos de protección como el casco y prendas reflectivas para el tránsito nocturno para un total de (2181) actores viales capacitados 
* Acercamiento con los 116 municipios del departamento para el avance de los planes loceles y estrategicos de seguridad vial a traves del grupo de porfesionales contratados para tal fin.
* Avance en los convenios con la Car y asocolflores para la capacitacion en pedagogia vial para personas que se transportan en bicicelta hacia sus trabajos. Aproximadamante 1500 personas socializadas.
Avance mes de julio
* Durante el mes de julio se realizo el aporte de l estategia GPS en el desarrollo de pedagogia vial en el corredor calle 13 a los biciusuarios que utilizaran este corredor con la nueva dotacion de bicicarril  en el costado sur. Por otra parte a travez del convenio interadministratrivo con el municipio de Sibate, se inicio e desarollo de  laintervencion en el corredor Soacha - Sibate - San Miguel, con el fin de mejorar la movilidad y disminuir la accidentalidad en este sector.
* Desarrollo de ciclovias con nuestra estrategia de previcion y prevencion en los municipios de Tena - Cachipay, Ubate - Carmen de Carupa, Fomeque - Ubaque, con enfoque en pedagogia vial.
* Actividad de prevision y prevencion con enfoque en motocilistas a traves de campanas de pedagogicas, 150 actores viales socilizados.
CONSOLIDADO  Enero-agosto
CICLOVIAS 2021.
PARA ESTE AÑO LA ESTATEGIA EVOLUCIONA PARA GENERAR ESPACIOS DE REACTIVACION ECONOMICA EN ARTICULACION CON INDEPORTES,  IDECUT, LICORERA DE CUNDINAMARCA Y CAMARA DE COMERCIO DE BOGOTA
1a. Suesca - Gachancipa
627 Asistentes.
2a. Villeta - Quebradanegra
675 Asistentes.
3a. Tausa
423 Asistentes.
4a. Junin 
183 Asistentes.
5a. Sibate - Fusagasuga 
2137 Asistentes
6a. Pacho
397 Asistentes
7a. Ubaque - Fomeque 
577 Asistentes
8a. Cachipay Tena
619 Asistentes 
9a. Ubate - Carmen de Carupa
692 Asistentes
10a. Villapinzon - Turmeque 
2832 Asistentes
11a. Medina
Aplazada
12a. Fuquene
238 Asistentes
13a. Apulo - Anapoima
577 Asistentes
Avance mes de Septiembre
CICLOVIAS 2021.
PARA ESTE AÑO LA ESTATEGIA EVOLUCIONA PARA GENERAR ESPACIOS DE REACTIVACION ECONOMICA EN ARTICULACION CON INDEPORTES,  IDECUT, LICORERA DE CUNDINAMARCA Y CAMARA DE COMERCIO DE BOGOTA
1a. Suesca - Gachancipa
627 Asistentes.
2a. Villeta - Quebradanegra
675 Asistentes.
3a. Tausa
423 Asistentes.
4a. Junin 
183 Asistentes.
5a. Sibate - Fusagasuga 
2137 Asistentes
6a. Pacho
397 Asistentes
7a. Ubaque - Fomeque 
577 Asistentes
8a. Cachipay Tena
619 Asistentes 
9a. Ubate - Carmen de Carupa
692 Asistentes
10a. Villapinzon - Turmeque 
2832 Asistentes
11a. Medina
Aplazada
12a. Fuquene
238 Asistentes
13a. Apulo - Anapoima
577 Asistentes
14a. Subachoque 
378 Asistentes 
15a. Guayabal - Bituima
383 Asistentes
16a. Chia - Tenjo - Tabio - Cajica - Bogota
1347
17a. Madrid - Mosquera- Funza
1252
17  CICLOVIAS 2021. CON  13.337
 ASISTENTES 
26 municipios hicieron parte de la estrategia
COMPONENTE
Actividad de previsión y prevención con enfoque en motociclistas a través de campanas de pedagógicas, 150 actores viales socializados
● 528 personas capacitadas de los municipios como autoridades de transito
● 268 personas de empresas de transporte capacitadas en temas de prevención y previsión vial
COMPONENTE FLORA Y FAUNA 
OBJETIVO DEL PROGRAMA 
Sensibilizar a la ciudadanía a la hora de transitar por las carreteras, para que manejen con precaución; utilicen con cautela el pito para ahuyentar al animal; tengan presentes las señales de tránsito, en especial las de paso de animales; y se comuniquen con las autoridades territoriales competentes ante cualquier eventualidad con algún animal en las vías, generando así conciencia frente a la significativa cifra de mortandad de fauna.
En el año 2019 se presentaron 68 siniestros viales con fatalidad animal en Cundinamarca, 45 de ellos en vías nacionales, 20 en urbanas y tres rurales, en su mayoría corredores biológicos lo que implica una fragmentación del hábitat.  Dichos eventos causaron la muerte de 34 animales silvestres, 25 de compañía y 9 de granja.
GESTION REALIZADA
Se ha logrado la articulación con las Alcaldías Municipales y las Corporaciones Autónomas Regionales (CAR), de igual manera se han realizado capacitaciones de manera masiva en los colegios con ayuda de las Secretarias de Ambiente de los Municipios, Secretaria de Transporte y Movilidad del Departamento, Secretaria de Educación y las Corporaciones Autónomas Regionales (CAR).  donde se ha sensibilizado a los estudiantes por el cuidado de la Fauna silvestre sin descartar de igual manera la Fauna Agropecuaria y Domestica.
AVANCE MES DE NOVIEMBRE
Para este año la estrategia evoluciona para generar espacios de reactivación económica en articulación con INDEPORTES,  IDECUT, LICORERA DE CUNDINAMARCA Y CAMARA DE COMERCIO DE BOGOTA
20 ciclovias 2021. Con 14.169 Asistentes 31 municipios hicieron parte de la estrategia
ciclovias 2021.
</v>
      </c>
      <c r="AK245" s="9" t="str">
        <f>VLOOKUP(K245,'1123 Transporte'!$K$13:$AK$23,27,0)</f>
        <v>No se han podido llevar los parques didacticos a los diferentes municipios evitando la aglomeracion de personas en los coliceos</v>
      </c>
      <c r="AL245" s="11">
        <v>0.25</v>
      </c>
      <c r="AM245" s="11">
        <v>0</v>
      </c>
      <c r="AN245" s="11">
        <v>0.45</v>
      </c>
      <c r="AO245" s="11">
        <v>0</v>
      </c>
      <c r="AP245" s="15">
        <v>0</v>
      </c>
      <c r="AQ245" s="15">
        <v>0</v>
      </c>
      <c r="AR245" s="51">
        <v>711833501</v>
      </c>
      <c r="AS245" s="54">
        <v>0</v>
      </c>
      <c r="AT245" s="54">
        <f t="shared" si="407"/>
        <v>711833501</v>
      </c>
      <c r="AU245" s="51">
        <v>347749049</v>
      </c>
      <c r="AV245" s="90">
        <v>1200000000</v>
      </c>
      <c r="AY245" s="89">
        <v>610577500</v>
      </c>
      <c r="AZ245" s="42">
        <f t="shared" si="443"/>
        <v>0.28000000000000003</v>
      </c>
      <c r="BA245" s="44">
        <v>0.05</v>
      </c>
      <c r="BB245" s="44">
        <v>1</v>
      </c>
      <c r="BC245" s="42">
        <f t="shared" si="444"/>
        <v>0.25</v>
      </c>
      <c r="BD245" s="42" cm="1">
        <f t="array" ref="BD245">_xlfn.IFS(AD245=0,"NA",AD245&gt;0,AH245/AD245)</f>
        <v>0.92</v>
      </c>
      <c r="BE245" s="42">
        <f t="shared" si="445"/>
        <v>0.25</v>
      </c>
      <c r="BF245" s="44">
        <v>0</v>
      </c>
      <c r="BG245" s="42">
        <f t="shared" si="446"/>
        <v>0.45</v>
      </c>
      <c r="BH245" s="44">
        <v>0</v>
      </c>
      <c r="BI245" s="42">
        <f t="shared" si="447"/>
        <v>0</v>
      </c>
      <c r="BJ245" s="44" t="s">
        <v>115</v>
      </c>
      <c r="BK245" s="42">
        <f t="shared" si="408"/>
        <v>0.28000000000000003</v>
      </c>
      <c r="BL245" s="44">
        <v>1</v>
      </c>
      <c r="BM245" s="42" cm="1">
        <f t="array" ref="BM245">_xlfn.IFS(BD245="NA","NA",BD245&gt;100%,"100%",BD245&lt;100,BD245)</f>
        <v>0.92</v>
      </c>
      <c r="BN245" s="42" cm="1">
        <f t="array" ref="BN245">_xlfn.IFS(BF245="NA","NA",BF245&gt;100%,"100%",BF245&lt;100,BF245)</f>
        <v>0</v>
      </c>
      <c r="BO245" s="42" cm="1">
        <f t="array" ref="BO245">_xlfn.IFS(BH245="NA","NA",BH245&gt;100%,"100%",BH245&lt;100,BH245)</f>
        <v>0</v>
      </c>
      <c r="BP245" s="42" t="str" cm="1">
        <f t="array" ref="BP245">_xlfn.IFS(BJ245="NA","NA",BJ245&gt;100%,"100%",BJ245&lt;100,BJ245)</f>
        <v>NA</v>
      </c>
      <c r="BQ245" s="45">
        <v>0.22500000000000001</v>
      </c>
      <c r="BR245" s="43">
        <f t="shared" si="409"/>
        <v>6.3000000000000014E-2</v>
      </c>
      <c r="BS245" s="45">
        <v>1.1299999999999999E-2</v>
      </c>
      <c r="BT245" s="45">
        <v>1.1299999999999999E-2</v>
      </c>
      <c r="BU245" s="45">
        <v>1.1299999999999999E-2</v>
      </c>
      <c r="BV245" s="43">
        <f t="shared" si="448"/>
        <v>5.6250000000000001E-2</v>
      </c>
      <c r="BW245" s="43">
        <f t="shared" si="410"/>
        <v>5.1750000000000004E-2</v>
      </c>
      <c r="BX245" s="43">
        <f t="shared" si="411"/>
        <v>5.1700000000000017E-2</v>
      </c>
      <c r="BY245" s="43">
        <f t="shared" si="449"/>
        <v>5.6250000000000001E-2</v>
      </c>
      <c r="BZ245" s="43">
        <f t="shared" si="450"/>
        <v>0</v>
      </c>
      <c r="CA245" s="43">
        <f t="shared" si="412"/>
        <v>0</v>
      </c>
      <c r="CB245" s="43">
        <f t="shared" si="451"/>
        <v>0.10125000000000001</v>
      </c>
      <c r="CC245" s="43">
        <f t="shared" si="452"/>
        <v>0</v>
      </c>
      <c r="CD245" s="45">
        <v>0</v>
      </c>
      <c r="CE245" s="43">
        <f t="shared" si="453"/>
        <v>0</v>
      </c>
      <c r="CF245" s="43" t="str">
        <f t="shared" si="454"/>
        <v>NA</v>
      </c>
      <c r="CG245" s="45">
        <v>0</v>
      </c>
    </row>
    <row r="246" spans="1:90" ht="18" customHeight="1">
      <c r="A246" s="260" t="s">
        <v>221</v>
      </c>
      <c r="B246" s="260" t="s">
        <v>222</v>
      </c>
      <c r="C246" s="260" t="s">
        <v>1286</v>
      </c>
      <c r="D246" s="260" t="s">
        <v>1496</v>
      </c>
      <c r="E246" s="260" t="s">
        <v>1561</v>
      </c>
      <c r="F246" s="260" t="s">
        <v>1562</v>
      </c>
      <c r="G246" s="260" t="s">
        <v>1563</v>
      </c>
      <c r="H246" s="260" t="s">
        <v>1564</v>
      </c>
      <c r="I246" s="260"/>
      <c r="J246" s="260"/>
      <c r="K246" s="260" t="s">
        <v>1565</v>
      </c>
      <c r="L246" s="260" t="s">
        <v>1566</v>
      </c>
      <c r="M246" s="260" t="s">
        <v>1567</v>
      </c>
      <c r="N246" s="260" t="s">
        <v>111</v>
      </c>
      <c r="O246" s="260" t="s">
        <v>112</v>
      </c>
      <c r="P246" s="10">
        <v>4</v>
      </c>
      <c r="Q246" s="11">
        <v>10</v>
      </c>
      <c r="R246" s="9">
        <f t="shared" ca="1" si="441"/>
        <v>1</v>
      </c>
      <c r="S246" s="11" t="str">
        <f ca="1">VLOOKUP(K246,'1220 IDECUT'!$K$13:$AK$48,9,0)</f>
        <v xml:space="preserve"> El embellecimiento del centro histórico del municipio de Sesquilé, se encuentra en proceso de ejecución; actualmente se esta evaluando la  propuesta de color con la Fundación Pintuco y  con la Empresa Energía se están determinando la propuesta de avisos para los establecimientos comerciales, con el fin deunificarlas en el espacio turístico y cultural. La evaluación de las propuestas y las decisiones se trabajan en conjunto con la comunidad, como parte fundamental en la determinación de Pueblo Dorado.
Adicionalmente, se encuentra en proceso la firma del convenio con el municipio de Tena para el embellecimiento del centro históric, el cual tiene como objetivo  arreglar fachadas y mejorar los espacios públicos de la zona.</v>
      </c>
      <c r="T246" s="11">
        <v>0</v>
      </c>
      <c r="U246" s="11">
        <v>0</v>
      </c>
      <c r="V246" s="11">
        <v>0</v>
      </c>
      <c r="W246" s="11">
        <v>0</v>
      </c>
      <c r="X246" s="11">
        <v>0</v>
      </c>
      <c r="Y246" s="11">
        <v>0</v>
      </c>
      <c r="Z246" s="11">
        <v>0</v>
      </c>
      <c r="AA246" s="11"/>
      <c r="AB246" s="11"/>
      <c r="AC246" s="11"/>
      <c r="AD246" s="11">
        <v>3</v>
      </c>
      <c r="AE246" s="11">
        <v>0</v>
      </c>
      <c r="AF246" s="11">
        <f ca="1">VLOOKUP(K246,'1220 IDECUT'!$K$13:$AK$48,22,0)</f>
        <v>1</v>
      </c>
      <c r="AG246" s="11">
        <f ca="1">VLOOKUP(K246,'1220 IDECUT'!$K$13:$AK$48,23,0)</f>
        <v>0</v>
      </c>
      <c r="AH246" s="9">
        <f t="shared" ca="1" si="442"/>
        <v>1</v>
      </c>
      <c r="AI246" s="9" t="str">
        <f ca="1">VLOOKUP(K246,'1220 IDECUT'!$K$13:$AK$48,25,0)</f>
        <v>Convenio</v>
      </c>
      <c r="AJ246" s="9" t="str">
        <f ca="1">VLOOKUP(K246,'1220 IDECUT'!$K$13:$AK$48,26,0)</f>
        <v xml:space="preserve"> El embellecimiento del centro histórico del municipio de Sesquilé, se encuentra en proceso de ejecución; actualmente se esta evaluando la  propuesta de color con la Fundación Pintuco y  con la Empresa Energía se están determinando la propuesta de avisos para los establecimientos comerciales, con el fin deunificarlas en el espacio turístico y cultural. La evaluación de las propuestas y las decisiones se trabajan en conjunto con la comunidad, como parte fundamental en la determinación de Pueblo Dorado.
Adicionalmente, se encuentra en proceso la firma del convenio con el municipio de Tena para el embellecimiento del centro históric, el cual tiene como objetivo  arreglar fachadas y mejorar los espacios públicos de la zona.
Adicionalmente, se firmó convenio con PINTUCO para embellecer los centros historicos de municipios que hacen parte del proyecto pueblos dorados.</v>
      </c>
      <c r="AK246" s="9">
        <f ca="1">VLOOKUP(K246,'1220 IDECUT'!$K$13:$AK$48,27,0)</f>
        <v>0</v>
      </c>
      <c r="AL246" s="11">
        <v>4</v>
      </c>
      <c r="AM246" s="11">
        <v>0</v>
      </c>
      <c r="AN246" s="11">
        <v>3</v>
      </c>
      <c r="AO246" s="11">
        <v>0</v>
      </c>
      <c r="AP246" s="11">
        <v>0</v>
      </c>
      <c r="AQ246" s="11">
        <v>0</v>
      </c>
      <c r="AR246" s="52"/>
      <c r="AS246" s="54">
        <v>0</v>
      </c>
      <c r="AT246" s="54">
        <f t="shared" si="407"/>
        <v>0</v>
      </c>
      <c r="AU246" s="52"/>
      <c r="AV246" s="89">
        <v>210000000</v>
      </c>
      <c r="AY246" s="89"/>
      <c r="AZ246" s="42">
        <f t="shared" ca="1" si="443"/>
        <v>0.1</v>
      </c>
      <c r="BA246" s="44">
        <v>0</v>
      </c>
      <c r="BB246" s="44" t="s">
        <v>115</v>
      </c>
      <c r="BC246" s="42">
        <f t="shared" si="444"/>
        <v>0.3</v>
      </c>
      <c r="BD246" s="42" cm="1">
        <f t="array" aca="1" ref="BD246" ca="1">_xlfn.IFS(AD246=0,"NA",AD246&gt;0,AH246/AD246)</f>
        <v>0.33333333333333331</v>
      </c>
      <c r="BE246" s="42">
        <f t="shared" si="445"/>
        <v>0.4</v>
      </c>
      <c r="BF246" s="44">
        <v>0</v>
      </c>
      <c r="BG246" s="42">
        <f t="shared" si="446"/>
        <v>0.3</v>
      </c>
      <c r="BH246" s="44">
        <v>0</v>
      </c>
      <c r="BI246" s="42">
        <f t="shared" si="447"/>
        <v>0</v>
      </c>
      <c r="BJ246" s="44" t="s">
        <v>115</v>
      </c>
      <c r="BK246" s="42">
        <f t="shared" ca="1" si="408"/>
        <v>0.1</v>
      </c>
      <c r="BL246" s="44" t="s">
        <v>115</v>
      </c>
      <c r="BM246" s="42" cm="1">
        <f t="array" aca="1" ref="BM246" ca="1">_xlfn.IFS(BD246="NA","NA",BD246&gt;100%,"100%",BD246&lt;100,BD246)</f>
        <v>0.33333333333333331</v>
      </c>
      <c r="BN246" s="42" cm="1">
        <f t="array" ref="BN246">_xlfn.IFS(BF246="NA","NA",BF246&gt;100%,"100%",BF246&lt;100,BF246)</f>
        <v>0</v>
      </c>
      <c r="BO246" s="42" cm="1">
        <f t="array" ref="BO246">_xlfn.IFS(BH246="NA","NA",BH246&gt;100%,"100%",BH246&lt;100,BH246)</f>
        <v>0</v>
      </c>
      <c r="BP246" s="42" t="str" cm="1">
        <f t="array" ref="BP246">_xlfn.IFS(BJ246="NA","NA",BJ246&gt;100%,"100%",BJ246&lt;100,BJ246)</f>
        <v>NA</v>
      </c>
      <c r="BQ246" s="45">
        <v>0.22500000000000001</v>
      </c>
      <c r="BR246" s="43">
        <f t="shared" ca="1" si="409"/>
        <v>2.2500000000000003E-2</v>
      </c>
      <c r="BS246" s="45">
        <v>0</v>
      </c>
      <c r="BT246" s="45" t="s">
        <v>115</v>
      </c>
      <c r="BU246" s="45">
        <v>0</v>
      </c>
      <c r="BV246" s="43">
        <f t="shared" si="448"/>
        <v>6.7500000000000004E-2</v>
      </c>
      <c r="BW246" s="43">
        <f t="shared" ca="1" si="410"/>
        <v>2.2499999999999999E-2</v>
      </c>
      <c r="BX246" s="43">
        <f t="shared" ca="1" si="411"/>
        <v>2.2500000000000003E-2</v>
      </c>
      <c r="BY246" s="43">
        <f t="shared" si="449"/>
        <v>0.09</v>
      </c>
      <c r="BZ246" s="43">
        <f t="shared" si="450"/>
        <v>0</v>
      </c>
      <c r="CA246" s="43">
        <f t="shared" ca="1" si="412"/>
        <v>0</v>
      </c>
      <c r="CB246" s="43">
        <f t="shared" si="451"/>
        <v>6.7500000000000004E-2</v>
      </c>
      <c r="CC246" s="43">
        <f t="shared" si="452"/>
        <v>0</v>
      </c>
      <c r="CD246" s="45">
        <v>0</v>
      </c>
      <c r="CE246" s="43">
        <f t="shared" si="453"/>
        <v>0</v>
      </c>
      <c r="CF246" s="43" t="str">
        <f t="shared" si="454"/>
        <v>NA</v>
      </c>
      <c r="CG246" s="45">
        <v>0</v>
      </c>
    </row>
    <row r="247" spans="1:90" ht="18" customHeight="1">
      <c r="A247" s="260" t="s">
        <v>1310</v>
      </c>
      <c r="B247" s="260" t="s">
        <v>1311</v>
      </c>
      <c r="C247" s="260" t="s">
        <v>1286</v>
      </c>
      <c r="D247" s="260" t="s">
        <v>1496</v>
      </c>
      <c r="E247" s="260" t="s">
        <v>1561</v>
      </c>
      <c r="F247" s="260" t="s">
        <v>1562</v>
      </c>
      <c r="G247" s="260" t="s">
        <v>1563</v>
      </c>
      <c r="H247" s="260" t="s">
        <v>1568</v>
      </c>
      <c r="I247" s="260"/>
      <c r="J247" s="260"/>
      <c r="K247" s="260" t="s">
        <v>1569</v>
      </c>
      <c r="L247" s="260" t="s">
        <v>2983</v>
      </c>
      <c r="M247" s="12" t="s">
        <v>2984</v>
      </c>
      <c r="N247" s="260" t="s">
        <v>111</v>
      </c>
      <c r="O247" s="260" t="s">
        <v>112</v>
      </c>
      <c r="P247" s="10">
        <v>15</v>
      </c>
      <c r="Q247" s="11">
        <v>70</v>
      </c>
      <c r="R247" s="9" t="e">
        <f t="shared" ca="1" si="441"/>
        <v>#N/A</v>
      </c>
      <c r="S247" s="11" t="e">
        <f ca="1">VLOOKUP(K247,'1120 Competitividad'!$K$13:$AK$51,9,0)</f>
        <v>#N/A</v>
      </c>
      <c r="T247" s="11">
        <v>8</v>
      </c>
      <c r="U247" s="11">
        <v>0</v>
      </c>
      <c r="V247" s="11">
        <v>0</v>
      </c>
      <c r="W247" s="11">
        <v>0</v>
      </c>
      <c r="X247" s="11">
        <v>0</v>
      </c>
      <c r="Y247" s="11">
        <v>0</v>
      </c>
      <c r="Z247" s="11">
        <v>0</v>
      </c>
      <c r="AA247" s="11"/>
      <c r="AB247" s="11"/>
      <c r="AC247" s="11"/>
      <c r="AD247" s="11">
        <v>34</v>
      </c>
      <c r="AE247" s="11">
        <v>0</v>
      </c>
      <c r="AF247" s="11" t="e">
        <f ca="1">VLOOKUP(K247,'1120 Competitividad'!$K$13:$AK$51,22,0)</f>
        <v>#N/A</v>
      </c>
      <c r="AG247" s="11" t="e">
        <f ca="1">VLOOKUP(K247,'1120 Competitividad'!$K$13:$AK$51,23,0)</f>
        <v>#N/A</v>
      </c>
      <c r="AH247" s="9" t="e">
        <f t="shared" ca="1" si="442"/>
        <v>#N/A</v>
      </c>
      <c r="AI247" s="9" t="e">
        <f ca="1">VLOOKUP(K247,'1120 Competitividad'!$K$13:$AK$51,25,0)</f>
        <v>#N/A</v>
      </c>
      <c r="AJ247" s="9" t="e">
        <f ca="1">VLOOKUP(K247,'1120 Competitividad'!$K$13:$AK$51,26,0)</f>
        <v>#N/A</v>
      </c>
      <c r="AK247" s="9" t="e">
        <f ca="1">VLOOKUP(K247,'1120 Competitividad'!$K$13:$AK$51,27,0)</f>
        <v>#N/A</v>
      </c>
      <c r="AL247" s="11">
        <v>34</v>
      </c>
      <c r="AM247" s="11">
        <v>0</v>
      </c>
      <c r="AN247" s="11">
        <v>2</v>
      </c>
      <c r="AO247" s="11">
        <v>0</v>
      </c>
      <c r="AP247" s="11">
        <v>0</v>
      </c>
      <c r="AQ247" s="11">
        <v>0</v>
      </c>
      <c r="AR247" s="52"/>
      <c r="AS247" s="54">
        <v>0</v>
      </c>
      <c r="AT247" s="54">
        <f t="shared" si="407"/>
        <v>0</v>
      </c>
      <c r="AU247" s="52"/>
      <c r="AV247" s="89">
        <v>2000000000</v>
      </c>
      <c r="AY247" s="89">
        <v>0</v>
      </c>
      <c r="AZ247" s="42" t="e">
        <f t="shared" ca="1" si="443"/>
        <v>#N/A</v>
      </c>
      <c r="BA247" s="44">
        <v>0</v>
      </c>
      <c r="BB247" s="44" t="s">
        <v>115</v>
      </c>
      <c r="BC247" s="42">
        <f t="shared" si="444"/>
        <v>0.48571428571428571</v>
      </c>
      <c r="BD247" s="42" t="e" cm="1">
        <f t="array" aca="1" ref="BD247" ca="1">_xlfn.IFS(AD247=0,"NA",AD247&gt;0,AH247/AD247)</f>
        <v>#N/A</v>
      </c>
      <c r="BE247" s="42">
        <f t="shared" si="445"/>
        <v>0.48571428571428571</v>
      </c>
      <c r="BF247" s="44">
        <v>0</v>
      </c>
      <c r="BG247" s="42">
        <f t="shared" si="446"/>
        <v>2.8571428571428571E-2</v>
      </c>
      <c r="BH247" s="44">
        <v>0</v>
      </c>
      <c r="BI247" s="42">
        <f t="shared" si="447"/>
        <v>0</v>
      </c>
      <c r="BJ247" s="44" t="s">
        <v>115</v>
      </c>
      <c r="BK247" s="42" t="e">
        <f t="shared" ca="1" si="408"/>
        <v>#N/A</v>
      </c>
      <c r="BL247" s="44" t="s">
        <v>115</v>
      </c>
      <c r="BM247" s="42" t="e" cm="1">
        <f t="array" aca="1" ref="BM247" ca="1">_xlfn.IFS(BD247="NA","NA",BD247&gt;100%,"100%",BD247&lt;100,BD247)</f>
        <v>#N/A</v>
      </c>
      <c r="BN247" s="42" cm="1">
        <f t="array" ref="BN247">_xlfn.IFS(BF247="NA","NA",BF247&gt;100%,"100%",BF247&lt;100,BF247)</f>
        <v>0</v>
      </c>
      <c r="BO247" s="42" cm="1">
        <f t="array" ref="BO247">_xlfn.IFS(BH247="NA","NA",BH247&gt;100%,"100%",BH247&lt;100,BH247)</f>
        <v>0</v>
      </c>
      <c r="BP247" s="42" t="str" cm="1">
        <f t="array" ref="BP247">_xlfn.IFS(BJ247="NA","NA",BJ247&gt;100%,"100%",BJ247&lt;100,BJ247)</f>
        <v>NA</v>
      </c>
      <c r="BQ247" s="45">
        <v>0.22500000000000001</v>
      </c>
      <c r="BR247" s="43" t="e">
        <f t="shared" ca="1" si="409"/>
        <v>#N/A</v>
      </c>
      <c r="BS247" s="45">
        <v>0</v>
      </c>
      <c r="BT247" s="45" t="s">
        <v>115</v>
      </c>
      <c r="BU247" s="45">
        <v>0</v>
      </c>
      <c r="BV247" s="43">
        <f t="shared" si="448"/>
        <v>0.10928571428571429</v>
      </c>
      <c r="BW247" s="43" t="e">
        <f t="shared" ca="1" si="410"/>
        <v>#N/A</v>
      </c>
      <c r="BX247" s="43" t="e">
        <f t="shared" ca="1" si="411"/>
        <v>#N/A</v>
      </c>
      <c r="BY247" s="43">
        <f t="shared" si="449"/>
        <v>0.10928571428571429</v>
      </c>
      <c r="BZ247" s="43">
        <f t="shared" si="450"/>
        <v>0</v>
      </c>
      <c r="CA247" s="43" t="e">
        <f t="shared" ca="1" si="412"/>
        <v>#N/A</v>
      </c>
      <c r="CB247" s="43">
        <f t="shared" si="451"/>
        <v>6.4285714285714285E-3</v>
      </c>
      <c r="CC247" s="43">
        <f t="shared" si="452"/>
        <v>0</v>
      </c>
      <c r="CD247" s="45">
        <v>0</v>
      </c>
      <c r="CE247" s="43">
        <f t="shared" si="453"/>
        <v>0</v>
      </c>
      <c r="CF247" s="43" t="str">
        <f t="shared" si="454"/>
        <v>NA</v>
      </c>
      <c r="CG247" s="45">
        <v>0</v>
      </c>
    </row>
    <row r="248" spans="1:90" ht="18" customHeight="1">
      <c r="A248" s="260" t="s">
        <v>1310</v>
      </c>
      <c r="B248" s="260" t="s">
        <v>1311</v>
      </c>
      <c r="C248" s="260" t="s">
        <v>1286</v>
      </c>
      <c r="D248" s="260" t="s">
        <v>1496</v>
      </c>
      <c r="E248" s="260" t="s">
        <v>1561</v>
      </c>
      <c r="F248" s="260" t="s">
        <v>1562</v>
      </c>
      <c r="G248" s="260" t="s">
        <v>1563</v>
      </c>
      <c r="H248" s="260" t="s">
        <v>1572</v>
      </c>
      <c r="I248" s="260"/>
      <c r="J248" s="260"/>
      <c r="K248" s="260" t="s">
        <v>1573</v>
      </c>
      <c r="L248" s="260" t="s">
        <v>2985</v>
      </c>
      <c r="M248" s="260" t="s">
        <v>1575</v>
      </c>
      <c r="N248" s="260" t="s">
        <v>111</v>
      </c>
      <c r="O248" s="260" t="s">
        <v>112</v>
      </c>
      <c r="P248" s="10">
        <v>0</v>
      </c>
      <c r="Q248" s="11">
        <v>20</v>
      </c>
      <c r="R248" s="9" t="e">
        <f t="shared" ca="1" si="441"/>
        <v>#N/A</v>
      </c>
      <c r="S248" s="11" t="e">
        <f ca="1">VLOOKUP(K248,'1120 Competitividad'!$K$13:$AK$51,9,0)</f>
        <v>#N/A</v>
      </c>
      <c r="T248" s="11">
        <v>8</v>
      </c>
      <c r="U248" s="11">
        <v>0</v>
      </c>
      <c r="V248" s="11">
        <v>4</v>
      </c>
      <c r="W248" s="11">
        <v>0</v>
      </c>
      <c r="X248" s="11">
        <v>3</v>
      </c>
      <c r="Y248" s="11">
        <v>0</v>
      </c>
      <c r="Z248" s="11">
        <v>3</v>
      </c>
      <c r="AA248" s="11" t="s">
        <v>1576</v>
      </c>
      <c r="AB248" s="11" t="s">
        <v>1577</v>
      </c>
      <c r="AC248" s="11" t="s">
        <v>1578</v>
      </c>
      <c r="AD248" s="11">
        <v>10</v>
      </c>
      <c r="AE248" s="11">
        <v>0</v>
      </c>
      <c r="AF248" s="11" t="e">
        <f ca="1">VLOOKUP(K248,'1120 Competitividad'!$K$13:$AK$51,22,0)</f>
        <v>#N/A</v>
      </c>
      <c r="AG248" s="11" t="e">
        <f ca="1">VLOOKUP(K248,'1120 Competitividad'!$K$13:$AK$51,23,0)</f>
        <v>#N/A</v>
      </c>
      <c r="AH248" s="9" t="e">
        <f t="shared" ca="1" si="442"/>
        <v>#N/A</v>
      </c>
      <c r="AI248" s="9" t="e">
        <f ca="1">VLOOKUP(K248,'1120 Competitividad'!$K$13:$AK$51,25,0)</f>
        <v>#N/A</v>
      </c>
      <c r="AJ248" s="9" t="e">
        <f ca="1">VLOOKUP(K248,'1120 Competitividad'!$K$13:$AK$51,26,0)</f>
        <v>#N/A</v>
      </c>
      <c r="AK248" s="9" t="e">
        <f ca="1">VLOOKUP(K248,'1120 Competitividad'!$K$13:$AK$51,27,0)</f>
        <v>#N/A</v>
      </c>
      <c r="AL248" s="11">
        <v>4</v>
      </c>
      <c r="AM248" s="11">
        <v>0</v>
      </c>
      <c r="AN248" s="11">
        <v>2</v>
      </c>
      <c r="AO248" s="11">
        <v>0</v>
      </c>
      <c r="AP248" s="11">
        <v>0</v>
      </c>
      <c r="AQ248" s="11">
        <v>0</v>
      </c>
      <c r="AR248" s="51">
        <v>3763750000</v>
      </c>
      <c r="AS248" s="54">
        <v>4236250000</v>
      </c>
      <c r="AT248" s="54">
        <f t="shared" si="407"/>
        <v>8000000000</v>
      </c>
      <c r="AU248" s="51">
        <v>3763750000</v>
      </c>
      <c r="AV248" s="89">
        <v>3693800000</v>
      </c>
      <c r="AY248" s="89">
        <v>0</v>
      </c>
      <c r="AZ248" s="42" t="e">
        <f t="shared" ca="1" si="443"/>
        <v>#N/A</v>
      </c>
      <c r="BA248" s="44">
        <v>0.2</v>
      </c>
      <c r="BB248" s="44">
        <v>0.75</v>
      </c>
      <c r="BC248" s="42">
        <f t="shared" si="444"/>
        <v>0.5</v>
      </c>
      <c r="BD248" s="42" t="e" cm="1">
        <f t="array" aca="1" ref="BD248" ca="1">_xlfn.IFS(AD248=0,"NA",AD248&gt;0,AH248/AD248)</f>
        <v>#N/A</v>
      </c>
      <c r="BE248" s="42">
        <f t="shared" si="445"/>
        <v>0.2</v>
      </c>
      <c r="BF248" s="44">
        <v>0</v>
      </c>
      <c r="BG248" s="42">
        <f t="shared" si="446"/>
        <v>0.1</v>
      </c>
      <c r="BH248" s="44">
        <v>0</v>
      </c>
      <c r="BI248" s="42">
        <f t="shared" si="447"/>
        <v>0</v>
      </c>
      <c r="BJ248" s="44" t="s">
        <v>115</v>
      </c>
      <c r="BK248" s="42" t="e">
        <f t="shared" ca="1" si="408"/>
        <v>#N/A</v>
      </c>
      <c r="BL248" s="44">
        <v>0.75</v>
      </c>
      <c r="BM248" s="42" t="e" cm="1">
        <f t="array" aca="1" ref="BM248" ca="1">_xlfn.IFS(BD248="NA","NA",BD248&gt;100%,"100%",BD248&lt;100,BD248)</f>
        <v>#N/A</v>
      </c>
      <c r="BN248" s="42" cm="1">
        <f t="array" ref="BN248">_xlfn.IFS(BF248="NA","NA",BF248&gt;100%,"100%",BF248&lt;100,BF248)</f>
        <v>0</v>
      </c>
      <c r="BO248" s="42" cm="1">
        <f t="array" ref="BO248">_xlfn.IFS(BH248="NA","NA",BH248&gt;100%,"100%",BH248&lt;100,BH248)</f>
        <v>0</v>
      </c>
      <c r="BP248" s="42" t="str" cm="1">
        <f t="array" ref="BP248">_xlfn.IFS(BJ248="NA","NA",BJ248&gt;100%,"100%",BJ248&lt;100,BJ248)</f>
        <v>NA</v>
      </c>
      <c r="BQ248" s="45">
        <v>0.22500000000000001</v>
      </c>
      <c r="BR248" s="43" t="e">
        <f t="shared" ca="1" si="409"/>
        <v>#N/A</v>
      </c>
      <c r="BS248" s="45">
        <v>4.4999999999999998E-2</v>
      </c>
      <c r="BT248" s="45">
        <v>3.3799999999999997E-2</v>
      </c>
      <c r="BU248" s="45">
        <v>3.3799999999999997E-2</v>
      </c>
      <c r="BV248" s="43">
        <f t="shared" si="448"/>
        <v>0.1125</v>
      </c>
      <c r="BW248" s="43" t="e">
        <f t="shared" ca="1" si="410"/>
        <v>#N/A</v>
      </c>
      <c r="BX248" s="43" t="e">
        <f t="shared" ca="1" si="411"/>
        <v>#N/A</v>
      </c>
      <c r="BY248" s="43">
        <f t="shared" si="449"/>
        <v>4.4999999999999998E-2</v>
      </c>
      <c r="BZ248" s="43">
        <f t="shared" si="450"/>
        <v>0</v>
      </c>
      <c r="CA248" s="43" t="e">
        <f t="shared" ca="1" si="412"/>
        <v>#N/A</v>
      </c>
      <c r="CB248" s="43">
        <f t="shared" si="451"/>
        <v>2.2499999999999999E-2</v>
      </c>
      <c r="CC248" s="43">
        <f t="shared" si="452"/>
        <v>0</v>
      </c>
      <c r="CD248" s="45">
        <v>0</v>
      </c>
      <c r="CE248" s="43">
        <f t="shared" si="453"/>
        <v>0</v>
      </c>
      <c r="CF248" s="43" t="str">
        <f t="shared" si="454"/>
        <v>NA</v>
      </c>
      <c r="CG248" s="45">
        <v>0</v>
      </c>
    </row>
    <row r="249" spans="1:90" ht="18" customHeight="1">
      <c r="A249" s="260" t="s">
        <v>1361</v>
      </c>
      <c r="B249" s="260" t="s">
        <v>1362</v>
      </c>
      <c r="C249" s="260" t="s">
        <v>1286</v>
      </c>
      <c r="D249" s="260" t="s">
        <v>1496</v>
      </c>
      <c r="E249" s="260" t="s">
        <v>1561</v>
      </c>
      <c r="F249" s="260" t="s">
        <v>1562</v>
      </c>
      <c r="G249" s="260" t="s">
        <v>1563</v>
      </c>
      <c r="H249" s="260" t="s">
        <v>1579</v>
      </c>
      <c r="I249" s="260"/>
      <c r="J249" s="260"/>
      <c r="K249" s="260" t="s">
        <v>1580</v>
      </c>
      <c r="L249" s="260" t="s">
        <v>1581</v>
      </c>
      <c r="M249" s="260" t="s">
        <v>1582</v>
      </c>
      <c r="N249" s="260" t="s">
        <v>111</v>
      </c>
      <c r="O249" s="260" t="s">
        <v>112</v>
      </c>
      <c r="P249" s="10">
        <v>0</v>
      </c>
      <c r="Q249" s="11">
        <v>1</v>
      </c>
      <c r="R249" s="9">
        <f t="shared" si="441"/>
        <v>0.2</v>
      </c>
      <c r="S249" s="11" t="str">
        <f>VLOOKUP(K249,'1132 Minas'!$K$13:$AK$20,9,0)</f>
        <v>Estudios y diseños del centro de formación minero energético. Mediante resolución No. 40137 del 30 de abril de 2021 el Ministerio de Minas y Energía adjudica recursos para la construcción del Centro minero energético de Cundinamarca</v>
      </c>
      <c r="T249" s="11">
        <v>0</v>
      </c>
      <c r="U249" s="11">
        <v>0</v>
      </c>
      <c r="V249" s="11">
        <v>0</v>
      </c>
      <c r="W249" s="11">
        <v>0</v>
      </c>
      <c r="X249" s="11">
        <v>0</v>
      </c>
      <c r="Y249" s="11">
        <v>0</v>
      </c>
      <c r="Z249" s="11">
        <v>0</v>
      </c>
      <c r="AA249" s="11"/>
      <c r="AB249" s="11"/>
      <c r="AC249" s="11"/>
      <c r="AD249" s="11">
        <v>7.4999999999999997E-2</v>
      </c>
      <c r="AE249" s="11">
        <v>0</v>
      </c>
      <c r="AF249" s="11">
        <f>VLOOKUP(K249,'1132 Minas'!$K$13:$AK$20,22,0)</f>
        <v>0.2</v>
      </c>
      <c r="AG249" s="11">
        <f>VLOOKUP(K249,'1132 Minas'!$K$13:$AK$20,23,0)</f>
        <v>0</v>
      </c>
      <c r="AH249" s="9">
        <f t="shared" si="442"/>
        <v>0.2</v>
      </c>
      <c r="AI249" s="9" t="str">
        <f>VLOOKUP(K249,'1132 Minas'!$K$13:$AK$20,25,0)</f>
        <v>Estudios y diseños del centro de formación minero energético</v>
      </c>
      <c r="AJ249" s="9" t="str">
        <f>VLOOKUP(K249,'1132 Minas'!$K$13:$AK$20,26,0)</f>
        <v>Estudios y diseños del centro de formación minero energético</v>
      </c>
      <c r="AK249" s="9" t="str">
        <f>VLOOKUP(K249,'1132 Minas'!$K$13:$AK$20,27,0)</f>
        <v>Demoras en las entregas de los resultados por observaciones de la Sec de Planeación para ser aprobado.</v>
      </c>
      <c r="AL249" s="11">
        <v>0.90500000000000003</v>
      </c>
      <c r="AM249" s="11">
        <v>0</v>
      </c>
      <c r="AN249" s="11">
        <v>0.02</v>
      </c>
      <c r="AO249" s="11">
        <v>0</v>
      </c>
      <c r="AP249" s="11">
        <v>0</v>
      </c>
      <c r="AQ249" s="11">
        <v>0</v>
      </c>
      <c r="AR249" s="51">
        <v>600000000</v>
      </c>
      <c r="AS249" s="54">
        <v>0</v>
      </c>
      <c r="AT249" s="54">
        <f t="shared" si="407"/>
        <v>600000000</v>
      </c>
      <c r="AU249" s="51">
        <v>600000000</v>
      </c>
      <c r="AV249" s="89">
        <v>420000000</v>
      </c>
      <c r="AY249" s="89">
        <v>0</v>
      </c>
      <c r="AZ249" s="42">
        <f t="shared" si="443"/>
        <v>0.2</v>
      </c>
      <c r="BA249" s="44">
        <v>0</v>
      </c>
      <c r="BB249" s="44" t="s">
        <v>115</v>
      </c>
      <c r="BC249" s="42">
        <f t="shared" si="444"/>
        <v>7.4999999999999997E-2</v>
      </c>
      <c r="BD249" s="42" cm="1">
        <f t="array" ref="BD249">_xlfn.IFS(AD249=0,"NA",AD249&gt;0,AH249/AD249)</f>
        <v>2.666666666666667</v>
      </c>
      <c r="BE249" s="42">
        <f t="shared" si="445"/>
        <v>0.90500000000000003</v>
      </c>
      <c r="BF249" s="44">
        <v>0</v>
      </c>
      <c r="BG249" s="42">
        <f t="shared" si="446"/>
        <v>0.02</v>
      </c>
      <c r="BH249" s="44">
        <v>0</v>
      </c>
      <c r="BI249" s="42">
        <f t="shared" si="447"/>
        <v>0</v>
      </c>
      <c r="BJ249" s="44" t="s">
        <v>115</v>
      </c>
      <c r="BK249" s="42">
        <f t="shared" si="408"/>
        <v>0.2</v>
      </c>
      <c r="BL249" s="44" t="s">
        <v>115</v>
      </c>
      <c r="BM249" s="42" t="str" cm="1">
        <f t="array" ref="BM249">_xlfn.IFS(BD249="NA","NA",BD249&gt;100%,"100%",BD249&lt;100,BD249)</f>
        <v>100%</v>
      </c>
      <c r="BN249" s="42" cm="1">
        <f t="array" ref="BN249">_xlfn.IFS(BF249="NA","NA",BF249&gt;100%,"100%",BF249&lt;100,BF249)</f>
        <v>0</v>
      </c>
      <c r="BO249" s="42" cm="1">
        <f t="array" ref="BO249">_xlfn.IFS(BH249="NA","NA",BH249&gt;100%,"100%",BH249&lt;100,BH249)</f>
        <v>0</v>
      </c>
      <c r="BP249" s="42" t="str" cm="1">
        <f t="array" ref="BP249">_xlfn.IFS(BJ249="NA","NA",BJ249&gt;100%,"100%",BJ249&lt;100,BJ249)</f>
        <v>NA</v>
      </c>
      <c r="BQ249" s="45">
        <v>0.22500000000000001</v>
      </c>
      <c r="BR249" s="43">
        <f t="shared" si="409"/>
        <v>4.5000000000000005E-2</v>
      </c>
      <c r="BS249" s="45">
        <v>0</v>
      </c>
      <c r="BT249" s="45" t="s">
        <v>115</v>
      </c>
      <c r="BU249" s="45">
        <v>0</v>
      </c>
      <c r="BV249" s="43">
        <f t="shared" si="448"/>
        <v>1.6875000000000001E-2</v>
      </c>
      <c r="BW249" s="43">
        <f t="shared" si="410"/>
        <v>1.6875000000000001E-2</v>
      </c>
      <c r="BX249" s="43">
        <f t="shared" si="411"/>
        <v>4.5000000000000005E-2</v>
      </c>
      <c r="BY249" s="43">
        <f t="shared" si="449"/>
        <v>0.203625</v>
      </c>
      <c r="BZ249" s="43">
        <f t="shared" si="450"/>
        <v>0</v>
      </c>
      <c r="CA249" s="43">
        <f t="shared" si="412"/>
        <v>0</v>
      </c>
      <c r="CB249" s="43">
        <f t="shared" si="451"/>
        <v>4.5000000000000005E-3</v>
      </c>
      <c r="CC249" s="43">
        <f t="shared" si="452"/>
        <v>0</v>
      </c>
      <c r="CD249" s="45">
        <v>0</v>
      </c>
      <c r="CE249" s="43">
        <f t="shared" si="453"/>
        <v>0</v>
      </c>
      <c r="CF249" s="43" t="str">
        <f t="shared" si="454"/>
        <v>NA</v>
      </c>
      <c r="CG249" s="45">
        <v>0</v>
      </c>
    </row>
    <row r="250" spans="1:90" ht="18" customHeight="1">
      <c r="A250" s="260" t="s">
        <v>1361</v>
      </c>
      <c r="B250" s="260" t="s">
        <v>1362</v>
      </c>
      <c r="C250" s="260" t="s">
        <v>1286</v>
      </c>
      <c r="D250" s="260" t="s">
        <v>1496</v>
      </c>
      <c r="E250" s="260" t="s">
        <v>1583</v>
      </c>
      <c r="F250" s="260" t="s">
        <v>1584</v>
      </c>
      <c r="G250" s="260" t="s">
        <v>1585</v>
      </c>
      <c r="H250" s="260" t="s">
        <v>1586</v>
      </c>
      <c r="I250" s="260"/>
      <c r="J250" s="260"/>
      <c r="K250" s="260" t="s">
        <v>1587</v>
      </c>
      <c r="L250" s="260" t="s">
        <v>1588</v>
      </c>
      <c r="M250" s="260" t="s">
        <v>1589</v>
      </c>
      <c r="N250" s="260" t="s">
        <v>111</v>
      </c>
      <c r="O250" s="260" t="s">
        <v>112</v>
      </c>
      <c r="P250" s="10">
        <v>885722</v>
      </c>
      <c r="Q250" s="11">
        <v>1000</v>
      </c>
      <c r="R250" s="9">
        <f t="shared" si="441"/>
        <v>474</v>
      </c>
      <c r="S250" s="11" t="str">
        <f>VLOOKUP(K250,'1132 Minas'!$K$13:$AK$20,9,0)</f>
        <v>474 viviendas conectadas al servicio de energía eléctrica en zona rural del departamento.</v>
      </c>
      <c r="T250" s="11">
        <v>50</v>
      </c>
      <c r="U250" s="11">
        <v>0</v>
      </c>
      <c r="V250" s="11">
        <v>300</v>
      </c>
      <c r="W250" s="11">
        <v>0</v>
      </c>
      <c r="X250" s="11">
        <v>300</v>
      </c>
      <c r="Y250" s="11">
        <v>0</v>
      </c>
      <c r="Z250" s="11">
        <v>300</v>
      </c>
      <c r="AA250" s="11" t="s">
        <v>1590</v>
      </c>
      <c r="AB250" s="11" t="s">
        <v>1591</v>
      </c>
      <c r="AC250" s="11" t="s">
        <v>1592</v>
      </c>
      <c r="AD250" s="11">
        <v>300</v>
      </c>
      <c r="AE250" s="11">
        <v>0</v>
      </c>
      <c r="AF250" s="11">
        <f>VLOOKUP(K250,'1132 Minas'!$K$13:$AK$20,22,0)</f>
        <v>174</v>
      </c>
      <c r="AG250" s="11">
        <f>VLOOKUP(K250,'1132 Minas'!$K$13:$AK$20,23,0)</f>
        <v>0</v>
      </c>
      <c r="AH250" s="9">
        <f t="shared" si="442"/>
        <v>174</v>
      </c>
      <c r="AI250" s="9" t="str">
        <f>VLOOKUP(K250,'1132 Minas'!$K$13:$AK$20,25,0)</f>
        <v>Viviendas conectadas al servicio de energía</v>
      </c>
      <c r="AJ250" s="9" t="str">
        <f>VLOOKUP(K250,'1132 Minas'!$K$13:$AK$20,26,0)</f>
        <v>174 viviendas conectadas al servicio de energía eléctrica.</v>
      </c>
      <c r="AK250" s="9" t="str">
        <f>VLOOKUP(K250,'1132 Minas'!$K$13:$AK$20,27,0)</f>
        <v>Tiempo de ejecución demorado.</v>
      </c>
      <c r="AL250" s="11">
        <v>300</v>
      </c>
      <c r="AM250" s="11">
        <v>0</v>
      </c>
      <c r="AN250" s="11">
        <v>100</v>
      </c>
      <c r="AO250" s="11">
        <v>0</v>
      </c>
      <c r="AP250" s="11">
        <v>0</v>
      </c>
      <c r="AQ250" s="11">
        <v>0</v>
      </c>
      <c r="AR250" s="51">
        <v>2958832241</v>
      </c>
      <c r="AS250" s="54">
        <v>0</v>
      </c>
      <c r="AT250" s="54">
        <f t="shared" si="407"/>
        <v>2958832241</v>
      </c>
      <c r="AU250" s="51">
        <v>300833190</v>
      </c>
      <c r="AV250" s="89">
        <v>1220428000</v>
      </c>
      <c r="AY250" s="89">
        <v>0</v>
      </c>
      <c r="AZ250" s="42">
        <f t="shared" si="443"/>
        <v>0.47399999999999998</v>
      </c>
      <c r="BA250" s="44">
        <v>0.3</v>
      </c>
      <c r="BB250" s="44">
        <v>1</v>
      </c>
      <c r="BC250" s="42">
        <f t="shared" si="444"/>
        <v>0.3</v>
      </c>
      <c r="BD250" s="42" cm="1">
        <f t="array" ref="BD250">_xlfn.IFS(AD250=0,"NA",AD250&gt;0,AH250/AD250)</f>
        <v>0.57999999999999996</v>
      </c>
      <c r="BE250" s="42">
        <f t="shared" si="445"/>
        <v>0.3</v>
      </c>
      <c r="BF250" s="44">
        <v>0</v>
      </c>
      <c r="BG250" s="42">
        <f t="shared" si="446"/>
        <v>0.1</v>
      </c>
      <c r="BH250" s="44">
        <v>0</v>
      </c>
      <c r="BI250" s="42">
        <f t="shared" si="447"/>
        <v>0</v>
      </c>
      <c r="BJ250" s="44" t="s">
        <v>115</v>
      </c>
      <c r="BK250" s="42">
        <f t="shared" si="408"/>
        <v>0.47399999999999998</v>
      </c>
      <c r="BL250" s="44">
        <v>1</v>
      </c>
      <c r="BM250" s="42" cm="1">
        <f t="array" ref="BM250">_xlfn.IFS(BD250="NA","NA",BD250&gt;100%,"100%",BD250&lt;100,BD250)</f>
        <v>0.57999999999999996</v>
      </c>
      <c r="BN250" s="42" cm="1">
        <f t="array" ref="BN250">_xlfn.IFS(BF250="NA","NA",BF250&gt;100%,"100%",BF250&lt;100,BF250)</f>
        <v>0</v>
      </c>
      <c r="BO250" s="42" cm="1">
        <f t="array" ref="BO250">_xlfn.IFS(BH250="NA","NA",BH250&gt;100%,"100%",BH250&lt;100,BH250)</f>
        <v>0</v>
      </c>
      <c r="BP250" s="42" t="str" cm="1">
        <f t="array" ref="BP250">_xlfn.IFS(BJ250="NA","NA",BJ250&gt;100%,"100%",BJ250&lt;100,BJ250)</f>
        <v>NA</v>
      </c>
      <c r="BQ250" s="45">
        <v>0.22500000000000001</v>
      </c>
      <c r="BR250" s="43">
        <f t="shared" si="409"/>
        <v>0.10664999999999999</v>
      </c>
      <c r="BS250" s="45">
        <v>6.7500000000000004E-2</v>
      </c>
      <c r="BT250" s="45">
        <v>6.7500000000000004E-2</v>
      </c>
      <c r="BU250" s="45">
        <v>6.7500000000000004E-2</v>
      </c>
      <c r="BV250" s="43">
        <f t="shared" si="448"/>
        <v>6.7500000000000004E-2</v>
      </c>
      <c r="BW250" s="43">
        <f t="shared" si="410"/>
        <v>3.9149999999999997E-2</v>
      </c>
      <c r="BX250" s="43">
        <f t="shared" si="411"/>
        <v>3.914999999999999E-2</v>
      </c>
      <c r="BY250" s="43">
        <f t="shared" si="449"/>
        <v>6.7500000000000004E-2</v>
      </c>
      <c r="BZ250" s="43">
        <f t="shared" si="450"/>
        <v>0</v>
      </c>
      <c r="CA250" s="43">
        <f t="shared" si="412"/>
        <v>0</v>
      </c>
      <c r="CB250" s="43">
        <f t="shared" si="451"/>
        <v>2.2499999999999999E-2</v>
      </c>
      <c r="CC250" s="43">
        <f t="shared" si="452"/>
        <v>0</v>
      </c>
      <c r="CD250" s="45">
        <v>0</v>
      </c>
      <c r="CE250" s="43">
        <f t="shared" si="453"/>
        <v>0</v>
      </c>
      <c r="CF250" s="43" t="str">
        <f t="shared" si="454"/>
        <v>NA</v>
      </c>
      <c r="CG250" s="45">
        <v>0</v>
      </c>
    </row>
    <row r="251" spans="1:90" ht="30.75" customHeight="1">
      <c r="A251" s="260" t="s">
        <v>1387</v>
      </c>
      <c r="B251" s="260" t="s">
        <v>1388</v>
      </c>
      <c r="C251" s="260" t="s">
        <v>1286</v>
      </c>
      <c r="D251" s="260" t="s">
        <v>1496</v>
      </c>
      <c r="E251" s="260" t="s">
        <v>1583</v>
      </c>
      <c r="F251" s="260" t="s">
        <v>1593</v>
      </c>
      <c r="G251" s="260" t="s">
        <v>1594</v>
      </c>
      <c r="H251" s="260" t="s">
        <v>1595</v>
      </c>
      <c r="I251" s="260"/>
      <c r="J251" s="260"/>
      <c r="K251" s="260" t="s">
        <v>1596</v>
      </c>
      <c r="L251" s="12" t="s">
        <v>1597</v>
      </c>
      <c r="M251" s="260" t="s">
        <v>140</v>
      </c>
      <c r="N251" s="260" t="s">
        <v>111</v>
      </c>
      <c r="O251" s="260" t="s">
        <v>112</v>
      </c>
      <c r="P251" s="10">
        <v>0</v>
      </c>
      <c r="Q251" s="11">
        <v>60</v>
      </c>
      <c r="R251" s="9">
        <f t="shared" si="441"/>
        <v>28</v>
      </c>
      <c r="S251" s="11">
        <f>VLOOKUP(K251,'1285 EPC'!$K$13:$AK$35,9,0)</f>
        <v>0</v>
      </c>
      <c r="T251" s="11">
        <v>20</v>
      </c>
      <c r="U251" s="11">
        <v>0</v>
      </c>
      <c r="V251" s="11">
        <v>20</v>
      </c>
      <c r="W251" s="11">
        <v>0</v>
      </c>
      <c r="X251" s="11">
        <v>20</v>
      </c>
      <c r="Y251" s="11">
        <v>0</v>
      </c>
      <c r="Z251" s="11">
        <v>20</v>
      </c>
      <c r="AA251" s="11" t="s">
        <v>1598</v>
      </c>
      <c r="AB251" s="11" t="s">
        <v>1599</v>
      </c>
      <c r="AC251" s="11">
        <v>0</v>
      </c>
      <c r="AD251" s="11">
        <v>20</v>
      </c>
      <c r="AE251" s="11">
        <v>0</v>
      </c>
      <c r="AF251" s="11">
        <f>VLOOKUP(K251,'1285 EPC'!$K$13:$AK$35,22,0)</f>
        <v>8</v>
      </c>
      <c r="AG251" s="11" t="str">
        <f>VLOOKUP(K251,'1285 EPC'!$K$13:$AK$35,23,0)</f>
        <v> </v>
      </c>
      <c r="AH251" s="9">
        <f t="shared" si="442"/>
        <v>8</v>
      </c>
      <c r="AI251" s="9" t="str">
        <f>VLOOKUP(K251,'1285 EPC'!$K$13:$AK$35,25,0)</f>
        <v>Municipios con estrategia para mejorar la eficiencia de los prestadores de servicios públicos</v>
      </c>
      <c r="AJ251" s="9" t="str">
        <f>VLOOKUP(K251,'1285 EPC'!$K$13:$AK$35,26,0)</f>
        <v>Para el proyecto de metrología y el Programa Optimización Operacional Emserfusa ESP se encuentra actualizando el componente institucional del proyecto para radicarlo al mecanismo departamental.
El plan de aseguramiento 2021 , se encuentra en proceso de viabilización con el Ministerio de Vivienda, Ciudad y Territorio, donde se tiene proyectada la programación de cada uno de los proyectos que conforman la meta.
Se ejecutaron las obras del proyecto de metrología y control operacional de pérdidas en el sistema urbano de agua potable para los municipios de  La Calera, Nimaima, Pacho y Ubaté, Anapoima, San Juan de Rio Seco, Zipaquirá y Facatativá, donde se realizó el suministro, la instalación y la puesta en marcha de medidores tipo volumétricos cuerpo de plástico, macromediddores electromagnéticos y caja para macromedidor
Para el mes de septiembre se tienen elaborados 20 diagnósticos técnico-operativos, en buenas prácticas operativas en plantas de tratamiento de agua potable a los prestadores priorizados, tambien se suscribieron los respectivos planes de acción, los cuales se encuentra en ejecución: Carmen de Carupa, Quipile, Tibirita, Apulo, Chipaque, Cachipay, Nariño, Cáqueza, Nimaima, Quebradanegra, Guatavita, San Cayetano, Lenguazaque, Pulí, Machetá, Albán, Gachalá, Sibaté, San Bernardo (Portones), Puerto Salgar</v>
      </c>
      <c r="AK251" s="9" t="str">
        <f>VLOOKUP(K251,'1285 EPC'!$K$13:$AK$35,27,0)</f>
        <v> </v>
      </c>
      <c r="AL251" s="11">
        <v>10</v>
      </c>
      <c r="AM251" s="11">
        <v>0</v>
      </c>
      <c r="AN251" s="11">
        <v>10</v>
      </c>
      <c r="AO251" s="11">
        <v>0</v>
      </c>
      <c r="AP251" s="11">
        <v>0</v>
      </c>
      <c r="AQ251" s="11">
        <v>0</v>
      </c>
      <c r="AR251" s="52"/>
      <c r="AS251" s="54">
        <v>3664399722</v>
      </c>
      <c r="AT251" s="54">
        <f t="shared" si="407"/>
        <v>3664399722</v>
      </c>
      <c r="AU251" s="52"/>
      <c r="AV251" s="89">
        <v>4549600000</v>
      </c>
      <c r="AY251" s="89">
        <v>0</v>
      </c>
      <c r="AZ251" s="42">
        <f t="shared" si="443"/>
        <v>0.46666666666666667</v>
      </c>
      <c r="BA251" s="44">
        <v>0.33329999999999999</v>
      </c>
      <c r="BB251" s="44">
        <v>1</v>
      </c>
      <c r="BC251" s="42">
        <f t="shared" si="444"/>
        <v>0.33333333333333331</v>
      </c>
      <c r="BD251" s="42" cm="1">
        <f t="array" ref="BD251">_xlfn.IFS(AD251=0,"NA",AD251&gt;0,AH251/AD251)</f>
        <v>0.4</v>
      </c>
      <c r="BE251" s="42">
        <f t="shared" si="445"/>
        <v>0.16666666666666666</v>
      </c>
      <c r="BF251" s="44">
        <v>0</v>
      </c>
      <c r="BG251" s="42">
        <f t="shared" si="446"/>
        <v>0.16666666666666666</v>
      </c>
      <c r="BH251" s="44">
        <v>0</v>
      </c>
      <c r="BI251" s="42">
        <f t="shared" si="447"/>
        <v>0</v>
      </c>
      <c r="BJ251" s="44" t="s">
        <v>115</v>
      </c>
      <c r="BK251" s="42">
        <f t="shared" si="408"/>
        <v>0.46666666666666667</v>
      </c>
      <c r="BL251" s="44">
        <v>1</v>
      </c>
      <c r="BM251" s="42" cm="1">
        <f t="array" ref="BM251">_xlfn.IFS(BD251="NA","NA",BD251&gt;100%,"100%",BD251&lt;100,BD251)</f>
        <v>0.4</v>
      </c>
      <c r="BN251" s="42" cm="1">
        <f t="array" ref="BN251">_xlfn.IFS(BF251="NA","NA",BF251&gt;100%,"100%",BF251&lt;100,BF251)</f>
        <v>0</v>
      </c>
      <c r="BO251" s="42" cm="1">
        <f t="array" ref="BO251">_xlfn.IFS(BH251="NA","NA",BH251&gt;100%,"100%",BH251&lt;100,BH251)</f>
        <v>0</v>
      </c>
      <c r="BP251" s="42" t="str" cm="1">
        <f t="array" ref="BP251">_xlfn.IFS(BJ251="NA","NA",BJ251&gt;100%,"100%",BJ251&lt;100,BJ251)</f>
        <v>NA</v>
      </c>
      <c r="BQ251" s="45">
        <v>0.22500000000000001</v>
      </c>
      <c r="BR251" s="43">
        <f t="shared" si="409"/>
        <v>0.10500000000000001</v>
      </c>
      <c r="BS251" s="45">
        <v>7.4999999999999997E-2</v>
      </c>
      <c r="BT251" s="45">
        <v>7.4999999999999997E-2</v>
      </c>
      <c r="BU251" s="45">
        <v>7.4999999999999997E-2</v>
      </c>
      <c r="BV251" s="43">
        <f t="shared" si="448"/>
        <v>7.4999999999999997E-2</v>
      </c>
      <c r="BW251" s="43">
        <f t="shared" si="410"/>
        <v>0.03</v>
      </c>
      <c r="BX251" s="43">
        <f t="shared" si="411"/>
        <v>3.0000000000000013E-2</v>
      </c>
      <c r="BY251" s="43">
        <f t="shared" si="449"/>
        <v>3.7499999999999999E-2</v>
      </c>
      <c r="BZ251" s="43">
        <f t="shared" si="450"/>
        <v>0</v>
      </c>
      <c r="CA251" s="43">
        <f t="shared" si="412"/>
        <v>0</v>
      </c>
      <c r="CB251" s="43">
        <f t="shared" si="451"/>
        <v>3.7499999999999999E-2</v>
      </c>
      <c r="CC251" s="43">
        <f t="shared" si="452"/>
        <v>0</v>
      </c>
      <c r="CD251" s="45">
        <v>0</v>
      </c>
      <c r="CE251" s="43">
        <f t="shared" si="453"/>
        <v>0</v>
      </c>
      <c r="CF251" s="43" t="str">
        <f t="shared" si="454"/>
        <v>NA</v>
      </c>
      <c r="CG251" s="45">
        <v>0</v>
      </c>
    </row>
    <row r="252" spans="1:90" ht="30.75" customHeight="1">
      <c r="A252" s="260" t="s">
        <v>1387</v>
      </c>
      <c r="B252" s="260" t="s">
        <v>1388</v>
      </c>
      <c r="C252" s="260" t="s">
        <v>1286</v>
      </c>
      <c r="D252" s="260" t="s">
        <v>1496</v>
      </c>
      <c r="E252" s="260" t="s">
        <v>1583</v>
      </c>
      <c r="F252" s="260" t="s">
        <v>1600</v>
      </c>
      <c r="G252" s="260" t="s">
        <v>1601</v>
      </c>
      <c r="H252" s="260" t="s">
        <v>1602</v>
      </c>
      <c r="I252" s="260"/>
      <c r="J252" s="260"/>
      <c r="K252" s="260" t="s">
        <v>1603</v>
      </c>
      <c r="L252" s="12" t="s">
        <v>1604</v>
      </c>
      <c r="M252" s="260" t="s">
        <v>1605</v>
      </c>
      <c r="N252" s="260" t="s">
        <v>111</v>
      </c>
      <c r="O252" s="260" t="s">
        <v>112</v>
      </c>
      <c r="P252" s="10">
        <v>573046</v>
      </c>
      <c r="Q252" s="11">
        <v>50000</v>
      </c>
      <c r="R252" s="9">
        <f t="shared" si="441"/>
        <v>29505</v>
      </c>
      <c r="S252" s="11">
        <f>VLOOKUP(K252,'1285 EPC'!$K$13:$AK$35,9,0)</f>
        <v>0</v>
      </c>
      <c r="T252" s="11">
        <v>4740</v>
      </c>
      <c r="U252" s="11">
        <v>0</v>
      </c>
      <c r="V252" s="11">
        <v>24186</v>
      </c>
      <c r="W252" s="11">
        <v>0</v>
      </c>
      <c r="X252" s="11">
        <v>24186</v>
      </c>
      <c r="Y252" s="11">
        <v>0</v>
      </c>
      <c r="Z252" s="11">
        <v>24186</v>
      </c>
      <c r="AA252" s="11" t="s">
        <v>1606</v>
      </c>
      <c r="AB252" s="11" t="s">
        <v>1607</v>
      </c>
      <c r="AC252" s="11">
        <v>0</v>
      </c>
      <c r="AD252" s="11">
        <v>9509</v>
      </c>
      <c r="AE252" s="11">
        <v>0</v>
      </c>
      <c r="AF252" s="11">
        <f>VLOOKUP(K252,'1285 EPC'!$K$13:$AK$35,22,0)</f>
        <v>5319</v>
      </c>
      <c r="AG252" s="11" t="str">
        <f>VLOOKUP(K252,'1285 EPC'!$K$13:$AK$35,23,0)</f>
        <v> </v>
      </c>
      <c r="AH252" s="9">
        <f t="shared" si="442"/>
        <v>5319</v>
      </c>
      <c r="AI252" s="9" t="str">
        <f>VLOOKUP(K252,'1285 EPC'!$K$13:$AK$35,25,0)</f>
        <v>Nuevas personas con acceso  al servicio de acueducto rural</v>
      </c>
      <c r="AJ252" s="9" t="str">
        <f>VLOOKUP(K252,'1285 EPC'!$K$13:$AK$35,26,0)</f>
        <v>Proyectos Terminados:
Construcción de obras para la optimización y ampliación del sistema de acueducto del centro poblado de Santandercito, municipio de San Antonio del Tequendama – Fase I: optimización de redes de acueducto 80 usuarios nuevos conectados, beneficiando a 176 personas.
Construcción para la optimización del sistema de acueducto y alcantarillado del centro poblado El Puente, municipio de Villeta, 75 usuarios nuevos conectados, beneficiando a 170 personas
Construcción de las obras de captación, conducción, tratamiento, almacenamiento y distribución del nuevo sistema de acueducto del río teusaca para beneficio del casco urbano y centros poblados del municipio de sopó
Al terminar la primera convocatoria del programa agua a la vereda como resultado de los 80 acueductos beneficiados se conectaron al servicio de acueducto rural 4.973 nuevos usuarios
Diseños en Ejecución:
EPC-CI-012-2018 Junín
EPC-CI-016-2019 Bojacá
EPC-CI-024-2019 Bojacá
Diseños aprobados:
Aprobación de diagnóstico y alternativas del Acueducto de la Vereda San Francisco del municipio de Junín
EPC-CI-013-2018 Diseños de detalle acueducto y alcantarillado rural municipio de Gama
Acueductos rurales EPC-CI-024-2019 Bojacá
Acueducto Regional EPC-PDA-C-092-2020 La Mesa Quipile Anapoima
Acueducto Veredal EPC-PDA-C-248-2019 Cucunubá
Acueducto Regional EPC-PDA-C-432-2019 Tena La Mesa
Acueducto Veredal del Muña, San Francisco EPC-PDA-C-501-2017
Pozos Profundos de Zipacón y Ubaté EPC-PDA-C-393-2017
PMAA Zipacón El Ocaso EPC-PDA-C428-2018
Proyectos contratados: 
Municipio de Beltrán con la construcción del plan maestro de acueducto del sector Paquiló y La Popa
Municipio de Sasaima construcción 4 tanques 
PUEAA del Centro Poblado de Sáname del municipio de Fosca
Construcción de 4 Tanques del Acueducto Rural, Vereda Santa Ana, San Vicente, Loma Larga y Cuatro Esquinas (Acualimonar Y Suroccidente Del Municipio De Sasaima - Cundinamarca. 
Construcción Del Plan Maestro De Acueducto De Los Centros Poblados De Paquiló La Popa, Municipio De Beltrán Fase I. 
Construcción De Planta De Tratamiento De Agua Potable Del Acueducto De La Vereda La Unión Municipio De Fómeque  
Construcción De La Planta De Tratamiento De Agua Potable Vereda Alto Grande, Inspección De La Esperanza Municipio De La Mesa, 7 
Construcción De La Planta De Tratamiento De Agua Potable Vereda Santa Teresa Municipio De Sasaima,  
Construcción Tanque De Almacenamiento Acueducto De La Vereda San Benito Del Municipio De Sibaté, 
Acueducto De Las Veredas La Esmeralda, Monte Largo, San Jerónimo, Milán Y Limonal (Incluye Ptap) Del Municipio De Anolaima
Construcción De La PTAP Vereda La Colonia Del Municipio Del Colegio,  
Construcción De La PTAP Vereda Anatolí Municipio De La Mesa, 
Construcción De La PTAP Vereda Buenavista Municipio De La Mesa, 
Construcción De La PTAP Vereda Payacal Municipio De La Mesa, 
Construcción De La PTAP vereda Catalamonte, Municipio De Tena 
Construcción De La PTAP vereda Santa Rita, Municipio De Silvania 
Construcción De La PTAP Inspección Departamental De Subia Central, Municipio De Silvania 
Construcción De La PTAP Vereda Alto De Las Pavas De Subia Central Municipio De Silvania 
Construcción De La PTAP Vereda Liberia Centro, Municipio De Viotá  
Proyectos viabilizados
Tanque de almacenamiento vereda San Benito - Sibaté
Acueducto veredas La Esmeralda, San Jerónimo, Milán y Limonal - Anolaima
Gestión Predial en ejecución:
Apulo/Viotá/Tocaima - Acueducto regional
Guataquí/Nariño/Jerusalén - Acueducto regional
Fosca - Acueducto La Mesita
Sibaté - Tanque San Benito
Tocaima - Acueducto Vereda Morro Azul
Seguimiento
Villeta - Acueducto Rio Tobia
Nimaima -  Acueducto Centro Poblado Tobia 
Anapoima - Acu Las Margaritas
Vergara - Acu Casco Urbano y Vereda El Palmar
Nariño - Tanque La Pola
Fúquene - Acu Capellanía
Junín - PMAA San Roque
Tanque de almacenamiento vereda San benito - Sibaté
Acueducto veredas La Esmeralda, San Jerónimo, Milán y Limonal - Anolaima</v>
      </c>
      <c r="AK252" s="9" t="str">
        <f>VLOOKUP(K252,'1285 EPC'!$K$13:$AK$35,27,0)</f>
        <v xml:space="preserve">Se presentan dificultades en las entregas de los productos terminados por parte de las consultorías, ya se por componentes de dificil revisón o permisos necesarios.
 La subgerencia técnica se encuentra en tramites precontractuales debido a la liquidación del contrato anterior.
se han presentado dificultades en la obtencion de permisos, asi mismo las lluvias que se han presentado han generado suspensiones lo que nos lleva prorrogar los tiempos de terminar los proyectos.
se han presentado dificultades en atender observaciones en los ajustes de los diseños para la radicacion de la solicitud  de contratacion del proyecto.
 Los predios a adquirir se encuentran en trámites y requisitos previos para su adquisición. </v>
      </c>
      <c r="AL252" s="11">
        <v>8208</v>
      </c>
      <c r="AM252" s="11">
        <v>0</v>
      </c>
      <c r="AN252" s="11">
        <v>8097</v>
      </c>
      <c r="AO252" s="11">
        <v>0</v>
      </c>
      <c r="AP252" s="11">
        <v>0</v>
      </c>
      <c r="AQ252" s="11">
        <v>0</v>
      </c>
      <c r="AR252" s="52"/>
      <c r="AS252" s="54">
        <v>14881301221</v>
      </c>
      <c r="AT252" s="54">
        <f t="shared" si="407"/>
        <v>14881301221</v>
      </c>
      <c r="AU252" s="52"/>
      <c r="AV252" s="89">
        <v>12249289238.3381</v>
      </c>
      <c r="AY252" s="89">
        <v>282861787</v>
      </c>
      <c r="AZ252" s="42">
        <f t="shared" si="443"/>
        <v>0.59009999999999996</v>
      </c>
      <c r="BA252" s="44">
        <v>0.48370000000000002</v>
      </c>
      <c r="BB252" s="44">
        <v>1</v>
      </c>
      <c r="BC252" s="42">
        <f t="shared" si="444"/>
        <v>0.19017999999999999</v>
      </c>
      <c r="BD252" s="42" cm="1">
        <f t="array" ref="BD252">_xlfn.IFS(AD252=0,"NA",AD252&gt;0,AH252/AD252)</f>
        <v>0.5593648122831002</v>
      </c>
      <c r="BE252" s="42">
        <f t="shared" si="445"/>
        <v>0.16416</v>
      </c>
      <c r="BF252" s="44">
        <v>0</v>
      </c>
      <c r="BG252" s="42">
        <f t="shared" si="446"/>
        <v>0.16194</v>
      </c>
      <c r="BH252" s="44">
        <v>0</v>
      </c>
      <c r="BI252" s="42">
        <f t="shared" si="447"/>
        <v>0</v>
      </c>
      <c r="BJ252" s="44" t="s">
        <v>115</v>
      </c>
      <c r="BK252" s="42">
        <f t="shared" si="408"/>
        <v>0.59009999999999996</v>
      </c>
      <c r="BL252" s="44">
        <v>1</v>
      </c>
      <c r="BM252" s="42" cm="1">
        <f t="array" ref="BM252">_xlfn.IFS(BD252="NA","NA",BD252&gt;100%,"100%",BD252&lt;100,BD252)</f>
        <v>0.5593648122831002</v>
      </c>
      <c r="BN252" s="42" cm="1">
        <f t="array" ref="BN252">_xlfn.IFS(BF252="NA","NA",BF252&gt;100%,"100%",BF252&lt;100,BF252)</f>
        <v>0</v>
      </c>
      <c r="BO252" s="42" cm="1">
        <f t="array" ref="BO252">_xlfn.IFS(BH252="NA","NA",BH252&gt;100%,"100%",BH252&lt;100,BH252)</f>
        <v>0</v>
      </c>
      <c r="BP252" s="42" t="str" cm="1">
        <f t="array" ref="BP252">_xlfn.IFS(BJ252="NA","NA",BJ252&gt;100%,"100%",BJ252&lt;100,BJ252)</f>
        <v>NA</v>
      </c>
      <c r="BQ252" s="45">
        <v>0.22500000000000001</v>
      </c>
      <c r="BR252" s="43">
        <f t="shared" si="409"/>
        <v>0.13277249999999999</v>
      </c>
      <c r="BS252" s="45">
        <v>0.10879999999999999</v>
      </c>
      <c r="BT252" s="45">
        <v>0.10879999999999999</v>
      </c>
      <c r="BU252" s="45">
        <v>0.10879999999999999</v>
      </c>
      <c r="BV252" s="43">
        <f t="shared" si="448"/>
        <v>4.2790500000000002E-2</v>
      </c>
      <c r="BW252" s="43">
        <f t="shared" si="410"/>
        <v>2.3935500000000002E-2</v>
      </c>
      <c r="BX252" s="43">
        <f t="shared" si="411"/>
        <v>2.3972499999999994E-2</v>
      </c>
      <c r="BY252" s="43">
        <f t="shared" si="449"/>
        <v>3.6935999999999997E-2</v>
      </c>
      <c r="BZ252" s="43">
        <f t="shared" si="450"/>
        <v>0</v>
      </c>
      <c r="CA252" s="43">
        <f t="shared" si="412"/>
        <v>0</v>
      </c>
      <c r="CB252" s="43">
        <f t="shared" si="451"/>
        <v>3.6436500000000004E-2</v>
      </c>
      <c r="CC252" s="43">
        <f t="shared" si="452"/>
        <v>0</v>
      </c>
      <c r="CD252" s="45">
        <v>0</v>
      </c>
      <c r="CE252" s="43">
        <f t="shared" si="453"/>
        <v>0</v>
      </c>
      <c r="CF252" s="43" t="str">
        <f t="shared" si="454"/>
        <v>NA</v>
      </c>
      <c r="CG252" s="45">
        <v>0</v>
      </c>
    </row>
    <row r="253" spans="1:90" ht="30.75" customHeight="1">
      <c r="A253" s="260" t="s">
        <v>1387</v>
      </c>
      <c r="B253" s="260" t="s">
        <v>1388</v>
      </c>
      <c r="C253" s="260" t="s">
        <v>1286</v>
      </c>
      <c r="D253" s="260" t="s">
        <v>1496</v>
      </c>
      <c r="E253" s="260" t="s">
        <v>1583</v>
      </c>
      <c r="F253" s="260" t="s">
        <v>1600</v>
      </c>
      <c r="G253" s="260" t="s">
        <v>1601</v>
      </c>
      <c r="H253" s="260" t="s">
        <v>1608</v>
      </c>
      <c r="I253" s="260"/>
      <c r="J253" s="260"/>
      <c r="K253" s="260" t="s">
        <v>1609</v>
      </c>
      <c r="L253" s="12" t="s">
        <v>1610</v>
      </c>
      <c r="M253" s="260" t="s">
        <v>1611</v>
      </c>
      <c r="N253" s="260" t="s">
        <v>111</v>
      </c>
      <c r="O253" s="260" t="s">
        <v>112</v>
      </c>
      <c r="P253" s="10">
        <v>324</v>
      </c>
      <c r="Q253" s="11">
        <v>400</v>
      </c>
      <c r="R253" s="9">
        <f t="shared" si="441"/>
        <v>80</v>
      </c>
      <c r="S253" s="11">
        <f>VLOOKUP(K253,'1285 EPC'!$K$13:$AK$35,9,0)</f>
        <v>0</v>
      </c>
      <c r="T253" s="11">
        <v>80</v>
      </c>
      <c r="U253" s="11">
        <v>0</v>
      </c>
      <c r="V253" s="11">
        <v>0</v>
      </c>
      <c r="W253" s="11">
        <v>0</v>
      </c>
      <c r="X253" s="11">
        <v>0</v>
      </c>
      <c r="Y253" s="11">
        <v>0</v>
      </c>
      <c r="Z253" s="11">
        <v>0</v>
      </c>
      <c r="AA253" s="11"/>
      <c r="AB253" s="11"/>
      <c r="AC253" s="11"/>
      <c r="AD253" s="11">
        <v>230</v>
      </c>
      <c r="AE253" s="11">
        <v>0</v>
      </c>
      <c r="AF253" s="11">
        <f>VLOOKUP(K253,'1285 EPC'!$K$13:$AK$35,22,0)</f>
        <v>80</v>
      </c>
      <c r="AG253" s="11" t="str">
        <f>VLOOKUP(K253,'1285 EPC'!$K$13:$AK$35,23,0)</f>
        <v> </v>
      </c>
      <c r="AH253" s="9">
        <f t="shared" si="442"/>
        <v>80</v>
      </c>
      <c r="AI253" s="9" t="str">
        <f>VLOOKUP(K253,'1285 EPC'!$K$13:$AK$35,25,0)</f>
        <v> </v>
      </c>
      <c r="AJ253" s="9" t="str">
        <f>VLOOKUP(K253,'1285 EPC'!$K$13:$AK$35,26,0)</f>
        <v>Se fortalecieron 80 sistemas de acueducto rurales en 32 municipios con el componente de fortalecimiento técnico en un 100%
Se están realizando las visitas para los 103 acueducto que cumplieron con la revisión documental. Dicha revisión se realizará con el personal técnico contratado por FONDECUN. Una vez terminado el proceso de diagnóstico se realizará la selección de los 80 acueductos para la firma de los contratos.
Se empezó la estructuración del plan de aseguramiento 2021 en donde se tiene proyectado adelantar la segunda convocatoria para el programa agua a la vereda
En este período se realiza la firma de convenios entre FONDECUN y los 80 operadores seleccionados.
Fondecun inicia en el mes de junio la fase contractual para los 80 prestadores de la vigencia 2020, Se formularon 80 planes de acción, y se ejecutó en un 100% el componente institucional el cual se encuentra en proceso de entrega a los acueductos,  el componente de fortalecimiento técnico tiene un avance físico en promedio del 30.83% entre los 80 beneficiados
La fase 2021 (150 prestadores) no ha iniciado, se está a la espera de la aprobación del plan de aseguramiento</v>
      </c>
      <c r="AK253" s="9" t="str">
        <f>VLOOKUP(K253,'1285 EPC'!$K$13:$AK$35,27,0)</f>
        <v> </v>
      </c>
      <c r="AL253" s="11">
        <v>100</v>
      </c>
      <c r="AM253" s="11">
        <v>0</v>
      </c>
      <c r="AN253" s="11">
        <v>70</v>
      </c>
      <c r="AO253" s="11">
        <v>0</v>
      </c>
      <c r="AP253" s="11">
        <v>0</v>
      </c>
      <c r="AQ253" s="11">
        <v>0</v>
      </c>
      <c r="AR253" s="52"/>
      <c r="AS253" s="54">
        <v>5120000000</v>
      </c>
      <c r="AT253" s="54">
        <f t="shared" si="407"/>
        <v>5120000000</v>
      </c>
      <c r="AU253" s="52"/>
      <c r="AV253" s="89">
        <v>15126923077</v>
      </c>
      <c r="AY253" s="89">
        <v>879000000</v>
      </c>
      <c r="AZ253" s="42">
        <f t="shared" si="443"/>
        <v>0.2</v>
      </c>
      <c r="BA253" s="44">
        <v>0</v>
      </c>
      <c r="BB253" s="44" t="s">
        <v>115</v>
      </c>
      <c r="BC253" s="42">
        <f t="shared" si="444"/>
        <v>0.57499999999999996</v>
      </c>
      <c r="BD253" s="42" cm="1">
        <f t="array" ref="BD253">_xlfn.IFS(AD253=0,"NA",AD253&gt;0,AH253/AD253)</f>
        <v>0.34782608695652173</v>
      </c>
      <c r="BE253" s="42">
        <f t="shared" si="445"/>
        <v>0.25</v>
      </c>
      <c r="BF253" s="44">
        <v>0</v>
      </c>
      <c r="BG253" s="42">
        <f t="shared" si="446"/>
        <v>0.17499999999999999</v>
      </c>
      <c r="BH253" s="44">
        <v>0</v>
      </c>
      <c r="BI253" s="42">
        <f t="shared" si="447"/>
        <v>0</v>
      </c>
      <c r="BJ253" s="44" t="s">
        <v>115</v>
      </c>
      <c r="BK253" s="42">
        <f t="shared" si="408"/>
        <v>0.2</v>
      </c>
      <c r="BL253" s="44" t="s">
        <v>115</v>
      </c>
      <c r="BM253" s="42" cm="1">
        <f t="array" ref="BM253">_xlfn.IFS(BD253="NA","NA",BD253&gt;100%,"100%",BD253&lt;100,BD253)</f>
        <v>0.34782608695652173</v>
      </c>
      <c r="BN253" s="42" cm="1">
        <f t="array" ref="BN253">_xlfn.IFS(BF253="NA","NA",BF253&gt;100%,"100%",BF253&lt;100,BF253)</f>
        <v>0</v>
      </c>
      <c r="BO253" s="42" cm="1">
        <f t="array" ref="BO253">_xlfn.IFS(BH253="NA","NA",BH253&gt;100%,"100%",BH253&lt;100,BH253)</f>
        <v>0</v>
      </c>
      <c r="BP253" s="42" t="str" cm="1">
        <f t="array" ref="BP253">_xlfn.IFS(BJ253="NA","NA",BJ253&gt;100%,"100%",BJ253&lt;100,BJ253)</f>
        <v>NA</v>
      </c>
      <c r="BQ253" s="45">
        <v>0.22500000000000001</v>
      </c>
      <c r="BR253" s="43">
        <f t="shared" si="409"/>
        <v>4.5000000000000005E-2</v>
      </c>
      <c r="BS253" s="45">
        <v>0</v>
      </c>
      <c r="BT253" s="45" t="s">
        <v>115</v>
      </c>
      <c r="BU253" s="45">
        <v>0</v>
      </c>
      <c r="BV253" s="43">
        <f t="shared" si="448"/>
        <v>0.12937499999999999</v>
      </c>
      <c r="BW253" s="43">
        <f t="shared" si="410"/>
        <v>4.4999999999999998E-2</v>
      </c>
      <c r="BX253" s="43">
        <f t="shared" si="411"/>
        <v>4.5000000000000005E-2</v>
      </c>
      <c r="BY253" s="43">
        <f t="shared" si="449"/>
        <v>5.6250000000000001E-2</v>
      </c>
      <c r="BZ253" s="43">
        <f t="shared" si="450"/>
        <v>0</v>
      </c>
      <c r="CA253" s="43">
        <f t="shared" si="412"/>
        <v>0</v>
      </c>
      <c r="CB253" s="43">
        <f t="shared" si="451"/>
        <v>3.9375E-2</v>
      </c>
      <c r="CC253" s="43">
        <f t="shared" si="452"/>
        <v>0</v>
      </c>
      <c r="CD253" s="45">
        <v>0</v>
      </c>
      <c r="CE253" s="43">
        <f t="shared" si="453"/>
        <v>0</v>
      </c>
      <c r="CF253" s="43" t="str">
        <f t="shared" si="454"/>
        <v>NA</v>
      </c>
      <c r="CG253" s="45">
        <v>0</v>
      </c>
    </row>
    <row r="254" spans="1:90" ht="30.75" customHeight="1">
      <c r="A254" s="260" t="s">
        <v>1387</v>
      </c>
      <c r="B254" s="260" t="s">
        <v>1388</v>
      </c>
      <c r="C254" s="260" t="s">
        <v>1286</v>
      </c>
      <c r="D254" s="260" t="s">
        <v>1496</v>
      </c>
      <c r="E254" s="260" t="s">
        <v>1583</v>
      </c>
      <c r="F254" s="260" t="s">
        <v>1612</v>
      </c>
      <c r="G254" s="260" t="s">
        <v>1613</v>
      </c>
      <c r="H254" s="260" t="s">
        <v>1614</v>
      </c>
      <c r="I254" s="260"/>
      <c r="J254" s="260"/>
      <c r="K254" s="260" t="s">
        <v>1615</v>
      </c>
      <c r="L254" s="12" t="s">
        <v>1616</v>
      </c>
      <c r="M254" s="260" t="s">
        <v>1617</v>
      </c>
      <c r="N254" s="260" t="s">
        <v>111</v>
      </c>
      <c r="O254" s="260" t="s">
        <v>112</v>
      </c>
      <c r="P254" s="10">
        <v>2200674</v>
      </c>
      <c r="Q254" s="11">
        <v>488000</v>
      </c>
      <c r="R254" s="9">
        <f t="shared" si="441"/>
        <v>199367</v>
      </c>
      <c r="S254" s="11">
        <f>VLOOKUP(K254,'1285 EPC'!$K$13:$AK$35,9,0)</f>
        <v>0</v>
      </c>
      <c r="T254" s="11">
        <v>2866</v>
      </c>
      <c r="U254" s="11">
        <v>0</v>
      </c>
      <c r="V254" s="11">
        <v>148313</v>
      </c>
      <c r="W254" s="11">
        <v>0</v>
      </c>
      <c r="X254" s="11">
        <v>148313</v>
      </c>
      <c r="Y254" s="11">
        <v>0</v>
      </c>
      <c r="Z254" s="11">
        <v>148313</v>
      </c>
      <c r="AA254" s="11" t="s">
        <v>1618</v>
      </c>
      <c r="AB254" s="11" t="s">
        <v>1619</v>
      </c>
      <c r="AC254" s="11">
        <v>0</v>
      </c>
      <c r="AD254" s="11">
        <v>123706</v>
      </c>
      <c r="AE254" s="11">
        <v>0</v>
      </c>
      <c r="AF254" s="11">
        <f>VLOOKUP(K254,'1285 EPC'!$K$13:$AK$35,22,0)</f>
        <v>51054</v>
      </c>
      <c r="AG254" s="11" t="str">
        <f>VLOOKUP(K254,'1285 EPC'!$K$13:$AK$35,23,0)</f>
        <v> </v>
      </c>
      <c r="AH254" s="9">
        <f t="shared" si="442"/>
        <v>51054</v>
      </c>
      <c r="AI254" s="9" t="str">
        <f>VLOOKUP(K254,'1285 EPC'!$K$13:$AK$35,25,0)</f>
        <v>Nuevas personas con acceso  al servicio de acueducto urbano</v>
      </c>
      <c r="AJ254" s="9" t="str">
        <f>VLOOKUP(K254,'1285 EPC'!$K$13:$AK$35,26,0)</f>
        <v>Nuevas conexiones: Al hacer seguimiento a los nuevos usuarios  del servicio de acueducto urbano conectados a través de los prestadores, se realiza una encuesta a los prestadores del Departamento, la cual arroja el siguiente resultado:  51.054 nuevas personas beneficiadas con  el servicio de acueducto.
Proyectos terminados:  se logró la terminación del proyecto optimización del acueducto de manta por un valor de $2.370 conectando a 12 usuarios nuevos al servicio, conectando a 21 habitantes nuevos.
Se logró la culminación del proyecto de Facatativá cuyo objeto es "Reposición del pozo subterráneo Deudoro Aponte del Sistema de acueducto del casco urbano del municipio de Facatativá 
Construcción de las Obras del Plan Maestro del Acueducto y Alcantarillado Municipio De Arbeláez no conecta usuarios nuevos al servicio. 
Diseños aprobados:
EPC-PDA-C-433-2019 San Cayetano
EPC-CI-141-2017 Plan maestro de acueducto y alcantarillado de Supatá; incluye PTAP
EPC-PDA-C-393-2017 Pozo Profundo de Pulí 
 Diseños en proceso de aprobación
EPC-PDA-C-286-2018 Aguasiso
Viabilización de proyectos 
Acueducto - Guayabal de Síquima
Tanque de almacenamiento casco urbano de Sutatausa
Optimización del sistema de acueducto de La Palma 
Proyectos contratados:
Optimización de la planta de tratamiento de agua potable en el municipio de Guasca
Construcción del sistema de aducción, conducción de la red de apoyo del acueducto urbano y optimización de la planta de tratamiento de agua potable del municipio de Guayabal de Síquima
Construcción Del Tanque Compensación De 10.000 M3 Como Estructura Complementaria Al Sistema De Servicio De Acueducto En El Municipio De Cajicá 
Construcción Tanque De Almacenamiento De Agua Potable Para El Casco Urbano Del Municipio De Sutatausa Construcción De Las Obras De Captación, Conducción, Tratamiento, Almacenamiento Y Distribución Del Nuevo Sistema De Acueducto Del Rio Teusaca Para Beneficio Del Casco Urbano Y Centros Poblados Del Municipio De Sopo 
Gestión predial en Ejecución:
Ubalá - Plan Maestro de Acueducto y Alcantarillado
La Calera - Acueducto
Seguimiento
Medina - Plan Maestro Acueducto
Fómeque - Plan Maestro Acueducto y Alcantarillado
Sibaté - PMAA fase II: Acueducto
Topaipí - Plan Maestro de Acueducto y Alcantarillado
Facatativá - Plan Maestro de Acueducto y Alcantarillado Chipaque - Plan Maestro de Acueducto
Zipacón - Plan Maestro de Acueducto
Tanque de almacenamiento casco urbano de Sutatausa
Optimización del sistema de acueducto de La Palma</v>
      </c>
      <c r="AK254" s="9" t="str">
        <f>VLOOKUP(K254,'1285 EPC'!$K$13:$AK$35,27,0)</f>
        <v>Se presentan dificultades en las entregas de los productos terminados por parte de las consultorías, ya se por componentes de dificil revisón o permisos necesarios.
 La subgerencia técnica se encuentra en tramites precontractuales debido a la liquidación del contrato anterior.
se han presentado dificultades en la obtencion de permisos, asi mismo las lluvias que se han presentado han generado suspensiones lo que nos lleva prorrogar los tiempos de terminar los proyectos.
se han presentado dificultades en atender observaciones en los ajustes de los diseños para la radicacion de la solicitud  de contratacion del proyecto.</v>
      </c>
      <c r="AL254" s="11">
        <v>111069</v>
      </c>
      <c r="AM254" s="11">
        <v>0</v>
      </c>
      <c r="AN254" s="11">
        <v>104912</v>
      </c>
      <c r="AO254" s="11">
        <v>0</v>
      </c>
      <c r="AP254" s="11">
        <v>0</v>
      </c>
      <c r="AQ254" s="11">
        <v>0</v>
      </c>
      <c r="AR254" s="52"/>
      <c r="AS254" s="54">
        <v>25123655738</v>
      </c>
      <c r="AT254" s="54">
        <f t="shared" si="407"/>
        <v>25123655738</v>
      </c>
      <c r="AU254" s="52"/>
      <c r="AV254" s="89">
        <v>7412849559.9367371</v>
      </c>
      <c r="AY254" s="89">
        <v>736751307.80000007</v>
      </c>
      <c r="AZ254" s="42">
        <f t="shared" si="443"/>
        <v>0.40853893442622952</v>
      </c>
      <c r="BA254" s="44">
        <v>0.3039</v>
      </c>
      <c r="BB254" s="44">
        <v>1</v>
      </c>
      <c r="BC254" s="42">
        <f t="shared" si="444"/>
        <v>0.25349590163934427</v>
      </c>
      <c r="BD254" s="42" cm="1">
        <f t="array" ref="BD254">_xlfn.IFS(AD254=0,"NA",AD254&gt;0,AH254/AD254)</f>
        <v>0.41270431506960048</v>
      </c>
      <c r="BE254" s="42">
        <f t="shared" si="445"/>
        <v>0.22760040983606558</v>
      </c>
      <c r="BF254" s="44">
        <v>0</v>
      </c>
      <c r="BG254" s="42">
        <f t="shared" si="446"/>
        <v>0.21498360655737705</v>
      </c>
      <c r="BH254" s="44">
        <v>0</v>
      </c>
      <c r="BI254" s="42">
        <f t="shared" si="447"/>
        <v>0</v>
      </c>
      <c r="BJ254" s="44" t="s">
        <v>115</v>
      </c>
      <c r="BK254" s="42">
        <f t="shared" si="408"/>
        <v>0.40853893442622952</v>
      </c>
      <c r="BL254" s="44">
        <v>1</v>
      </c>
      <c r="BM254" s="42" cm="1">
        <f t="array" ref="BM254">_xlfn.IFS(BD254="NA","NA",BD254&gt;100%,"100%",BD254&lt;100,BD254)</f>
        <v>0.41270431506960048</v>
      </c>
      <c r="BN254" s="42" cm="1">
        <f t="array" ref="BN254">_xlfn.IFS(BF254="NA","NA",BF254&gt;100%,"100%",BF254&lt;100,BF254)</f>
        <v>0</v>
      </c>
      <c r="BO254" s="42" cm="1">
        <f t="array" ref="BO254">_xlfn.IFS(BH254="NA","NA",BH254&gt;100%,"100%",BH254&lt;100,BH254)</f>
        <v>0</v>
      </c>
      <c r="BP254" s="42" t="str" cm="1">
        <f t="array" ref="BP254">_xlfn.IFS(BJ254="NA","NA",BJ254&gt;100%,"100%",BJ254&lt;100,BJ254)</f>
        <v>NA</v>
      </c>
      <c r="BQ254" s="45">
        <v>0.22500000000000001</v>
      </c>
      <c r="BR254" s="43">
        <f t="shared" si="409"/>
        <v>9.1921260245901637E-2</v>
      </c>
      <c r="BS254" s="45">
        <v>6.8400000000000002E-2</v>
      </c>
      <c r="BT254" s="45">
        <v>6.8400000000000002E-2</v>
      </c>
      <c r="BU254" s="45">
        <v>6.8400000000000002E-2</v>
      </c>
      <c r="BV254" s="43">
        <f t="shared" si="448"/>
        <v>5.703657786885246E-2</v>
      </c>
      <c r="BW254" s="43">
        <f t="shared" si="410"/>
        <v>2.3539241803278689E-2</v>
      </c>
      <c r="BX254" s="43">
        <f t="shared" si="411"/>
        <v>2.3521260245901635E-2</v>
      </c>
      <c r="BY254" s="43">
        <f t="shared" si="449"/>
        <v>5.1210092213114754E-2</v>
      </c>
      <c r="BZ254" s="43">
        <f t="shared" si="450"/>
        <v>0</v>
      </c>
      <c r="CA254" s="43">
        <f t="shared" si="412"/>
        <v>0</v>
      </c>
      <c r="CB254" s="43">
        <f t="shared" si="451"/>
        <v>4.8371311475409837E-2</v>
      </c>
      <c r="CC254" s="43">
        <f t="shared" si="452"/>
        <v>0</v>
      </c>
      <c r="CD254" s="45">
        <v>0</v>
      </c>
      <c r="CE254" s="43">
        <f t="shared" si="453"/>
        <v>0</v>
      </c>
      <c r="CF254" s="43" t="str">
        <f t="shared" si="454"/>
        <v>NA</v>
      </c>
      <c r="CG254" s="45">
        <v>0</v>
      </c>
    </row>
    <row r="255" spans="1:90" ht="30.75" customHeight="1">
      <c r="A255" s="260" t="s">
        <v>1387</v>
      </c>
      <c r="B255" s="260" t="s">
        <v>1388</v>
      </c>
      <c r="C255" s="260" t="s">
        <v>1286</v>
      </c>
      <c r="D255" s="260" t="s">
        <v>1496</v>
      </c>
      <c r="E255" s="260" t="s">
        <v>1583</v>
      </c>
      <c r="F255" s="260" t="s">
        <v>1620</v>
      </c>
      <c r="G255" s="260" t="s">
        <v>1621</v>
      </c>
      <c r="H255" s="260" t="s">
        <v>1622</v>
      </c>
      <c r="I255" s="260"/>
      <c r="J255" s="260"/>
      <c r="K255" s="260" t="s">
        <v>1623</v>
      </c>
      <c r="L255" s="12" t="s">
        <v>2986</v>
      </c>
      <c r="M255" s="260" t="s">
        <v>2987</v>
      </c>
      <c r="N255" s="260" t="s">
        <v>111</v>
      </c>
      <c r="O255" s="260" t="s">
        <v>112</v>
      </c>
      <c r="P255" s="10">
        <v>211843</v>
      </c>
      <c r="Q255" s="11">
        <v>60000</v>
      </c>
      <c r="R255" s="9">
        <f t="shared" si="441"/>
        <v>24721</v>
      </c>
      <c r="S255" s="11">
        <f>VLOOKUP(K255,'1285 EPC'!$K$13:$AK$35,9,0)</f>
        <v>0</v>
      </c>
      <c r="T255" s="11">
        <v>1159</v>
      </c>
      <c r="U255" s="11">
        <v>0</v>
      </c>
      <c r="V255" s="11">
        <v>22507</v>
      </c>
      <c r="W255" s="11">
        <v>0</v>
      </c>
      <c r="X255" s="11">
        <v>22507</v>
      </c>
      <c r="Y255" s="11">
        <v>0</v>
      </c>
      <c r="Z255" s="11">
        <v>22507</v>
      </c>
      <c r="AA255" s="11" t="s">
        <v>1626</v>
      </c>
      <c r="AB255" s="11" t="s">
        <v>1627</v>
      </c>
      <c r="AC255" s="11">
        <v>0</v>
      </c>
      <c r="AD255" s="11">
        <v>12580</v>
      </c>
      <c r="AE255" s="11">
        <v>0</v>
      </c>
      <c r="AF255" s="11">
        <f>VLOOKUP(K255,'1285 EPC'!$K$13:$AK$35,22,0)</f>
        <v>2214</v>
      </c>
      <c r="AG255" s="11" t="str">
        <f>VLOOKUP(K255,'1285 EPC'!$K$13:$AK$35,23,0)</f>
        <v> </v>
      </c>
      <c r="AH255" s="9">
        <f t="shared" si="442"/>
        <v>2214</v>
      </c>
      <c r="AI255" s="9" t="str">
        <f>VLOOKUP(K255,'1285 EPC'!$K$13:$AK$35,25,0)</f>
        <v>Nuevas personas con acceso  al servicio de alcantarillado rural</v>
      </c>
      <c r="AJ255" s="9" t="str">
        <f>VLOOKUP(K255,'1285 EPC'!$K$13:$AK$35,26,0)</f>
        <v>Proyectos Terminados:
Emisario final en alcantarillado pluvial en el Municipio de Cachipay, el cual beneficio a  585 personas al servicio. (el proyecto no realiza conexiones)
Construcción de colectores y emisarios final fase 2 (alcantarillado residual) para el centro poblado Peña Negra municipio de Cachipay, con el cual se realizaron 50 conexiones nuevas para un total de 90 nuevas personas con acceso al servicio de alcantarillado
Construcción para la optimización del sistema de acueducto y alcantarillado del centro poblado El Puente, municipio de Villeta, 75 usuarios nuevos conectados, beneficiando a 170 personas
Unidades terminadas:
Fúquene 32 Unidades Sanitarias beneficiando a 52 personas
Fosca 30 Unidades Sanitarias beneficiando a 74 personas
La Palma 50 Unidades Sanitarias beneficiando a 115 personas
Tibirita 31 Unidades Sanitarias beneficiando a 47 personas
Villapinzon 25 Unidades Sanitarias beneficiando a 74 personas
Vergara 75 Unidades Sanitarias beneficiando a 198 personas 
Se logro la conexión con proyectos de unidades sanitarias en los municipios de: 
La Palma 47 Unidades Sanitarias beneficiando a	
Guaduas 100 Unidades Sanitarias beneficiando a	 258 personas
Quetame 50 Unidades Sanitarias beneficiando a 104 personas
Junín 38 Unidades Sanitarias beneficiando a 59 personas
Granada 65 Unidades Sanitarias beneficiando a 165 personas
Zipacón 90 Unidades Sanitarias beneficiando a 189 personas
Paime 47 Unidades Sanitarias beneficiando a 110 personas
Viotá 223 Unidades Sanitarias beneficiando a 427 personas
Machetá 47 Unidades Sanitarias beneficiando a
Diseños Terminados: 
Aprobación de diagnóstico y alternativas de la PTAR de Mata de Guadua, Anolaima.
Aprobación de diagnóstico y alternativas de plan maestro de alcantarillado de centro poblado de alto de trigo, Guaduas.
Estudios y diseños de la actualización de alcantarillado de san roque del municipio de Junín
Diseños de detalle Acueducto y Alcantarillado municipio de Gama
PMAA Zipacón El Ocaso EPC-PDA-C428-2018
Alcantarillado Anapoima Rural San Judas Bajo y La Estrella EPC-CI-078-2017 
Proyectos contratados:
Construcción alcantarillado sanitario y pluvial del centro poblado Pasoancho de Zipaquirá.
Construcción de las obras plan maestro de alcantarillado del centro poblado Cumaca, de Tibacuy.
Construcción, mejoramiento y adecuación del canal natural de aguas lluvias que atraviesa los barrios Santa Barbara, Luis Carlos Galán, Las Quintas y barrio El Centro de Guataquí.
Proyectos Unidades Sanitarias Viabilizadas:
9 proyectos de unidades sanitarias con un numero de 511 unidades sanitarias en los municipios de Gachalá etapa I Y II, Nemocón, Yacopí, Nocaima, Quipile etapa I Y II, San Antonio del Tequendama,  y Jerusalén, Gama
Gama: 50 unidades, Gachalá Etapa 1: 46 unidades, Gachalá etapa II: 50 Unidades, Nemocón: 70 Unidades, Yacopí: 80 Unidades, Nocaima: 44 Unidades, Quipile etapa I: 25 Unidades, Quipile etapa II: 50 Unidades, San Antonio Tequendama :117 Unidades, Jerusalén: 29 Unidades, San Bernardo: 51 Unidades, San Bernardo: 46 unidades
Gestión Predial
Seguimiento
Junín - Alcantarillado San Roque</v>
      </c>
      <c r="AK255" s="9" t="str">
        <f>VLOOKUP(K255,'1285 EPC'!$K$13:$AK$35,27,0)</f>
        <v xml:space="preserve"> Se presentan dificultades en las entregas de los productos terminados por parte de las consultorías, ya se por componentes de dificil revisón o permisos necesarios.
Retrasos en las consultorías de diseños, para poder trámitar los respectivos permisos
Tiempos de evaluación técnica por parte de la Corporación
Se han presentado dificultades en atender observaciones en los ajustes de los diseños para la radicacion de la solicitud  de contratacion del proyecto.
Obtencion de certificacion por parte de los municipios. 
 Los predios a adquirir se encuentran en trámites y requisitos previos para su adquisición. </v>
      </c>
      <c r="AL255" s="11">
        <v>12456</v>
      </c>
      <c r="AM255" s="11">
        <v>0</v>
      </c>
      <c r="AN255" s="11">
        <v>12457</v>
      </c>
      <c r="AO255" s="11">
        <v>0</v>
      </c>
      <c r="AP255" s="11">
        <v>0</v>
      </c>
      <c r="AQ255" s="11">
        <v>0</v>
      </c>
      <c r="AR255" s="52"/>
      <c r="AS255" s="54">
        <v>21497101404</v>
      </c>
      <c r="AT255" s="54">
        <f t="shared" si="407"/>
        <v>21497101404</v>
      </c>
      <c r="AU255" s="52"/>
      <c r="AV255" s="89">
        <v>10292995762.720478</v>
      </c>
      <c r="AY255" s="89">
        <v>273421483.5</v>
      </c>
      <c r="AZ255" s="42">
        <f t="shared" si="443"/>
        <v>0.41201666666666664</v>
      </c>
      <c r="BA255" s="44">
        <v>0.37509999999999999</v>
      </c>
      <c r="BB255" s="44">
        <v>1</v>
      </c>
      <c r="BC255" s="42">
        <f t="shared" si="444"/>
        <v>0.20966666666666667</v>
      </c>
      <c r="BD255" s="42" cm="1">
        <f t="array" ref="BD255">_xlfn.IFS(AD255=0,"NA",AD255&gt;0,AH255/AD255)</f>
        <v>0.17599364069952306</v>
      </c>
      <c r="BE255" s="42">
        <f t="shared" si="445"/>
        <v>0.20760000000000001</v>
      </c>
      <c r="BF255" s="44">
        <v>0</v>
      </c>
      <c r="BG255" s="42">
        <f t="shared" si="446"/>
        <v>0.20761666666666667</v>
      </c>
      <c r="BH255" s="44">
        <v>0</v>
      </c>
      <c r="BI255" s="42">
        <f t="shared" si="447"/>
        <v>0</v>
      </c>
      <c r="BJ255" s="44" t="s">
        <v>115</v>
      </c>
      <c r="BK255" s="42">
        <f t="shared" si="408"/>
        <v>0.41201666666666664</v>
      </c>
      <c r="BL255" s="44">
        <v>1</v>
      </c>
      <c r="BM255" s="42" cm="1">
        <f t="array" ref="BM255">_xlfn.IFS(BD255="NA","NA",BD255&gt;100%,"100%",BD255&lt;100,BD255)</f>
        <v>0.17599364069952306</v>
      </c>
      <c r="BN255" s="42" cm="1">
        <f t="array" ref="BN255">_xlfn.IFS(BF255="NA","NA",BF255&gt;100%,"100%",BF255&lt;100,BF255)</f>
        <v>0</v>
      </c>
      <c r="BO255" s="42" cm="1">
        <f t="array" ref="BO255">_xlfn.IFS(BH255="NA","NA",BH255&gt;100%,"100%",BH255&lt;100,BH255)</f>
        <v>0</v>
      </c>
      <c r="BP255" s="42" t="str" cm="1">
        <f t="array" ref="BP255">_xlfn.IFS(BJ255="NA","NA",BJ255&gt;100%,"100%",BJ255&lt;100,BJ255)</f>
        <v>NA</v>
      </c>
      <c r="BQ255" s="45">
        <v>0.22500000000000001</v>
      </c>
      <c r="BR255" s="43">
        <f t="shared" si="409"/>
        <v>9.2703750000000001E-2</v>
      </c>
      <c r="BS255" s="45">
        <v>8.4400000000000003E-2</v>
      </c>
      <c r="BT255" s="45">
        <v>8.4400000000000003E-2</v>
      </c>
      <c r="BU255" s="45">
        <v>8.4400000000000003E-2</v>
      </c>
      <c r="BV255" s="43">
        <f t="shared" si="448"/>
        <v>4.7175000000000002E-2</v>
      </c>
      <c r="BW255" s="43">
        <f t="shared" si="410"/>
        <v>8.3025000000000009E-3</v>
      </c>
      <c r="BX255" s="43">
        <f t="shared" si="411"/>
        <v>8.3037499999999986E-3</v>
      </c>
      <c r="BY255" s="43">
        <f t="shared" si="449"/>
        <v>4.6710000000000002E-2</v>
      </c>
      <c r="BZ255" s="43">
        <f t="shared" si="450"/>
        <v>0</v>
      </c>
      <c r="CA255" s="43">
        <f t="shared" si="412"/>
        <v>0</v>
      </c>
      <c r="CB255" s="43">
        <f t="shared" si="451"/>
        <v>4.6713750000000005E-2</v>
      </c>
      <c r="CC255" s="43">
        <f t="shared" si="452"/>
        <v>0</v>
      </c>
      <c r="CD255" s="45">
        <v>0</v>
      </c>
      <c r="CE255" s="43">
        <f t="shared" si="453"/>
        <v>0</v>
      </c>
      <c r="CF255" s="43" t="str">
        <f t="shared" si="454"/>
        <v>NA</v>
      </c>
      <c r="CG255" s="45">
        <v>0</v>
      </c>
    </row>
    <row r="256" spans="1:90" ht="30.75" customHeight="1">
      <c r="A256" s="260" t="s">
        <v>1387</v>
      </c>
      <c r="B256" s="260" t="s">
        <v>1388</v>
      </c>
      <c r="C256" s="260" t="s">
        <v>1286</v>
      </c>
      <c r="D256" s="260" t="s">
        <v>1496</v>
      </c>
      <c r="E256" s="260" t="s">
        <v>1583</v>
      </c>
      <c r="F256" s="260" t="s">
        <v>1628</v>
      </c>
      <c r="G256" s="260" t="s">
        <v>1629</v>
      </c>
      <c r="H256" s="260" t="s">
        <v>1630</v>
      </c>
      <c r="I256" s="260"/>
      <c r="J256" s="260"/>
      <c r="K256" s="260" t="s">
        <v>1631</v>
      </c>
      <c r="L256" s="12" t="s">
        <v>1632</v>
      </c>
      <c r="M256" s="260" t="s">
        <v>1633</v>
      </c>
      <c r="N256" s="260" t="s">
        <v>111</v>
      </c>
      <c r="O256" s="260" t="s">
        <v>112</v>
      </c>
      <c r="P256" s="10">
        <v>2172997</v>
      </c>
      <c r="Q256" s="11">
        <v>496000</v>
      </c>
      <c r="R256" s="9">
        <f t="shared" si="441"/>
        <v>98143</v>
      </c>
      <c r="S256" s="11">
        <f>VLOOKUP(K256,'1285 EPC'!$K$13:$AK$35,9,0)</f>
        <v>0</v>
      </c>
      <c r="T256" s="11">
        <v>5757</v>
      </c>
      <c r="U256" s="11">
        <v>0</v>
      </c>
      <c r="V256" s="11">
        <v>39734</v>
      </c>
      <c r="W256" s="11">
        <v>0</v>
      </c>
      <c r="X256" s="11">
        <v>39734</v>
      </c>
      <c r="Y256" s="11">
        <v>0</v>
      </c>
      <c r="Z256" s="11">
        <v>39734</v>
      </c>
      <c r="AA256" s="11" t="s">
        <v>1634</v>
      </c>
      <c r="AB256" s="11" t="s">
        <v>1635</v>
      </c>
      <c r="AC256" s="11">
        <v>0</v>
      </c>
      <c r="AD256" s="11">
        <v>157803</v>
      </c>
      <c r="AE256" s="11">
        <v>0</v>
      </c>
      <c r="AF256" s="11">
        <f>VLOOKUP(K256,'1285 EPC'!$K$13:$AK$35,22,0)</f>
        <v>58409</v>
      </c>
      <c r="AG256" s="11" t="str">
        <f>VLOOKUP(K256,'1285 EPC'!$K$13:$AK$35,23,0)</f>
        <v> </v>
      </c>
      <c r="AH256" s="9">
        <f t="shared" si="442"/>
        <v>58409</v>
      </c>
      <c r="AI256" s="9" t="str">
        <f>VLOOKUP(K256,'1285 EPC'!$K$13:$AK$35,25,0)</f>
        <v>Nuevas personas con acceso  al servicio de alcantarillado urbano</v>
      </c>
      <c r="AJ256" s="9" t="str">
        <f>VLOOKUP(K256,'1285 EPC'!$K$13:$AK$35,26,0)</f>
        <v>Proyectos terminados: 
PTAR de Junín y conexiones al alcantarillado conectando a 322 usuarios nuevos al servicio, 606 nuevos habitantes conectados
Construcción de alcantarillado de aguas lluvias emergencia municipio de Pacho (Sin nuevas conexiones)
Construcción de las obras del plan maestro de alcantarillado del municipio de Pandi, conectando a 810 usuarios, beneficiando a 1450 nuevas personas
Construcción de las Obras Del Plan Maestro Del Acueducto Y Alcantarillado Municipio De Arbeláez, el proyecto no conecta usuarios nuevos al servicio.
Alcantarillado Vergara conectando a 91 persona nuevas al servicio.
Diseños Terminados: Aprobación de Diseños de Detalle de plan maestro acueducto de Cajicá
Aprobación de Diagnóstico y Alternativas del plan maestro de alcantarillado de Chipaque
EPC-CI-141-2017 Plan maestro de acueducto y alcantarillado de Supatá; incluye PTAP
Proyectos contratados: Contratar la construcción del colector sanitario Funza-Siberia en el municipio de Funza-fase I.
EPC-PDA-C-433-2019 san Cayetano
EPC-CI-027-2021 Construcción Del Sistema De Alcantarillado Sanitario Para El Sector De Villas De Granada, Municipio De Zipaquirá 
EPC-CI-028-2021 Optimización Redes De Alcantarillado Aguas Residuales Y Combinadas Urbanos - Etapa 2 Arc-Distrito Sanitario Suroccidental, Municipio De Madrid  
EPC-CI-029-2021 Optimización Redes De Alcantarillado Aguas Residuales Y Combinadas Urbanos - Etapa 2 Arc-Distrito Sanitario Suroriental, Municipio De Madrid 
EPC-CI-030-2021 Optimización Redes De Alcantarillado Aguas Residuales Y Combinadas Urbanos - Etapa 2 Arc-Distrito Sanitario Sur, Municipio De Madrid 
EPC-CI-031-2021 Optimización Redes De Alcantarillado Aguas Residuales Y Combinadas Urbanos - Etapa 1 Arc-Macrodistrito Sanitario 2, Municipio De Madrid 
EPC-CI-043-2021 Construcción y/o Optimización De Sistema De Alcantarillado Y Emisario Final Del Sector El Hato, Municipio De La Mesa
EPC-PDA-O-406-2021 Plan Maestro De Alcantarillado Sanitario Y Pluvial Fase Iii Etapa I Del Municipio De Ricaurte 
EPC-PDA-O-407-2021 Ampliación De La Red De Alcantarillado De La Gran Vía Municipio De Tena
Diseños en proceso de aprobación
EPC-CI-013-2018 Gama
EPC-CI-141-2017 Plan maestro de acueducto y alcantarillado de Supatá; incluye PTAP
Diseños Aprobados:
EPC-PDA-C-264-2018 Agua de Dios, Alcantarillado pluvial urbano.
Proyectos Viabilizado: El Colegio - Colector Zona de Expansión No. 2
PTAR Urbana de Vianí EPC-PDA-C-339-2019
Aprobación PSMV:
Cuentan con resolución de aprobación los municipios de Anolaima, Chocontá, Cachipay, Facatativá, La Mesa, Pacho, Subachoque, Anapoima, Pandi
Gestión predial en ejecución:
Sibaté - Alcantarillado casco urbano
Ubalá - Plan Maestro de Acueducto y Alcantarillado
Lenguazaque - PTAR
El Colegio - Colector Zona de Expansión No. 2
Seguimiento
Agua de Dios - PMAlc pluvial
Gutierrez - Optimización Alc fase I
Fómeque - PMAlc y centro poblado la Unión
Topaipi - Plan Maestro de Acueducto y Alcantarillado
Facatativa - Plan maestro de acueducto y alcantarillado
La Mesa - Alc Casco Urbano
Gachancipá - PMAlc
Vianí - PTAR
Chocontá - PMAlc
La Mesa - Alc Urbano
Alcantarillado Casco Urbano - Gutiérrez
Alcantarillado sector Villas de Granada - Zipaquirá
Alcantarillado y emisario final El Hato - La mesa
Canal de aguas lluvia Sicamocha - Ubaté
PMAlc - Tabio</v>
      </c>
      <c r="AK256" s="9" t="str">
        <f>VLOOKUP(K256,'1285 EPC'!$K$13:$AK$35,27,0)</f>
        <v xml:space="preserve">Demora en la entrega de resultados por parte de los laboratorios.
Retrasos en las consultorías de diseños, para poder trámitar los respectivos permisos
Tiempos de evaluación técnica por parte de la Corporación
Se han presentado dificultades en atender observaciones en los ajustes de los diseños para la radicacion de la solicitud  de contratacion del proyecto.
Obtencion de certificacion por parte de los municipios.
 Los predios a adquirir se encuentran en trámites y requisitos previos para su adquisición.  </v>
      </c>
      <c r="AL256" s="11">
        <v>152023</v>
      </c>
      <c r="AM256" s="11">
        <v>0</v>
      </c>
      <c r="AN256" s="11">
        <v>146440</v>
      </c>
      <c r="AO256" s="11">
        <v>0</v>
      </c>
      <c r="AP256" s="11">
        <v>0</v>
      </c>
      <c r="AQ256" s="11">
        <v>0</v>
      </c>
      <c r="AR256" s="52"/>
      <c r="AS256" s="54">
        <v>64610499886</v>
      </c>
      <c r="AT256" s="54">
        <f t="shared" si="407"/>
        <v>64610499886</v>
      </c>
      <c r="AU256" s="52"/>
      <c r="AV256" s="89">
        <v>3959243595.8203855</v>
      </c>
      <c r="AY256" s="89">
        <v>1158348877.6999998</v>
      </c>
      <c r="AZ256" s="42">
        <f t="shared" si="443"/>
        <v>0.19786895161290322</v>
      </c>
      <c r="BA256" s="44">
        <v>8.0100000000000005E-2</v>
      </c>
      <c r="BB256" s="44">
        <v>1</v>
      </c>
      <c r="BC256" s="42">
        <f t="shared" si="444"/>
        <v>0.31815120967741933</v>
      </c>
      <c r="BD256" s="42" cm="1">
        <f t="array" ref="BD256">_xlfn.IFS(AD256=0,"NA",AD256&gt;0,AH256/AD256)</f>
        <v>0.37013871726139552</v>
      </c>
      <c r="BE256" s="42">
        <f t="shared" si="445"/>
        <v>0.30649798387096772</v>
      </c>
      <c r="BF256" s="44">
        <v>0</v>
      </c>
      <c r="BG256" s="42">
        <f t="shared" si="446"/>
        <v>0.29524193548387095</v>
      </c>
      <c r="BH256" s="44">
        <v>0</v>
      </c>
      <c r="BI256" s="42">
        <f t="shared" si="447"/>
        <v>0</v>
      </c>
      <c r="BJ256" s="44" t="s">
        <v>115</v>
      </c>
      <c r="BK256" s="42">
        <f t="shared" si="408"/>
        <v>0.19786895161290322</v>
      </c>
      <c r="BL256" s="44">
        <v>1</v>
      </c>
      <c r="BM256" s="42" cm="1">
        <f t="array" ref="BM256">_xlfn.IFS(BD256="NA","NA",BD256&gt;100%,"100%",BD256&lt;100,BD256)</f>
        <v>0.37013871726139552</v>
      </c>
      <c r="BN256" s="42" cm="1">
        <f t="array" ref="BN256">_xlfn.IFS(BF256="NA","NA",BF256&gt;100%,"100%",BF256&lt;100,BF256)</f>
        <v>0</v>
      </c>
      <c r="BO256" s="42" cm="1">
        <f t="array" ref="BO256">_xlfn.IFS(BH256="NA","NA",BH256&gt;100%,"100%",BH256&lt;100,BH256)</f>
        <v>0</v>
      </c>
      <c r="BP256" s="42" t="str" cm="1">
        <f t="array" ref="BP256">_xlfn.IFS(BJ256="NA","NA",BJ256&gt;100%,"100%",BJ256&lt;100,BJ256)</f>
        <v>NA</v>
      </c>
      <c r="BQ256" s="45">
        <v>0.22500000000000001</v>
      </c>
      <c r="BR256" s="43">
        <f t="shared" si="409"/>
        <v>4.4520514112903226E-2</v>
      </c>
      <c r="BS256" s="45">
        <v>1.7999999999999999E-2</v>
      </c>
      <c r="BT256" s="45">
        <v>1.7999999999999999E-2</v>
      </c>
      <c r="BU256" s="45">
        <v>1.7999999999999999E-2</v>
      </c>
      <c r="BV256" s="43">
        <f t="shared" si="448"/>
        <v>7.1584022177419354E-2</v>
      </c>
      <c r="BW256" s="43">
        <f t="shared" si="410"/>
        <v>2.6496018145161289E-2</v>
      </c>
      <c r="BX256" s="43">
        <f t="shared" si="411"/>
        <v>2.6520514112903227E-2</v>
      </c>
      <c r="BY256" s="43">
        <f t="shared" si="449"/>
        <v>6.8962046370967742E-2</v>
      </c>
      <c r="BZ256" s="43">
        <f t="shared" si="450"/>
        <v>0</v>
      </c>
      <c r="CA256" s="43">
        <f t="shared" si="412"/>
        <v>0</v>
      </c>
      <c r="CB256" s="43">
        <f t="shared" si="451"/>
        <v>6.6429435483870966E-2</v>
      </c>
      <c r="CC256" s="43">
        <f t="shared" si="452"/>
        <v>0</v>
      </c>
      <c r="CD256" s="45">
        <v>0</v>
      </c>
      <c r="CE256" s="43">
        <f t="shared" si="453"/>
        <v>0</v>
      </c>
      <c r="CF256" s="43" t="str">
        <f t="shared" si="454"/>
        <v>NA</v>
      </c>
      <c r="CG256" s="45">
        <v>0</v>
      </c>
    </row>
    <row r="257" spans="1:90" ht="30.75" customHeight="1">
      <c r="A257" s="260" t="s">
        <v>1387</v>
      </c>
      <c r="B257" s="260" t="s">
        <v>1388</v>
      </c>
      <c r="C257" s="260" t="s">
        <v>1286</v>
      </c>
      <c r="D257" s="260" t="s">
        <v>1496</v>
      </c>
      <c r="E257" s="260" t="s">
        <v>1583</v>
      </c>
      <c r="F257" s="260" t="s">
        <v>1636</v>
      </c>
      <c r="G257" s="260" t="s">
        <v>1637</v>
      </c>
      <c r="H257" s="260" t="s">
        <v>1638</v>
      </c>
      <c r="I257" s="260"/>
      <c r="J257" s="260"/>
      <c r="K257" s="260" t="s">
        <v>1639</v>
      </c>
      <c r="L257" s="12" t="s">
        <v>1640</v>
      </c>
      <c r="M257" s="260" t="s">
        <v>1641</v>
      </c>
      <c r="N257" s="260" t="s">
        <v>111</v>
      </c>
      <c r="O257" s="260" t="s">
        <v>112</v>
      </c>
      <c r="P257" s="10">
        <v>2548491</v>
      </c>
      <c r="Q257" s="11">
        <v>538000</v>
      </c>
      <c r="R257" s="9">
        <f t="shared" si="441"/>
        <v>104433</v>
      </c>
      <c r="S257" s="11">
        <f>VLOOKUP(K257,'1285 EPC'!$K$13:$AK$35,9,0)</f>
        <v>0</v>
      </c>
      <c r="T257" s="11">
        <v>0</v>
      </c>
      <c r="U257" s="11">
        <v>0</v>
      </c>
      <c r="V257" s="11">
        <v>0</v>
      </c>
      <c r="W257" s="11">
        <v>0</v>
      </c>
      <c r="X257" s="11">
        <v>0</v>
      </c>
      <c r="Y257" s="11">
        <v>0</v>
      </c>
      <c r="Z257" s="11">
        <v>0</v>
      </c>
      <c r="AA257" s="11"/>
      <c r="AB257" s="11"/>
      <c r="AC257" s="11"/>
      <c r="AD257" s="11">
        <v>196821</v>
      </c>
      <c r="AE257" s="11">
        <v>0</v>
      </c>
      <c r="AF257" s="11">
        <f>VLOOKUP(K257,'1285 EPC'!$K$13:$AK$35,22,0)</f>
        <v>104433</v>
      </c>
      <c r="AG257" s="11" t="str">
        <f>VLOOKUP(K257,'1285 EPC'!$K$13:$AK$35,23,0)</f>
        <v> </v>
      </c>
      <c r="AH257" s="9">
        <f t="shared" si="442"/>
        <v>104433</v>
      </c>
      <c r="AI257" s="9" t="str">
        <f>VLOOKUP(K257,'1285 EPC'!$K$13:$AK$35,25,0)</f>
        <v>Nuevas personas con acceso al servicio de aseo</v>
      </c>
      <c r="AJ257" s="9" t="str">
        <f>VLOOKUP(K257,'1285 EPC'!$K$13:$AK$35,26,0)</f>
        <v>Nuevas conexiones: Al hacer seguimiento a los nuevos usuarios que se les presta el servicio de aseo a través de los prestadores; se realiza una encuesta a los prestadores del Departamento, la cual arroja el siguiente resultado: 87.667 nuevas personas con acceso al servicio de aseo.
Se apoyo en la formulación y estructuración de 11 proyectos para adquisición de vehículos compactadores. Se está apoyando en la formulación de proyectos a los municipios de El Colegio, Ubaté, Anapoima, Subachoque, Zipaquirá, Silvania y Villapinzón, se radicaron a ventanilla la respectiva documentación.
Se radicaron los siguientes proyectos en la ventanilla:
Guaduas, La Palma, Tibirita, Topaipí, Paratebueno y Guachetá - 01/03/2021
Sibaté - 16/03/2021.  Fue posible dar inicio a la ejecución del proyecto de Vergara el 23/03/2021
Se recibió por parte de la Ventanilla Departamental los conceptos favorables de los 11 proyectos para la adquisición de los vehículos compactadores y Se estructura el proceso de solicitud de contratación de acuerdo a la Ley 80 de 1993, el cual se encuentra en aprobación.
Se adjudico a UT COMPACTOR el proceso de licitación pública N° LP-PDA-008-2021 mediante Resolución 306 del 26 de noviembre de 2021 por un valor de $5.706.764.000.
PGIRS en ejecución
Tocaima, Cabrera
PGIRS terminado
Guaduas: El convenio termino el 17 de junio de 2021, cumpliendo lo establecido en el cronograma, se encuentra en proceso de liquidación
Vergara: El 22 de julio de 2021 se terminó la ejecución del contrato derivado y del convenio; se encuentra en proceso de liquidación
Se inicio la ejecución del contrato de obra PARSO San Juan de Rioseco el 06 de abril 2021, Se reportó un 20% del contrato de obra de la PARSO San Juan Rio Seco para el mes de septiembre de 2021.
Se realizó visita a los posibles predios en el municipio de San Antonio del Tequendama para ubicar una PARSO los cuales presentan dificultades técnicas.
El 10 de septiembre de 2021 se realizó visita técnica al parque de aprovechamiento de residuos sólidos del municipio de Fusagasugá evidenciando que requieren maquinaria para implementación de acciones de aprovechamiento de residuos orgánicos</v>
      </c>
      <c r="AK257" s="9" t="str">
        <f>VLOOKUP(K257,'1285 EPC'!$K$13:$AK$35,27,0)</f>
        <v>Falta de experticia en la formulación técnica de los proyectos.
Los municipios no atienden las encuestas solicitadas por la dirección de aseguramiento.
La ventanilla Departamental tuvo retraso en el inicio de sus actividas y para la evaluación de proyectos
Atención a las observaciones realizadas por la interventoria y supervision para iniciar la ejecución de los proyectos</v>
      </c>
      <c r="AL257" s="11">
        <v>174493</v>
      </c>
      <c r="AM257" s="11">
        <v>0</v>
      </c>
      <c r="AN257" s="11">
        <v>166686</v>
      </c>
      <c r="AO257" s="11">
        <v>0</v>
      </c>
      <c r="AP257" s="11">
        <v>0</v>
      </c>
      <c r="AQ257" s="11">
        <v>0</v>
      </c>
      <c r="AR257" s="52"/>
      <c r="AS257" s="54">
        <v>0</v>
      </c>
      <c r="AT257" s="54">
        <f t="shared" si="407"/>
        <v>0</v>
      </c>
      <c r="AU257" s="52"/>
      <c r="AV257" s="89">
        <v>693944658</v>
      </c>
      <c r="AY257" s="89">
        <v>0</v>
      </c>
      <c r="AZ257" s="42">
        <f t="shared" si="443"/>
        <v>0.19411338289962826</v>
      </c>
      <c r="BA257" s="44">
        <v>0</v>
      </c>
      <c r="BB257" s="44" t="s">
        <v>115</v>
      </c>
      <c r="BC257" s="42">
        <f t="shared" si="444"/>
        <v>0.3658382899628253</v>
      </c>
      <c r="BD257" s="42" cm="1">
        <f t="array" ref="BD257">_xlfn.IFS(AD257=0,"NA",AD257&gt;0,AH257/AD257)</f>
        <v>0.53059886902312259</v>
      </c>
      <c r="BE257" s="42">
        <f t="shared" si="445"/>
        <v>0.32433643122676581</v>
      </c>
      <c r="BF257" s="44">
        <v>0</v>
      </c>
      <c r="BG257" s="42">
        <f t="shared" si="446"/>
        <v>0.30982527881040894</v>
      </c>
      <c r="BH257" s="44">
        <v>0</v>
      </c>
      <c r="BI257" s="42">
        <f t="shared" si="447"/>
        <v>0</v>
      </c>
      <c r="BJ257" s="44" t="s">
        <v>115</v>
      </c>
      <c r="BK257" s="42">
        <f t="shared" si="408"/>
        <v>0.19411338289962826</v>
      </c>
      <c r="BL257" s="44" t="s">
        <v>115</v>
      </c>
      <c r="BM257" s="42" cm="1">
        <f t="array" ref="BM257">_xlfn.IFS(BD257="NA","NA",BD257&gt;100%,"100%",BD257&lt;100,BD257)</f>
        <v>0.53059886902312259</v>
      </c>
      <c r="BN257" s="42" cm="1">
        <f t="array" ref="BN257">_xlfn.IFS(BF257="NA","NA",BF257&gt;100%,"100%",BF257&lt;100,BF257)</f>
        <v>0</v>
      </c>
      <c r="BO257" s="42" cm="1">
        <f t="array" ref="BO257">_xlfn.IFS(BH257="NA","NA",BH257&gt;100%,"100%",BH257&lt;100,BH257)</f>
        <v>0</v>
      </c>
      <c r="BP257" s="42" t="str" cm="1">
        <f t="array" ref="BP257">_xlfn.IFS(BJ257="NA","NA",BJ257&gt;100%,"100%",BJ257&lt;100,BJ257)</f>
        <v>NA</v>
      </c>
      <c r="BQ257" s="45">
        <v>0.22500000000000001</v>
      </c>
      <c r="BR257" s="43">
        <f t="shared" si="409"/>
        <v>4.3675511152416358E-2</v>
      </c>
      <c r="BS257" s="45">
        <v>0</v>
      </c>
      <c r="BT257" s="45" t="s">
        <v>115</v>
      </c>
      <c r="BU257" s="45">
        <v>0</v>
      </c>
      <c r="BV257" s="43">
        <f t="shared" si="448"/>
        <v>8.231361524163569E-2</v>
      </c>
      <c r="BW257" s="43">
        <f t="shared" si="410"/>
        <v>4.3675511152416364E-2</v>
      </c>
      <c r="BX257" s="43">
        <f t="shared" si="411"/>
        <v>4.3675511152416358E-2</v>
      </c>
      <c r="BY257" s="43">
        <f t="shared" si="449"/>
        <v>7.2975697026022315E-2</v>
      </c>
      <c r="BZ257" s="43">
        <f t="shared" si="450"/>
        <v>0</v>
      </c>
      <c r="CA257" s="43">
        <f t="shared" si="412"/>
        <v>0</v>
      </c>
      <c r="CB257" s="43">
        <f t="shared" si="451"/>
        <v>6.9710687732342E-2</v>
      </c>
      <c r="CC257" s="43">
        <f t="shared" si="452"/>
        <v>0</v>
      </c>
      <c r="CD257" s="45">
        <v>0</v>
      </c>
      <c r="CE257" s="43">
        <f t="shared" si="453"/>
        <v>0</v>
      </c>
      <c r="CF257" s="43" t="str">
        <f t="shared" si="454"/>
        <v>NA</v>
      </c>
      <c r="CG257" s="45">
        <v>0</v>
      </c>
    </row>
    <row r="258" spans="1:90" ht="18" customHeight="1">
      <c r="A258" s="260" t="s">
        <v>1361</v>
      </c>
      <c r="B258" s="260" t="s">
        <v>1362</v>
      </c>
      <c r="C258" s="260" t="s">
        <v>1286</v>
      </c>
      <c r="D258" s="260" t="s">
        <v>1496</v>
      </c>
      <c r="E258" s="260" t="s">
        <v>1583</v>
      </c>
      <c r="F258" s="260" t="s">
        <v>1642</v>
      </c>
      <c r="G258" s="260" t="s">
        <v>1643</v>
      </c>
      <c r="H258" s="260" t="s">
        <v>1644</v>
      </c>
      <c r="I258" s="260"/>
      <c r="J258" s="260"/>
      <c r="K258" s="260" t="s">
        <v>1645</v>
      </c>
      <c r="L258" s="260" t="s">
        <v>1646</v>
      </c>
      <c r="M258" s="260" t="s">
        <v>1647</v>
      </c>
      <c r="N258" s="260" t="s">
        <v>111</v>
      </c>
      <c r="O258" s="260" t="s">
        <v>112</v>
      </c>
      <c r="P258" s="10">
        <v>685158</v>
      </c>
      <c r="Q258" s="11">
        <v>20000</v>
      </c>
      <c r="R258" s="9">
        <f t="shared" si="441"/>
        <v>8698</v>
      </c>
      <c r="S258" s="11" t="str">
        <f>VLOOKUP(K258,'1132 Minas'!$K$13:$AK$20,9,0)</f>
        <v>Se conectaron 8.698 usuarios al servicio de gas mejorando la calidad de vida y beneficiando la comunidad.</v>
      </c>
      <c r="T258" s="11">
        <v>7300</v>
      </c>
      <c r="U258" s="11">
        <v>0</v>
      </c>
      <c r="V258" s="11">
        <v>4841</v>
      </c>
      <c r="W258" s="11">
        <v>0</v>
      </c>
      <c r="X258" s="11">
        <v>2492</v>
      </c>
      <c r="Y258" s="11">
        <v>0</v>
      </c>
      <c r="Z258" s="11">
        <v>2492</v>
      </c>
      <c r="AA258" s="11" t="s">
        <v>1648</v>
      </c>
      <c r="AB258" s="11" t="s">
        <v>1649</v>
      </c>
      <c r="AC258" s="11" t="s">
        <v>1650</v>
      </c>
      <c r="AD258" s="11">
        <v>7583</v>
      </c>
      <c r="AE258" s="11">
        <v>0</v>
      </c>
      <c r="AF258" s="11">
        <f>VLOOKUP(K258,'1132 Minas'!$K$13:$AK$20,22,0)</f>
        <v>6206</v>
      </c>
      <c r="AG258" s="11">
        <f>VLOOKUP(K258,'1132 Minas'!$K$13:$AK$20,23,0)</f>
        <v>0</v>
      </c>
      <c r="AH258" s="9">
        <f t="shared" si="442"/>
        <v>6206</v>
      </c>
      <c r="AI258" s="9" t="str">
        <f>VLOOKUP(K258,'1132 Minas'!$K$13:$AK$20,25,0)</f>
        <v>Conexión a 6.206 usuarios que hoy cuenta con el servicio de gas natural por redes</v>
      </c>
      <c r="AJ258" s="9" t="str">
        <f>VLOOKUP(K258,'1132 Minas'!$K$13:$AK$20,26,0)</f>
        <v>Se conectaron 6.206 usuarios al servicio de gas mejorando la calidad de vida y beneficiando la comunidad</v>
      </c>
      <c r="AK258" s="9" t="str">
        <f>VLOOKUP(K258,'1132 Minas'!$K$13:$AK$20,27,0)</f>
        <v>Retrasos en las obras a causa del Covid -19 / Demoras en el traslado de los insumos a causa del Paro nacional</v>
      </c>
      <c r="AL258" s="11">
        <v>6680</v>
      </c>
      <c r="AM258" s="11">
        <v>0</v>
      </c>
      <c r="AN258" s="11">
        <v>3245</v>
      </c>
      <c r="AO258" s="11">
        <v>0</v>
      </c>
      <c r="AP258" s="11">
        <v>0</v>
      </c>
      <c r="AQ258" s="11">
        <v>0</v>
      </c>
      <c r="AR258" s="51">
        <v>781399997</v>
      </c>
      <c r="AS258" s="54">
        <v>0</v>
      </c>
      <c r="AT258" s="54">
        <f t="shared" si="407"/>
        <v>781399997</v>
      </c>
      <c r="AU258" s="51">
        <v>780899997</v>
      </c>
      <c r="AV258" s="89">
        <v>1595101250</v>
      </c>
      <c r="AY258" s="89">
        <v>142800000</v>
      </c>
      <c r="AZ258" s="42">
        <f t="shared" si="443"/>
        <v>0.43490000000000001</v>
      </c>
      <c r="BA258" s="44">
        <v>0.24210000000000001</v>
      </c>
      <c r="BB258" s="44">
        <v>0.51480000000000004</v>
      </c>
      <c r="BC258" s="42">
        <f t="shared" si="444"/>
        <v>0.37914999999999999</v>
      </c>
      <c r="BD258" s="42" cm="1">
        <f t="array" ref="BD258">_xlfn.IFS(AD258=0,"NA",AD258&gt;0,AH258/AD258)</f>
        <v>0.81840960042199662</v>
      </c>
      <c r="BE258" s="42">
        <f t="shared" si="445"/>
        <v>0.33400000000000002</v>
      </c>
      <c r="BF258" s="44">
        <v>0</v>
      </c>
      <c r="BG258" s="42">
        <f t="shared" si="446"/>
        <v>0.16225000000000001</v>
      </c>
      <c r="BH258" s="44">
        <v>0</v>
      </c>
      <c r="BI258" s="42">
        <f t="shared" si="447"/>
        <v>0</v>
      </c>
      <c r="BJ258" s="44" t="s">
        <v>115</v>
      </c>
      <c r="BK258" s="42">
        <f t="shared" si="408"/>
        <v>0.43490000000000001</v>
      </c>
      <c r="BL258" s="44">
        <v>0.51480000000000004</v>
      </c>
      <c r="BM258" s="42" cm="1">
        <f t="array" ref="BM258">_xlfn.IFS(BD258="NA","NA",BD258&gt;100%,"100%",BD258&lt;100,BD258)</f>
        <v>0.81840960042199662</v>
      </c>
      <c r="BN258" s="42" cm="1">
        <f t="array" ref="BN258">_xlfn.IFS(BF258="NA","NA",BF258&gt;100%,"100%",BF258&lt;100,BF258)</f>
        <v>0</v>
      </c>
      <c r="BO258" s="42" cm="1">
        <f t="array" ref="BO258">_xlfn.IFS(BH258="NA","NA",BH258&gt;100%,"100%",BH258&lt;100,BH258)</f>
        <v>0</v>
      </c>
      <c r="BP258" s="42" t="str" cm="1">
        <f t="array" ref="BP258">_xlfn.IFS(BJ258="NA","NA",BJ258&gt;100%,"100%",BJ258&lt;100,BJ258)</f>
        <v>NA</v>
      </c>
      <c r="BQ258" s="45">
        <v>0.22500000000000001</v>
      </c>
      <c r="BR258" s="43">
        <f t="shared" si="409"/>
        <v>9.7852500000000009E-2</v>
      </c>
      <c r="BS258" s="45">
        <v>5.45E-2</v>
      </c>
      <c r="BT258" s="45">
        <v>2.81E-2</v>
      </c>
      <c r="BU258" s="45">
        <v>2.8000000000000001E-2</v>
      </c>
      <c r="BV258" s="43">
        <f t="shared" si="448"/>
        <v>8.5308750000000003E-2</v>
      </c>
      <c r="BW258" s="43">
        <f t="shared" si="410"/>
        <v>6.9817500000000005E-2</v>
      </c>
      <c r="BX258" s="43">
        <f t="shared" si="411"/>
        <v>6.9852500000000012E-2</v>
      </c>
      <c r="BY258" s="43">
        <f>(AL258*BQ258)/Q258</f>
        <v>7.5149999999999995E-2</v>
      </c>
      <c r="BZ258" s="43">
        <f t="shared" si="450"/>
        <v>0</v>
      </c>
      <c r="CA258" s="43">
        <f t="shared" si="412"/>
        <v>0</v>
      </c>
      <c r="CB258" s="43">
        <f t="shared" si="451"/>
        <v>3.6506249999999997E-2</v>
      </c>
      <c r="CC258" s="43">
        <f t="shared" si="452"/>
        <v>0</v>
      </c>
      <c r="CD258" s="45">
        <v>0</v>
      </c>
      <c r="CE258" s="43">
        <f t="shared" si="453"/>
        <v>0</v>
      </c>
      <c r="CF258" s="43" t="str">
        <f t="shared" si="454"/>
        <v>NA</v>
      </c>
      <c r="CG258" s="45">
        <v>0</v>
      </c>
    </row>
    <row r="259" spans="1:90" ht="30.75" customHeight="1">
      <c r="A259" s="260" t="s">
        <v>1387</v>
      </c>
      <c r="B259" s="260" t="s">
        <v>1388</v>
      </c>
      <c r="C259" s="260" t="s">
        <v>1286</v>
      </c>
      <c r="D259" s="260" t="s">
        <v>1496</v>
      </c>
      <c r="E259" s="260" t="s">
        <v>1583</v>
      </c>
      <c r="F259" s="260" t="s">
        <v>1651</v>
      </c>
      <c r="G259" s="260" t="s">
        <v>1652</v>
      </c>
      <c r="H259" s="260" t="s">
        <v>1653</v>
      </c>
      <c r="I259" s="260"/>
      <c r="J259" s="260"/>
      <c r="K259" s="260" t="s">
        <v>1654</v>
      </c>
      <c r="L259" s="12" t="s">
        <v>1655</v>
      </c>
      <c r="M259" s="260" t="s">
        <v>140</v>
      </c>
      <c r="N259" s="260" t="s">
        <v>111</v>
      </c>
      <c r="O259" s="260" t="s">
        <v>112</v>
      </c>
      <c r="P259" s="10">
        <v>0</v>
      </c>
      <c r="Q259" s="11">
        <v>46</v>
      </c>
      <c r="R259" s="9">
        <f t="shared" si="441"/>
        <v>20</v>
      </c>
      <c r="S259" s="11">
        <f>VLOOKUP(K259,'1285 EPC'!$K$13:$AK$35,9,0)</f>
        <v>0</v>
      </c>
      <c r="T259" s="11">
        <v>20</v>
      </c>
      <c r="U259" s="11">
        <v>0</v>
      </c>
      <c r="V259" s="11">
        <v>20</v>
      </c>
      <c r="W259" s="11">
        <v>0</v>
      </c>
      <c r="X259" s="11">
        <v>20</v>
      </c>
      <c r="Y259" s="11">
        <v>0</v>
      </c>
      <c r="Z259" s="11">
        <v>20</v>
      </c>
      <c r="AA259" s="11">
        <v>0</v>
      </c>
      <c r="AB259" s="11" t="s">
        <v>1656</v>
      </c>
      <c r="AC259" s="11">
        <v>0</v>
      </c>
      <c r="AD259" s="11">
        <v>10</v>
      </c>
      <c r="AE259" s="11">
        <v>0</v>
      </c>
      <c r="AF259" s="11">
        <f>VLOOKUP(K259,'1285 EPC'!$K$13:$AK$35,22,0)</f>
        <v>0</v>
      </c>
      <c r="AG259" s="11" t="str">
        <f>VLOOKUP(K259,'1285 EPC'!$K$13:$AK$35,23,0)</f>
        <v> </v>
      </c>
      <c r="AH259" s="9">
        <f t="shared" si="442"/>
        <v>0</v>
      </c>
      <c r="AI259" s="9" t="str">
        <f>VLOOKUP(K259,'1285 EPC'!$K$13:$AK$35,25,0)</f>
        <v> </v>
      </c>
      <c r="AJ259" s="9" t="str">
        <f>VLOOKUP(K259,'1285 EPC'!$K$13:$AK$35,26,0)</f>
        <v>El plan de aseguramiento 2021, se encuentra en proceso de viabilización con el Ministerio de Vivienda, Ciudad y Territorio,
 13 PTAP Agua, Vida y Saber se encuentran en ajustes del componente técnico e institucional
PTAP rurales: Se realizó traspaso del predio por parte de la Asociación del Acueducto Guanguita y Reatova al municipio de Villapinzón. De igual manera se encuentra en evaluación de propuesta de los oferentes por parte del municipio para la adjudicación de los contratos derivados 
Fueron aprobados por la interventoría 14 plantas de tratamiento de agua potable, vinculas al programa "+agua potable" 
Fueron viabilizadas por el Mecanismo Departamental de Viabilización de Proyectos durante el 2021, 15 plantas de tratamiento de agua potable 
Durante el 2021 se firmaron 13 convenios con los municipios y 2 proyectos se encuentran radicados para iniciar el proceso de contratación. 
En el período, se realizaron 20 capacitaciones a los operadores PTAP en el monitoreo y control de la calidad del agua, así como el mejoramiento en cada una de las Buenas Prácticas Sanitarias.
En el mes de agosto, se realizó diagnósticos técnico operativo a 12 PTAP del departamento de Cundinamarca, que se encuentran priorizadas en el Plan de Aseguramiento 2021.</v>
      </c>
      <c r="AK259" s="9" t="str">
        <f>VLOOKUP(K259,'1285 EPC'!$K$13:$AK$35,27,0)</f>
        <v> </v>
      </c>
      <c r="AL259" s="11">
        <v>8</v>
      </c>
      <c r="AM259" s="11">
        <v>0</v>
      </c>
      <c r="AN259" s="11">
        <v>8</v>
      </c>
      <c r="AO259" s="11">
        <v>0</v>
      </c>
      <c r="AP259" s="11">
        <v>0</v>
      </c>
      <c r="AQ259" s="11">
        <v>0</v>
      </c>
      <c r="AR259" s="52"/>
      <c r="AS259" s="54">
        <v>9921968490</v>
      </c>
      <c r="AT259" s="54">
        <f t="shared" si="407"/>
        <v>9921968490</v>
      </c>
      <c r="AU259" s="52"/>
      <c r="AV259" s="89">
        <v>3172433588.7337027</v>
      </c>
      <c r="AY259" s="89">
        <v>93440170</v>
      </c>
      <c r="AZ259" s="42">
        <f t="shared" si="443"/>
        <v>0.43478260869565216</v>
      </c>
      <c r="BA259" s="44">
        <v>0.43480000000000002</v>
      </c>
      <c r="BB259" s="44">
        <v>1</v>
      </c>
      <c r="BC259" s="42">
        <f t="shared" si="444"/>
        <v>0.21739130434782608</v>
      </c>
      <c r="BD259" s="42" cm="1">
        <f t="array" ref="BD259">_xlfn.IFS(AD259=0,"NA",AD259&gt;0,AH259/AD259)</f>
        <v>0</v>
      </c>
      <c r="BE259" s="42">
        <f t="shared" si="445"/>
        <v>0.17391304347826086</v>
      </c>
      <c r="BF259" s="44">
        <v>0</v>
      </c>
      <c r="BG259" s="42">
        <f t="shared" si="446"/>
        <v>0.17391304347826086</v>
      </c>
      <c r="BH259" s="44">
        <v>0</v>
      </c>
      <c r="BI259" s="42">
        <f t="shared" si="447"/>
        <v>0</v>
      </c>
      <c r="BJ259" s="44" t="s">
        <v>115</v>
      </c>
      <c r="BK259" s="42">
        <f t="shared" si="408"/>
        <v>0.43478260869565216</v>
      </c>
      <c r="BL259" s="44">
        <v>1</v>
      </c>
      <c r="BM259" s="42" cm="1">
        <f t="array" ref="BM259">_xlfn.IFS(BD259="NA","NA",BD259&gt;100%,"100%",BD259&lt;100,BD259)</f>
        <v>0</v>
      </c>
      <c r="BN259" s="42" cm="1">
        <f t="array" ref="BN259">_xlfn.IFS(BF259="NA","NA",BF259&gt;100%,"100%",BF259&lt;100,BF259)</f>
        <v>0</v>
      </c>
      <c r="BO259" s="42" cm="1">
        <f t="array" ref="BO259">_xlfn.IFS(BH259="NA","NA",BH259&gt;100%,"100%",BH259&lt;100,BH259)</f>
        <v>0</v>
      </c>
      <c r="BP259" s="42" t="str" cm="1">
        <f t="array" ref="BP259">_xlfn.IFS(BJ259="NA","NA",BJ259&gt;100%,"100%",BJ259&lt;100,BJ259)</f>
        <v>NA</v>
      </c>
      <c r="BQ259" s="45">
        <v>0.22500000000000001</v>
      </c>
      <c r="BR259" s="43">
        <f t="shared" si="409"/>
        <v>9.7826086956521743E-2</v>
      </c>
      <c r="BS259" s="45">
        <v>9.7799999999999998E-2</v>
      </c>
      <c r="BT259" s="45">
        <v>9.7799999999999998E-2</v>
      </c>
      <c r="BU259" s="45">
        <v>9.7799999999999998E-2</v>
      </c>
      <c r="BV259" s="43">
        <f t="shared" si="448"/>
        <v>4.8913043478260872E-2</v>
      </c>
      <c r="BW259" s="43">
        <f t="shared" si="410"/>
        <v>0</v>
      </c>
      <c r="BX259" s="43">
        <f t="shared" si="411"/>
        <v>2.6086956521745308E-5</v>
      </c>
      <c r="BY259" s="43">
        <f t="shared" si="449"/>
        <v>3.9130434782608699E-2</v>
      </c>
      <c r="BZ259" s="43">
        <f t="shared" si="450"/>
        <v>0</v>
      </c>
      <c r="CA259" s="43">
        <f t="shared" si="412"/>
        <v>0</v>
      </c>
      <c r="CB259" s="43">
        <f t="shared" si="451"/>
        <v>3.9130434782608699E-2</v>
      </c>
      <c r="CC259" s="43">
        <f t="shared" si="452"/>
        <v>0</v>
      </c>
      <c r="CD259" s="45">
        <v>0</v>
      </c>
      <c r="CE259" s="43">
        <f t="shared" si="453"/>
        <v>0</v>
      </c>
      <c r="CF259" s="43" t="str">
        <f t="shared" si="454"/>
        <v>NA</v>
      </c>
      <c r="CG259" s="45">
        <v>0</v>
      </c>
    </row>
    <row r="260" spans="1:90" ht="18" customHeight="1">
      <c r="A260" s="260" t="s">
        <v>221</v>
      </c>
      <c r="B260" s="260" t="s">
        <v>222</v>
      </c>
      <c r="C260" s="260" t="s">
        <v>1286</v>
      </c>
      <c r="D260" s="260" t="s">
        <v>1657</v>
      </c>
      <c r="E260" s="260" t="s">
        <v>1658</v>
      </c>
      <c r="F260" s="260" t="s">
        <v>1659</v>
      </c>
      <c r="G260" s="260" t="s">
        <v>1660</v>
      </c>
      <c r="H260" s="260" t="s">
        <v>1661</v>
      </c>
      <c r="I260" s="260"/>
      <c r="J260" s="260"/>
      <c r="K260" s="260" t="s">
        <v>1662</v>
      </c>
      <c r="L260" s="260" t="s">
        <v>2988</v>
      </c>
      <c r="M260" s="260" t="s">
        <v>1664</v>
      </c>
      <c r="N260" s="260" t="s">
        <v>111</v>
      </c>
      <c r="O260" s="260" t="s">
        <v>112</v>
      </c>
      <c r="P260" s="10">
        <v>23</v>
      </c>
      <c r="Q260" s="11">
        <v>80</v>
      </c>
      <c r="R260" s="9">
        <f t="shared" ca="1" si="441"/>
        <v>346</v>
      </c>
      <c r="S260" s="11" t="str">
        <f ca="1">VLOOKUP(K260,'1220 IDECUT'!$K$13:$AK$48,9,0)</f>
        <v>Durante 2020 se ejecutó el plan de incentivos, beneficiando a 346 emprendedores turísticos de 74 municipios, a través de la estrategia "Touremprender", contribuyendo a la reactivación económica de micro negocios empresariales y/o asociativos y/o solidarios del turismo. A través de convocatoria pública se entregaron incentivos por valor de $4.500.000 a emprendedores turísticos del departamento para la reactivación económica del turismo 2020, como compromiso de la gobernación con el sector afectados por el aislamiento físico a causa de la emergencia. En 2021, se brindó acompañamiento a los empresarios turisticos incentivandolos a certificarse con el fin de fidelizar mayor número de turistas para reactivar su economía.</v>
      </c>
      <c r="T260" s="11">
        <v>0</v>
      </c>
      <c r="U260" s="11">
        <v>0</v>
      </c>
      <c r="V260" s="11">
        <v>30</v>
      </c>
      <c r="W260" s="11">
        <v>0</v>
      </c>
      <c r="X260" s="11">
        <v>346</v>
      </c>
      <c r="Y260" s="11">
        <v>0</v>
      </c>
      <c r="Z260" s="11">
        <v>346</v>
      </c>
      <c r="AA260" s="11" t="s">
        <v>1665</v>
      </c>
      <c r="AB260" s="11" t="s">
        <v>1666</v>
      </c>
      <c r="AC260" s="11" t="s">
        <v>1667</v>
      </c>
      <c r="AD260" s="11">
        <v>30</v>
      </c>
      <c r="AE260" s="11">
        <v>0</v>
      </c>
      <c r="AF260" s="11">
        <f ca="1">VLOOKUP(K260,'1220 IDECUT'!$K$13:$AK$48,22,0)</f>
        <v>0</v>
      </c>
      <c r="AG260" s="11">
        <f ca="1">VLOOKUP(K260,'1220 IDECUT'!$K$13:$AK$48,23,0)</f>
        <v>0</v>
      </c>
      <c r="AH260" s="9">
        <f t="shared" ca="1" si="442"/>
        <v>0</v>
      </c>
      <c r="AI260" s="9">
        <f ca="1">VLOOKUP(K260,'1220 IDECUT'!$K$13:$AK$48,25,0)</f>
        <v>0</v>
      </c>
      <c r="AJ260" s="9">
        <f ca="1">VLOOKUP(K260,'1220 IDECUT'!$K$13:$AK$48,26,0)</f>
        <v>0</v>
      </c>
      <c r="AK260" s="9">
        <f ca="1">VLOOKUP(K260,'1220 IDECUT'!$K$13:$AK$48,27,0)</f>
        <v>0</v>
      </c>
      <c r="AL260" s="11">
        <v>10</v>
      </c>
      <c r="AM260" s="11">
        <v>0</v>
      </c>
      <c r="AN260" s="11">
        <v>10</v>
      </c>
      <c r="AO260" s="11">
        <v>0</v>
      </c>
      <c r="AP260" s="11">
        <v>0</v>
      </c>
      <c r="AQ260" s="11">
        <v>0</v>
      </c>
      <c r="AR260" s="51">
        <v>2000000000</v>
      </c>
      <c r="AS260" s="54">
        <v>0</v>
      </c>
      <c r="AT260" s="54">
        <f t="shared" si="407"/>
        <v>2000000000</v>
      </c>
      <c r="AU260" s="51">
        <v>2000000000</v>
      </c>
      <c r="AV260" s="89">
        <v>80000000</v>
      </c>
      <c r="AY260" s="89"/>
      <c r="AZ260" s="42">
        <f t="shared" ca="1" si="443"/>
        <v>4.3250000000000002</v>
      </c>
      <c r="BA260" s="44">
        <v>0.375</v>
      </c>
      <c r="BB260" s="44">
        <v>11.533300000000001</v>
      </c>
      <c r="BC260" s="42">
        <f t="shared" si="444"/>
        <v>0.375</v>
      </c>
      <c r="BD260" s="42" cm="1">
        <f t="array" aca="1" ref="BD260" ca="1">_xlfn.IFS(AD260=0,"NA",AD260&gt;0,AH260/AD260)</f>
        <v>0</v>
      </c>
      <c r="BE260" s="42">
        <f t="shared" si="445"/>
        <v>0.125</v>
      </c>
      <c r="BF260" s="44">
        <v>0</v>
      </c>
      <c r="BG260" s="42">
        <f t="shared" si="446"/>
        <v>0.125</v>
      </c>
      <c r="BH260" s="44">
        <v>0</v>
      </c>
      <c r="BI260" s="42">
        <f t="shared" si="447"/>
        <v>0</v>
      </c>
      <c r="BJ260" s="44" t="s">
        <v>115</v>
      </c>
      <c r="BK260" s="42" t="str">
        <f t="shared" ca="1" si="408"/>
        <v>100%</v>
      </c>
      <c r="BL260" s="44">
        <v>1</v>
      </c>
      <c r="BM260" s="42" cm="1">
        <f t="array" aca="1" ref="BM260" ca="1">_xlfn.IFS(BD260="NA","NA",BD260&gt;100%,"100%",BD260&lt;100,BD260)</f>
        <v>0</v>
      </c>
      <c r="BN260" s="42" cm="1">
        <f t="array" ref="BN260">_xlfn.IFS(BF260="NA","NA",BF260&gt;100%,"100%",BF260&lt;100,BF260)</f>
        <v>0</v>
      </c>
      <c r="BO260" s="42" cm="1">
        <f t="array" ref="BO260">_xlfn.IFS(BH260="NA","NA",BH260&gt;100%,"100%",BH260&lt;100,BH260)</f>
        <v>0</v>
      </c>
      <c r="BP260" s="42" t="str" cm="1">
        <f t="array" ref="BP260">_xlfn.IFS(BJ260="NA","NA",BJ260&gt;100%,"100%",BJ260&lt;100,BJ260)</f>
        <v>NA</v>
      </c>
      <c r="BQ260" s="45">
        <v>0.22500000000000001</v>
      </c>
      <c r="BR260" s="43">
        <f t="shared" ca="1" si="409"/>
        <v>0.22500000000000001</v>
      </c>
      <c r="BS260" s="45">
        <v>8.4400000000000003E-2</v>
      </c>
      <c r="BT260" s="45">
        <v>8.4400000000000003E-2</v>
      </c>
      <c r="BU260" s="45">
        <v>0.22500000000000001</v>
      </c>
      <c r="BV260" s="43">
        <f t="shared" si="448"/>
        <v>8.4375000000000006E-2</v>
      </c>
      <c r="BW260" s="43">
        <f t="shared" ca="1" si="410"/>
        <v>0</v>
      </c>
      <c r="BX260" s="43">
        <f t="shared" ca="1" si="411"/>
        <v>0</v>
      </c>
      <c r="BY260" s="43">
        <f t="shared" si="449"/>
        <v>2.8125000000000001E-2</v>
      </c>
      <c r="BZ260" s="43">
        <f t="shared" si="450"/>
        <v>0</v>
      </c>
      <c r="CA260" s="43">
        <f t="shared" ca="1" si="412"/>
        <v>0</v>
      </c>
      <c r="CB260" s="43">
        <f t="shared" si="451"/>
        <v>2.8125000000000001E-2</v>
      </c>
      <c r="CC260" s="43">
        <f t="shared" si="452"/>
        <v>0</v>
      </c>
      <c r="CD260" s="45">
        <v>0</v>
      </c>
      <c r="CE260" s="43">
        <f t="shared" si="453"/>
        <v>0</v>
      </c>
      <c r="CF260" s="43" t="str">
        <f t="shared" si="454"/>
        <v>NA</v>
      </c>
      <c r="CG260" s="45">
        <v>0</v>
      </c>
    </row>
    <row r="261" spans="1:90" ht="18" customHeight="1">
      <c r="A261" s="260" t="s">
        <v>1310</v>
      </c>
      <c r="B261" s="260" t="s">
        <v>1311</v>
      </c>
      <c r="C261" s="260" t="s">
        <v>1286</v>
      </c>
      <c r="D261" s="260" t="s">
        <v>1657</v>
      </c>
      <c r="E261" s="260" t="s">
        <v>1658</v>
      </c>
      <c r="F261" s="260" t="s">
        <v>1659</v>
      </c>
      <c r="G261" s="260" t="s">
        <v>1660</v>
      </c>
      <c r="H261" s="260" t="s">
        <v>1668</v>
      </c>
      <c r="I261" s="260"/>
      <c r="J261" s="260"/>
      <c r="K261" s="260" t="s">
        <v>1669</v>
      </c>
      <c r="L261" s="260" t="s">
        <v>1670</v>
      </c>
      <c r="M261" s="260" t="s">
        <v>1671</v>
      </c>
      <c r="N261" s="260" t="s">
        <v>111</v>
      </c>
      <c r="O261" s="260" t="s">
        <v>112</v>
      </c>
      <c r="P261" s="10">
        <v>5</v>
      </c>
      <c r="Q261" s="11">
        <v>4</v>
      </c>
      <c r="R261" s="9">
        <f t="shared" ca="1" si="441"/>
        <v>1</v>
      </c>
      <c r="S261" s="11">
        <f ca="1">VLOOKUP(K261,'1120 Competitividad'!$K$13:$AK$51,9,0)</f>
        <v>0</v>
      </c>
      <c r="T261" s="11">
        <v>0</v>
      </c>
      <c r="U261" s="11">
        <v>0</v>
      </c>
      <c r="V261" s="11">
        <v>0</v>
      </c>
      <c r="W261" s="11">
        <v>0</v>
      </c>
      <c r="X261" s="11">
        <v>0</v>
      </c>
      <c r="Y261" s="11">
        <v>0</v>
      </c>
      <c r="Z261" s="11">
        <v>0</v>
      </c>
      <c r="AA261" s="11"/>
      <c r="AB261" s="11"/>
      <c r="AC261" s="11"/>
      <c r="AD261" s="11">
        <v>2</v>
      </c>
      <c r="AE261" s="11">
        <v>0</v>
      </c>
      <c r="AF261" s="11">
        <f ca="1">VLOOKUP(K261,'1120 Competitividad'!$K$13:$AK$51,22,0)</f>
        <v>1</v>
      </c>
      <c r="AG261" s="11">
        <f ca="1">VLOOKUP(K261,'1120 Competitividad'!$K$13:$AK$51,23,0)</f>
        <v>0</v>
      </c>
      <c r="AH261" s="9">
        <f t="shared" ca="1" si="442"/>
        <v>1</v>
      </c>
      <c r="AI261" s="9" t="str">
        <f ca="1">VLOOKUP(K261,'1120 Competitividad'!$K$13:$AK$51,25,0)</f>
        <v>Materias primas, insumos y muebles y enseres</v>
      </c>
      <c r="AJ261" s="9" t="str">
        <f ca="1">VLOOKUP(K261,'1120 Competitividad'!$K$13:$AK$51,26,0)</f>
        <v>La secretaria  adelanto dos convocatorias una con el municipio de Cota y la Otra a nivel departamental " Cundinamarca emprende y se reactiva” donde se beneficiaron 138  empresas el objetivo de estas es  la creación  de empresa y  fortalecimiento de las empresas legalmente constituidas por medio de un apalancamiento financiero (Capital semilla) que les permita desarrollar y consolidar sus ideas de negocio de una manera sostenible  .</v>
      </c>
      <c r="AK261" s="9">
        <f ca="1">VLOOKUP(K261,'1120 Competitividad'!$K$13:$AK$51,27,0)</f>
        <v>0</v>
      </c>
      <c r="AL261" s="11">
        <v>1</v>
      </c>
      <c r="AM261" s="11">
        <v>0</v>
      </c>
      <c r="AN261" s="11">
        <v>1</v>
      </c>
      <c r="AO261" s="11">
        <v>0</v>
      </c>
      <c r="AP261" s="11">
        <v>0</v>
      </c>
      <c r="AQ261" s="11">
        <v>0</v>
      </c>
      <c r="AR261" s="52"/>
      <c r="AS261" s="54">
        <v>0</v>
      </c>
      <c r="AT261" s="54">
        <f t="shared" si="407"/>
        <v>0</v>
      </c>
      <c r="AU261" s="52"/>
      <c r="AV261" s="89">
        <v>0</v>
      </c>
      <c r="AY261" s="89">
        <v>0</v>
      </c>
      <c r="AZ261" s="42">
        <f t="shared" ca="1" si="443"/>
        <v>0.25</v>
      </c>
      <c r="BA261" s="44">
        <v>0</v>
      </c>
      <c r="BB261" s="44" t="s">
        <v>115</v>
      </c>
      <c r="BC261" s="42">
        <f t="shared" si="444"/>
        <v>0.5</v>
      </c>
      <c r="BD261" s="42" cm="1">
        <f t="array" aca="1" ref="BD261" ca="1">_xlfn.IFS(AD261=0,"NA",AD261&gt;0,AH261/AD261)</f>
        <v>0.5</v>
      </c>
      <c r="BE261" s="42">
        <f t="shared" si="445"/>
        <v>0.25</v>
      </c>
      <c r="BF261" s="44">
        <v>0</v>
      </c>
      <c r="BG261" s="42">
        <f t="shared" si="446"/>
        <v>0.25</v>
      </c>
      <c r="BH261" s="44">
        <v>0</v>
      </c>
      <c r="BI261" s="42">
        <f t="shared" si="447"/>
        <v>0</v>
      </c>
      <c r="BJ261" s="44" t="s">
        <v>115</v>
      </c>
      <c r="BK261" s="42">
        <f t="shared" ca="1" si="408"/>
        <v>0.25</v>
      </c>
      <c r="BL261" s="44" t="s">
        <v>115</v>
      </c>
      <c r="BM261" s="42" cm="1">
        <f t="array" aca="1" ref="BM261" ca="1">_xlfn.IFS(BD261="NA","NA",BD261&gt;100%,"100%",BD261&lt;100,BD261)</f>
        <v>0.5</v>
      </c>
      <c r="BN261" s="42" cm="1">
        <f t="array" ref="BN261">_xlfn.IFS(BF261="NA","NA",BF261&gt;100%,"100%",BF261&lt;100,BF261)</f>
        <v>0</v>
      </c>
      <c r="BO261" s="42" cm="1">
        <f t="array" ref="BO261">_xlfn.IFS(BH261="NA","NA",BH261&gt;100%,"100%",BH261&lt;100,BH261)</f>
        <v>0</v>
      </c>
      <c r="BP261" s="42" t="str" cm="1">
        <f t="array" ref="BP261">_xlfn.IFS(BJ261="NA","NA",BJ261&gt;100%,"100%",BJ261&lt;100,BJ261)</f>
        <v>NA</v>
      </c>
      <c r="BQ261" s="45">
        <v>0.22500000000000001</v>
      </c>
      <c r="BR261" s="43">
        <f t="shared" ca="1" si="409"/>
        <v>5.6250000000000001E-2</v>
      </c>
      <c r="BS261" s="45">
        <v>0</v>
      </c>
      <c r="BT261" s="45" t="s">
        <v>115</v>
      </c>
      <c r="BU261" s="45">
        <v>0</v>
      </c>
      <c r="BV261" s="43">
        <f t="shared" si="448"/>
        <v>0.1125</v>
      </c>
      <c r="BW261" s="43">
        <f t="shared" ca="1" si="410"/>
        <v>5.6250000000000001E-2</v>
      </c>
      <c r="BX261" s="43">
        <f t="shared" ca="1" si="411"/>
        <v>5.6250000000000001E-2</v>
      </c>
      <c r="BY261" s="43">
        <f t="shared" si="449"/>
        <v>5.6250000000000001E-2</v>
      </c>
      <c r="BZ261" s="43">
        <f t="shared" si="450"/>
        <v>0</v>
      </c>
      <c r="CA261" s="43">
        <f t="shared" ca="1" si="412"/>
        <v>0</v>
      </c>
      <c r="CB261" s="43">
        <f t="shared" si="451"/>
        <v>5.6250000000000001E-2</v>
      </c>
      <c r="CC261" s="43">
        <f t="shared" si="452"/>
        <v>0</v>
      </c>
      <c r="CD261" s="45">
        <v>0</v>
      </c>
      <c r="CE261" s="43">
        <f t="shared" si="453"/>
        <v>0</v>
      </c>
      <c r="CF261" s="43" t="str">
        <f t="shared" si="454"/>
        <v>NA</v>
      </c>
      <c r="CG261" s="45">
        <v>0</v>
      </c>
    </row>
    <row r="262" spans="1:90" ht="18" customHeight="1">
      <c r="A262" s="260" t="s">
        <v>1310</v>
      </c>
      <c r="B262" s="260" t="s">
        <v>1311</v>
      </c>
      <c r="C262" s="260" t="s">
        <v>1286</v>
      </c>
      <c r="D262" s="260" t="s">
        <v>1657</v>
      </c>
      <c r="E262" s="260" t="s">
        <v>1658</v>
      </c>
      <c r="F262" s="260" t="s">
        <v>1659</v>
      </c>
      <c r="G262" s="260" t="s">
        <v>1660</v>
      </c>
      <c r="H262" s="260" t="s">
        <v>1672</v>
      </c>
      <c r="I262" s="260"/>
      <c r="J262" s="260"/>
      <c r="K262" s="260" t="s">
        <v>1673</v>
      </c>
      <c r="L262" s="260" t="s">
        <v>1674</v>
      </c>
      <c r="M262" s="260" t="s">
        <v>1675</v>
      </c>
      <c r="N262" s="260" t="s">
        <v>111</v>
      </c>
      <c r="O262" s="260" t="s">
        <v>112</v>
      </c>
      <c r="P262" s="10">
        <v>0</v>
      </c>
      <c r="Q262" s="11">
        <v>5000</v>
      </c>
      <c r="R262" s="9">
        <f t="shared" ca="1" si="441"/>
        <v>1000</v>
      </c>
      <c r="S262" s="11">
        <f ca="1">VLOOKUP(K262,'1120 Competitividad'!$K$13:$AK$51,9,0)</f>
        <v>0</v>
      </c>
      <c r="T262" s="11">
        <v>2000</v>
      </c>
      <c r="U262" s="11">
        <v>0</v>
      </c>
      <c r="V262" s="11">
        <v>0</v>
      </c>
      <c r="W262" s="11">
        <v>0</v>
      </c>
      <c r="X262" s="11">
        <v>0</v>
      </c>
      <c r="Y262" s="11">
        <v>0</v>
      </c>
      <c r="Z262" s="11">
        <v>0</v>
      </c>
      <c r="AA262" s="11"/>
      <c r="AB262" s="11"/>
      <c r="AC262" s="11"/>
      <c r="AD262" s="11">
        <v>5000</v>
      </c>
      <c r="AE262" s="11">
        <v>0</v>
      </c>
      <c r="AF262" s="11">
        <f ca="1">VLOOKUP(K262,'1120 Competitividad'!$K$13:$AK$51,22,0)</f>
        <v>1000</v>
      </c>
      <c r="AG262" s="11">
        <f ca="1">VLOOKUP(K262,'1120 Competitividad'!$K$13:$AK$51,23,0)</f>
        <v>0</v>
      </c>
      <c r="AH262" s="9">
        <f t="shared" ca="1" si="442"/>
        <v>1000</v>
      </c>
      <c r="AI262" s="9" t="str">
        <f ca="1">VLOOKUP(K262,'1120 Competitividad'!$K$13:$AK$51,25,0)</f>
        <v>Entrega de 1000 kits por valor de $2.000.000 mediante convocatoria publica ( 7 opciones a las que pueden acceder )</v>
      </c>
      <c r="AJ262" s="9" t="str">
        <f ca="1">VLOOKUP(K262,'1120 Competitividad'!$K$13:$AK$51,26,0)</f>
        <v xml:space="preserve">Reactivación economica  a traves de la entrega de kits ( maquinaria  y equipos ) para  emprendimientos  logrando fortalecer sus procesos productivos </v>
      </c>
      <c r="AK262" s="9">
        <f ca="1">VLOOKUP(K262,'1120 Competitividad'!$K$13:$AK$51,27,0)</f>
        <v>0</v>
      </c>
      <c r="AL262" s="11">
        <v>0</v>
      </c>
      <c r="AM262" s="11">
        <v>0</v>
      </c>
      <c r="AN262" s="11">
        <v>0</v>
      </c>
      <c r="AO262" s="11">
        <v>0</v>
      </c>
      <c r="AP262" s="11">
        <v>0</v>
      </c>
      <c r="AQ262" s="11">
        <v>0</v>
      </c>
      <c r="AR262" s="52"/>
      <c r="AS262" s="54">
        <v>0</v>
      </c>
      <c r="AT262" s="54">
        <f t="shared" si="407"/>
        <v>0</v>
      </c>
      <c r="AU262" s="52"/>
      <c r="AV262" s="89">
        <v>2000000000</v>
      </c>
      <c r="AY262" s="89">
        <v>0</v>
      </c>
      <c r="AZ262" s="42">
        <f t="shared" ca="1" si="443"/>
        <v>0.2</v>
      </c>
      <c r="BA262" s="44">
        <v>0</v>
      </c>
      <c r="BB262" s="44" t="s">
        <v>115</v>
      </c>
      <c r="BC262" s="42">
        <f t="shared" si="444"/>
        <v>1</v>
      </c>
      <c r="BD262" s="42" cm="1">
        <f t="array" aca="1" ref="BD262" ca="1">_xlfn.IFS(AD262=0,"NA",AD262&gt;0,AH262/AD262)</f>
        <v>0.2</v>
      </c>
      <c r="BE262" s="42">
        <f t="shared" si="445"/>
        <v>0</v>
      </c>
      <c r="BF262" s="44" t="s">
        <v>115</v>
      </c>
      <c r="BG262" s="42">
        <f t="shared" si="446"/>
        <v>0</v>
      </c>
      <c r="BH262" s="44" t="s">
        <v>115</v>
      </c>
      <c r="BI262" s="42">
        <f t="shared" si="447"/>
        <v>0</v>
      </c>
      <c r="BJ262" s="44" t="s">
        <v>115</v>
      </c>
      <c r="BK262" s="42">
        <f t="shared" ca="1" si="408"/>
        <v>0.2</v>
      </c>
      <c r="BL262" s="44" t="s">
        <v>115</v>
      </c>
      <c r="BM262" s="42" cm="1">
        <f t="array" aca="1" ref="BM262" ca="1">_xlfn.IFS(BD262="NA","NA",BD262&gt;100%,"100%",BD262&lt;100,BD262)</f>
        <v>0.2</v>
      </c>
      <c r="BN262" s="42" t="str" cm="1">
        <f t="array" ref="BN262">_xlfn.IFS(BF262="NA","NA",BF262&gt;100%,"100%",BF262&lt;100,BF262)</f>
        <v>NA</v>
      </c>
      <c r="BO262" s="42" t="str" cm="1">
        <f t="array" ref="BO262">_xlfn.IFS(BH262="NA","NA",BH262&gt;100%,"100%",BH262&lt;100,BH262)</f>
        <v>NA</v>
      </c>
      <c r="BP262" s="42" t="str" cm="1">
        <f t="array" ref="BP262">_xlfn.IFS(BJ262="NA","NA",BJ262&gt;100%,"100%",BJ262&lt;100,BJ262)</f>
        <v>NA</v>
      </c>
      <c r="BQ262" s="45">
        <v>0.22500000000000001</v>
      </c>
      <c r="BR262" s="43">
        <f t="shared" ca="1" si="409"/>
        <v>4.5000000000000005E-2</v>
      </c>
      <c r="BS262" s="45">
        <v>0</v>
      </c>
      <c r="BT262" s="45" t="s">
        <v>115</v>
      </c>
      <c r="BU262" s="45">
        <v>0</v>
      </c>
      <c r="BV262" s="43">
        <f t="shared" si="448"/>
        <v>0.22500000000000001</v>
      </c>
      <c r="BW262" s="43">
        <f t="shared" ca="1" si="410"/>
        <v>4.5000000000000005E-2</v>
      </c>
      <c r="BX262" s="43">
        <f t="shared" ca="1" si="411"/>
        <v>4.5000000000000005E-2</v>
      </c>
      <c r="BY262" s="43">
        <f t="shared" si="449"/>
        <v>0</v>
      </c>
      <c r="BZ262" s="43" t="str">
        <f t="shared" si="450"/>
        <v>NA</v>
      </c>
      <c r="CA262" s="43">
        <f t="shared" ca="1" si="412"/>
        <v>0</v>
      </c>
      <c r="CB262" s="43">
        <f t="shared" si="451"/>
        <v>0</v>
      </c>
      <c r="CC262" s="43" t="str">
        <f t="shared" si="452"/>
        <v>NA</v>
      </c>
      <c r="CD262" s="45">
        <v>0</v>
      </c>
      <c r="CE262" s="43">
        <f t="shared" si="453"/>
        <v>0</v>
      </c>
      <c r="CF262" s="43" t="str">
        <f t="shared" si="454"/>
        <v>NA</v>
      </c>
      <c r="CG262" s="45">
        <v>0</v>
      </c>
    </row>
    <row r="263" spans="1:90" ht="18" customHeight="1">
      <c r="A263" s="260" t="s">
        <v>1310</v>
      </c>
      <c r="B263" s="260" t="s">
        <v>1311</v>
      </c>
      <c r="C263" s="260" t="s">
        <v>1286</v>
      </c>
      <c r="D263" s="260" t="s">
        <v>1657</v>
      </c>
      <c r="E263" s="260" t="s">
        <v>1658</v>
      </c>
      <c r="F263" s="260" t="s">
        <v>1659</v>
      </c>
      <c r="G263" s="260" t="s">
        <v>1660</v>
      </c>
      <c r="H263" s="260" t="s">
        <v>1676</v>
      </c>
      <c r="I263" s="260"/>
      <c r="J263" s="260"/>
      <c r="K263" s="260" t="s">
        <v>1677</v>
      </c>
      <c r="L263" s="260" t="s">
        <v>2989</v>
      </c>
      <c r="M263" s="260" t="s">
        <v>2990</v>
      </c>
      <c r="N263" s="260" t="s">
        <v>111</v>
      </c>
      <c r="O263" s="260" t="s">
        <v>112</v>
      </c>
      <c r="P263" s="10">
        <v>2930</v>
      </c>
      <c r="Q263" s="11">
        <v>6000</v>
      </c>
      <c r="R263" s="9">
        <f t="shared" ca="1" si="441"/>
        <v>8571</v>
      </c>
      <c r="S263" s="11" t="str">
        <f ca="1">VLOOKUP(K263,'1120 Competitividad'!$K$13:$AK$51,9,0)</f>
        <v>1500  Mipymes de  102 municipios apoyadas en:  Rutas de fortalecimiento (200); Compra de productos para reactivación económica del departamento (67) ;  crédito con tasa de intereses compensada   (733)  cuyo objetivo es fortalecer el crecimiento y consolidación de las empresas, potencializar su incursión en los mercados  lo anterior obedeció a  contratación del  GR4
Firma de 47 convenios con municipios para la implementacion de estrategias  de recuperación  económica y el fortalecimiento  del sector comercial 
 afectado por las consecuencias de la Pandemía del  COVID-19 .</v>
      </c>
      <c r="T263" s="11">
        <v>2481</v>
      </c>
      <c r="U263" s="11">
        <v>0</v>
      </c>
      <c r="V263" s="11">
        <v>1500</v>
      </c>
      <c r="W263" s="11">
        <v>0</v>
      </c>
      <c r="X263" s="11">
        <v>1500</v>
      </c>
      <c r="Y263" s="11">
        <v>0</v>
      </c>
      <c r="Z263" s="11">
        <v>1500</v>
      </c>
      <c r="AA263" s="11" t="s">
        <v>1680</v>
      </c>
      <c r="AB263" s="11" t="s">
        <v>1681</v>
      </c>
      <c r="AC263" s="11">
        <v>0</v>
      </c>
      <c r="AD263" s="11">
        <v>2181</v>
      </c>
      <c r="AE263" s="11">
        <v>0</v>
      </c>
      <c r="AF263" s="11">
        <f ca="1">VLOOKUP(K263,'1120 Competitividad'!$K$13:$AK$51,22,0)</f>
        <v>7071</v>
      </c>
      <c r="AG263" s="11">
        <f ca="1">VLOOKUP(K263,'1120 Competitividad'!$K$13:$AK$51,23,0)</f>
        <v>0</v>
      </c>
      <c r="AH263" s="9">
        <f t="shared" ca="1" si="442"/>
        <v>7071</v>
      </c>
      <c r="AI263" s="9" t="str">
        <f ca="1">VLOOKUP(K263,'1120 Competitividad'!$K$13:$AK$51,25,0)</f>
        <v>569 CREDITOS DESEMBOLSADO(RECURSOS ECONOMICOS) 260 MYPIMES CON RUTAS DE FORTALECIMIENTO EMPRESARIAL, 6242Mypimes apoyadas  con programa de reactivacion economica ( Dotación de maquinaria y equipos )</v>
      </c>
      <c r="AJ263" s="9" t="str">
        <f ca="1">VLOOKUP(K263,'1120 Competitividad'!$K$13:$AK$51,26,0)</f>
        <v xml:space="preserve"> Financiamiento para las micro, pequeñas y medianas empresas a través de la firma de  convenio Banco Agrario . Ejecucion de convenios para Reactivacion Ecónomica .  se han tramitado 86  contratos de profesionales para apoyar  a las Mipymes del Departamento </v>
      </c>
      <c r="AK263" s="9">
        <f ca="1">VLOOKUP(K263,'1120 Competitividad'!$K$13:$AK$51,27,0)</f>
        <v>0</v>
      </c>
      <c r="AL263" s="11">
        <v>1200</v>
      </c>
      <c r="AM263" s="11">
        <v>0</v>
      </c>
      <c r="AN263" s="11">
        <v>1119</v>
      </c>
      <c r="AO263" s="11">
        <v>0</v>
      </c>
      <c r="AP263" s="11">
        <v>0</v>
      </c>
      <c r="AQ263" s="11">
        <v>0</v>
      </c>
      <c r="AR263" s="51">
        <v>24094461183</v>
      </c>
      <c r="AS263" s="54">
        <v>0</v>
      </c>
      <c r="AT263" s="54">
        <f t="shared" si="407"/>
        <v>24094461183</v>
      </c>
      <c r="AU263" s="51">
        <v>24064425523</v>
      </c>
      <c r="AV263" s="89">
        <v>6970414800</v>
      </c>
      <c r="AY263" s="89">
        <v>3143575478</v>
      </c>
      <c r="AZ263" s="42">
        <f t="shared" ca="1" si="443"/>
        <v>1.4285000000000001</v>
      </c>
      <c r="BA263" s="44">
        <v>0.25</v>
      </c>
      <c r="BB263" s="44">
        <v>1</v>
      </c>
      <c r="BC263" s="42">
        <f t="shared" si="444"/>
        <v>0.36349999999999999</v>
      </c>
      <c r="BD263" s="42" cm="1">
        <f t="array" aca="1" ref="BD263" ca="1">_xlfn.IFS(AD263=0,"NA",AD263&gt;0,AH263/AD263)</f>
        <v>3.2420907840440165</v>
      </c>
      <c r="BE263" s="42">
        <f t="shared" si="445"/>
        <v>0.2</v>
      </c>
      <c r="BF263" s="44">
        <v>0</v>
      </c>
      <c r="BG263" s="42">
        <f t="shared" si="446"/>
        <v>0.1865</v>
      </c>
      <c r="BH263" s="44">
        <v>0</v>
      </c>
      <c r="BI263" s="42">
        <f t="shared" si="447"/>
        <v>0</v>
      </c>
      <c r="BJ263" s="44" t="s">
        <v>115</v>
      </c>
      <c r="BK263" s="42" t="str">
        <f t="shared" ca="1" si="408"/>
        <v>100%</v>
      </c>
      <c r="BL263" s="44">
        <v>1</v>
      </c>
      <c r="BM263" s="42" t="str" cm="1">
        <f t="array" aca="1" ref="BM263" ca="1">_xlfn.IFS(BD263="NA","NA",BD263&gt;100%,"100%",BD263&lt;100,BD263)</f>
        <v>100%</v>
      </c>
      <c r="BN263" s="42" cm="1">
        <f t="array" ref="BN263">_xlfn.IFS(BF263="NA","NA",BF263&gt;100%,"100%",BF263&lt;100,BF263)</f>
        <v>0</v>
      </c>
      <c r="BO263" s="42" cm="1">
        <f t="array" ref="BO263">_xlfn.IFS(BH263="NA","NA",BH263&gt;100%,"100%",BH263&lt;100,BH263)</f>
        <v>0</v>
      </c>
      <c r="BP263" s="42" t="str" cm="1">
        <f t="array" ref="BP263">_xlfn.IFS(BJ263="NA","NA",BJ263&gt;100%,"100%",BJ263&lt;100,BJ263)</f>
        <v>NA</v>
      </c>
      <c r="BQ263" s="45">
        <v>0.22500000000000001</v>
      </c>
      <c r="BR263" s="43">
        <f t="shared" ca="1" si="409"/>
        <v>0.22500000000000001</v>
      </c>
      <c r="BS263" s="45">
        <v>5.6300000000000003E-2</v>
      </c>
      <c r="BT263" s="45">
        <v>5.6300000000000003E-2</v>
      </c>
      <c r="BU263" s="45">
        <v>5.6300000000000003E-2</v>
      </c>
      <c r="BV263" s="43">
        <f t="shared" si="448"/>
        <v>8.1787499999999999E-2</v>
      </c>
      <c r="BW263" s="43">
        <f t="shared" ca="1" si="410"/>
        <v>8.1787499999999999E-2</v>
      </c>
      <c r="BX263" s="43">
        <f t="shared" ca="1" si="411"/>
        <v>0.16870000000000002</v>
      </c>
      <c r="BY263" s="43">
        <f t="shared" si="449"/>
        <v>4.4999999999999998E-2</v>
      </c>
      <c r="BZ263" s="43">
        <f t="shared" si="450"/>
        <v>0</v>
      </c>
      <c r="CA263" s="43">
        <f t="shared" ca="1" si="412"/>
        <v>0</v>
      </c>
      <c r="CB263" s="43">
        <f t="shared" si="451"/>
        <v>4.19625E-2</v>
      </c>
      <c r="CC263" s="43">
        <f t="shared" si="452"/>
        <v>0</v>
      </c>
      <c r="CD263" s="45">
        <v>0</v>
      </c>
      <c r="CE263" s="43">
        <f t="shared" si="453"/>
        <v>0</v>
      </c>
      <c r="CF263" s="43" t="str">
        <f t="shared" si="454"/>
        <v>NA</v>
      </c>
      <c r="CG263" s="45">
        <v>0</v>
      </c>
    </row>
    <row r="264" spans="1:90" ht="18" customHeight="1">
      <c r="A264" s="260" t="s">
        <v>1310</v>
      </c>
      <c r="B264" s="260" t="s">
        <v>1311</v>
      </c>
      <c r="C264" s="260" t="s">
        <v>1286</v>
      </c>
      <c r="D264" s="260" t="s">
        <v>1657</v>
      </c>
      <c r="E264" s="260" t="s">
        <v>1658</v>
      </c>
      <c r="F264" s="260" t="s">
        <v>1659</v>
      </c>
      <c r="G264" s="260" t="s">
        <v>1660</v>
      </c>
      <c r="H264" s="260" t="s">
        <v>1682</v>
      </c>
      <c r="I264" s="260"/>
      <c r="J264" s="260"/>
      <c r="K264" s="260" t="s">
        <v>1683</v>
      </c>
      <c r="L264" s="260" t="s">
        <v>1684</v>
      </c>
      <c r="M264" s="260" t="s">
        <v>1685</v>
      </c>
      <c r="N264" s="260" t="s">
        <v>111</v>
      </c>
      <c r="O264" s="260" t="s">
        <v>112</v>
      </c>
      <c r="P264" s="10">
        <v>10</v>
      </c>
      <c r="Q264" s="11">
        <v>5</v>
      </c>
      <c r="R264" s="9">
        <f t="shared" ca="1" si="441"/>
        <v>12</v>
      </c>
      <c r="S264" s="11" t="str">
        <f ca="1">VLOOKUP(K264,'1120 Competitividad'!$K$13:$AK$51,9,0)</f>
        <v>La secretaría de Competitividad y Desarrollo Económico - S.C.D.E. ha fortalecido los 10 Centros de Integración y Productividad Unidos Por el Desarrollo - CIPUEDO, a través de contratación de  gestores   . Profesionales que apoyan en las provincias los  diagnósticos , asistencias técnica;  socialización de la información para acceder a las convocatorias tanto departamentales como nacionales,  créditos ofertados a Mipymes .  Acompañamiento en asuntos jurídicos, capacitación a empresarios en temas relacionados con las formas jurídicas para la creación de empresa, emprendimiento y modelo CANVAS, mercadeo y posicionamiento y  asesoría en estructuración de proyectos.</v>
      </c>
      <c r="T264" s="11">
        <v>10</v>
      </c>
      <c r="U264" s="11">
        <v>0</v>
      </c>
      <c r="V264" s="11">
        <v>10</v>
      </c>
      <c r="W264" s="11">
        <v>0</v>
      </c>
      <c r="X264" s="11">
        <v>10</v>
      </c>
      <c r="Y264" s="11">
        <v>0</v>
      </c>
      <c r="Z264" s="11">
        <v>10</v>
      </c>
      <c r="AA264" s="11" t="e">
        <f ca="1">-Fortalecimiento de habilidades a las micro,pequeñas y medianas empresas en temas  jurídicos, administrativos y técnicos que conllevan a mejorar las actividades de  los procesos  productivos.</f>
        <v>#NAME?</v>
      </c>
      <c r="AB264" s="11" t="s">
        <v>1687</v>
      </c>
      <c r="AC264" s="11">
        <v>0</v>
      </c>
      <c r="AD264" s="11">
        <v>5</v>
      </c>
      <c r="AE264" s="11">
        <v>10</v>
      </c>
      <c r="AF264" s="11">
        <f ca="1">VLOOKUP(K264,'1120 Competitividad'!$K$13:$AK$51,22,0)</f>
        <v>2</v>
      </c>
      <c r="AG264" s="11">
        <f ca="1">VLOOKUP(K264,'1120 Competitividad'!$K$13:$AK$51,23,0)</f>
        <v>10</v>
      </c>
      <c r="AH264" s="9">
        <f t="shared" ca="1" si="442"/>
        <v>2</v>
      </c>
      <c r="AI264" s="9" t="str">
        <f ca="1">VLOOKUP(K264,'1120 Competitividad'!$K$13:$AK$51,25,0)</f>
        <v xml:space="preserve">Fortalecimiento de mypimes ( diagnostico, caracterizaciones, protocolos etc) </v>
      </c>
      <c r="AJ264" s="9" t="str">
        <f ca="1">VLOOKUP(K264,'1120 Competitividad'!$K$13:$AK$51,26,0)</f>
        <v>La secretaría de Competitividad y Desarrollo Económico - S.C.D.E. ha fortalecido los 12 Centros de Integración y Productividad Unidos Por el Desarrollo - CIPUEDO, a través de contratación de  gestores   . Profesionales que apoyan en las provincias los  diagnósticos , asistencias técnica;  socialización de la información para acceder a las convocatorias tanto departamentales como nacionales, acompañamiento en asuntos jurídicos, capacitación a empresarios en temas relacionados con las formas jurídicas para la creación de empresa, mercadeo ,posicionamiento y  asesoría en estructuración de proyectos.</v>
      </c>
      <c r="AK264" s="9">
        <f ca="1">VLOOKUP(K264,'1120 Competitividad'!$K$13:$AK$51,27,0)</f>
        <v>0</v>
      </c>
      <c r="AL264" s="11">
        <v>0</v>
      </c>
      <c r="AM264" s="11">
        <v>15</v>
      </c>
      <c r="AN264" s="11">
        <v>0</v>
      </c>
      <c r="AO264" s="11">
        <v>15</v>
      </c>
      <c r="AP264" s="11">
        <v>0</v>
      </c>
      <c r="AQ264" s="11">
        <v>0</v>
      </c>
      <c r="AR264" s="51">
        <v>162713879</v>
      </c>
      <c r="AS264" s="54">
        <v>0</v>
      </c>
      <c r="AT264" s="54">
        <f t="shared" si="407"/>
        <v>162713879</v>
      </c>
      <c r="AU264" s="51">
        <v>120015122</v>
      </c>
      <c r="AV264" s="89">
        <v>1300000000</v>
      </c>
      <c r="AY264" s="89">
        <v>121700000</v>
      </c>
      <c r="AZ264" s="42">
        <f t="shared" ca="1" si="443"/>
        <v>2.4</v>
      </c>
      <c r="BA264" s="44">
        <v>2</v>
      </c>
      <c r="BB264" s="44">
        <v>1</v>
      </c>
      <c r="BC264" s="42">
        <f t="shared" si="444"/>
        <v>1</v>
      </c>
      <c r="BD264" s="42" cm="1">
        <f t="array" aca="1" ref="BD264" ca="1">_xlfn.IFS(AD264=0,"NA",AD264&gt;0,AH264/AD264)</f>
        <v>0.4</v>
      </c>
      <c r="BE264" s="42">
        <f t="shared" si="445"/>
        <v>0</v>
      </c>
      <c r="BF264" s="44">
        <v>0</v>
      </c>
      <c r="BG264" s="42">
        <f t="shared" si="446"/>
        <v>0</v>
      </c>
      <c r="BH264" s="44">
        <v>0</v>
      </c>
      <c r="BI264" s="42">
        <f t="shared" si="447"/>
        <v>0</v>
      </c>
      <c r="BJ264" s="44" t="s">
        <v>115</v>
      </c>
      <c r="BK264" s="42" t="str">
        <f t="shared" ca="1" si="408"/>
        <v>100%</v>
      </c>
      <c r="BL264" s="44">
        <v>1</v>
      </c>
      <c r="BM264" s="42" cm="1">
        <f t="array" aca="1" ref="BM264" ca="1">_xlfn.IFS(BD264="NA","NA",BD264&gt;100%,"100%",BD264&lt;100,BD264)</f>
        <v>0.4</v>
      </c>
      <c r="BN264" s="42" cm="1">
        <f t="array" ref="BN264">_xlfn.IFS(BF264="NA","NA",BF264&gt;100%,"100%",BF264&lt;100,BF264)</f>
        <v>0</v>
      </c>
      <c r="BO264" s="42" cm="1">
        <f t="array" ref="BO264">_xlfn.IFS(BH264="NA","NA",BH264&gt;100%,"100%",BH264&lt;100,BH264)</f>
        <v>0</v>
      </c>
      <c r="BP264" s="42" t="str" cm="1">
        <f t="array" ref="BP264">_xlfn.IFS(BJ264="NA","NA",BJ264&gt;100%,"100%",BJ264&lt;100,BJ264)</f>
        <v>NA</v>
      </c>
      <c r="BQ264" s="45">
        <v>0.22500000000000001</v>
      </c>
      <c r="BR264" s="43">
        <f t="shared" ca="1" si="409"/>
        <v>0.22500000000000001</v>
      </c>
      <c r="BS264" s="45">
        <v>0.45</v>
      </c>
      <c r="BT264" s="45">
        <v>0.45</v>
      </c>
      <c r="BU264" s="45">
        <v>0.22500000000000001</v>
      </c>
      <c r="BV264" s="43">
        <f t="shared" si="448"/>
        <v>0.22500000000000001</v>
      </c>
      <c r="BW264" s="43">
        <f t="shared" ca="1" si="410"/>
        <v>9.0000000000000011E-2</v>
      </c>
      <c r="BX264" s="43">
        <f t="shared" ca="1" si="411"/>
        <v>0</v>
      </c>
      <c r="BY264" s="43">
        <f t="shared" si="449"/>
        <v>0</v>
      </c>
      <c r="BZ264" s="43">
        <f t="shared" si="450"/>
        <v>0</v>
      </c>
      <c r="CA264" s="43">
        <f t="shared" ca="1" si="412"/>
        <v>0</v>
      </c>
      <c r="CB264" s="43">
        <f t="shared" si="451"/>
        <v>0</v>
      </c>
      <c r="CC264" s="43">
        <f t="shared" si="452"/>
        <v>0</v>
      </c>
      <c r="CD264" s="45">
        <v>0</v>
      </c>
      <c r="CE264" s="43">
        <f t="shared" si="453"/>
        <v>0</v>
      </c>
      <c r="CF264" s="43" t="str">
        <f t="shared" si="454"/>
        <v>NA</v>
      </c>
      <c r="CG264" s="45">
        <v>0</v>
      </c>
    </row>
    <row r="265" spans="1:90" ht="18" customHeight="1">
      <c r="A265" s="260" t="s">
        <v>1302</v>
      </c>
      <c r="B265" s="260" t="s">
        <v>1303</v>
      </c>
      <c r="C265" s="260" t="s">
        <v>1286</v>
      </c>
      <c r="D265" s="260" t="s">
        <v>1657</v>
      </c>
      <c r="E265" s="260" t="s">
        <v>1658</v>
      </c>
      <c r="F265" s="260" t="s">
        <v>1688</v>
      </c>
      <c r="G265" s="260" t="s">
        <v>1689</v>
      </c>
      <c r="H265" s="260" t="s">
        <v>1690</v>
      </c>
      <c r="I265" s="260"/>
      <c r="J265" s="260"/>
      <c r="K265" s="260" t="s">
        <v>1691</v>
      </c>
      <c r="L265" s="260" t="s">
        <v>1692</v>
      </c>
      <c r="M265" s="260" t="s">
        <v>1693</v>
      </c>
      <c r="N265" s="260" t="s">
        <v>111</v>
      </c>
      <c r="O265" s="260" t="s">
        <v>112</v>
      </c>
      <c r="P265" s="10">
        <v>7002</v>
      </c>
      <c r="Q265" s="11">
        <v>5000</v>
      </c>
      <c r="R265" s="9">
        <f t="shared" si="441"/>
        <v>2935</v>
      </c>
      <c r="S265" s="11" t="str">
        <f>VLOOKUP(K265,'1124 Agricultura'!$K$13:$AK$25,9,0)</f>
        <v xml:space="preserve">Por el componente de Crédito se han beneficiado a la fecha 2.935 productores agropecuarios con incentivos y subsidios por valor de $4.607.117.436 que representan una inversión en el sector de $33.691.912.534, de los cuales 52 se reportaron en la vigencia 2020 y 2.883 en el 2021. El 93% de los beneficiados han sido pequeños productores (2.875) con una inversión de $4.326.650.511 y el 7% medianos productores (60) con una inversión de $280.466.925. A través del Incentivo Territorial ICRCUND se ha beneficiado 351 productores con una inversión de $895.607.824 que apalancan operaciones de crédito por la suma de $4.391.428.534. Con toda la inversión de los 403 productores por valor de $1.020.348.854 que apalancan operaciones de crédito por la suma de $5.017.420.534. Entre los destinos con mayor demanda se encuentra: Retención de vientres, caña panelera, café, compra de animales de labor entre otros, siendo los municipios con mayor apropiación de este instrumento Caparrapí, Vergara, Cabrera, Villeta y Guaduas entre los 57 primeros beneficiados con este incentivo. 
Con relación al componente de LECCUND – Subsidio a la tasa, se tiene una ejecución de recursos por la suma de $3.586.768.582 que apalancan 2.532 operaciones de crédito por valor de $28.674.492.000, cuyos destinos con mayor participación son: Capital de trabajo UPC, papa, sostenimiento ceba bovina, fríjol, cebolla cabezona, frutales, siendo los municipios con mayor colocación Yacopí, Villapinzón, Gutiérrez, La Peña, La Mesa, Fosca, Guaduas, Vergara, Caparrapí entre otros. 
Con relación al componente de Educación Financiera, se realizó la entrega a las 116 Umata municipales de los Kits requeridos para el inicio de los ciclos de capacitaciones, los cuales están programados para su realización entre el 09 de septiembre y el 14 de octubre. La modalidad será virtual mediante la plataforma TEAMS a través de los links creados por FINAGRO. La intensidad horaria comprende 24 horas, 8 horas por cada taller, de las cuales 12 horas se realizarán a través del aprendizaje sincrónico y 12 horas en aprendizaje asincrónico.
</v>
      </c>
      <c r="T265" s="11">
        <v>400</v>
      </c>
      <c r="U265" s="11">
        <v>0</v>
      </c>
      <c r="V265" s="11">
        <v>50</v>
      </c>
      <c r="W265" s="11">
        <v>0</v>
      </c>
      <c r="X265" s="11">
        <v>52</v>
      </c>
      <c r="Y265" s="11">
        <v>0</v>
      </c>
      <c r="Z265" s="11">
        <v>52</v>
      </c>
      <c r="AA265" s="11" t="s">
        <v>1694</v>
      </c>
      <c r="AB265" s="11" t="s">
        <v>1695</v>
      </c>
      <c r="AC265" s="11">
        <v>0</v>
      </c>
      <c r="AD265" s="11">
        <v>2900</v>
      </c>
      <c r="AE265" s="11">
        <v>0</v>
      </c>
      <c r="AF265" s="11">
        <f>VLOOKUP(K265,'1124 Agricultura'!$K$13:$AK$25,22,0)</f>
        <v>2883</v>
      </c>
      <c r="AG265" s="11">
        <f>VLOOKUP(K265,'1124 Agricultura'!$K$13:$AK$25,23,0)</f>
        <v>0</v>
      </c>
      <c r="AH265" s="9">
        <f t="shared" si="442"/>
        <v>2883</v>
      </c>
      <c r="AI265" s="9" t="str">
        <f>VLOOKUP(K265,'1124 Agricultura'!$K$13:$AK$25,25,0)</f>
        <v xml:space="preserve">Productores atendidos con Instrumentos Financieros </v>
      </c>
      <c r="AJ265" s="9" t="str">
        <f>VLOOKUP(K265,'1124 Agricultura'!$K$13:$AK$25,26,0)</f>
        <v xml:space="preserve">Por el componente de Crédito se han beneficiado a la fecha 2.935 productores agropecuarios con incentivos y subsidios por valor de $4.607.117.436 que representan una inversión en el sector de $33.691.912.534, de los cuales 52 se reportaron en la vigencia 2020 y 2.883 en el 2021. El 93% de los beneficiados han sido pequeños productores (2.875) con una inversión de $4.326.650.511 y el 7% medianos productores (60) con una inversión de $280.466.925. A través del Incentivo Territorial ICRCUND se ha beneficiado 351 productores con una inversión de $895.607.824 que apalancan operaciones de crédito por la suma de $4.391.428.534. Con toda la inversión de los 403 productores por valor de $1.020.348.854 que apalancan operaciones de crédito por la suma de $5.017.420.534. Entre los destinos con mayor demanda se encuentra: Retención de vientres, caña panelera, café, compra de animales de labor entre otros, siendo los municipios con mayor apropiación de este instrumento Caparrapí, Vergara, Cabrera, Villeta y Guaduas entre los 57 primeros beneficiados con este incentivo. 
Con relación al componente de LECCUND – Subsidio a la tasa, se tiene una ejecución de recursos por la suma de $3.586.768.582 que apalancan 2.532 operaciones de crédito por valor de $28.674.492.000, cuyos destinos con mayor participación son: Capital de trabajo UPC, papa, sostenimiento ceba bovina, fríjol, cebolla cabezona, frutales, siendo los municipios con mayor colocación Yacopí, Villapinzón, Gutiérrez, La Peña, La Mesa, Fosca, Guaduas, Vergara, Caparrapí entre otros. 
Con relación al componente de Educación Financiera, se realizó la entrega a las 116 Umata municipales de los Kits requeridos para el inicio de los ciclos de capacitaciones, los cuales están programados para su realización entre el 09 de septiembre y el 14 de octubre. La modalidad será virtual mediante la plataforma TEAMS a través de los links creados por FINAGRO. La intensidad horaria comprende 24 horas, 8 horas por cada taller, de las cuales 12 horas se realizarán a través del aprendizaje sincrónico y 12 horas en aprendizaje asincrónico.
</v>
      </c>
      <c r="AK265" s="9">
        <f>VLOOKUP(K265,'1124 Agricultura'!$K$13:$AK$25,27,0)</f>
        <v>0</v>
      </c>
      <c r="AL265" s="11">
        <v>1364</v>
      </c>
      <c r="AM265" s="11">
        <v>0</v>
      </c>
      <c r="AN265" s="11">
        <v>684</v>
      </c>
      <c r="AO265" s="11">
        <v>0</v>
      </c>
      <c r="AP265" s="11">
        <v>0</v>
      </c>
      <c r="AQ265" s="11">
        <v>0</v>
      </c>
      <c r="AR265" s="51">
        <v>4700000000</v>
      </c>
      <c r="AS265" s="54">
        <v>0</v>
      </c>
      <c r="AT265" s="54">
        <f t="shared" si="407"/>
        <v>4700000000</v>
      </c>
      <c r="AU265" s="51">
        <v>4700000000</v>
      </c>
      <c r="AV265" s="89">
        <v>1471254998</v>
      </c>
      <c r="AY265" s="89">
        <v>0</v>
      </c>
      <c r="AZ265" s="42">
        <f t="shared" si="443"/>
        <v>0.58699999999999997</v>
      </c>
      <c r="BA265" s="44">
        <v>0.01</v>
      </c>
      <c r="BB265" s="44">
        <v>1.04</v>
      </c>
      <c r="BC265" s="42">
        <f t="shared" si="444"/>
        <v>0.57999999999999996</v>
      </c>
      <c r="BD265" s="42" cm="1">
        <f t="array" ref="BD265">_xlfn.IFS(AD265=0,"NA",AD265&gt;0,AH265/AD265)</f>
        <v>0.99413793103448278</v>
      </c>
      <c r="BE265" s="42">
        <f t="shared" si="445"/>
        <v>0.27279999999999999</v>
      </c>
      <c r="BF265" s="44">
        <v>0</v>
      </c>
      <c r="BG265" s="42">
        <f t="shared" si="446"/>
        <v>0.1368</v>
      </c>
      <c r="BH265" s="44">
        <v>0</v>
      </c>
      <c r="BI265" s="42">
        <f t="shared" si="447"/>
        <v>0</v>
      </c>
      <c r="BJ265" s="44" t="s">
        <v>115</v>
      </c>
      <c r="BK265" s="42">
        <f t="shared" si="408"/>
        <v>0.58699999999999997</v>
      </c>
      <c r="BL265" s="44">
        <v>1</v>
      </c>
      <c r="BM265" s="42" cm="1">
        <f t="array" ref="BM265">_xlfn.IFS(BD265="NA","NA",BD265&gt;100%,"100%",BD265&lt;100,BD265)</f>
        <v>0.99413793103448278</v>
      </c>
      <c r="BN265" s="42" cm="1">
        <f t="array" ref="BN265">_xlfn.IFS(BF265="NA","NA",BF265&gt;100%,"100%",BF265&lt;100,BF265)</f>
        <v>0</v>
      </c>
      <c r="BO265" s="42" cm="1">
        <f t="array" ref="BO265">_xlfn.IFS(BH265="NA","NA",BH265&gt;100%,"100%",BH265&lt;100,BH265)</f>
        <v>0</v>
      </c>
      <c r="BP265" s="42" t="str" cm="1">
        <f t="array" ref="BP265">_xlfn.IFS(BJ265="NA","NA",BJ265&gt;100%,"100%",BJ265&lt;100,BJ265)</f>
        <v>NA</v>
      </c>
      <c r="BQ265" s="45">
        <v>0.22500000000000001</v>
      </c>
      <c r="BR265" s="43">
        <f t="shared" si="409"/>
        <v>0.132075</v>
      </c>
      <c r="BS265" s="45">
        <v>2.3E-3</v>
      </c>
      <c r="BT265" s="45">
        <v>2.3E-3</v>
      </c>
      <c r="BU265" s="45">
        <v>2.3E-3</v>
      </c>
      <c r="BV265" s="43">
        <f t="shared" si="448"/>
        <v>0.1305</v>
      </c>
      <c r="BW265" s="43">
        <f t="shared" si="410"/>
        <v>0.12973500000000002</v>
      </c>
      <c r="BX265" s="43">
        <f t="shared" si="411"/>
        <v>0.129775</v>
      </c>
      <c r="BY265" s="43">
        <f t="shared" si="449"/>
        <v>6.1380000000000004E-2</v>
      </c>
      <c r="BZ265" s="43">
        <f t="shared" si="450"/>
        <v>0</v>
      </c>
      <c r="CA265" s="43">
        <f t="shared" si="412"/>
        <v>0</v>
      </c>
      <c r="CB265" s="43">
        <f t="shared" si="451"/>
        <v>3.0780000000000002E-2</v>
      </c>
      <c r="CC265" s="43">
        <f t="shared" si="452"/>
        <v>0</v>
      </c>
      <c r="CD265" s="45">
        <v>0</v>
      </c>
      <c r="CE265" s="43">
        <f t="shared" si="453"/>
        <v>0</v>
      </c>
      <c r="CF265" s="43" t="str">
        <f t="shared" si="454"/>
        <v>NA</v>
      </c>
      <c r="CG265" s="45">
        <v>0</v>
      </c>
    </row>
    <row r="266" spans="1:90" ht="18" customHeight="1">
      <c r="A266" s="260" t="s">
        <v>221</v>
      </c>
      <c r="B266" s="260" t="s">
        <v>222</v>
      </c>
      <c r="C266" s="260" t="s">
        <v>1286</v>
      </c>
      <c r="D266" s="260" t="s">
        <v>1657</v>
      </c>
      <c r="E266" s="260" t="s">
        <v>1696</v>
      </c>
      <c r="F266" s="260" t="s">
        <v>1697</v>
      </c>
      <c r="G266" s="260" t="s">
        <v>1698</v>
      </c>
      <c r="H266" s="260" t="s">
        <v>1699</v>
      </c>
      <c r="I266" s="260"/>
      <c r="J266" s="260"/>
      <c r="K266" s="260" t="s">
        <v>1700</v>
      </c>
      <c r="L266" s="260" t="s">
        <v>1701</v>
      </c>
      <c r="M266" s="260" t="s">
        <v>1702</v>
      </c>
      <c r="N266" s="260" t="s">
        <v>111</v>
      </c>
      <c r="O266" s="260" t="s">
        <v>124</v>
      </c>
      <c r="P266" s="10">
        <v>0</v>
      </c>
      <c r="Q266" s="11">
        <v>1</v>
      </c>
      <c r="R266" s="11">
        <f ca="1">(Z266+AH266)/CL266</f>
        <v>0.5</v>
      </c>
      <c r="S266" s="11" t="str">
        <f ca="1">VLOOKUP(K266,'1220 IDECUT'!$K$13:$AK$48,9,0)</f>
        <v xml:space="preserve">Durante la vigencia 2020 se estructuró una estrategia para promover la cultura y el turismo cultural de la sabana centro a través de una pauta publicitaria, articulación para el apoyo a las estrategias de marketing promoción y comercialización de los artesanos en el marco de la reactivación económica y transmisión del programa radial "de tour por Cundinamarca" y divulgación de las actividades y convocatorias realizadas por el IDECUT a través de emisoras municipales y "El Dorado Radio". Durante la vigencia 2021. Se logró mantener y continuar con el desarrollo del plan de medios, dando una mayor cabida a la publicidad con artesanos, implementando una campaña de sesión de fotos, realización de catálogo, creación de contenidos para la comercialización de sus productos y capacitación para los artesanos en medios digitales.  Acompañamiento con el desarrollod el plan de medios  para apoyar el evento de EXPOCUNDINAMARCA .Acompañamiento con el desarrollod el plan de medios  para apoyar el evento de EXPOCUNDINAMARCA </v>
      </c>
      <c r="T266" s="11">
        <v>0</v>
      </c>
      <c r="U266" s="11">
        <v>1</v>
      </c>
      <c r="V266" s="11">
        <v>0</v>
      </c>
      <c r="W266" s="11">
        <v>1</v>
      </c>
      <c r="X266" s="11" t="s">
        <v>115</v>
      </c>
      <c r="Y266" s="11">
        <v>1</v>
      </c>
      <c r="Z266" s="11">
        <v>1</v>
      </c>
      <c r="AA266" s="11" t="s">
        <v>1703</v>
      </c>
      <c r="AB266" s="11" t="s">
        <v>1704</v>
      </c>
      <c r="AC266" s="11" t="e">
        <f ca="1">- Articulación institucional</f>
        <v>#NAME?</v>
      </c>
      <c r="AD266" s="11">
        <v>0</v>
      </c>
      <c r="AE266" s="11">
        <v>1</v>
      </c>
      <c r="AF266" s="11">
        <f ca="1">VLOOKUP(K266,'1220 IDECUT'!$K$13:$AK$48,22,0)</f>
        <v>0</v>
      </c>
      <c r="AG266" s="11">
        <f ca="1">VLOOKUP(K266,'1220 IDECUT'!$K$13:$AK$48,23,0)</f>
        <v>1</v>
      </c>
      <c r="AH266" s="11">
        <f ca="1">AG266</f>
        <v>1</v>
      </c>
      <c r="AI266" s="9" t="str">
        <f ca="1">VLOOKUP(K266,'1220 IDECUT'!$K$13:$AK$48,25,0)</f>
        <v>Plan de medios</v>
      </c>
      <c r="AJ266" s="9" t="str">
        <f ca="1">VLOOKUP(K266,'1220 IDECUT'!$K$13:$AK$48,26,0)</f>
        <v>Se logró mantener y continuar con el desarrollo del plan de medios, dando una mayor cabida a la publicidad con artesanos, implementando una campaña de sesión de fotos, realización de catálogo, creación de contenidos para la comercialización de sus productos y capacitación para los artesanos en medios digitales.  Acompañamiento con el desarrollod el plan de medios  para apoyar el evento de EXPOCUNDINAMARCA .Acompañamiento con el desarrollod el plan de medios  para apoyar el evento de EXPOCUNDINAMARCA .</v>
      </c>
      <c r="AK266" s="9">
        <f ca="1">VLOOKUP(K266,'1220 IDECUT'!$K$13:$AK$48,27,0)</f>
        <v>0</v>
      </c>
      <c r="AL266" s="11">
        <v>0</v>
      </c>
      <c r="AM266" s="11">
        <v>1</v>
      </c>
      <c r="AN266" s="11">
        <v>0</v>
      </c>
      <c r="AO266" s="11">
        <v>1</v>
      </c>
      <c r="AP266" s="11">
        <v>0</v>
      </c>
      <c r="AQ266" s="11">
        <v>0</v>
      </c>
      <c r="AR266" s="51">
        <v>110000000</v>
      </c>
      <c r="AS266" s="54">
        <v>0</v>
      </c>
      <c r="AT266" s="54">
        <f t="shared" si="407"/>
        <v>110000000</v>
      </c>
      <c r="AU266" s="51">
        <v>110000000</v>
      </c>
      <c r="AV266" s="89">
        <v>130000000</v>
      </c>
      <c r="AY266" s="89">
        <v>25200000</v>
      </c>
      <c r="AZ266" s="44" cm="1">
        <f t="array" aca="1" ref="AZ266" ca="1">_xlfn.IFS((BA266=0),(BD266/CL266),(BA266&gt;0),((BB266+BD266)/CL266),(BE266&gt;0),((BB266+BD266+BE266)/CL266),(BG266&gt;0),((BB266+BD266+BE266+G266)/CL266))</f>
        <v>0.5</v>
      </c>
      <c r="BA266" s="44">
        <v>0.25</v>
      </c>
      <c r="BB266" s="44">
        <v>1</v>
      </c>
      <c r="BC266" s="44">
        <f>IF(AE266&gt;0,(1/CL266),0)</f>
        <v>0.25</v>
      </c>
      <c r="BD266" s="44" cm="1">
        <f t="array" aca="1" ref="BD266" ca="1">_xlfn.IFS(AE266=0,"NA",AE266&gt;0,AH266/AE266)</f>
        <v>1</v>
      </c>
      <c r="BE266" s="44">
        <f>IF(AM266&gt;0,(1/CL266),0)</f>
        <v>0.25</v>
      </c>
      <c r="BF266" s="44">
        <v>0</v>
      </c>
      <c r="BG266" s="44">
        <f>IF(AO266&gt;0,(1/CL266),0)</f>
        <v>0.25</v>
      </c>
      <c r="BH266" s="44">
        <v>0</v>
      </c>
      <c r="BI266" s="44">
        <v>0</v>
      </c>
      <c r="BJ266" s="44" t="s">
        <v>115</v>
      </c>
      <c r="BK266" s="44">
        <f t="shared" ca="1" si="408"/>
        <v>0.5</v>
      </c>
      <c r="BL266" s="44">
        <v>1</v>
      </c>
      <c r="BM266" s="42" cm="1">
        <f t="array" aca="1" ref="BM266" ca="1">_xlfn.IFS(BD266="NA","NA",BD266&gt;100%,"100%",BD266&lt;100,BD266)</f>
        <v>1</v>
      </c>
      <c r="BN266" s="44">
        <v>0</v>
      </c>
      <c r="BO266" s="44">
        <v>0</v>
      </c>
      <c r="BP266" s="44" t="s">
        <v>115</v>
      </c>
      <c r="BQ266" s="45">
        <v>0.22500000000000001</v>
      </c>
      <c r="BR266" s="43">
        <f t="shared" ca="1" si="409"/>
        <v>0.1125</v>
      </c>
      <c r="BS266" s="45">
        <v>5.6300000000000003E-2</v>
      </c>
      <c r="BT266" s="45">
        <v>5.6300000000000003E-2</v>
      </c>
      <c r="BU266" s="45">
        <v>5.6300000000000003E-2</v>
      </c>
      <c r="BV266" s="45">
        <v>5.6300000000000003E-2</v>
      </c>
      <c r="BW266" s="43">
        <f t="shared" ca="1" si="410"/>
        <v>5.6300000000000003E-2</v>
      </c>
      <c r="BX266" s="43">
        <f t="shared" ca="1" si="411"/>
        <v>5.62E-2</v>
      </c>
      <c r="BY266" s="45">
        <v>5.6300000000000003E-2</v>
      </c>
      <c r="BZ266" s="45">
        <v>0</v>
      </c>
      <c r="CA266" s="43">
        <f t="shared" ca="1" si="412"/>
        <v>0</v>
      </c>
      <c r="CB266" s="45">
        <v>5.6300000000000003E-2</v>
      </c>
      <c r="CC266" s="45">
        <v>0</v>
      </c>
      <c r="CD266" s="45">
        <v>0</v>
      </c>
      <c r="CE266" s="45">
        <v>0</v>
      </c>
      <c r="CF266" s="45" t="s">
        <v>115</v>
      </c>
      <c r="CG266" s="45">
        <v>0</v>
      </c>
      <c r="CH266">
        <f>IF(W266&gt;0,1,0)</f>
        <v>1</v>
      </c>
      <c r="CI266">
        <f>IF(AE266&gt;0,1,0)</f>
        <v>1</v>
      </c>
      <c r="CJ266">
        <f>IF(AM266&gt;0,1,0)</f>
        <v>1</v>
      </c>
      <c r="CK266">
        <f>IF(AO266&gt;0,1,0)</f>
        <v>1</v>
      </c>
      <c r="CL266">
        <f>CH266+CI266+CJ266+CK266</f>
        <v>4</v>
      </c>
    </row>
    <row r="267" spans="1:90" ht="18" customHeight="1">
      <c r="A267" s="260" t="s">
        <v>221</v>
      </c>
      <c r="B267" s="260" t="s">
        <v>222</v>
      </c>
      <c r="C267" s="260" t="s">
        <v>1286</v>
      </c>
      <c r="D267" s="260" t="s">
        <v>1657</v>
      </c>
      <c r="E267" s="260" t="s">
        <v>1696</v>
      </c>
      <c r="F267" s="260" t="s">
        <v>1697</v>
      </c>
      <c r="G267" s="260" t="s">
        <v>1698</v>
      </c>
      <c r="H267" s="260" t="s">
        <v>1705</v>
      </c>
      <c r="I267" s="260"/>
      <c r="J267" s="260"/>
      <c r="K267" s="260" t="s">
        <v>1706</v>
      </c>
      <c r="L267" s="260" t="s">
        <v>1707</v>
      </c>
      <c r="M267" s="260" t="s">
        <v>1708</v>
      </c>
      <c r="N267" s="260" t="s">
        <v>111</v>
      </c>
      <c r="O267" s="260" t="s">
        <v>112</v>
      </c>
      <c r="P267" s="10">
        <v>0</v>
      </c>
      <c r="Q267" s="11">
        <v>6</v>
      </c>
      <c r="R267" s="9">
        <f t="shared" ref="R267:R282" ca="1" si="455">Z267+AH267</f>
        <v>1</v>
      </c>
      <c r="S267" s="11" t="str">
        <f ca="1">VLOOKUP(K267,'1220 IDECUT'!$K$13:$AK$48,9,0)</f>
        <v>En el 2021. La implementación del modelo de pueblo Dorado se encuentra en proceso de firma del convenio con los municipios de Tena y Sesquilé, para que estos sean incluidos dentro de los pueblos dorados del Departamento. De igual manera, se ha llevado a cabo la revisión de los avances el proyecto de Pueblos Dorados y se han desarrollado reuniones con la concesión Devisab para concretar su vinculación al proyecto. Por último, se han llevado a cabo capacitaciones por parte de Procolombia dirigidas a  la provincia de Almeidas en temas turísticos.</v>
      </c>
      <c r="T267" s="11">
        <v>0</v>
      </c>
      <c r="U267" s="11">
        <v>0</v>
      </c>
      <c r="V267" s="11">
        <v>0</v>
      </c>
      <c r="W267" s="11">
        <v>0</v>
      </c>
      <c r="X267" s="11">
        <v>0</v>
      </c>
      <c r="Y267" s="11">
        <v>0</v>
      </c>
      <c r="Z267" s="11">
        <v>0</v>
      </c>
      <c r="AA267" s="11"/>
      <c r="AB267" s="11"/>
      <c r="AC267" s="11"/>
      <c r="AD267" s="11">
        <v>2</v>
      </c>
      <c r="AE267" s="11">
        <v>0</v>
      </c>
      <c r="AF267" s="11">
        <f ca="1">VLOOKUP(K267,'1220 IDECUT'!$K$13:$AK$48,22,0)</f>
        <v>1</v>
      </c>
      <c r="AG267" s="11">
        <f ca="1">VLOOKUP(K267,'1220 IDECUT'!$K$13:$AK$48,23,0)</f>
        <v>0</v>
      </c>
      <c r="AH267" s="9">
        <f t="shared" ref="AH267:AH282" ca="1" si="456">AF267</f>
        <v>1</v>
      </c>
      <c r="AI267" s="9" t="str">
        <f ca="1">VLOOKUP(K267,'1220 IDECUT'!$K$13:$AK$48,25,0)</f>
        <v>Talleres</v>
      </c>
      <c r="AJ267" s="9" t="str">
        <f ca="1">VLOOKUP(K267,'1220 IDECUT'!$K$13:$AK$48,26,0)</f>
        <v>La implementación del modelo de pueblo Dorado se encuentra en proceso de firma del convenio con los municipios de Tena y Sesquilé, para que estos sean incluidos dentro de los pueblos dorados del Departamento. De igual manera, se ha llevado a cabo la revisión de los avances el proyecto de Pueblos Dorados y se han desarrollado reuniones con la concesión Devisab para concretar su vinculación al proyecto. Por último, se han llevado a cabo capacitaciones por parte de Procolombia dirigidas a  la provincia de Almeidas en temas turísticos.</v>
      </c>
      <c r="AK267" s="9">
        <f ca="1">VLOOKUP(K267,'1220 IDECUT'!$K$13:$AK$48,27,0)</f>
        <v>0</v>
      </c>
      <c r="AL267" s="11">
        <v>2</v>
      </c>
      <c r="AM267" s="11">
        <v>0</v>
      </c>
      <c r="AN267" s="11">
        <v>2</v>
      </c>
      <c r="AO267" s="11">
        <v>0</v>
      </c>
      <c r="AP267" s="11">
        <v>0</v>
      </c>
      <c r="AQ267" s="11">
        <v>0</v>
      </c>
      <c r="AR267" s="52"/>
      <c r="AS267" s="54">
        <v>0</v>
      </c>
      <c r="AT267" s="54">
        <f t="shared" si="407"/>
        <v>0</v>
      </c>
      <c r="AU267" s="52"/>
      <c r="AV267" s="89">
        <v>576000000</v>
      </c>
      <c r="AY267" s="89">
        <v>37700000</v>
      </c>
      <c r="AZ267" s="42">
        <f t="shared" ref="AZ267:AZ282" ca="1" si="457">R267/Q267</f>
        <v>0.16666666666666666</v>
      </c>
      <c r="BA267" s="44">
        <v>0</v>
      </c>
      <c r="BB267" s="44" t="s">
        <v>115</v>
      </c>
      <c r="BC267" s="42">
        <f t="shared" ref="BC267:BC282" si="458">AD267/Q267</f>
        <v>0.33333333333333331</v>
      </c>
      <c r="BD267" s="42" cm="1">
        <f t="array" aca="1" ref="BD267" ca="1">_xlfn.IFS(AD267=0,"NA",AD267&gt;0,AH267/AD267)</f>
        <v>0.5</v>
      </c>
      <c r="BE267" s="42">
        <f t="shared" ref="BE267:BE282" si="459">AL267/Q267</f>
        <v>0.33333333333333331</v>
      </c>
      <c r="BF267" s="44">
        <v>0</v>
      </c>
      <c r="BG267" s="42">
        <f t="shared" ref="BG267:BG282" si="460">AN267/Q267</f>
        <v>0.33333333333333331</v>
      </c>
      <c r="BH267" s="44">
        <v>0</v>
      </c>
      <c r="BI267" s="42">
        <f t="shared" ref="BI267:BI282" si="461">AP267/Q267</f>
        <v>0</v>
      </c>
      <c r="BJ267" s="44" t="s">
        <v>115</v>
      </c>
      <c r="BK267" s="42">
        <f t="shared" ca="1" si="408"/>
        <v>0.16666666666666666</v>
      </c>
      <c r="BL267" s="44" t="s">
        <v>115</v>
      </c>
      <c r="BM267" s="42" cm="1">
        <f t="array" aca="1" ref="BM267" ca="1">_xlfn.IFS(BD267="NA","NA",BD267&gt;100%,"100%",BD267&lt;100,BD267)</f>
        <v>0.5</v>
      </c>
      <c r="BN267" s="42" cm="1">
        <f t="array" ref="BN267">_xlfn.IFS(BF267="NA","NA",BF267&gt;100%,"100%",BF267&lt;100,BF267)</f>
        <v>0</v>
      </c>
      <c r="BO267" s="42" cm="1">
        <f t="array" ref="BO267">_xlfn.IFS(BH267="NA","NA",BH267&gt;100%,"100%",BH267&lt;100,BH267)</f>
        <v>0</v>
      </c>
      <c r="BP267" s="42" t="str" cm="1">
        <f t="array" ref="BP267">_xlfn.IFS(BJ267="NA","NA",BJ267&gt;100%,"100%",BJ267&lt;100,BJ267)</f>
        <v>NA</v>
      </c>
      <c r="BQ267" s="45">
        <v>0.22500000000000001</v>
      </c>
      <c r="BR267" s="43">
        <f t="shared" ca="1" si="409"/>
        <v>3.7499999999999999E-2</v>
      </c>
      <c r="BS267" s="45">
        <v>0</v>
      </c>
      <c r="BT267" s="45" t="s">
        <v>115</v>
      </c>
      <c r="BU267" s="45">
        <v>0</v>
      </c>
      <c r="BV267" s="43">
        <f t="shared" ref="BV267:BV282" si="462">(AD267*BQ267)/Q267</f>
        <v>7.4999999999999997E-2</v>
      </c>
      <c r="BW267" s="43">
        <f t="shared" ca="1" si="410"/>
        <v>3.7499999999999999E-2</v>
      </c>
      <c r="BX267" s="43">
        <f t="shared" ca="1" si="411"/>
        <v>3.7499999999999999E-2</v>
      </c>
      <c r="BY267" s="43">
        <f t="shared" ref="BY267:BY282" si="463">(AL267*BQ267)/Q267</f>
        <v>7.4999999999999997E-2</v>
      </c>
      <c r="BZ267" s="43">
        <f t="shared" ref="BZ267:BZ282" si="464">IF(BN267="NA","NA",BN267*BY267)</f>
        <v>0</v>
      </c>
      <c r="CA267" s="43">
        <f t="shared" ca="1" si="412"/>
        <v>0</v>
      </c>
      <c r="CB267" s="43">
        <f t="shared" ref="CB267:CB282" si="465">(AN267*BQ267)/Q267</f>
        <v>7.4999999999999997E-2</v>
      </c>
      <c r="CC267" s="43">
        <f t="shared" ref="CC267:CC282" si="466">IF(BO267="NA","NA",BO267*CB267)</f>
        <v>0</v>
      </c>
      <c r="CD267" s="45">
        <v>0</v>
      </c>
      <c r="CE267" s="43">
        <f t="shared" ref="CE267:CE282" si="467">(AP267*BQ267)/Q267</f>
        <v>0</v>
      </c>
      <c r="CF267" s="43" t="str">
        <f t="shared" ref="CF267:CF282" si="468">IF(BP267="NA","NA",BP267*CE267)</f>
        <v>NA</v>
      </c>
      <c r="CG267" s="45">
        <v>0</v>
      </c>
    </row>
    <row r="268" spans="1:90" ht="18" customHeight="1">
      <c r="A268" s="260" t="s">
        <v>221</v>
      </c>
      <c r="B268" s="260" t="s">
        <v>222</v>
      </c>
      <c r="C268" s="260" t="s">
        <v>1286</v>
      </c>
      <c r="D268" s="260" t="s">
        <v>1657</v>
      </c>
      <c r="E268" s="260" t="s">
        <v>1696</v>
      </c>
      <c r="F268" s="260" t="s">
        <v>1697</v>
      </c>
      <c r="G268" s="260" t="s">
        <v>1698</v>
      </c>
      <c r="H268" s="260" t="s">
        <v>1709</v>
      </c>
      <c r="I268" s="260"/>
      <c r="J268" s="260"/>
      <c r="K268" s="260" t="s">
        <v>1710</v>
      </c>
      <c r="L268" s="260" t="s">
        <v>1711</v>
      </c>
      <c r="M268" s="260" t="s">
        <v>1712</v>
      </c>
      <c r="N268" s="260" t="s">
        <v>111</v>
      </c>
      <c r="O268" s="260" t="s">
        <v>112</v>
      </c>
      <c r="P268" s="10">
        <v>0</v>
      </c>
      <c r="Q268" s="11">
        <v>50</v>
      </c>
      <c r="R268" s="9">
        <f t="shared" ca="1" si="455"/>
        <v>0</v>
      </c>
      <c r="S268" s="11" t="str">
        <f ca="1">VLOOKUP(K268,'1220 IDECUT'!$K$13:$AK$48,9,0)</f>
        <v>En el 2021. Se ha impulsado el reconocimiento gastronómico mediante la realizacion de diferentes visitas de producción, de entrevistas y de recopilación  de la historia, preparación y fotografias de cada una de las  recetas tradicionales que se publicaran en el libro "Sabores de Cundinamarca". Las visitas se llevaron a cabo por personal tecnico y profesional. Esta iniciativa beneficia a la población y el reconocimiento gastronómico y cultural de los municipios de Guasca, Zipaquirá, Gachancipá, Chía, Sibaté, La Calera, Albán, Cota, Tena, Manta. Soacha, Sibaté, Silvania, Tausa, Ubaté, Guachetá, Pacho, La Palma, Yacopí, La Calera, Guasca y Manta, Chía, Pasca, Arbeláez, Pandi, Junín, Ubalá, Anapoima, Tocaima, Girardot, Zipaquirá, Cogua, Gachancipá, Anapoima, Tocaima,Tena,Girardot,El Colegio,facatativa,Mosquera, Sesquilé y Villa Pinzón, Tabio. 
Posteriormente, se realizaron las visitas correspondientes en coordinación del Idecut, en acompañamiento de la chef Jennifer Rodríguez y de la escritora y el fotógrafo de la Editorial Planeta. A la fecha, falta visitar 6 establecimientos y se encuentran en redacción de las primeras páginas y diseño de las propuestas del diseño del libro. Se da  inicio de proceso de edición e impresión, de la entrega de los ejemplares al Gobierno Departamental para el mes de diciembre del presente año,</v>
      </c>
      <c r="T268" s="11">
        <v>0</v>
      </c>
      <c r="U268" s="11">
        <v>0</v>
      </c>
      <c r="V268" s="11">
        <v>0</v>
      </c>
      <c r="W268" s="11">
        <v>0</v>
      </c>
      <c r="X268" s="11">
        <v>0</v>
      </c>
      <c r="Y268" s="11">
        <v>0</v>
      </c>
      <c r="Z268" s="11">
        <v>0</v>
      </c>
      <c r="AA268" s="11"/>
      <c r="AB268" s="11"/>
      <c r="AC268" s="11"/>
      <c r="AD268" s="11">
        <v>20</v>
      </c>
      <c r="AE268" s="11">
        <v>0</v>
      </c>
      <c r="AF268" s="11">
        <f ca="1">VLOOKUP(K268,'1220 IDECUT'!$K$13:$AK$48,22,0)</f>
        <v>0</v>
      </c>
      <c r="AG268" s="11">
        <f ca="1">VLOOKUP(K268,'1220 IDECUT'!$K$13:$AK$48,23,0)</f>
        <v>0</v>
      </c>
      <c r="AH268" s="9">
        <f t="shared" ca="1" si="456"/>
        <v>0</v>
      </c>
      <c r="AI268" s="9" t="str">
        <f ca="1">VLOOKUP(K268,'1220 IDECUT'!$K$13:$AK$48,25,0)</f>
        <v>Convocatoria para la seleccion de mejores restaurantes</v>
      </c>
      <c r="AJ268" s="9" t="str">
        <f ca="1">VLOOKUP(K268,'1220 IDECUT'!$K$13:$AK$48,26,0)</f>
        <v>Se ha impulsado el reconocimiento gastronómico mediante la realizacion de diferentes visitas de producción, de entrevistas y de recopilación  de la historia, preparación y fotografias de cada una de las  recetas tradicionales que se publicaran en el libro "Sabores de Cundinamarca". Las visitas se llevaron a cabo por personal tecnico y profesional. Esta iniciativa beneficia a la población y el reconocimiento gastronómico y cultural de los municipios de Guasca, Zipaquirá, Gachancipá, Chía, Sibaté, La Calera, Albán, Cota, Tena, Manta. Soacha, Sibaté, Silvania, Tausa, Ubaté, Guachetá, Pacho, La Palma, Yacopí, La Calera, Guasca y Manta, Chía, Pasca, Arbeláez, Pandi, Junín, Ubalá, Anapoima, Tocaima, Girardot, Zipaquirá, Cogua, Gachancipá, Anapoima, Tocaima,Tena,Girardot,El Colegio,facatativa,Mosquera, Sesquilé y Villa Pinzón, Tabio. Se da  inicio de proceso de edición e impresión, de la entrega de los ejemplares al Gobierno Departamental para el mes de diciembre del presente año,</v>
      </c>
      <c r="AK268" s="9">
        <f ca="1">VLOOKUP(K268,'1220 IDECUT'!$K$13:$AK$48,27,0)</f>
        <v>0</v>
      </c>
      <c r="AL268" s="11">
        <v>20</v>
      </c>
      <c r="AM268" s="11">
        <v>0</v>
      </c>
      <c r="AN268" s="11">
        <v>10</v>
      </c>
      <c r="AO268" s="11">
        <v>0</v>
      </c>
      <c r="AP268" s="11">
        <v>0</v>
      </c>
      <c r="AQ268" s="11">
        <v>0</v>
      </c>
      <c r="AR268" s="52"/>
      <c r="AS268" s="54">
        <v>0</v>
      </c>
      <c r="AT268" s="54">
        <f t="shared" si="407"/>
        <v>0</v>
      </c>
      <c r="AU268" s="52"/>
      <c r="AV268" s="89">
        <v>620000000</v>
      </c>
      <c r="AY268" s="89">
        <v>12000000</v>
      </c>
      <c r="AZ268" s="42">
        <f t="shared" ca="1" si="457"/>
        <v>0</v>
      </c>
      <c r="BA268" s="44">
        <v>0</v>
      </c>
      <c r="BB268" s="44" t="s">
        <v>115</v>
      </c>
      <c r="BC268" s="42">
        <f t="shared" si="458"/>
        <v>0.4</v>
      </c>
      <c r="BD268" s="42" cm="1">
        <f t="array" aca="1" ref="BD268" ca="1">_xlfn.IFS(AD268=0,"NA",AD268&gt;0,AH268/AD268)</f>
        <v>0</v>
      </c>
      <c r="BE268" s="42">
        <f t="shared" si="459"/>
        <v>0.4</v>
      </c>
      <c r="BF268" s="44">
        <v>0</v>
      </c>
      <c r="BG268" s="42">
        <f t="shared" si="460"/>
        <v>0.2</v>
      </c>
      <c r="BH268" s="44">
        <v>0</v>
      </c>
      <c r="BI268" s="42">
        <f t="shared" si="461"/>
        <v>0</v>
      </c>
      <c r="BJ268" s="44" t="s">
        <v>115</v>
      </c>
      <c r="BK268" s="42">
        <f t="shared" ca="1" si="408"/>
        <v>0</v>
      </c>
      <c r="BL268" s="44" t="s">
        <v>115</v>
      </c>
      <c r="BM268" s="42" cm="1">
        <f t="array" aca="1" ref="BM268" ca="1">_xlfn.IFS(BD268="NA","NA",BD268&gt;100%,"100%",BD268&lt;100,BD268)</f>
        <v>0</v>
      </c>
      <c r="BN268" s="42" cm="1">
        <f t="array" ref="BN268">_xlfn.IFS(BF268="NA","NA",BF268&gt;100%,"100%",BF268&lt;100,BF268)</f>
        <v>0</v>
      </c>
      <c r="BO268" s="42" cm="1">
        <f t="array" ref="BO268">_xlfn.IFS(BH268="NA","NA",BH268&gt;100%,"100%",BH268&lt;100,BH268)</f>
        <v>0</v>
      </c>
      <c r="BP268" s="42" t="str" cm="1">
        <f t="array" ref="BP268">_xlfn.IFS(BJ268="NA","NA",BJ268&gt;100%,"100%",BJ268&lt;100,BJ268)</f>
        <v>NA</v>
      </c>
      <c r="BQ268" s="45">
        <v>0.22500000000000001</v>
      </c>
      <c r="BR268" s="43">
        <f t="shared" ca="1" si="409"/>
        <v>0</v>
      </c>
      <c r="BS268" s="45">
        <v>0</v>
      </c>
      <c r="BT268" s="45" t="s">
        <v>115</v>
      </c>
      <c r="BU268" s="45">
        <v>0</v>
      </c>
      <c r="BV268" s="43">
        <f t="shared" si="462"/>
        <v>0.09</v>
      </c>
      <c r="BW268" s="43">
        <f t="shared" ca="1" si="410"/>
        <v>0</v>
      </c>
      <c r="BX268" s="43">
        <f t="shared" ca="1" si="411"/>
        <v>0</v>
      </c>
      <c r="BY268" s="43">
        <f t="shared" si="463"/>
        <v>0.09</v>
      </c>
      <c r="BZ268" s="43">
        <f t="shared" si="464"/>
        <v>0</v>
      </c>
      <c r="CA268" s="43">
        <f t="shared" ca="1" si="412"/>
        <v>0</v>
      </c>
      <c r="CB268" s="43">
        <f t="shared" si="465"/>
        <v>4.4999999999999998E-2</v>
      </c>
      <c r="CC268" s="43">
        <f t="shared" si="466"/>
        <v>0</v>
      </c>
      <c r="CD268" s="45">
        <v>0</v>
      </c>
      <c r="CE268" s="43">
        <f t="shared" si="467"/>
        <v>0</v>
      </c>
      <c r="CF268" s="43" t="str">
        <f t="shared" si="468"/>
        <v>NA</v>
      </c>
      <c r="CG268" s="45">
        <v>0</v>
      </c>
    </row>
    <row r="269" spans="1:90" ht="18" customHeight="1">
      <c r="A269" s="260" t="s">
        <v>221</v>
      </c>
      <c r="B269" s="260" t="s">
        <v>222</v>
      </c>
      <c r="C269" s="260" t="s">
        <v>1286</v>
      </c>
      <c r="D269" s="260" t="s">
        <v>1657</v>
      </c>
      <c r="E269" s="260" t="s">
        <v>1696</v>
      </c>
      <c r="F269" s="260" t="s">
        <v>1697</v>
      </c>
      <c r="G269" s="260" t="s">
        <v>1698</v>
      </c>
      <c r="H269" s="260" t="s">
        <v>1713</v>
      </c>
      <c r="I269" s="260"/>
      <c r="J269" s="260"/>
      <c r="K269" s="260" t="s">
        <v>1714</v>
      </c>
      <c r="L269" s="260" t="s">
        <v>2991</v>
      </c>
      <c r="M269" s="260" t="s">
        <v>1716</v>
      </c>
      <c r="N269" s="260" t="s">
        <v>111</v>
      </c>
      <c r="O269" s="260" t="s">
        <v>112</v>
      </c>
      <c r="P269" s="10">
        <v>0</v>
      </c>
      <c r="Q269" s="11">
        <v>50</v>
      </c>
      <c r="R269" s="9">
        <f t="shared" ca="1" si="455"/>
        <v>557</v>
      </c>
      <c r="S269" s="11" t="str">
        <f ca="1">VLOOKUP(K269,'1220 IDECUT'!$K$13:$AK$48,9,0)</f>
        <v>En 2020 se llevó a cabo la implementación de las estrategias de reactivación económica del turismo tales como capacitación en los protocolos de bioseguridad en articulación con los gremios ANATO y COTELCO, programas de incentivos para artesanos y la implementación del programa de bilingüismo dirigida a prestadores de servicios turísticos. A través de la Resolución 283 de 2020 le dio apertura a la convocatoria denominada "Incentivos para la reactivación económica de los artesanos" beneficiando a 288 personas con un estímulo de 1.000.000 de pesos cada uno. En 2020 se empiezó a divulgar a través de encuesta en google a los municipiosy en acuerdo con los directores de turismo para la recolección de datos de prestadores turísticos en el departamento, la cual busca tener la mayor cantidad de datos posibles para que estos actores del turismo puedan aplicar a convocatorias y ser legalizados. Durante el año 2021.  Se han impulsado operadores turísticos con capacitaciones en comercialización, promoción y marketing turístico; y apoyo a través de canales de comunicación y difusión con el desarrollo de 30 recorridos de los Fam trip los cuales tuvieron una participación activa de 378 personas, donde se presentó el  recorrido de  6 diferentes rutas turísticas por el departamento de Cundinamarca, contribuyendo a la reactivación económica en el sector turismo. Se logro la certificación de 21 prestadores de servicios turísticos a la fecha en el sello de Bioseguridad, Check in Certificado y actualmente se continua el proceso de apoyo a los prestadores que tienen pendiente alguna documentación, para poderse certificar en sello Check in. De esta manera se han beneficiado los municipios de:  Bojaca, Cachipay, Cajica, Chía, Chipaque, Choachi, Choconta, Cogua, El Colegio, El Rosal, Facatativa, Facatativá, Fómeque, Funza, Fuquene, Gachalá, Girardot , Guachetá, Guaduas, Guatavita, Guaduas, La Calera, La Mesa, la vega, Madrid, Mosquera, Neiva, San Antonio del Tequendama, San francisco, San Juan de Rioseco, Sasaima , Soacha, Subachoque, Sutatausa, Tibacuy, Tocancipá, Ubaque, Zipaquirá. Agua de dios, Alban,Anapoima, Arbelaez, Bojaca, Cajica, Caqueza , Chia, Choachi, Cota, El Colegio, El Rosal, Facatativa, Gacheta, Girardot, Guaduas, Guasca, Guatavita, Junin, La Mesa, La Vega, Mosquera, Medina, Nemcón,  Ricaurte, San Antonio del Tequendama, San Juan de Rioseco, Silvania, Suesca, Soacha, Subachoque, Tabio, Tenjo, Utica, Ubate, Ubaque.   Garantizar la participación de dos (2) artesanos en L’Artigiano in Fiera como una oportunidad excepcional en términos de dimensión, visibilidad y presencia de público, que servirá de vitrina para el Departamento. Desarrollo de 32 recorridos de los Fam trip, con una participación de 423 personas, donde se han recorrido 5 diferentes rutas por el departamento de Cundinamarca, contribuyendo a la reactivación económica en el sector turismo. Se logro la certificación de 33 prestadores de servicios turísticos a la fecha en el sello de Bioseguridad, Check in Certificado.</v>
      </c>
      <c r="T269" s="11">
        <v>0</v>
      </c>
      <c r="U269" s="11">
        <v>0</v>
      </c>
      <c r="V269" s="11">
        <v>15</v>
      </c>
      <c r="W269" s="11">
        <v>0</v>
      </c>
      <c r="X269" s="11">
        <v>391</v>
      </c>
      <c r="Y269" s="11">
        <v>0</v>
      </c>
      <c r="Z269" s="11">
        <v>391</v>
      </c>
      <c r="AA269" s="11" t="e">
        <f ca="1">- Incentivos económicos.- Capaciones.- Compra de artesanías.</f>
        <v>#NAME?</v>
      </c>
      <c r="AB269" s="11" t="s">
        <v>1718</v>
      </c>
      <c r="AC269" s="11" t="e">
        <f ca="1">- Falta de apoyo por parte de las administraciones municipales en la socialización de las convocatorias.</f>
        <v>#NAME?</v>
      </c>
      <c r="AD269" s="11">
        <v>15</v>
      </c>
      <c r="AE269" s="11">
        <v>0</v>
      </c>
      <c r="AF269" s="11">
        <f ca="1">VLOOKUP(K269,'1220 IDECUT'!$K$13:$AK$48,22,0)</f>
        <v>166</v>
      </c>
      <c r="AG269" s="11">
        <f ca="1">VLOOKUP(K269,'1220 IDECUT'!$K$13:$AK$48,23,0)</f>
        <v>0</v>
      </c>
      <c r="AH269" s="9">
        <f t="shared" ca="1" si="456"/>
        <v>166</v>
      </c>
      <c r="AI269" s="9" t="str">
        <f ca="1">VLOOKUP(K269,'1220 IDECUT'!$K$13:$AK$48,25,0)</f>
        <v>Asesoria</v>
      </c>
      <c r="AJ269" s="9" t="str">
        <f ca="1">VLOOKUP(K269,'1220 IDECUT'!$K$13:$AK$48,26,0)</f>
        <v>Garantizar la participación de dos (2) artesanos en L’Artigiano in Fiera como una oportunidad excepcional en términos de dimensión, visibilidad y presencia de público, que servirá de vitrina para el Departamento. Desarrollo de 32 recorridos de los Fam trip, con una participación de 423 personas, donde se han recorrido 5 diferentes rutas por el departamento de Cundinamarca, contribuyendo a la reactivación económica en el sector turismo. Se logro la certificación de 33 prestadores de servicios turísticos a la fecha en el sello de Bioseguridad, Check in Certificado.</v>
      </c>
      <c r="AK269" s="9">
        <f ca="1">VLOOKUP(K269,'1220 IDECUT'!$K$13:$AK$48,27,0)</f>
        <v>0</v>
      </c>
      <c r="AL269" s="11">
        <v>10</v>
      </c>
      <c r="AM269" s="11">
        <v>0</v>
      </c>
      <c r="AN269" s="11">
        <v>10</v>
      </c>
      <c r="AO269" s="11">
        <v>0</v>
      </c>
      <c r="AP269" s="11">
        <v>0</v>
      </c>
      <c r="AQ269" s="11">
        <v>0</v>
      </c>
      <c r="AR269" s="51">
        <v>500000000</v>
      </c>
      <c r="AS269" s="54">
        <v>0</v>
      </c>
      <c r="AT269" s="54">
        <f t="shared" ref="AT269:AT332" si="469">AR269+AS269</f>
        <v>500000000</v>
      </c>
      <c r="AU269" s="51">
        <v>500000000</v>
      </c>
      <c r="AV269" s="89">
        <v>90000000</v>
      </c>
      <c r="AY269" s="89">
        <v>10000000</v>
      </c>
      <c r="AZ269" s="42">
        <f t="shared" ca="1" si="457"/>
        <v>11.14</v>
      </c>
      <c r="BA269" s="44">
        <v>0.3</v>
      </c>
      <c r="BB269" s="44">
        <v>26.066700000000001</v>
      </c>
      <c r="BC269" s="42">
        <f t="shared" si="458"/>
        <v>0.3</v>
      </c>
      <c r="BD269" s="42" cm="1">
        <f t="array" aca="1" ref="BD269" ca="1">_xlfn.IFS(AD269=0,"NA",AD269&gt;0,AH269/AD269)</f>
        <v>11.066666666666666</v>
      </c>
      <c r="BE269" s="42">
        <f t="shared" si="459"/>
        <v>0.2</v>
      </c>
      <c r="BF269" s="44">
        <v>0</v>
      </c>
      <c r="BG269" s="42">
        <f t="shared" si="460"/>
        <v>0.2</v>
      </c>
      <c r="BH269" s="44">
        <v>0</v>
      </c>
      <c r="BI269" s="42">
        <f t="shared" si="461"/>
        <v>0</v>
      </c>
      <c r="BJ269" s="44" t="s">
        <v>115</v>
      </c>
      <c r="BK269" s="42" t="str">
        <f t="shared" ref="BK269:BK332" ca="1" si="470">IF(AZ269&gt;100%,"100%",AZ269)</f>
        <v>100%</v>
      </c>
      <c r="BL269" s="44">
        <v>1</v>
      </c>
      <c r="BM269" s="42" t="str" cm="1">
        <f t="array" aca="1" ref="BM269" ca="1">_xlfn.IFS(BD269="NA","NA",BD269&gt;100%,"100%",BD269&lt;100,BD269)</f>
        <v>100%</v>
      </c>
      <c r="BN269" s="42" cm="1">
        <f t="array" ref="BN269">_xlfn.IFS(BF269="NA","NA",BF269&gt;100%,"100%",BF269&lt;100,BF269)</f>
        <v>0</v>
      </c>
      <c r="BO269" s="42" cm="1">
        <f t="array" ref="BO269">_xlfn.IFS(BH269="NA","NA",BH269&gt;100%,"100%",BH269&lt;100,BH269)</f>
        <v>0</v>
      </c>
      <c r="BP269" s="42" t="str" cm="1">
        <f t="array" ref="BP269">_xlfn.IFS(BJ269="NA","NA",BJ269&gt;100%,"100%",BJ269&lt;100,BJ269)</f>
        <v>NA</v>
      </c>
      <c r="BQ269" s="45">
        <v>0.22500000000000001</v>
      </c>
      <c r="BR269" s="43">
        <f t="shared" ref="BR269:BR332" ca="1" si="471">BQ269*BK269</f>
        <v>0.22500000000000001</v>
      </c>
      <c r="BS269" s="45">
        <v>6.7500000000000004E-2</v>
      </c>
      <c r="BT269" s="45">
        <v>6.7500000000000004E-2</v>
      </c>
      <c r="BU269" s="45">
        <v>0.22500000000000001</v>
      </c>
      <c r="BV269" s="43">
        <f t="shared" si="462"/>
        <v>6.7500000000000004E-2</v>
      </c>
      <c r="BW269" s="43">
        <f t="shared" ref="BW269:BW332" ca="1" si="472">IF(BM269="NA","NA",BM269*BV269)</f>
        <v>6.7500000000000004E-2</v>
      </c>
      <c r="BX269" s="43">
        <f t="shared" ref="BX269:BX332" ca="1" si="473">BR269-BU269</f>
        <v>0</v>
      </c>
      <c r="BY269" s="43">
        <f t="shared" si="463"/>
        <v>4.4999999999999998E-2</v>
      </c>
      <c r="BZ269" s="43">
        <f t="shared" si="464"/>
        <v>0</v>
      </c>
      <c r="CA269" s="43">
        <f t="shared" ref="CA269:CA332" ca="1" si="474">BR269-BU269-BX269</f>
        <v>0</v>
      </c>
      <c r="CB269" s="43">
        <f t="shared" si="465"/>
        <v>4.4999999999999998E-2</v>
      </c>
      <c r="CC269" s="43">
        <f t="shared" si="466"/>
        <v>0</v>
      </c>
      <c r="CD269" s="45">
        <v>0</v>
      </c>
      <c r="CE269" s="43">
        <f t="shared" si="467"/>
        <v>0</v>
      </c>
      <c r="CF269" s="43" t="str">
        <f t="shared" si="468"/>
        <v>NA</v>
      </c>
      <c r="CG269" s="45">
        <v>0</v>
      </c>
    </row>
    <row r="270" spans="1:90" ht="18" customHeight="1">
      <c r="A270" s="260" t="s">
        <v>221</v>
      </c>
      <c r="B270" s="260" t="s">
        <v>222</v>
      </c>
      <c r="C270" s="260" t="s">
        <v>1286</v>
      </c>
      <c r="D270" s="260" t="s">
        <v>1657</v>
      </c>
      <c r="E270" s="260" t="s">
        <v>1696</v>
      </c>
      <c r="F270" s="260" t="s">
        <v>1697</v>
      </c>
      <c r="G270" s="260" t="s">
        <v>1698</v>
      </c>
      <c r="H270" s="260" t="s">
        <v>1720</v>
      </c>
      <c r="I270" s="260"/>
      <c r="J270" s="260"/>
      <c r="K270" s="260" t="s">
        <v>1721</v>
      </c>
      <c r="L270" s="260" t="s">
        <v>2992</v>
      </c>
      <c r="M270" s="260" t="s">
        <v>2993</v>
      </c>
      <c r="N270" s="260" t="s">
        <v>111</v>
      </c>
      <c r="O270" s="260" t="s">
        <v>112</v>
      </c>
      <c r="P270" s="10">
        <v>22</v>
      </c>
      <c r="Q270" s="11">
        <v>10</v>
      </c>
      <c r="R270" s="9">
        <f t="shared" ca="1" si="455"/>
        <v>7</v>
      </c>
      <c r="S270" s="11" t="str">
        <f ca="1">VLOOKUP(K270,'1220 IDECUT'!$K$13:$AK$48,9,0)</f>
        <v>Se acompañó al municipio de Chaguaní en la implementación del Plan De Desarrollo Turístico que fue asesorado en el 2019, aprobado por parte del concejo municipal en el año 2020, para toda la comunidad y se organiza el acompañamiento para la implementación con los operadores y prestadores de servicios turísticos del municipio. •	Se realiza visita a los municipios de Mosquera y Madrid para brindar apoyo en la actualización y elaboración del plan de desarrollo turístico municipal.  Se dio asesoría y acompañamiento territorial a los municipios de, Madrid, Suesca, Junín, Villeta, La Mesa y Guasca para, revisión de plan de desarrollo turístico de estos municipios.  
*Se recibe plan de desarrollo turístico municipal por parte del municipio de Guatavita para revisión y posterior radicación ante concejo municipal.</v>
      </c>
      <c r="T270" s="11">
        <v>0</v>
      </c>
      <c r="U270" s="11">
        <v>0</v>
      </c>
      <c r="V270" s="11">
        <v>0</v>
      </c>
      <c r="W270" s="11">
        <v>0</v>
      </c>
      <c r="X270" s="11">
        <v>0</v>
      </c>
      <c r="Y270" s="11">
        <v>0</v>
      </c>
      <c r="Z270" s="11">
        <v>0</v>
      </c>
      <c r="AA270" s="11"/>
      <c r="AB270" s="11"/>
      <c r="AC270" s="11"/>
      <c r="AD270" s="11">
        <v>3</v>
      </c>
      <c r="AE270" s="11">
        <v>0</v>
      </c>
      <c r="AF270" s="11">
        <f ca="1">VLOOKUP(K270,'1220 IDECUT'!$K$13:$AK$48,22,0)</f>
        <v>7</v>
      </c>
      <c r="AG270" s="11">
        <f ca="1">VLOOKUP(K270,'1220 IDECUT'!$K$13:$AK$48,23,0)</f>
        <v>0</v>
      </c>
      <c r="AH270" s="9">
        <f t="shared" ca="1" si="456"/>
        <v>7</v>
      </c>
      <c r="AI270" s="9" t="str">
        <f ca="1">VLOOKUP(K270,'1220 IDECUT'!$K$13:$AK$48,25,0)</f>
        <v>Acompañamiento</v>
      </c>
      <c r="AJ270" s="9" t="str">
        <f ca="1">VLOOKUP(K270,'1220 IDECUT'!$K$13:$AK$48,26,0)</f>
        <v>Se dio asesoría y acompañamiento territorial a los municipios de, Madrid, Suesca, Junín, Villeta, La Mesa y Guasca para, revisión de plan de desarrollo turístico de estos municipios.  
*Se recibe plan de desarrollo turístico municipal por parte del municipio de Guatavita para revisión y posterior radicación ante concejo municipal.</v>
      </c>
      <c r="AK270" s="9">
        <f ca="1">VLOOKUP(K270,'1220 IDECUT'!$K$13:$AK$48,27,0)</f>
        <v>0</v>
      </c>
      <c r="AL270" s="11">
        <v>4</v>
      </c>
      <c r="AM270" s="11">
        <v>0</v>
      </c>
      <c r="AN270" s="11">
        <v>3</v>
      </c>
      <c r="AO270" s="11">
        <v>0</v>
      </c>
      <c r="AP270" s="11">
        <v>0</v>
      </c>
      <c r="AQ270" s="11">
        <v>0</v>
      </c>
      <c r="AR270" s="52"/>
      <c r="AS270" s="54">
        <v>0</v>
      </c>
      <c r="AT270" s="54">
        <f t="shared" si="469"/>
        <v>0</v>
      </c>
      <c r="AU270" s="52"/>
      <c r="AV270" s="89">
        <v>40000000</v>
      </c>
      <c r="AY270" s="89">
        <v>40000000</v>
      </c>
      <c r="AZ270" s="42">
        <f t="shared" ca="1" si="457"/>
        <v>0.7</v>
      </c>
      <c r="BA270" s="44">
        <v>0</v>
      </c>
      <c r="BB270" s="44" t="s">
        <v>115</v>
      </c>
      <c r="BC270" s="42">
        <f t="shared" si="458"/>
        <v>0.3</v>
      </c>
      <c r="BD270" s="42" cm="1">
        <f t="array" aca="1" ref="BD270" ca="1">_xlfn.IFS(AD270=0,"NA",AD270&gt;0,AH270/AD270)</f>
        <v>2.3333333333333335</v>
      </c>
      <c r="BE270" s="42">
        <f t="shared" si="459"/>
        <v>0.4</v>
      </c>
      <c r="BF270" s="44">
        <v>0</v>
      </c>
      <c r="BG270" s="42">
        <f t="shared" si="460"/>
        <v>0.3</v>
      </c>
      <c r="BH270" s="44">
        <v>0</v>
      </c>
      <c r="BI270" s="42">
        <f t="shared" si="461"/>
        <v>0</v>
      </c>
      <c r="BJ270" s="44" t="s">
        <v>115</v>
      </c>
      <c r="BK270" s="42">
        <f t="shared" ca="1" si="470"/>
        <v>0.7</v>
      </c>
      <c r="BL270" s="44" t="s">
        <v>115</v>
      </c>
      <c r="BM270" s="42" t="str" cm="1">
        <f t="array" aca="1" ref="BM270" ca="1">_xlfn.IFS(BD270="NA","NA",BD270&gt;100%,"100%",BD270&lt;100,BD270)</f>
        <v>100%</v>
      </c>
      <c r="BN270" s="42" cm="1">
        <f t="array" ref="BN270">_xlfn.IFS(BF270="NA","NA",BF270&gt;100%,"100%",BF270&lt;100,BF270)</f>
        <v>0</v>
      </c>
      <c r="BO270" s="42" cm="1">
        <f t="array" ref="BO270">_xlfn.IFS(BH270="NA","NA",BH270&gt;100%,"100%",BH270&lt;100,BH270)</f>
        <v>0</v>
      </c>
      <c r="BP270" s="42" t="str" cm="1">
        <f t="array" ref="BP270">_xlfn.IFS(BJ270="NA","NA",BJ270&gt;100%,"100%",BJ270&lt;100,BJ270)</f>
        <v>NA</v>
      </c>
      <c r="BQ270" s="45">
        <v>0.22500000000000001</v>
      </c>
      <c r="BR270" s="43">
        <f t="shared" ca="1" si="471"/>
        <v>0.1575</v>
      </c>
      <c r="BS270" s="45">
        <v>0</v>
      </c>
      <c r="BT270" s="45" t="s">
        <v>115</v>
      </c>
      <c r="BU270" s="45">
        <v>0</v>
      </c>
      <c r="BV270" s="43">
        <f t="shared" si="462"/>
        <v>6.7500000000000004E-2</v>
      </c>
      <c r="BW270" s="43">
        <f t="shared" ca="1" si="472"/>
        <v>6.7500000000000004E-2</v>
      </c>
      <c r="BX270" s="43">
        <f t="shared" ca="1" si="473"/>
        <v>0.1575</v>
      </c>
      <c r="BY270" s="43">
        <f t="shared" si="463"/>
        <v>0.09</v>
      </c>
      <c r="BZ270" s="43">
        <f t="shared" si="464"/>
        <v>0</v>
      </c>
      <c r="CA270" s="43">
        <f t="shared" ca="1" si="474"/>
        <v>0</v>
      </c>
      <c r="CB270" s="43">
        <f t="shared" si="465"/>
        <v>6.7500000000000004E-2</v>
      </c>
      <c r="CC270" s="43">
        <f t="shared" si="466"/>
        <v>0</v>
      </c>
      <c r="CD270" s="45">
        <v>0</v>
      </c>
      <c r="CE270" s="43">
        <f t="shared" si="467"/>
        <v>0</v>
      </c>
      <c r="CF270" s="43" t="str">
        <f t="shared" si="468"/>
        <v>NA</v>
      </c>
      <c r="CG270" s="45">
        <v>0</v>
      </c>
    </row>
    <row r="271" spans="1:90" ht="18" customHeight="1">
      <c r="A271" s="260" t="s">
        <v>221</v>
      </c>
      <c r="B271" s="260" t="s">
        <v>222</v>
      </c>
      <c r="C271" s="260" t="s">
        <v>1286</v>
      </c>
      <c r="D271" s="260" t="s">
        <v>1657</v>
      </c>
      <c r="E271" s="260" t="s">
        <v>1696</v>
      </c>
      <c r="F271" s="260" t="s">
        <v>1697</v>
      </c>
      <c r="G271" s="260" t="s">
        <v>1698</v>
      </c>
      <c r="H271" s="260" t="s">
        <v>1724</v>
      </c>
      <c r="I271" s="260"/>
      <c r="J271" s="260"/>
      <c r="K271" s="260" t="s">
        <v>1725</v>
      </c>
      <c r="L271" s="260" t="s">
        <v>2994</v>
      </c>
      <c r="M271" s="260" t="s">
        <v>1727</v>
      </c>
      <c r="N271" s="260" t="s">
        <v>111</v>
      </c>
      <c r="O271" s="260" t="s">
        <v>112</v>
      </c>
      <c r="P271" s="10">
        <v>0</v>
      </c>
      <c r="Q271" s="11">
        <v>100</v>
      </c>
      <c r="R271" s="9">
        <f t="shared" ca="1" si="455"/>
        <v>255</v>
      </c>
      <c r="S271" s="11" t="str">
        <f ca="1">VLOOKUP(K271,'1220 IDECUT'!$K$13:$AK$48,9,0)</f>
        <v>En 2020 Se logró aunar esfuerzos entre el centro Colombo Americano, la embajada de EEUU y el IDECUT para implementar la estrategia de biligüismo dirigida a los promotores de turismo del departamento de Cundinamarca. Se dio inicio al programa de bilingüismo dirigido a prestadores de servicios turísticos a través  de convocatoria, mediante la cual se recibieron  237 postulaciones,  quedando admitidos formalmente y con el lleno de los requisitos 140 personas. Dentro de este programa está contemplado que los participantes cursen de los niveles A0 a A2. Se firma convenio 400-2021 entre Idecut y Centro Colombo americano, donde se capacitarán en idioma ingles a 80 personas en nivel B1 y 40 en nivel A2. Se busca dar continuidad el programa dándole la oportunidad a quienes lograron graduarse de seguir formándose en inglés como segunda lengua.
En lo corrido de 2021, se gestionó ante El Centro Colombo Americano $243.229.500 como tipo de aporte académico para el curso de Bilingüismo. Se dio inicio con el ciclo 4 de ingles con 115 estudiantes de la siguiente manera: 
 B1.3 = 55 estudiantes 
 A2.2 = 22 estudiantes 
 A2.1 = 18 estudiantes 
 A1.1 = 20 estudiantes 
Total = 115 estudiantes 
* se gestiono con CENCOSISTEMAS  capacitación a 45 beneficiarios turísticos de Cundinamarca enhabilidades tecnológicas y marketing digita</v>
      </c>
      <c r="T271" s="11">
        <v>0</v>
      </c>
      <c r="U271" s="11">
        <v>0</v>
      </c>
      <c r="V271" s="11">
        <v>50</v>
      </c>
      <c r="W271" s="11">
        <v>0</v>
      </c>
      <c r="X271" s="11">
        <v>140</v>
      </c>
      <c r="Y271" s="11">
        <v>0</v>
      </c>
      <c r="Z271" s="11">
        <v>140</v>
      </c>
      <c r="AA271" s="11" t="s">
        <v>1728</v>
      </c>
      <c r="AB271" s="11" t="s">
        <v>1729</v>
      </c>
      <c r="AC271" s="11" t="s">
        <v>1730</v>
      </c>
      <c r="AD271" s="11">
        <v>50</v>
      </c>
      <c r="AE271" s="11">
        <v>0</v>
      </c>
      <c r="AF271" s="11">
        <f ca="1">VLOOKUP(K271,'1220 IDECUT'!$K$13:$AK$48,22,0)</f>
        <v>115</v>
      </c>
      <c r="AG271" s="11">
        <f ca="1">VLOOKUP(K271,'1220 IDECUT'!$K$13:$AK$48,23,0)</f>
        <v>0</v>
      </c>
      <c r="AH271" s="9">
        <f t="shared" ca="1" si="456"/>
        <v>115</v>
      </c>
      <c r="AI271" s="9" t="str">
        <f ca="1">VLOOKUP(K271,'1220 IDECUT'!$K$13:$AK$48,25,0)</f>
        <v>Formacion enguanza turistica</v>
      </c>
      <c r="AJ271" s="9" t="str">
        <f ca="1">VLOOKUP(K271,'1220 IDECUT'!$K$13:$AK$48,26,0)</f>
        <v>Se dio inicio con el ciclo 4 de ingles con 115 estudiantes de la siguiente manera: 
 B1.3 = 55 estudiantes 
 A2.2 = 22 estudiantes 
 A2.1 = 18 estudiantes 
 A1.1 = 20 estudiantes 
Total = 115 estudiantes 
* se gestiono con CENCOSISTEMAS  capacitación a 45 beneficiarios turísticos de Cundinamarca enhabilidades tecnológicas y marketing digital.</v>
      </c>
      <c r="AK271" s="9">
        <f ca="1">VLOOKUP(K271,'1220 IDECUT'!$K$13:$AK$48,27,0)</f>
        <v>0</v>
      </c>
      <c r="AL271" s="11">
        <v>0</v>
      </c>
      <c r="AM271" s="11">
        <v>0</v>
      </c>
      <c r="AN271" s="11">
        <v>0</v>
      </c>
      <c r="AO271" s="11">
        <v>0</v>
      </c>
      <c r="AP271" s="11">
        <v>0</v>
      </c>
      <c r="AQ271" s="11">
        <v>0</v>
      </c>
      <c r="AR271" s="51">
        <v>180000000</v>
      </c>
      <c r="AS271" s="54">
        <v>0</v>
      </c>
      <c r="AT271" s="54">
        <f t="shared" si="469"/>
        <v>180000000</v>
      </c>
      <c r="AU271" s="51">
        <v>180000000</v>
      </c>
      <c r="AV271" s="89">
        <v>50000000</v>
      </c>
      <c r="AY271" s="89">
        <v>8000000</v>
      </c>
      <c r="AZ271" s="42">
        <f t="shared" ca="1" si="457"/>
        <v>2.5499999999999998</v>
      </c>
      <c r="BA271" s="44">
        <v>0.5</v>
      </c>
      <c r="BB271" s="44">
        <v>2.8</v>
      </c>
      <c r="BC271" s="42">
        <f t="shared" si="458"/>
        <v>0.5</v>
      </c>
      <c r="BD271" s="42" cm="1">
        <f t="array" aca="1" ref="BD271" ca="1">_xlfn.IFS(AD271=0,"NA",AD271&gt;0,AH271/AD271)</f>
        <v>2.2999999999999998</v>
      </c>
      <c r="BE271" s="42">
        <f t="shared" si="459"/>
        <v>0</v>
      </c>
      <c r="BF271" s="44" t="s">
        <v>115</v>
      </c>
      <c r="BG271" s="42">
        <f t="shared" si="460"/>
        <v>0</v>
      </c>
      <c r="BH271" s="44" t="s">
        <v>115</v>
      </c>
      <c r="BI271" s="42">
        <f t="shared" si="461"/>
        <v>0</v>
      </c>
      <c r="BJ271" s="44" t="s">
        <v>115</v>
      </c>
      <c r="BK271" s="42" t="str">
        <f t="shared" ca="1" si="470"/>
        <v>100%</v>
      </c>
      <c r="BL271" s="44">
        <v>1</v>
      </c>
      <c r="BM271" s="42" t="str" cm="1">
        <f t="array" aca="1" ref="BM271" ca="1">_xlfn.IFS(BD271="NA","NA",BD271&gt;100%,"100%",BD271&lt;100,BD271)</f>
        <v>100%</v>
      </c>
      <c r="BN271" s="42" t="str" cm="1">
        <f t="array" ref="BN271">_xlfn.IFS(BF271="NA","NA",BF271&gt;100%,"100%",BF271&lt;100,BF271)</f>
        <v>NA</v>
      </c>
      <c r="BO271" s="42" t="str" cm="1">
        <f t="array" ref="BO271">_xlfn.IFS(BH271="NA","NA",BH271&gt;100%,"100%",BH271&lt;100,BH271)</f>
        <v>NA</v>
      </c>
      <c r="BP271" s="42" t="str" cm="1">
        <f t="array" ref="BP271">_xlfn.IFS(BJ271="NA","NA",BJ271&gt;100%,"100%",BJ271&lt;100,BJ271)</f>
        <v>NA</v>
      </c>
      <c r="BQ271" s="45">
        <v>0.22500000000000001</v>
      </c>
      <c r="BR271" s="43">
        <f t="shared" ca="1" si="471"/>
        <v>0.22500000000000001</v>
      </c>
      <c r="BS271" s="45">
        <v>0.1125</v>
      </c>
      <c r="BT271" s="45">
        <v>0.1125</v>
      </c>
      <c r="BU271" s="45">
        <v>0.22500000000000001</v>
      </c>
      <c r="BV271" s="43">
        <f t="shared" si="462"/>
        <v>0.1125</v>
      </c>
      <c r="BW271" s="43">
        <f t="shared" ca="1" si="472"/>
        <v>0.1125</v>
      </c>
      <c r="BX271" s="43">
        <f t="shared" ca="1" si="473"/>
        <v>0</v>
      </c>
      <c r="BY271" s="43">
        <f t="shared" si="463"/>
        <v>0</v>
      </c>
      <c r="BZ271" s="43" t="str">
        <f t="shared" si="464"/>
        <v>NA</v>
      </c>
      <c r="CA271" s="43">
        <f t="shared" ca="1" si="474"/>
        <v>0</v>
      </c>
      <c r="CB271" s="43">
        <f t="shared" si="465"/>
        <v>0</v>
      </c>
      <c r="CC271" s="43" t="str">
        <f t="shared" si="466"/>
        <v>NA</v>
      </c>
      <c r="CD271" s="45">
        <v>0</v>
      </c>
      <c r="CE271" s="43">
        <f t="shared" si="467"/>
        <v>0</v>
      </c>
      <c r="CF271" s="43" t="str">
        <f t="shared" si="468"/>
        <v>NA</v>
      </c>
      <c r="CG271" s="45">
        <v>0</v>
      </c>
    </row>
    <row r="272" spans="1:90" ht="18" customHeight="1">
      <c r="A272" s="260" t="s">
        <v>221</v>
      </c>
      <c r="B272" s="260" t="s">
        <v>222</v>
      </c>
      <c r="C272" s="260" t="s">
        <v>1286</v>
      </c>
      <c r="D272" s="260" t="s">
        <v>1657</v>
      </c>
      <c r="E272" s="260" t="s">
        <v>1696</v>
      </c>
      <c r="F272" s="260" t="s">
        <v>1697</v>
      </c>
      <c r="G272" s="260" t="s">
        <v>1698</v>
      </c>
      <c r="H272" s="260" t="s">
        <v>1731</v>
      </c>
      <c r="I272" s="260"/>
      <c r="J272" s="260"/>
      <c r="K272" s="260" t="s">
        <v>1732</v>
      </c>
      <c r="L272" s="260" t="s">
        <v>2995</v>
      </c>
      <c r="M272" s="260" t="s">
        <v>1734</v>
      </c>
      <c r="N272" s="260" t="s">
        <v>111</v>
      </c>
      <c r="O272" s="260" t="s">
        <v>112</v>
      </c>
      <c r="P272" s="10">
        <v>240</v>
      </c>
      <c r="Q272" s="11">
        <v>250</v>
      </c>
      <c r="R272" s="9">
        <f t="shared" ca="1" si="455"/>
        <v>12</v>
      </c>
      <c r="S272" s="11" t="str">
        <f ca="1">VLOOKUP(K272,'1220 IDECUT'!$K$13:$AK$48,9,0)</f>
        <v>Durante el año 2021. Se han cofinanciado  eventos de trayectoria turística, dentro de los cuales se destacan el Reinado Nacional del Turismo y EXPOTRAVEL. Se brindó apoyo  al municipio de Girardot en el evento Reinado Nacional del Turismo, el cual permite la reactivación turística y consolidación como destino turístico a nivel regional y nacional.
Tambien,  se brindó apoyo a la Corporación de turismo en la segunda versión del evento Expotravel, el cual sea consolidado para mostrar la riqueza natural y la magia cultural de nuestro departamento, el corazón de Colombia. Permitió a los empresarios del sector turismo tener oportunidades para hacer visible su negocio a miles de personas, adicionalmente tuvieron la oportunidad de participar en ruedas de negocio y una agenda académica de primer nivel. Se apoyo a los municipios de: Fosca, Subachoque, Cucunuba, Paratebueno, El Peñón y Tabio con eventos turísticos, los cuales permitieron la reactivación turística y dinamización económica para el departamento a través de la promoción de sus destinos.</v>
      </c>
      <c r="T272" s="11">
        <v>0</v>
      </c>
      <c r="U272" s="11">
        <v>0</v>
      </c>
      <c r="V272" s="11">
        <v>0</v>
      </c>
      <c r="W272" s="11">
        <v>0</v>
      </c>
      <c r="X272" s="11">
        <v>0</v>
      </c>
      <c r="Y272" s="11">
        <v>0</v>
      </c>
      <c r="Z272" s="11">
        <v>0</v>
      </c>
      <c r="AA272" s="11"/>
      <c r="AB272" s="11"/>
      <c r="AC272" s="11"/>
      <c r="AD272" s="11">
        <v>80</v>
      </c>
      <c r="AE272" s="11">
        <v>0</v>
      </c>
      <c r="AF272" s="11">
        <f ca="1">VLOOKUP(K272,'1220 IDECUT'!$K$13:$AK$48,22,0)</f>
        <v>12</v>
      </c>
      <c r="AG272" s="11">
        <f ca="1">VLOOKUP(K272,'1220 IDECUT'!$K$13:$AK$48,23,0)</f>
        <v>0</v>
      </c>
      <c r="AH272" s="9">
        <f t="shared" ca="1" si="456"/>
        <v>12</v>
      </c>
      <c r="AI272" s="9" t="str">
        <f ca="1">VLOOKUP(K272,'1220 IDECUT'!$K$13:$AK$48,25,0)</f>
        <v>Coonfinanciacion</v>
      </c>
      <c r="AJ272" s="9" t="str">
        <f ca="1">VLOOKUP(K272,'1220 IDECUT'!$K$13:$AK$48,26,0)</f>
        <v>Se apoyo a los municipios de: Fosca, Subachoque, Cucunuba, Paratebueno, El Peñón y Tabio con eventos turísticos, los cuales permitieron la reactivación turística y dinamización económica para el departamento a través de la promoción de sus destinos.</v>
      </c>
      <c r="AK272" s="9">
        <f ca="1">VLOOKUP(K272,'1220 IDECUT'!$K$13:$AK$48,27,0)</f>
        <v>0</v>
      </c>
      <c r="AL272" s="11">
        <v>90</v>
      </c>
      <c r="AM272" s="11">
        <v>0</v>
      </c>
      <c r="AN272" s="11">
        <v>80</v>
      </c>
      <c r="AO272" s="11">
        <v>0</v>
      </c>
      <c r="AP272" s="11">
        <v>0</v>
      </c>
      <c r="AQ272" s="11">
        <v>0</v>
      </c>
      <c r="AR272" s="52"/>
      <c r="AS272" s="54">
        <v>0</v>
      </c>
      <c r="AT272" s="54">
        <f t="shared" si="469"/>
        <v>0</v>
      </c>
      <c r="AU272" s="52"/>
      <c r="AV272" s="89">
        <v>150000000</v>
      </c>
      <c r="AY272" s="89">
        <v>0</v>
      </c>
      <c r="AZ272" s="42">
        <f t="shared" ca="1" si="457"/>
        <v>4.8000000000000001E-2</v>
      </c>
      <c r="BA272" s="44">
        <v>0</v>
      </c>
      <c r="BB272" s="44" t="s">
        <v>115</v>
      </c>
      <c r="BC272" s="42">
        <f t="shared" si="458"/>
        <v>0.32</v>
      </c>
      <c r="BD272" s="42" cm="1">
        <f t="array" aca="1" ref="BD272" ca="1">_xlfn.IFS(AD272=0,"NA",AD272&gt;0,AH272/AD272)</f>
        <v>0.15</v>
      </c>
      <c r="BE272" s="42">
        <f t="shared" si="459"/>
        <v>0.36</v>
      </c>
      <c r="BF272" s="44">
        <v>0</v>
      </c>
      <c r="BG272" s="42">
        <f t="shared" si="460"/>
        <v>0.32</v>
      </c>
      <c r="BH272" s="44">
        <v>0</v>
      </c>
      <c r="BI272" s="42">
        <f t="shared" si="461"/>
        <v>0</v>
      </c>
      <c r="BJ272" s="44" t="s">
        <v>115</v>
      </c>
      <c r="BK272" s="42">
        <f t="shared" ca="1" si="470"/>
        <v>4.8000000000000001E-2</v>
      </c>
      <c r="BL272" s="44" t="s">
        <v>115</v>
      </c>
      <c r="BM272" s="42" cm="1">
        <f t="array" aca="1" ref="BM272" ca="1">_xlfn.IFS(BD272="NA","NA",BD272&gt;100%,"100%",BD272&lt;100,BD272)</f>
        <v>0.15</v>
      </c>
      <c r="BN272" s="42" cm="1">
        <f t="array" ref="BN272">_xlfn.IFS(BF272="NA","NA",BF272&gt;100%,"100%",BF272&lt;100,BF272)</f>
        <v>0</v>
      </c>
      <c r="BO272" s="42" cm="1">
        <f t="array" ref="BO272">_xlfn.IFS(BH272="NA","NA",BH272&gt;100%,"100%",BH272&lt;100,BH272)</f>
        <v>0</v>
      </c>
      <c r="BP272" s="42" t="str" cm="1">
        <f t="array" ref="BP272">_xlfn.IFS(BJ272="NA","NA",BJ272&gt;100%,"100%",BJ272&lt;100,BJ272)</f>
        <v>NA</v>
      </c>
      <c r="BQ272" s="45">
        <v>0.22500000000000001</v>
      </c>
      <c r="BR272" s="43">
        <f t="shared" ca="1" si="471"/>
        <v>1.0800000000000001E-2</v>
      </c>
      <c r="BS272" s="45">
        <v>0</v>
      </c>
      <c r="BT272" s="45" t="s">
        <v>115</v>
      </c>
      <c r="BU272" s="45">
        <v>0</v>
      </c>
      <c r="BV272" s="43">
        <f t="shared" si="462"/>
        <v>7.1999999999999995E-2</v>
      </c>
      <c r="BW272" s="43">
        <f t="shared" ca="1" si="472"/>
        <v>1.0799999999999999E-2</v>
      </c>
      <c r="BX272" s="43">
        <f t="shared" ca="1" si="473"/>
        <v>1.0800000000000001E-2</v>
      </c>
      <c r="BY272" s="43">
        <f t="shared" si="463"/>
        <v>8.1000000000000003E-2</v>
      </c>
      <c r="BZ272" s="43">
        <f t="shared" si="464"/>
        <v>0</v>
      </c>
      <c r="CA272" s="43">
        <f t="shared" ca="1" si="474"/>
        <v>0</v>
      </c>
      <c r="CB272" s="43">
        <f t="shared" si="465"/>
        <v>7.1999999999999995E-2</v>
      </c>
      <c r="CC272" s="43">
        <f t="shared" si="466"/>
        <v>0</v>
      </c>
      <c r="CD272" s="45">
        <v>0</v>
      </c>
      <c r="CE272" s="43">
        <f t="shared" si="467"/>
        <v>0</v>
      </c>
      <c r="CF272" s="43" t="str">
        <f t="shared" si="468"/>
        <v>NA</v>
      </c>
      <c r="CG272" s="45">
        <v>0</v>
      </c>
    </row>
    <row r="273" spans="1:90" ht="18" customHeight="1">
      <c r="A273" s="260" t="s">
        <v>1310</v>
      </c>
      <c r="B273" s="260" t="s">
        <v>1311</v>
      </c>
      <c r="C273" s="260" t="s">
        <v>1286</v>
      </c>
      <c r="D273" s="260" t="s">
        <v>1657</v>
      </c>
      <c r="E273" s="260" t="s">
        <v>1696</v>
      </c>
      <c r="F273" s="260" t="s">
        <v>1697</v>
      </c>
      <c r="G273" s="260" t="s">
        <v>1698</v>
      </c>
      <c r="H273" s="260" t="s">
        <v>1735</v>
      </c>
      <c r="I273" s="260"/>
      <c r="J273" s="260"/>
      <c r="K273" s="260" t="s">
        <v>1736</v>
      </c>
      <c r="L273" s="260" t="s">
        <v>1737</v>
      </c>
      <c r="M273" s="260" t="s">
        <v>1738</v>
      </c>
      <c r="N273" s="260" t="s">
        <v>111</v>
      </c>
      <c r="O273" s="260" t="s">
        <v>112</v>
      </c>
      <c r="P273" s="10">
        <v>36</v>
      </c>
      <c r="Q273" s="11">
        <v>20</v>
      </c>
      <c r="R273" s="9">
        <f t="shared" ca="1" si="455"/>
        <v>17</v>
      </c>
      <c r="S273" s="11">
        <f ca="1">VLOOKUP(K273,'1120 Competitividad'!$K$13:$AK$51,9,0)</f>
        <v>0</v>
      </c>
      <c r="T273" s="11">
        <v>0</v>
      </c>
      <c r="U273" s="11">
        <v>0</v>
      </c>
      <c r="V273" s="11">
        <v>0</v>
      </c>
      <c r="W273" s="11">
        <v>0</v>
      </c>
      <c r="X273" s="11">
        <v>0</v>
      </c>
      <c r="Y273" s="11">
        <v>0</v>
      </c>
      <c r="Z273" s="11">
        <v>0</v>
      </c>
      <c r="AA273" s="11"/>
      <c r="AB273" s="11"/>
      <c r="AC273" s="11"/>
      <c r="AD273" s="11">
        <v>5</v>
      </c>
      <c r="AE273" s="11">
        <v>0</v>
      </c>
      <c r="AF273" s="11">
        <f ca="1">VLOOKUP(K273,'1120 Competitividad'!$K$13:$AK$51,22,0)</f>
        <v>17</v>
      </c>
      <c r="AG273" s="11">
        <f ca="1">VLOOKUP(K273,'1120 Competitividad'!$K$13:$AK$51,23,0)</f>
        <v>0</v>
      </c>
      <c r="AH273" s="9">
        <f t="shared" ca="1" si="456"/>
        <v>17</v>
      </c>
      <c r="AI273" s="9" t="str">
        <f ca="1">VLOOKUP(K273,'1120 Competitividad'!$K$13:$AK$51,25,0)</f>
        <v>Apoyo logistico  para espacios de comercializacion ( carpas- publicidad entre otros )</v>
      </c>
      <c r="AJ273" s="9" t="str">
        <f ca="1">VLOOKUP(K273,'1120 Competitividad'!$K$13:$AK$51,26,0)</f>
        <v xml:space="preserve">Se crea espacio denominado Tienda Cundinamarca  para promocionar los productos del Departamento y mejorar la comercializacion de los mismos . 17 Circuitos cortos de comercialización </v>
      </c>
      <c r="AK273" s="9">
        <f ca="1">VLOOKUP(K273,'1120 Competitividad'!$K$13:$AK$51,27,0)</f>
        <v>0</v>
      </c>
      <c r="AL273" s="11">
        <v>10</v>
      </c>
      <c r="AM273" s="11">
        <v>0</v>
      </c>
      <c r="AN273" s="11">
        <v>5</v>
      </c>
      <c r="AO273" s="11">
        <v>0</v>
      </c>
      <c r="AP273" s="11">
        <v>0</v>
      </c>
      <c r="AQ273" s="11">
        <v>0</v>
      </c>
      <c r="AR273" s="52"/>
      <c r="AS273" s="54">
        <v>0</v>
      </c>
      <c r="AT273" s="54">
        <f t="shared" si="469"/>
        <v>0</v>
      </c>
      <c r="AU273" s="52"/>
      <c r="AV273" s="89">
        <v>0</v>
      </c>
      <c r="AY273" s="89">
        <v>0</v>
      </c>
      <c r="AZ273" s="42">
        <f t="shared" ca="1" si="457"/>
        <v>0.85</v>
      </c>
      <c r="BA273" s="44">
        <v>0</v>
      </c>
      <c r="BB273" s="44" t="s">
        <v>115</v>
      </c>
      <c r="BC273" s="42">
        <f t="shared" si="458"/>
        <v>0.25</v>
      </c>
      <c r="BD273" s="42" cm="1">
        <f t="array" aca="1" ref="BD273" ca="1">_xlfn.IFS(AD273=0,"NA",AD273&gt;0,AH273/AD273)</f>
        <v>3.4</v>
      </c>
      <c r="BE273" s="42">
        <f t="shared" si="459"/>
        <v>0.5</v>
      </c>
      <c r="BF273" s="44">
        <v>0</v>
      </c>
      <c r="BG273" s="42">
        <f t="shared" si="460"/>
        <v>0.25</v>
      </c>
      <c r="BH273" s="44">
        <v>0</v>
      </c>
      <c r="BI273" s="42">
        <f t="shared" si="461"/>
        <v>0</v>
      </c>
      <c r="BJ273" s="44" t="s">
        <v>115</v>
      </c>
      <c r="BK273" s="42">
        <f t="shared" ca="1" si="470"/>
        <v>0.85</v>
      </c>
      <c r="BL273" s="44" t="s">
        <v>115</v>
      </c>
      <c r="BM273" s="42" t="str" cm="1">
        <f t="array" aca="1" ref="BM273" ca="1">_xlfn.IFS(BD273="NA","NA",BD273&gt;100%,"100%",BD273&lt;100,BD273)</f>
        <v>100%</v>
      </c>
      <c r="BN273" s="42" cm="1">
        <f t="array" ref="BN273">_xlfn.IFS(BF273="NA","NA",BF273&gt;100%,"100%",BF273&lt;100,BF273)</f>
        <v>0</v>
      </c>
      <c r="BO273" s="42" cm="1">
        <f t="array" ref="BO273">_xlfn.IFS(BH273="NA","NA",BH273&gt;100%,"100%",BH273&lt;100,BH273)</f>
        <v>0</v>
      </c>
      <c r="BP273" s="42" t="str" cm="1">
        <f t="array" ref="BP273">_xlfn.IFS(BJ273="NA","NA",BJ273&gt;100%,"100%",BJ273&lt;100,BJ273)</f>
        <v>NA</v>
      </c>
      <c r="BQ273" s="45">
        <v>0.22500000000000001</v>
      </c>
      <c r="BR273" s="43">
        <f t="shared" ca="1" si="471"/>
        <v>0.19125</v>
      </c>
      <c r="BS273" s="45">
        <v>0</v>
      </c>
      <c r="BT273" s="45" t="s">
        <v>115</v>
      </c>
      <c r="BU273" s="45">
        <v>0</v>
      </c>
      <c r="BV273" s="43">
        <f t="shared" si="462"/>
        <v>5.6250000000000001E-2</v>
      </c>
      <c r="BW273" s="43">
        <f t="shared" ca="1" si="472"/>
        <v>5.6250000000000001E-2</v>
      </c>
      <c r="BX273" s="43">
        <f t="shared" ca="1" si="473"/>
        <v>0.19125</v>
      </c>
      <c r="BY273" s="43">
        <f t="shared" si="463"/>
        <v>0.1125</v>
      </c>
      <c r="BZ273" s="43">
        <f t="shared" si="464"/>
        <v>0</v>
      </c>
      <c r="CA273" s="43">
        <f t="shared" ca="1" si="474"/>
        <v>0</v>
      </c>
      <c r="CB273" s="43">
        <f t="shared" si="465"/>
        <v>5.6250000000000001E-2</v>
      </c>
      <c r="CC273" s="43">
        <f t="shared" si="466"/>
        <v>0</v>
      </c>
      <c r="CD273" s="45">
        <v>0</v>
      </c>
      <c r="CE273" s="43">
        <f t="shared" si="467"/>
        <v>0</v>
      </c>
      <c r="CF273" s="43" t="str">
        <f t="shared" si="468"/>
        <v>NA</v>
      </c>
      <c r="CG273" s="45">
        <v>0</v>
      </c>
    </row>
    <row r="274" spans="1:90" ht="18" customHeight="1">
      <c r="A274" s="260" t="s">
        <v>1739</v>
      </c>
      <c r="B274" s="260" t="s">
        <v>1740</v>
      </c>
      <c r="C274" s="260" t="s">
        <v>1286</v>
      </c>
      <c r="D274" s="260" t="s">
        <v>1657</v>
      </c>
      <c r="E274" s="260" t="s">
        <v>1696</v>
      </c>
      <c r="F274" s="260" t="s">
        <v>1697</v>
      </c>
      <c r="G274" s="260" t="s">
        <v>1698</v>
      </c>
      <c r="H274" s="260" t="s">
        <v>1741</v>
      </c>
      <c r="I274" s="260"/>
      <c r="J274" s="260"/>
      <c r="K274" s="260" t="s">
        <v>1742</v>
      </c>
      <c r="L274" s="260" t="s">
        <v>1743</v>
      </c>
      <c r="M274" s="260" t="s">
        <v>1744</v>
      </c>
      <c r="N274" s="260" t="s">
        <v>111</v>
      </c>
      <c r="O274" s="260" t="s">
        <v>112</v>
      </c>
      <c r="P274" s="10">
        <v>1</v>
      </c>
      <c r="Q274" s="11">
        <v>1</v>
      </c>
      <c r="R274" s="9">
        <f t="shared" si="455"/>
        <v>0.33999999999999997</v>
      </c>
      <c r="S274" s="11" t="str">
        <f>VLOOKUP(K274,'1135 Asuntos Int.'!$K$13:$AK$16,9,0)</f>
        <v xml:space="preserve">El propósito de posicionamiento de la Marca Cundinamarca se concentra en posicionar a la Marca Cundinamarca como “La tierra que vive” en todos los cundinamarqueses, apostando por la apropiación de la Marca y las marcas sectoriales (Kuna Mya, Pueblos Dorados y Manar) en el corazón de los cundinamarqueses.
Durante el cuatrienio se ha logrado el diagnóstico de valoración de la marca territorial y la actualización de la narrativa de la misma, llegamos a una narrativa más cercana a los cundinamarqueses en la que los protagonistas son nuestros empresarios, productores y campesinos. Se llevó a cabo la inauguración de la primera Tienda Cundinamarca Kuna Mya, en la cual, la marca Cundinamarca aparece como protagonista a través del sello dorado en productos y servicios representativos del Departamento. Por primera vez en la historia, con el liderazgo de la Secretaría de Asuntos Internacionales se adelanta una estrategia de licenciamiento de productos agroindustriales, operadores turísticos y artesanos. A la fecha, se cuenta con 41 productos agroindustriales, pertenecientes a 12 empresas y asociaciones del departamento; 13 artesanos y 7 operadores de servicios turísticos licenciados. Se diseñó una parrilla de contenidos, no institucionales que muestran los atributos del territorio desde las cuentas oficiales de la Marca Cundinamarca. Presencia de la Marca Cundinamarca en los proyectos estratégicos del Departamento (sabores Cundinamarca) El departamento de Cundinamarca gracias a su marca territorial logro ser protagonista de dos capítulos del reconocido reality de televisión Master Chef Celebrity, uno de los más vistos en la televisión nacional. La grabación del programa se trasladó a dos municipios emblemáticos del departamento como son Villeta y Guatavita, lo que permitió que la audiencia que vio el programa pudo conocer un poco más de la cultura gastronómica de nuestro departamento, así como de los hermosos paisajes del territorio. Adicionalmente la marca Cundinamarca tuvo presencia en varios momentos de la emisión del capítulo lo que permitió dar a conocer nuestra marca territorial gracias a la pauta realizada durante el programa. Solo en el primer capítulo se logró que 3.315.740 personas conocieran un poco más de la riqueza gastronómica y cultural de nuestro departamento. En el segundo capítulo fueron 3.211.478 personas. Fueron firmados los contratos con los primeros 34 empresarios que portarán el Sello Dorado de la Marca Cundinamarca a los mejores productos y servicios que representan lo mejor del territorio.
Este es un reconocimiento que garantiza la excelente reputación, altos estándares de calidad, cumplimiento de criterios técnicos y, por supuesto, del fuerte arraigo e identidad cundinamarquesa. Así mismo, beneficia a sus portadores con la promoción de productos en el mercado internacional, la participación en eventos y ferias locales, nacionales e internacionales, la promoción y presencia de sus productos a través de diferentes medios de comunicación digitales de la marca, fortalecimiento y acompañamiento técnico, así como el certificado de uso de la marca.
</v>
      </c>
      <c r="T274" s="11">
        <v>0.1</v>
      </c>
      <c r="U274" s="11">
        <v>0</v>
      </c>
      <c r="V274" s="11">
        <v>0.1</v>
      </c>
      <c r="W274" s="11">
        <v>0</v>
      </c>
      <c r="X274" s="11">
        <v>0.1</v>
      </c>
      <c r="Y274" s="11">
        <v>0</v>
      </c>
      <c r="Z274" s="11">
        <v>0.1</v>
      </c>
      <c r="AA274" s="11" t="s">
        <v>1745</v>
      </c>
      <c r="AB274" s="11" t="s">
        <v>1746</v>
      </c>
      <c r="AC274" s="11">
        <v>0</v>
      </c>
      <c r="AD274" s="11">
        <v>0.35</v>
      </c>
      <c r="AE274" s="11">
        <v>0</v>
      </c>
      <c r="AF274" s="11">
        <f>VLOOKUP(K274,'1135 Asuntos Int.'!$K$13:$AK$16,22,0)</f>
        <v>0.24</v>
      </c>
      <c r="AG274" s="11">
        <f>VLOOKUP(K274,'1135 Asuntos Int.'!$K$13:$AK$16,23,0)</f>
        <v>0</v>
      </c>
      <c r="AH274" s="9">
        <f t="shared" si="456"/>
        <v>0.24</v>
      </c>
      <c r="AI274" s="9" t="str">
        <f>VLOOKUP(K274,'1135 Asuntos Int.'!$K$13:$AK$16,25,0)</f>
        <v xml:space="preserve">Taller de socialización del Plan Táctico.
Reglamento del Comité de Marca aprobado.
Manual de Imagen de la Marca Actualizado.
Documento con el plan de acción y comunicaciones, aprobado por el comité.
Aprobación del Manual de Licenciamiento de Marca.
Documento con el proceso de gestión y despliegue de licenciamientos.
Marca Cundinamarca presente en los proyectos estratégicos del Departamento (KUNA MYA).
</v>
      </c>
      <c r="AJ274" s="9" t="str">
        <f>VLOOKUP(K274,'1135 Asuntos Int.'!$K$13:$AK$16,26,0)</f>
        <v xml:space="preserve">Se realizó taller de socialización del Plan Táctico/Estratégico de la marca Cundinamarca, con la participación de los miembros del comité. Cada uno de ellos aportó desde su sector actividades en las que se puede involucrar la activación y promoción de la marca y una lista de incentivos sectoriales para impulsarla.
 Se logró la actualización y aprobación del Decreto Ordenanza 372 del 2017 por el Decreto 116 del 2021. 
Se logró la adaptación del nuevo Manual de Imagen de la Marca de acuerdo a los lineamientos y la actualización de la nueva narrativa de marca. 
Se logró la aprobación del plan de acción y comunicaciones de la Marca Cundinamarca, por el comité. Se incluyeron actividades que vinculan a todas las Secretarías y entidades miembros del comité de marca.
Se logró la aprobación del Manual de Licenciamiento, el cual fue revisado y avalado por la Secretaria de Salud y los demás integrantes del Comité de Marca.
Se elaboró un documento con el proceso de gestión y despliegue de licenciamientos para la apertura de la Tienda Cundinamarca, en este documento, se incluyen los criterios y requisitos de licenciamiento para todos los empresarios que deseen participar del proceso y que adicionalmente, su producto haya sido seleccionado para estar en la apertura de la Tienda.
Se llevó a cabo la inauguración de la primera Tienda Cundinamarca Kuna Mya, en la cual, la marca Cundinamarca aparece como protagonista a través del sello dorado en productos y servicios representativos del Departamento. Por primera vez en la historia, con el liderazgo de la Secretaría de Asuntos Internacionales se adelanta una estrategia de licenciamiento de productos agroindustriales, operadores turísticos y artesanos. A la fecha, se cuenta con 41 productos agroindustriales, pertenecientes a 12 empresas y asociaciones del departamento; 13 artesanos y 7 operadores de servicios turísticos licenciados.
Presencia de la Marca Cundinamarca en los proyectos estratégicos del Departamento (sabores Cundinamarca) a través de 2 emisiones del programa MASTER CHEFF del canal RCN, en los Municipios de Guatavita y Villeta. 
Se construyó la parrilla de contenidos para las redes sociales (Facebook, Instagram y Tweeter) de la Marca Cundinamarca, para los meses de septiembre, Octubre, Noviembre y Diciembre. Se construyó la parrilla de contenidos para las redes sociales (Facebook, Instagram y Tweeter) de la Marca Cundinamarca, para los meses de septiembre, Octubre, Noviembre y Diciembre.
Por primera vez Cundinamarca otorga su marca a los mejores productos y servicios
•Fueron firmados los contratos con los primeros 34 empresarios que portarán el Sello Dorado de la Marca Cundinamarca a los mejores productos y servicios que representan lo mejor del territorio.
Este es un reconocimiento que garantiza la excelente reputación, altos estándares de calidad, cumplimiento de criterios técnicos y, por supuesto, del fuerte arraigo e identidad cundinamarquesa. Así mismo, beneficia a sus portadores con la promoción de productos en el mercado internacional, la participación en eventos y ferias locales, nacionales e internacionales, la promoción y presencia de sus productos a través de diferentes medios de comunicación digitales de la marca, fortalecimiento y acompañamiento técnico, así como el certificado de uso de la marca.
</v>
      </c>
      <c r="AK274" s="9">
        <f>VLOOKUP(K274,'1135 Asuntos Int.'!$K$13:$AK$16,27,0)</f>
        <v>0</v>
      </c>
      <c r="AL274" s="11">
        <v>0.35</v>
      </c>
      <c r="AM274" s="11">
        <v>0</v>
      </c>
      <c r="AN274" s="11">
        <v>0.2</v>
      </c>
      <c r="AO274" s="11">
        <v>0</v>
      </c>
      <c r="AP274" s="11">
        <v>0</v>
      </c>
      <c r="AQ274" s="11">
        <v>0</v>
      </c>
      <c r="AR274" s="51">
        <v>54989900</v>
      </c>
      <c r="AS274" s="54">
        <v>0</v>
      </c>
      <c r="AT274" s="54">
        <f t="shared" si="469"/>
        <v>54989900</v>
      </c>
      <c r="AU274" s="51">
        <v>54989900</v>
      </c>
      <c r="AV274" s="89">
        <v>50000000</v>
      </c>
      <c r="AY274" s="89">
        <v>0</v>
      </c>
      <c r="AZ274" s="42">
        <f t="shared" si="457"/>
        <v>0.33999999999999997</v>
      </c>
      <c r="BA274" s="44">
        <v>0.1</v>
      </c>
      <c r="BB274" s="44">
        <v>1</v>
      </c>
      <c r="BC274" s="42">
        <f t="shared" si="458"/>
        <v>0.35</v>
      </c>
      <c r="BD274" s="42" cm="1">
        <f t="array" ref="BD274">_xlfn.IFS(AD274=0,"NA",AD274&gt;0,AH274/AD274)</f>
        <v>0.68571428571428572</v>
      </c>
      <c r="BE274" s="42">
        <f t="shared" si="459"/>
        <v>0.35</v>
      </c>
      <c r="BF274" s="44">
        <v>0</v>
      </c>
      <c r="BG274" s="42">
        <f t="shared" si="460"/>
        <v>0.2</v>
      </c>
      <c r="BH274" s="44">
        <v>0</v>
      </c>
      <c r="BI274" s="42">
        <f t="shared" si="461"/>
        <v>0</v>
      </c>
      <c r="BJ274" s="44" t="s">
        <v>115</v>
      </c>
      <c r="BK274" s="42">
        <f t="shared" si="470"/>
        <v>0.33999999999999997</v>
      </c>
      <c r="BL274" s="44">
        <v>1</v>
      </c>
      <c r="BM274" s="42" cm="1">
        <f t="array" ref="BM274">_xlfn.IFS(BD274="NA","NA",BD274&gt;100%,"100%",BD274&lt;100,BD274)</f>
        <v>0.68571428571428572</v>
      </c>
      <c r="BN274" s="42" cm="1">
        <f t="array" ref="BN274">_xlfn.IFS(BF274="NA","NA",BF274&gt;100%,"100%",BF274&lt;100,BF274)</f>
        <v>0</v>
      </c>
      <c r="BO274" s="42" cm="1">
        <f t="array" ref="BO274">_xlfn.IFS(BH274="NA","NA",BH274&gt;100%,"100%",BH274&lt;100,BH274)</f>
        <v>0</v>
      </c>
      <c r="BP274" s="42" t="str" cm="1">
        <f t="array" ref="BP274">_xlfn.IFS(BJ274="NA","NA",BJ274&gt;100%,"100%",BJ274&lt;100,BJ274)</f>
        <v>NA</v>
      </c>
      <c r="BQ274" s="45">
        <v>0.22500000000000001</v>
      </c>
      <c r="BR274" s="43">
        <f t="shared" si="471"/>
        <v>7.6499999999999999E-2</v>
      </c>
      <c r="BS274" s="45">
        <v>2.2499999999999999E-2</v>
      </c>
      <c r="BT274" s="45">
        <v>2.2499999999999999E-2</v>
      </c>
      <c r="BU274" s="45">
        <v>2.2499999999999999E-2</v>
      </c>
      <c r="BV274" s="43">
        <f t="shared" si="462"/>
        <v>7.8750000000000001E-2</v>
      </c>
      <c r="BW274" s="43">
        <f t="shared" si="472"/>
        <v>5.3999999999999999E-2</v>
      </c>
      <c r="BX274" s="43">
        <f t="shared" si="473"/>
        <v>5.3999999999999999E-2</v>
      </c>
      <c r="BY274" s="43">
        <f t="shared" si="463"/>
        <v>7.8750000000000001E-2</v>
      </c>
      <c r="BZ274" s="43">
        <f t="shared" si="464"/>
        <v>0</v>
      </c>
      <c r="CA274" s="43">
        <f t="shared" si="474"/>
        <v>0</v>
      </c>
      <c r="CB274" s="43">
        <f t="shared" si="465"/>
        <v>4.5000000000000005E-2</v>
      </c>
      <c r="CC274" s="43">
        <f t="shared" si="466"/>
        <v>0</v>
      </c>
      <c r="CD274" s="45">
        <v>0</v>
      </c>
      <c r="CE274" s="43">
        <f t="shared" si="467"/>
        <v>0</v>
      </c>
      <c r="CF274" s="43" t="str">
        <f t="shared" si="468"/>
        <v>NA</v>
      </c>
      <c r="CG274" s="45">
        <v>0</v>
      </c>
    </row>
    <row r="275" spans="1:90" ht="18" customHeight="1">
      <c r="A275" s="260" t="s">
        <v>1739</v>
      </c>
      <c r="B275" s="260" t="s">
        <v>1740</v>
      </c>
      <c r="C275" s="260" t="s">
        <v>1286</v>
      </c>
      <c r="D275" s="260" t="s">
        <v>1657</v>
      </c>
      <c r="E275" s="260" t="s">
        <v>1696</v>
      </c>
      <c r="F275" s="260" t="s">
        <v>1697</v>
      </c>
      <c r="G275" s="260" t="s">
        <v>1698</v>
      </c>
      <c r="H275" s="260" t="s">
        <v>1747</v>
      </c>
      <c r="I275" s="260"/>
      <c r="J275" s="260"/>
      <c r="K275" s="260" t="s">
        <v>1748</v>
      </c>
      <c r="L275" s="260" t="s">
        <v>1749</v>
      </c>
      <c r="M275" s="260" t="s">
        <v>1750</v>
      </c>
      <c r="N275" s="260" t="s">
        <v>111</v>
      </c>
      <c r="O275" s="260" t="s">
        <v>112</v>
      </c>
      <c r="P275" s="10">
        <v>2</v>
      </c>
      <c r="Q275" s="11">
        <v>2</v>
      </c>
      <c r="R275" s="9">
        <f t="shared" si="455"/>
        <v>0</v>
      </c>
      <c r="S275" s="11">
        <f>VLOOKUP(K275,'1135 Asuntos Int.'!$K$13:$AK$16,9,0)</f>
        <v>0</v>
      </c>
      <c r="T275" s="11">
        <v>0</v>
      </c>
      <c r="U275" s="11">
        <v>0</v>
      </c>
      <c r="V275" s="11">
        <v>0</v>
      </c>
      <c r="W275" s="11">
        <v>0</v>
      </c>
      <c r="X275" s="11">
        <v>0</v>
      </c>
      <c r="Y275" s="11">
        <v>0</v>
      </c>
      <c r="Z275" s="11">
        <v>0</v>
      </c>
      <c r="AA275" s="11"/>
      <c r="AB275" s="11"/>
      <c r="AC275" s="11"/>
      <c r="AD275" s="11">
        <v>1</v>
      </c>
      <c r="AE275" s="11">
        <v>0</v>
      </c>
      <c r="AF275" s="11">
        <f>VLOOKUP(K275,'1135 Asuntos Int.'!$K$13:$AK$16,22,0)</f>
        <v>0</v>
      </c>
      <c r="AG275" s="11">
        <f>VLOOKUP(K275,'1135 Asuntos Int.'!$K$13:$AK$16,23,0)</f>
        <v>0</v>
      </c>
      <c r="AH275" s="9">
        <f t="shared" si="456"/>
        <v>0</v>
      </c>
      <c r="AI275" s="9">
        <f>VLOOKUP(K275,'1135 Asuntos Int.'!$K$13:$AK$16,25,0)</f>
        <v>0</v>
      </c>
      <c r="AJ275" s="9">
        <f>VLOOKUP(K275,'1135 Asuntos Int.'!$K$13:$AK$16,26,0)</f>
        <v>0</v>
      </c>
      <c r="AK275" s="9">
        <f>VLOOKUP(K275,'1135 Asuntos Int.'!$K$13:$AK$16,27,0)</f>
        <v>0</v>
      </c>
      <c r="AL275" s="11">
        <v>1</v>
      </c>
      <c r="AM275" s="11">
        <v>0</v>
      </c>
      <c r="AN275" s="11">
        <v>0</v>
      </c>
      <c r="AO275" s="11">
        <v>0</v>
      </c>
      <c r="AP275" s="11">
        <v>0</v>
      </c>
      <c r="AQ275" s="11">
        <v>0</v>
      </c>
      <c r="AR275" s="52"/>
      <c r="AS275" s="54">
        <v>0</v>
      </c>
      <c r="AT275" s="54">
        <f t="shared" si="469"/>
        <v>0</v>
      </c>
      <c r="AU275" s="52"/>
      <c r="AV275" s="89">
        <v>0</v>
      </c>
      <c r="AY275" s="89">
        <v>0</v>
      </c>
      <c r="AZ275" s="42">
        <f t="shared" si="457"/>
        <v>0</v>
      </c>
      <c r="BA275" s="44">
        <v>0</v>
      </c>
      <c r="BB275" s="44" t="s">
        <v>115</v>
      </c>
      <c r="BC275" s="42">
        <f t="shared" si="458"/>
        <v>0.5</v>
      </c>
      <c r="BD275" s="42" cm="1">
        <f t="array" ref="BD275">_xlfn.IFS(AD275=0,"NA",AD275&gt;0,AH275/AD275)</f>
        <v>0</v>
      </c>
      <c r="BE275" s="42">
        <f t="shared" si="459"/>
        <v>0.5</v>
      </c>
      <c r="BF275" s="44">
        <v>0</v>
      </c>
      <c r="BG275" s="42">
        <f t="shared" si="460"/>
        <v>0</v>
      </c>
      <c r="BH275" s="44" t="s">
        <v>115</v>
      </c>
      <c r="BI275" s="42">
        <f t="shared" si="461"/>
        <v>0</v>
      </c>
      <c r="BJ275" s="44" t="s">
        <v>115</v>
      </c>
      <c r="BK275" s="42">
        <f t="shared" si="470"/>
        <v>0</v>
      </c>
      <c r="BL275" s="44" t="s">
        <v>115</v>
      </c>
      <c r="BM275" s="42" cm="1">
        <f t="array" ref="BM275">_xlfn.IFS(BD275="NA","NA",BD275&gt;100%,"100%",BD275&lt;100,BD275)</f>
        <v>0</v>
      </c>
      <c r="BN275" s="42" cm="1">
        <f t="array" ref="BN275">_xlfn.IFS(BF275="NA","NA",BF275&gt;100%,"100%",BF275&lt;100,BF275)</f>
        <v>0</v>
      </c>
      <c r="BO275" s="42" t="str" cm="1">
        <f t="array" ref="BO275">_xlfn.IFS(BH275="NA","NA",BH275&gt;100%,"100%",BH275&lt;100,BH275)</f>
        <v>NA</v>
      </c>
      <c r="BP275" s="42" t="str" cm="1">
        <f t="array" ref="BP275">_xlfn.IFS(BJ275="NA","NA",BJ275&gt;100%,"100%",BJ275&lt;100,BJ275)</f>
        <v>NA</v>
      </c>
      <c r="BQ275" s="45">
        <v>0.22500000000000001</v>
      </c>
      <c r="BR275" s="43">
        <f t="shared" si="471"/>
        <v>0</v>
      </c>
      <c r="BS275" s="45">
        <v>0</v>
      </c>
      <c r="BT275" s="45" t="s">
        <v>115</v>
      </c>
      <c r="BU275" s="45">
        <v>0</v>
      </c>
      <c r="BV275" s="43">
        <f t="shared" si="462"/>
        <v>0.1125</v>
      </c>
      <c r="BW275" s="43">
        <f t="shared" si="472"/>
        <v>0</v>
      </c>
      <c r="BX275" s="43">
        <f t="shared" si="473"/>
        <v>0</v>
      </c>
      <c r="BY275" s="43">
        <f t="shared" si="463"/>
        <v>0.1125</v>
      </c>
      <c r="BZ275" s="43">
        <f t="shared" si="464"/>
        <v>0</v>
      </c>
      <c r="CA275" s="43">
        <f t="shared" si="474"/>
        <v>0</v>
      </c>
      <c r="CB275" s="43">
        <f t="shared" si="465"/>
        <v>0</v>
      </c>
      <c r="CC275" s="43" t="str">
        <f t="shared" si="466"/>
        <v>NA</v>
      </c>
      <c r="CD275" s="45">
        <v>0</v>
      </c>
      <c r="CE275" s="43">
        <f t="shared" si="467"/>
        <v>0</v>
      </c>
      <c r="CF275" s="43" t="str">
        <f t="shared" si="468"/>
        <v>NA</v>
      </c>
      <c r="CG275" s="45">
        <v>0</v>
      </c>
    </row>
    <row r="276" spans="1:90" ht="18" customHeight="1">
      <c r="A276" s="260" t="s">
        <v>221</v>
      </c>
      <c r="B276" s="260" t="s">
        <v>222</v>
      </c>
      <c r="C276" s="260" t="s">
        <v>1286</v>
      </c>
      <c r="D276" s="260" t="s">
        <v>1657</v>
      </c>
      <c r="E276" s="260" t="s">
        <v>1751</v>
      </c>
      <c r="F276" s="260" t="s">
        <v>1752</v>
      </c>
      <c r="G276" s="260" t="s">
        <v>1753</v>
      </c>
      <c r="H276" s="260" t="s">
        <v>1754</v>
      </c>
      <c r="I276" s="260"/>
      <c r="J276" s="260"/>
      <c r="K276" s="260" t="s">
        <v>1755</v>
      </c>
      <c r="L276" s="260" t="s">
        <v>1756</v>
      </c>
      <c r="M276" s="260" t="s">
        <v>1757</v>
      </c>
      <c r="N276" s="260" t="s">
        <v>111</v>
      </c>
      <c r="O276" s="260" t="s">
        <v>112</v>
      </c>
      <c r="P276" s="10">
        <v>354</v>
      </c>
      <c r="Q276" s="11">
        <v>200</v>
      </c>
      <c r="R276" s="9">
        <f t="shared" ca="1" si="455"/>
        <v>43</v>
      </c>
      <c r="S276" s="11" t="str">
        <f ca="1">VLOOKUP(K276,'1220 IDECUT'!$K$13:$AK$48,9,0)</f>
        <v xml:space="preserve">A través de convenios interadministrativos se apoyaron eventos culturales y artísticos en actividades como soporte operativo, premiación, promoción y difusión, como parte de la reactivación del sector promoviendo y estimulando el talento local, la creación, producción, formulación y circulación artística. Durante el 2021.  Se confinanciaron 14 eventos beneficiando a los municipios de San Antonio de Tequendama, Sutatausa, El Colegio,  Anolaima, Bituima, Ubaque, Medina, Vianí, Gama, San Bernardo, Facatativá, Gachancipá, Tabio, Nemocón
Los eventos generan un gran impacto en la reactivación económica y crea espacios de recreación y aprendizaje en los participantes.
</v>
      </c>
      <c r="T276" s="11">
        <v>10</v>
      </c>
      <c r="U276" s="11">
        <v>0</v>
      </c>
      <c r="V276" s="11">
        <v>30</v>
      </c>
      <c r="W276" s="11">
        <v>0</v>
      </c>
      <c r="X276" s="11">
        <v>29</v>
      </c>
      <c r="Y276" s="11">
        <v>0</v>
      </c>
      <c r="Z276" s="11">
        <v>29</v>
      </c>
      <c r="AA276" s="11" t="s">
        <v>1758</v>
      </c>
      <c r="AB276" s="11" t="s">
        <v>1759</v>
      </c>
      <c r="AC276" s="11" t="e">
        <f ca="1">- Desarrollo de los eventos por Falta de conectividad.- Poca participación de la comunidad a los eventos.</f>
        <v>#NAME?</v>
      </c>
      <c r="AD276" s="11">
        <v>50</v>
      </c>
      <c r="AE276" s="11">
        <v>0</v>
      </c>
      <c r="AF276" s="11">
        <f ca="1">VLOOKUP(K276,'1220 IDECUT'!$K$13:$AK$48,22,0)</f>
        <v>14</v>
      </c>
      <c r="AG276" s="11">
        <f ca="1">VLOOKUP(K276,'1220 IDECUT'!$K$13:$AK$48,23,0)</f>
        <v>0</v>
      </c>
      <c r="AH276" s="9">
        <f t="shared" ca="1" si="456"/>
        <v>14</v>
      </c>
      <c r="AI276" s="9" t="str">
        <f ca="1">VLOOKUP(K276,'1220 IDECUT'!$K$13:$AK$48,25,0)</f>
        <v>Convenio</v>
      </c>
      <c r="AJ276" s="9" t="str">
        <f ca="1">VLOOKUP(K276,'1220 IDECUT'!$K$13:$AK$48,26,0)</f>
        <v xml:space="preserve">Se confinanciaron 14 eventos beneficiando a los municipios de San Antonio de Tequendama, Sutatausa, El Colegio,  Anolaima, Bituima, Ubaque, Medina, Vianí, Gama, San Bernardo, Facatativá, Gachancipá, Tabio, Nemocón
Los eventos generan un gran impacto en la reactivación económica y crea espacios de recreación y aprendizaje en los participantes.
</v>
      </c>
      <c r="AK276" s="9">
        <f ca="1">VLOOKUP(K276,'1220 IDECUT'!$K$13:$AK$48,27,0)</f>
        <v>0</v>
      </c>
      <c r="AL276" s="11">
        <v>60</v>
      </c>
      <c r="AM276" s="11">
        <v>0</v>
      </c>
      <c r="AN276" s="11">
        <v>60</v>
      </c>
      <c r="AO276" s="11">
        <v>0</v>
      </c>
      <c r="AP276" s="11">
        <v>0</v>
      </c>
      <c r="AQ276" s="11">
        <v>0</v>
      </c>
      <c r="AR276" s="51">
        <v>409850000</v>
      </c>
      <c r="AS276" s="54">
        <v>0</v>
      </c>
      <c r="AT276" s="54">
        <f t="shared" si="469"/>
        <v>409850000</v>
      </c>
      <c r="AU276" s="51">
        <v>409850000</v>
      </c>
      <c r="AV276" s="89">
        <v>300000000</v>
      </c>
      <c r="AY276" s="89">
        <v>49200000</v>
      </c>
      <c r="AZ276" s="42">
        <f t="shared" ca="1" si="457"/>
        <v>0.215</v>
      </c>
      <c r="BA276" s="44">
        <v>0.15</v>
      </c>
      <c r="BB276" s="44">
        <v>0.9667</v>
      </c>
      <c r="BC276" s="42">
        <f t="shared" si="458"/>
        <v>0.25</v>
      </c>
      <c r="BD276" s="42" cm="1">
        <f t="array" aca="1" ref="BD276" ca="1">_xlfn.IFS(AD276=0,"NA",AD276&gt;0,AH276/AD276)</f>
        <v>0.28000000000000003</v>
      </c>
      <c r="BE276" s="42">
        <f t="shared" si="459"/>
        <v>0.3</v>
      </c>
      <c r="BF276" s="44">
        <v>0</v>
      </c>
      <c r="BG276" s="42">
        <f t="shared" si="460"/>
        <v>0.3</v>
      </c>
      <c r="BH276" s="44">
        <v>0</v>
      </c>
      <c r="BI276" s="42">
        <f t="shared" si="461"/>
        <v>0</v>
      </c>
      <c r="BJ276" s="44" t="s">
        <v>115</v>
      </c>
      <c r="BK276" s="42">
        <f t="shared" ca="1" si="470"/>
        <v>0.215</v>
      </c>
      <c r="BL276" s="44">
        <v>0.9667</v>
      </c>
      <c r="BM276" s="42" cm="1">
        <f t="array" aca="1" ref="BM276" ca="1">_xlfn.IFS(BD276="NA","NA",BD276&gt;100%,"100%",BD276&lt;100,BD276)</f>
        <v>0.28000000000000003</v>
      </c>
      <c r="BN276" s="42" cm="1">
        <f t="array" ref="BN276">_xlfn.IFS(BF276="NA","NA",BF276&gt;100%,"100%",BF276&lt;100,BF276)</f>
        <v>0</v>
      </c>
      <c r="BO276" s="42" cm="1">
        <f t="array" ref="BO276">_xlfn.IFS(BH276="NA","NA",BH276&gt;100%,"100%",BH276&lt;100,BH276)</f>
        <v>0</v>
      </c>
      <c r="BP276" s="42" t="str" cm="1">
        <f t="array" ref="BP276">_xlfn.IFS(BJ276="NA","NA",BJ276&gt;100%,"100%",BJ276&lt;100,BJ276)</f>
        <v>NA</v>
      </c>
      <c r="BQ276" s="45">
        <v>0.22500000000000001</v>
      </c>
      <c r="BR276" s="43">
        <f t="shared" ca="1" si="471"/>
        <v>4.8375000000000001E-2</v>
      </c>
      <c r="BS276" s="45">
        <v>3.3799999999999997E-2</v>
      </c>
      <c r="BT276" s="45">
        <v>3.27E-2</v>
      </c>
      <c r="BU276" s="45">
        <v>3.2599999999999997E-2</v>
      </c>
      <c r="BV276" s="43">
        <f t="shared" si="462"/>
        <v>5.6250000000000001E-2</v>
      </c>
      <c r="BW276" s="43">
        <f t="shared" ca="1" si="472"/>
        <v>1.5750000000000004E-2</v>
      </c>
      <c r="BX276" s="43">
        <f t="shared" ca="1" si="473"/>
        <v>1.5775000000000004E-2</v>
      </c>
      <c r="BY276" s="43">
        <f t="shared" si="463"/>
        <v>6.7500000000000004E-2</v>
      </c>
      <c r="BZ276" s="43">
        <f t="shared" si="464"/>
        <v>0</v>
      </c>
      <c r="CA276" s="43">
        <f t="shared" ca="1" si="474"/>
        <v>0</v>
      </c>
      <c r="CB276" s="43">
        <f t="shared" si="465"/>
        <v>6.7500000000000004E-2</v>
      </c>
      <c r="CC276" s="43">
        <f t="shared" si="466"/>
        <v>0</v>
      </c>
      <c r="CD276" s="45">
        <v>0</v>
      </c>
      <c r="CE276" s="43">
        <f t="shared" si="467"/>
        <v>0</v>
      </c>
      <c r="CF276" s="43" t="str">
        <f t="shared" si="468"/>
        <v>NA</v>
      </c>
      <c r="CG276" s="45">
        <v>0</v>
      </c>
    </row>
    <row r="277" spans="1:90" ht="18" customHeight="1">
      <c r="A277" s="260" t="s">
        <v>221</v>
      </c>
      <c r="B277" s="260" t="s">
        <v>222</v>
      </c>
      <c r="C277" s="260" t="s">
        <v>1286</v>
      </c>
      <c r="D277" s="260" t="s">
        <v>1657</v>
      </c>
      <c r="E277" s="260" t="s">
        <v>1751</v>
      </c>
      <c r="F277" s="260" t="s">
        <v>1752</v>
      </c>
      <c r="G277" s="260" t="s">
        <v>1753</v>
      </c>
      <c r="H277" s="260" t="s">
        <v>1760</v>
      </c>
      <c r="I277" s="260"/>
      <c r="J277" s="260"/>
      <c r="K277" s="260" t="s">
        <v>1761</v>
      </c>
      <c r="L277" s="260" t="s">
        <v>1762</v>
      </c>
      <c r="M277" s="260" t="s">
        <v>1763</v>
      </c>
      <c r="N277" s="260" t="s">
        <v>111</v>
      </c>
      <c r="O277" s="260" t="s">
        <v>112</v>
      </c>
      <c r="P277" s="10">
        <v>168</v>
      </c>
      <c r="Q277" s="11">
        <v>1500</v>
      </c>
      <c r="R277" s="9">
        <f t="shared" ca="1" si="455"/>
        <v>970</v>
      </c>
      <c r="S277" s="11" t="str">
        <f ca="1">VLOOKUP(K277,'1220 IDECUT'!$K$13:$AK$48,9,0)</f>
        <v>Durante la vigencia 2020, en el marco de la emergencia el IDECUT trabajó en estrategias para brindar apoyo a los creadores, gestores y artistas cundinamarqueses  dentro de las cuales se resalta el portafolio de estímulos "corazonarte. inspírese y eche pa la casa" el cual dio inicio en el primer semestre de 2020 y continuó su etapa de implementación y entrega durante lo corrido del segundo  semestre de 2020. Adicionalmente,  a través de la Resolución N 193 del 15 de septiembre de 2020, se dio apertura a la convocatoria "CORAZONARTE cultura para cuidarte 2020", en las modalidades de bibliotecas, artes plásticas y visuales, música, teatro y circo, danza, patrimonio, literatura, cinematografía y artes audiovisuales, industrias creativas y culturales, gestión cultural y comunicaciones. En lo corrido de 2021.  Se entregaron 160 estímulos a agentes culturales de las áreas artísticas de artes plásticas y visuales, música, teatro y circo, danzas, literatura, patrimonio, bibliotecas, comunicaciones, cinematografía y artes audiovisuales, gestión cultural e industrias creativas y culturales en los municipios de Chía, Soacha, Funza, Sibaté, Fusagasugá, Mosquera, Zipaquirá, Facatativá, Cajicá, Tabio, La Calera, Guasca, Madrid, Tocancipá, Sesquilé, Subachoque, Guaduas, Tenjo, Ubaté, Cogua, Silvania, Sasaima, Gachancipá, Gutiérrez, Viotá, Topaipí, Choachí, Anolaima, Chocontá, Nimaima, Venecia, Sopó, Yacopí, Caparrapí, Medina, Suesca, Sutatausa, Vianí, San Francisco, Cota, San Juan de Rio Seco, Paratebueno y Puerto Salgar, apoyando la reactivación de los proyectos artísticos y culturales que se vienen desarrollando desde el inicio de la pandemia hasta la fecha.</v>
      </c>
      <c r="T277" s="11">
        <v>600</v>
      </c>
      <c r="U277" s="11">
        <v>0</v>
      </c>
      <c r="V277" s="11">
        <v>800</v>
      </c>
      <c r="W277" s="11">
        <v>0</v>
      </c>
      <c r="X277" s="11">
        <v>810</v>
      </c>
      <c r="Y277" s="11">
        <v>0</v>
      </c>
      <c r="Z277" s="11">
        <v>810</v>
      </c>
      <c r="AA277" s="11" t="s">
        <v>1764</v>
      </c>
      <c r="AB277" s="11" t="s">
        <v>1765</v>
      </c>
      <c r="AC277" s="11" t="s">
        <v>1766</v>
      </c>
      <c r="AD277" s="11">
        <v>250</v>
      </c>
      <c r="AE277" s="11">
        <v>0</v>
      </c>
      <c r="AF277" s="11">
        <f ca="1">VLOOKUP(K277,'1220 IDECUT'!$K$13:$AK$48,22,0)</f>
        <v>160</v>
      </c>
      <c r="AG277" s="11">
        <f ca="1">VLOOKUP(K277,'1220 IDECUT'!$K$13:$AK$48,23,0)</f>
        <v>0</v>
      </c>
      <c r="AH277" s="9">
        <f t="shared" ca="1" si="456"/>
        <v>160</v>
      </c>
      <c r="AI277" s="9" t="str">
        <f ca="1">VLOOKUP(K277,'1220 IDECUT'!$K$13:$AK$48,25,0)</f>
        <v>Estimulos economicos</v>
      </c>
      <c r="AJ277" s="9" t="str">
        <f ca="1">VLOOKUP(K277,'1220 IDECUT'!$K$13:$AK$48,26,0)</f>
        <v>Se entregaron 160 estímulos a agentes culturales de las áreas artísticas de artes plásticas y visuales, música, teatro y circo, danzas, literatura, patrimonio, bibliotecas, comunicaciones, cinematografía y artes audiovisuales, gestión cultural e industrias creativas y culturales en los municipios de Chía, Soacha, Funza, Sibaté, Fusagasugá, Mosquera, Zipaquirá, Facatativá, Cajicá, Tabio, La Calera, Guasca, Madrid, Tocancipá, Sesquilé, Subachoque, Guaduas, Tenjo, Ubaté, Cogua, Silvania, Sasaima, Gachancipá, Gutiérrez, Viotá, Topaipí, Choachí, Anolaima, Chocontá, Nimaima, Venecia, Sopó, Yacopí, Caparrapí, Medina, Suesca, Sutatausa, Vianí, San Francisco, Cota, San Juan de Rio Seco, Paratebueno y Puerto Salgar, apoyando la reactivación de los proyectos artísticos y culturales que se vienen desarrollando desde el inicio de la pandemia hasta la fecha.</v>
      </c>
      <c r="AK277" s="9">
        <f ca="1">VLOOKUP(K277,'1220 IDECUT'!$K$13:$AK$48,27,0)</f>
        <v>0</v>
      </c>
      <c r="AL277" s="11">
        <v>250</v>
      </c>
      <c r="AM277" s="11">
        <v>0</v>
      </c>
      <c r="AN277" s="11">
        <v>200</v>
      </c>
      <c r="AO277" s="11">
        <v>0</v>
      </c>
      <c r="AP277" s="11">
        <v>0</v>
      </c>
      <c r="AQ277" s="11">
        <v>0</v>
      </c>
      <c r="AR277" s="51">
        <v>258200000</v>
      </c>
      <c r="AS277" s="54">
        <v>256881297</v>
      </c>
      <c r="AT277" s="54">
        <f t="shared" si="469"/>
        <v>515081297</v>
      </c>
      <c r="AU277" s="51">
        <v>258200000</v>
      </c>
      <c r="AV277" s="89">
        <v>300000000</v>
      </c>
      <c r="AY277" s="89">
        <v>26600000</v>
      </c>
      <c r="AZ277" s="42">
        <f t="shared" ca="1" si="457"/>
        <v>0.64666666666666661</v>
      </c>
      <c r="BA277" s="44">
        <v>0.5333</v>
      </c>
      <c r="BB277" s="44">
        <v>1.0125</v>
      </c>
      <c r="BC277" s="42">
        <f t="shared" si="458"/>
        <v>0.16666666666666666</v>
      </c>
      <c r="BD277" s="42" cm="1">
        <f t="array" aca="1" ref="BD277" ca="1">_xlfn.IFS(AD277=0,"NA",AD277&gt;0,AH277/AD277)</f>
        <v>0.64</v>
      </c>
      <c r="BE277" s="42">
        <f t="shared" si="459"/>
        <v>0.16666666666666666</v>
      </c>
      <c r="BF277" s="44">
        <v>0</v>
      </c>
      <c r="BG277" s="42">
        <f t="shared" si="460"/>
        <v>0.13333333333333333</v>
      </c>
      <c r="BH277" s="44">
        <v>0</v>
      </c>
      <c r="BI277" s="42">
        <f t="shared" si="461"/>
        <v>0</v>
      </c>
      <c r="BJ277" s="44" t="s">
        <v>115</v>
      </c>
      <c r="BK277" s="42">
        <f t="shared" ca="1" si="470"/>
        <v>0.64666666666666661</v>
      </c>
      <c r="BL277" s="44">
        <v>1</v>
      </c>
      <c r="BM277" s="42" cm="1">
        <f t="array" aca="1" ref="BM277" ca="1">_xlfn.IFS(BD277="NA","NA",BD277&gt;100%,"100%",BD277&lt;100,BD277)</f>
        <v>0.64</v>
      </c>
      <c r="BN277" s="42" cm="1">
        <f t="array" ref="BN277">_xlfn.IFS(BF277="NA","NA",BF277&gt;100%,"100%",BF277&lt;100,BF277)</f>
        <v>0</v>
      </c>
      <c r="BO277" s="42" cm="1">
        <f t="array" ref="BO277">_xlfn.IFS(BH277="NA","NA",BH277&gt;100%,"100%",BH277&lt;100,BH277)</f>
        <v>0</v>
      </c>
      <c r="BP277" s="42" t="str" cm="1">
        <f t="array" ref="BP277">_xlfn.IFS(BJ277="NA","NA",BJ277&gt;100%,"100%",BJ277&lt;100,BJ277)</f>
        <v>NA</v>
      </c>
      <c r="BQ277" s="45">
        <v>0.22500000000000001</v>
      </c>
      <c r="BR277" s="43">
        <f t="shared" ca="1" si="471"/>
        <v>0.14549999999999999</v>
      </c>
      <c r="BS277" s="45">
        <v>0.12</v>
      </c>
      <c r="BT277" s="45">
        <v>0.12</v>
      </c>
      <c r="BU277" s="45">
        <v>0.1215</v>
      </c>
      <c r="BV277" s="43">
        <f t="shared" si="462"/>
        <v>3.7499999999999999E-2</v>
      </c>
      <c r="BW277" s="43">
        <f t="shared" ca="1" si="472"/>
        <v>2.4E-2</v>
      </c>
      <c r="BX277" s="43">
        <f t="shared" ca="1" si="473"/>
        <v>2.3999999999999994E-2</v>
      </c>
      <c r="BY277" s="43">
        <f t="shared" si="463"/>
        <v>3.7499999999999999E-2</v>
      </c>
      <c r="BZ277" s="43">
        <f t="shared" si="464"/>
        <v>0</v>
      </c>
      <c r="CA277" s="43">
        <f t="shared" ca="1" si="474"/>
        <v>0</v>
      </c>
      <c r="CB277" s="43">
        <f t="shared" si="465"/>
        <v>0.03</v>
      </c>
      <c r="CC277" s="43">
        <f t="shared" si="466"/>
        <v>0</v>
      </c>
      <c r="CD277" s="45">
        <v>0</v>
      </c>
      <c r="CE277" s="43">
        <f t="shared" si="467"/>
        <v>0</v>
      </c>
      <c r="CF277" s="43" t="str">
        <f t="shared" si="468"/>
        <v>NA</v>
      </c>
      <c r="CG277" s="45">
        <v>0</v>
      </c>
    </row>
    <row r="278" spans="1:90" ht="18" customHeight="1">
      <c r="A278" s="260" t="s">
        <v>221</v>
      </c>
      <c r="B278" s="260" t="s">
        <v>222</v>
      </c>
      <c r="C278" s="260" t="s">
        <v>1286</v>
      </c>
      <c r="D278" s="260" t="s">
        <v>1657</v>
      </c>
      <c r="E278" s="260" t="s">
        <v>1751</v>
      </c>
      <c r="F278" s="260" t="s">
        <v>1752</v>
      </c>
      <c r="G278" s="260" t="s">
        <v>1753</v>
      </c>
      <c r="H278" s="260" t="s">
        <v>1767</v>
      </c>
      <c r="I278" s="260"/>
      <c r="J278" s="260"/>
      <c r="K278" s="260" t="s">
        <v>1768</v>
      </c>
      <c r="L278" s="260" t="s">
        <v>1769</v>
      </c>
      <c r="M278" s="260" t="s">
        <v>1770</v>
      </c>
      <c r="N278" s="260" t="s">
        <v>111</v>
      </c>
      <c r="O278" s="260" t="s">
        <v>112</v>
      </c>
      <c r="P278" s="10">
        <v>0</v>
      </c>
      <c r="Q278" s="11">
        <v>40</v>
      </c>
      <c r="R278" s="9">
        <f t="shared" ca="1" si="455"/>
        <v>24</v>
      </c>
      <c r="S278" s="11" t="str">
        <f ca="1">VLOOKUP(K278,'1220 IDECUT'!$K$13:$AK$48,9,0)</f>
        <v>Durante el año 2021. Se han potencializado 123 procesos creativos culturales contemporáneos mediante el acompañamiento, capacitación y asesoramiento en la formulación de proyectos. En el marco de la ejecución, 52 municipios han sido asesorados y acompañados en la formulación de sus proyectos y  24  de ellos han sido asesorados y avalados por la corporación Cocrea.</v>
      </c>
      <c r="T278" s="11">
        <v>0</v>
      </c>
      <c r="U278" s="11">
        <v>0</v>
      </c>
      <c r="V278" s="11">
        <v>0</v>
      </c>
      <c r="W278" s="11">
        <v>0</v>
      </c>
      <c r="X278" s="11">
        <v>0</v>
      </c>
      <c r="Y278" s="11">
        <v>0</v>
      </c>
      <c r="Z278" s="11">
        <v>0</v>
      </c>
      <c r="AA278" s="11"/>
      <c r="AB278" s="11"/>
      <c r="AC278" s="11"/>
      <c r="AD278" s="11">
        <v>14</v>
      </c>
      <c r="AE278" s="11">
        <v>0</v>
      </c>
      <c r="AF278" s="11">
        <f ca="1">VLOOKUP(K278,'1220 IDECUT'!$K$13:$AK$48,22,0)</f>
        <v>24</v>
      </c>
      <c r="AG278" s="11">
        <f ca="1">VLOOKUP(K278,'1220 IDECUT'!$K$13:$AK$48,23,0)</f>
        <v>0</v>
      </c>
      <c r="AH278" s="9">
        <f t="shared" ca="1" si="456"/>
        <v>24</v>
      </c>
      <c r="AI278" s="9" t="str">
        <f ca="1">VLOOKUP(K278,'1220 IDECUT'!$K$13:$AK$48,25,0)</f>
        <v>Asesoria</v>
      </c>
      <c r="AJ278" s="9" t="str">
        <f ca="1">VLOOKUP(K278,'1220 IDECUT'!$K$13:$AK$48,26,0)</f>
        <v>Se han potencializado 123 procesos creativos culturales contemporáneos mediante el acompañamiento, capacitación y asesoramiento en la formulación de proyectos. En el marco de la ejecución, 52 municipios han sido asesorados y acompañados en la formulación de sus proyectos y  24  de ellos han sido asesorados y avalados por la corporación Cocrea.</v>
      </c>
      <c r="AK278" s="9">
        <f ca="1">VLOOKUP(K278,'1220 IDECUT'!$K$13:$AK$48,27,0)</f>
        <v>0</v>
      </c>
      <c r="AL278" s="11">
        <v>14</v>
      </c>
      <c r="AM278" s="11">
        <v>0</v>
      </c>
      <c r="AN278" s="11">
        <v>12</v>
      </c>
      <c r="AO278" s="11">
        <v>0</v>
      </c>
      <c r="AP278" s="11">
        <v>0</v>
      </c>
      <c r="AQ278" s="11">
        <v>0</v>
      </c>
      <c r="AR278" s="52"/>
      <c r="AS278" s="54">
        <v>0</v>
      </c>
      <c r="AT278" s="54">
        <f t="shared" si="469"/>
        <v>0</v>
      </c>
      <c r="AU278" s="52"/>
      <c r="AV278" s="89">
        <v>60000000</v>
      </c>
      <c r="AY278" s="89">
        <v>58200000</v>
      </c>
      <c r="AZ278" s="42">
        <f t="shared" ca="1" si="457"/>
        <v>0.6</v>
      </c>
      <c r="BA278" s="44">
        <v>0</v>
      </c>
      <c r="BB278" s="44" t="s">
        <v>115</v>
      </c>
      <c r="BC278" s="42">
        <f t="shared" si="458"/>
        <v>0.35</v>
      </c>
      <c r="BD278" s="42" cm="1">
        <f t="array" aca="1" ref="BD278" ca="1">_xlfn.IFS(AD278=0,"NA",AD278&gt;0,AH278/AD278)</f>
        <v>1.7142857142857142</v>
      </c>
      <c r="BE278" s="42">
        <f t="shared" si="459"/>
        <v>0.35</v>
      </c>
      <c r="BF278" s="44">
        <v>0</v>
      </c>
      <c r="BG278" s="42">
        <f t="shared" si="460"/>
        <v>0.3</v>
      </c>
      <c r="BH278" s="44">
        <v>0</v>
      </c>
      <c r="BI278" s="42">
        <f t="shared" si="461"/>
        <v>0</v>
      </c>
      <c r="BJ278" s="44" t="s">
        <v>115</v>
      </c>
      <c r="BK278" s="42">
        <f t="shared" ca="1" si="470"/>
        <v>0.6</v>
      </c>
      <c r="BL278" s="44" t="s">
        <v>115</v>
      </c>
      <c r="BM278" s="42" t="str" cm="1">
        <f t="array" aca="1" ref="BM278" ca="1">_xlfn.IFS(BD278="NA","NA",BD278&gt;100%,"100%",BD278&lt;100,BD278)</f>
        <v>100%</v>
      </c>
      <c r="BN278" s="42" cm="1">
        <f t="array" ref="BN278">_xlfn.IFS(BF278="NA","NA",BF278&gt;100%,"100%",BF278&lt;100,BF278)</f>
        <v>0</v>
      </c>
      <c r="BO278" s="42" cm="1">
        <f t="array" ref="BO278">_xlfn.IFS(BH278="NA","NA",BH278&gt;100%,"100%",BH278&lt;100,BH278)</f>
        <v>0</v>
      </c>
      <c r="BP278" s="42" t="str" cm="1">
        <f t="array" ref="BP278">_xlfn.IFS(BJ278="NA","NA",BJ278&gt;100%,"100%",BJ278&lt;100,BJ278)</f>
        <v>NA</v>
      </c>
      <c r="BQ278" s="45">
        <v>0.22500000000000001</v>
      </c>
      <c r="BR278" s="43">
        <f t="shared" ca="1" si="471"/>
        <v>0.13500000000000001</v>
      </c>
      <c r="BS278" s="45">
        <v>0</v>
      </c>
      <c r="BT278" s="45" t="s">
        <v>115</v>
      </c>
      <c r="BU278" s="45">
        <v>0</v>
      </c>
      <c r="BV278" s="43">
        <f t="shared" si="462"/>
        <v>7.8750000000000001E-2</v>
      </c>
      <c r="BW278" s="43">
        <f t="shared" ca="1" si="472"/>
        <v>7.8750000000000001E-2</v>
      </c>
      <c r="BX278" s="43">
        <f t="shared" ca="1" si="473"/>
        <v>0.13500000000000001</v>
      </c>
      <c r="BY278" s="43">
        <f t="shared" si="463"/>
        <v>7.8750000000000001E-2</v>
      </c>
      <c r="BZ278" s="43">
        <f t="shared" si="464"/>
        <v>0</v>
      </c>
      <c r="CA278" s="43">
        <f t="shared" ca="1" si="474"/>
        <v>0</v>
      </c>
      <c r="CB278" s="43">
        <f t="shared" si="465"/>
        <v>6.7500000000000004E-2</v>
      </c>
      <c r="CC278" s="43">
        <f t="shared" si="466"/>
        <v>0</v>
      </c>
      <c r="CD278" s="45">
        <v>0</v>
      </c>
      <c r="CE278" s="43">
        <f t="shared" si="467"/>
        <v>0</v>
      </c>
      <c r="CF278" s="43" t="str">
        <f t="shared" si="468"/>
        <v>NA</v>
      </c>
      <c r="CG278" s="45">
        <v>0</v>
      </c>
    </row>
    <row r="279" spans="1:90" ht="18" customHeight="1">
      <c r="A279" s="260" t="s">
        <v>221</v>
      </c>
      <c r="B279" s="260" t="s">
        <v>222</v>
      </c>
      <c r="C279" s="260" t="s">
        <v>1286</v>
      </c>
      <c r="D279" s="260" t="s">
        <v>1657</v>
      </c>
      <c r="E279" s="260" t="s">
        <v>1751</v>
      </c>
      <c r="F279" s="260" t="s">
        <v>1752</v>
      </c>
      <c r="G279" s="260" t="s">
        <v>1753</v>
      </c>
      <c r="H279" s="260" t="s">
        <v>1771</v>
      </c>
      <c r="I279" s="260"/>
      <c r="J279" s="260"/>
      <c r="K279" s="260" t="s">
        <v>1772</v>
      </c>
      <c r="L279" s="260" t="s">
        <v>1773</v>
      </c>
      <c r="M279" s="260" t="s">
        <v>1774</v>
      </c>
      <c r="N279" s="260" t="s">
        <v>111</v>
      </c>
      <c r="O279" s="260" t="s">
        <v>112</v>
      </c>
      <c r="P279" s="10">
        <v>0</v>
      </c>
      <c r="Q279" s="11">
        <v>6</v>
      </c>
      <c r="R279" s="9">
        <f t="shared" ca="1" si="455"/>
        <v>0</v>
      </c>
      <c r="S279" s="11" t="str">
        <f ca="1">VLOOKUP(K279,'1220 IDECUT'!$K$13:$AK$48,9,0)</f>
        <v xml:space="preserve">Se han apoyado con asesoría y acompañamiento a las industrias culturales innovadoras en los municipios de Sesquilé, Tena y Guatavita donde se pretende mejorar la capacidad cultural pública y privada mediante la formulación de proyectos que permitan el desarrollo de la productividad y sostenibilidad del sector cultural con el objetivo de fortalecer y consolidar el tejido empresarial en el Departamento.
</v>
      </c>
      <c r="T279" s="11">
        <v>0</v>
      </c>
      <c r="U279" s="11">
        <v>0</v>
      </c>
      <c r="V279" s="11">
        <v>0</v>
      </c>
      <c r="W279" s="11">
        <v>0</v>
      </c>
      <c r="X279" s="11">
        <v>0</v>
      </c>
      <c r="Y279" s="11">
        <v>0</v>
      </c>
      <c r="Z279" s="11">
        <v>0</v>
      </c>
      <c r="AA279" s="11"/>
      <c r="AB279" s="11"/>
      <c r="AC279" s="11"/>
      <c r="AD279" s="11">
        <v>2</v>
      </c>
      <c r="AE279" s="11">
        <v>0</v>
      </c>
      <c r="AF279" s="11">
        <f ca="1">VLOOKUP(K279,'1220 IDECUT'!$K$13:$AK$48,22,0)</f>
        <v>0</v>
      </c>
      <c r="AG279" s="11">
        <f ca="1">VLOOKUP(K279,'1220 IDECUT'!$K$13:$AK$48,23,0)</f>
        <v>0</v>
      </c>
      <c r="AH279" s="9">
        <f t="shared" ca="1" si="456"/>
        <v>0</v>
      </c>
      <c r="AI279" s="9" t="str">
        <f ca="1">VLOOKUP(K279,'1220 IDECUT'!$K$13:$AK$48,25,0)</f>
        <v>Asesoria y acompañamiemto</v>
      </c>
      <c r="AJ279" s="9" t="str">
        <f ca="1">VLOOKUP(K279,'1220 IDECUT'!$K$13:$AK$48,26,0)</f>
        <v xml:space="preserve">Se han apoyado con asesoría y acompañamiento a las industrias culturales innovadoras en los municipios de Sesquilé, Tena y Guatavita donde se pretende mejorar la capacidad cultural pública y privada mediante la formulación de proyectos que permitan el desarrollo de la productividad y sostenibilidad del sector cultural con el objetivo de fortalecer y consolidar el tejido empresarial en el Departamento.
</v>
      </c>
      <c r="AK279" s="9">
        <f ca="1">VLOOKUP(K279,'1220 IDECUT'!$K$13:$AK$48,27,0)</f>
        <v>0</v>
      </c>
      <c r="AL279" s="11">
        <v>2</v>
      </c>
      <c r="AM279" s="11">
        <v>0</v>
      </c>
      <c r="AN279" s="11">
        <v>2</v>
      </c>
      <c r="AO279" s="11">
        <v>0</v>
      </c>
      <c r="AP279" s="11">
        <v>0</v>
      </c>
      <c r="AQ279" s="11">
        <v>0</v>
      </c>
      <c r="AR279" s="52"/>
      <c r="AS279" s="54">
        <v>0</v>
      </c>
      <c r="AT279" s="54">
        <f t="shared" si="469"/>
        <v>0</v>
      </c>
      <c r="AU279" s="52"/>
      <c r="AV279" s="89">
        <v>60000000</v>
      </c>
      <c r="AY279" s="89">
        <v>10000000</v>
      </c>
      <c r="AZ279" s="42">
        <f t="shared" ca="1" si="457"/>
        <v>0</v>
      </c>
      <c r="BA279" s="44">
        <v>0</v>
      </c>
      <c r="BB279" s="44" t="s">
        <v>115</v>
      </c>
      <c r="BC279" s="42">
        <f t="shared" si="458"/>
        <v>0.33333333333333331</v>
      </c>
      <c r="BD279" s="42" cm="1">
        <f t="array" aca="1" ref="BD279" ca="1">_xlfn.IFS(AD279=0,"NA",AD279&gt;0,AH279/AD279)</f>
        <v>0</v>
      </c>
      <c r="BE279" s="42">
        <f t="shared" si="459"/>
        <v>0.33333333333333331</v>
      </c>
      <c r="BF279" s="44">
        <v>0</v>
      </c>
      <c r="BG279" s="42">
        <f t="shared" si="460"/>
        <v>0.33333333333333331</v>
      </c>
      <c r="BH279" s="44">
        <v>0</v>
      </c>
      <c r="BI279" s="42">
        <f t="shared" si="461"/>
        <v>0</v>
      </c>
      <c r="BJ279" s="44" t="s">
        <v>115</v>
      </c>
      <c r="BK279" s="42">
        <f t="shared" ca="1" si="470"/>
        <v>0</v>
      </c>
      <c r="BL279" s="44" t="s">
        <v>115</v>
      </c>
      <c r="BM279" s="42" cm="1">
        <f t="array" aca="1" ref="BM279" ca="1">_xlfn.IFS(BD279="NA","NA",BD279&gt;100%,"100%",BD279&lt;100,BD279)</f>
        <v>0</v>
      </c>
      <c r="BN279" s="42" cm="1">
        <f t="array" ref="BN279">_xlfn.IFS(BF279="NA","NA",BF279&gt;100%,"100%",BF279&lt;100,BF279)</f>
        <v>0</v>
      </c>
      <c r="BO279" s="42" cm="1">
        <f t="array" ref="BO279">_xlfn.IFS(BH279="NA","NA",BH279&gt;100%,"100%",BH279&lt;100,BH279)</f>
        <v>0</v>
      </c>
      <c r="BP279" s="42" t="str" cm="1">
        <f t="array" ref="BP279">_xlfn.IFS(BJ279="NA","NA",BJ279&gt;100%,"100%",BJ279&lt;100,BJ279)</f>
        <v>NA</v>
      </c>
      <c r="BQ279" s="45">
        <v>0.22500000000000001</v>
      </c>
      <c r="BR279" s="43">
        <f t="shared" ca="1" si="471"/>
        <v>0</v>
      </c>
      <c r="BS279" s="45">
        <v>0</v>
      </c>
      <c r="BT279" s="45" t="s">
        <v>115</v>
      </c>
      <c r="BU279" s="45">
        <v>0</v>
      </c>
      <c r="BV279" s="43">
        <f t="shared" si="462"/>
        <v>7.4999999999999997E-2</v>
      </c>
      <c r="BW279" s="43">
        <f t="shared" ca="1" si="472"/>
        <v>0</v>
      </c>
      <c r="BX279" s="43">
        <f t="shared" ca="1" si="473"/>
        <v>0</v>
      </c>
      <c r="BY279" s="43">
        <f t="shared" si="463"/>
        <v>7.4999999999999997E-2</v>
      </c>
      <c r="BZ279" s="43">
        <f t="shared" si="464"/>
        <v>0</v>
      </c>
      <c r="CA279" s="43">
        <f t="shared" ca="1" si="474"/>
        <v>0</v>
      </c>
      <c r="CB279" s="43">
        <f t="shared" si="465"/>
        <v>7.4999999999999997E-2</v>
      </c>
      <c r="CC279" s="43">
        <f t="shared" si="466"/>
        <v>0</v>
      </c>
      <c r="CD279" s="45">
        <v>0</v>
      </c>
      <c r="CE279" s="43">
        <f t="shared" si="467"/>
        <v>0</v>
      </c>
      <c r="CF279" s="43" t="str">
        <f t="shared" si="468"/>
        <v>NA</v>
      </c>
      <c r="CG279" s="45">
        <v>0</v>
      </c>
    </row>
    <row r="280" spans="1:90" ht="18" customHeight="1">
      <c r="A280" s="260" t="s">
        <v>221</v>
      </c>
      <c r="B280" s="260" t="s">
        <v>222</v>
      </c>
      <c r="C280" s="260" t="s">
        <v>1286</v>
      </c>
      <c r="D280" s="260" t="s">
        <v>1657</v>
      </c>
      <c r="E280" s="260" t="s">
        <v>1751</v>
      </c>
      <c r="F280" s="260" t="s">
        <v>1752</v>
      </c>
      <c r="G280" s="260" t="s">
        <v>1753</v>
      </c>
      <c r="H280" s="260" t="s">
        <v>1775</v>
      </c>
      <c r="I280" s="260"/>
      <c r="J280" s="260"/>
      <c r="K280" s="260" t="s">
        <v>1776</v>
      </c>
      <c r="L280" s="260" t="s">
        <v>1777</v>
      </c>
      <c r="M280" s="260" t="s">
        <v>1778</v>
      </c>
      <c r="N280" s="260" t="s">
        <v>111</v>
      </c>
      <c r="O280" s="260" t="s">
        <v>112</v>
      </c>
      <c r="P280" s="10">
        <v>0</v>
      </c>
      <c r="Q280" s="11">
        <v>10</v>
      </c>
      <c r="R280" s="9">
        <f t="shared" ca="1" si="455"/>
        <v>10</v>
      </c>
      <c r="S280" s="11" t="str">
        <f ca="1">VLOOKUP(K280,'1220 IDECUT'!$K$13:$AK$48,9,0)</f>
        <v>Durante el 2020 se realizó la implementación de estrategia que ayudó a contrarrestar el impacto social y económico de los artesanos de Cundinamarca a través de marketing, promoción y comercialización; emprendimiento social y productivo e incentivos económicos, impulsando principalmente la línea artesanal de cestería.  durante el año 2021. Se impulsaron las  9 lineas artesanales de Cesteria, Tejeduría, Cerámica, Trabajo en madera, Joyería, Alfarería, Orfebrería, Totumo, Trabajo en cuero, Marroquinería beneficiando a 350 Artesanos del departamento  de Cundinamarca en 33 Municipios (Cucunubá, La peña;Tena, Tausa;Sutatausa, Guaduas, Fúquene, Tena, Granada,Soacha ; Anapoima; Fomeque; Choachi, Nemocon ; Gachancipa; La calera, Chocontá; Chía, Cota, Mosquera, Facatativá, Cajicá, La Calera, La Mesa, Tocaima, El colegio,  Sopó;
Cogua,, Tenjo,  Gacheta, Guasca, Junín, Cachipay y Zipaquirá.) con Fortalecimiento artesanal,módulos de producción, diseño y comercialización</v>
      </c>
      <c r="T280" s="11">
        <v>1</v>
      </c>
      <c r="U280" s="11">
        <v>0</v>
      </c>
      <c r="V280" s="11">
        <v>1</v>
      </c>
      <c r="W280" s="11">
        <v>0</v>
      </c>
      <c r="X280" s="11">
        <v>1</v>
      </c>
      <c r="Y280" s="11">
        <v>0</v>
      </c>
      <c r="Z280" s="11">
        <v>1</v>
      </c>
      <c r="AA280" s="11" t="s">
        <v>1779</v>
      </c>
      <c r="AB280" s="11" t="s">
        <v>1780</v>
      </c>
      <c r="AC280" s="11" t="s">
        <v>1781</v>
      </c>
      <c r="AD280" s="11">
        <v>3</v>
      </c>
      <c r="AE280" s="11">
        <v>0</v>
      </c>
      <c r="AF280" s="11">
        <f ca="1">VLOOKUP(K280,'1220 IDECUT'!$K$13:$AK$48,22,0)</f>
        <v>9</v>
      </c>
      <c r="AG280" s="11">
        <f ca="1">VLOOKUP(K280,'1220 IDECUT'!$K$13:$AK$48,23,0)</f>
        <v>0</v>
      </c>
      <c r="AH280" s="9">
        <f t="shared" ca="1" si="456"/>
        <v>9</v>
      </c>
      <c r="AI280" s="9" t="str">
        <f ca="1">VLOOKUP(K280,'1220 IDECUT'!$K$13:$AK$48,25,0)</f>
        <v>Apoyo al sector artesanal con adquisicon de productos</v>
      </c>
      <c r="AJ280" s="9" t="str">
        <f ca="1">VLOOKUP(K280,'1220 IDECUT'!$K$13:$AK$48,26,0)</f>
        <v>Se impulsaron las  9 lineas artesanales de Cesteria, Tejeduría, Cerámica, Trabajo en madera, Joyería, Alfarería, Orfebrería, Totumo, Trabajo en cuero, Marroquinería beneficiando a 350 Artesanos del departamento  de Cundinamarca en 33 Municipios (Cucunubá, La peña;Tena, Tausa;Sutatausa, Guaduas, Fúquene, Tena, Granada,Soacha ; Anapoima; Fomeque; Choachi, Nemocon ; Gachancipa; La calera, Chocontá; Chía, Cota, Mosquera, Facatativá, Cajicá, La Calera, La Mesa, Tocaima, El colegio,  Sopó;
Cogua,, Tenjo,  Gacheta, Guasca, Junín, Cachipay y Zipaquirá.) con Fortalecimiento artesanal,módulos de producción, diseño y comercialización</v>
      </c>
      <c r="AK280" s="9">
        <f ca="1">VLOOKUP(K280,'1220 IDECUT'!$K$13:$AK$48,27,0)</f>
        <v>0</v>
      </c>
      <c r="AL280" s="11">
        <v>3</v>
      </c>
      <c r="AM280" s="11">
        <v>0</v>
      </c>
      <c r="AN280" s="11">
        <v>3</v>
      </c>
      <c r="AO280" s="11">
        <v>0</v>
      </c>
      <c r="AP280" s="11">
        <v>0</v>
      </c>
      <c r="AQ280" s="11">
        <v>0</v>
      </c>
      <c r="AR280" s="51">
        <v>54000000</v>
      </c>
      <c r="AS280" s="54">
        <v>0</v>
      </c>
      <c r="AT280" s="54">
        <f t="shared" si="469"/>
        <v>54000000</v>
      </c>
      <c r="AU280" s="51">
        <v>54000000</v>
      </c>
      <c r="AV280" s="89">
        <v>350000000</v>
      </c>
      <c r="AY280" s="89">
        <v>43200000</v>
      </c>
      <c r="AZ280" s="42">
        <f t="shared" ca="1" si="457"/>
        <v>1</v>
      </c>
      <c r="BA280" s="44">
        <v>0.1</v>
      </c>
      <c r="BB280" s="44">
        <v>1</v>
      </c>
      <c r="BC280" s="42">
        <f t="shared" si="458"/>
        <v>0.3</v>
      </c>
      <c r="BD280" s="42" cm="1">
        <f t="array" aca="1" ref="BD280" ca="1">_xlfn.IFS(AD280=0,"NA",AD280&gt;0,AH280/AD280)</f>
        <v>3</v>
      </c>
      <c r="BE280" s="42">
        <f t="shared" si="459"/>
        <v>0.3</v>
      </c>
      <c r="BF280" s="44">
        <v>0</v>
      </c>
      <c r="BG280" s="42">
        <f t="shared" si="460"/>
        <v>0.3</v>
      </c>
      <c r="BH280" s="44">
        <v>0</v>
      </c>
      <c r="BI280" s="42">
        <f t="shared" si="461"/>
        <v>0</v>
      </c>
      <c r="BJ280" s="44" t="s">
        <v>115</v>
      </c>
      <c r="BK280" s="42">
        <f t="shared" ca="1" si="470"/>
        <v>1</v>
      </c>
      <c r="BL280" s="44">
        <v>1</v>
      </c>
      <c r="BM280" s="42" t="str" cm="1">
        <f t="array" aca="1" ref="BM280" ca="1">_xlfn.IFS(BD280="NA","NA",BD280&gt;100%,"100%",BD280&lt;100,BD280)</f>
        <v>100%</v>
      </c>
      <c r="BN280" s="42" cm="1">
        <f t="array" ref="BN280">_xlfn.IFS(BF280="NA","NA",BF280&gt;100%,"100%",BF280&lt;100,BF280)</f>
        <v>0</v>
      </c>
      <c r="BO280" s="42" cm="1">
        <f t="array" ref="BO280">_xlfn.IFS(BH280="NA","NA",BH280&gt;100%,"100%",BH280&lt;100,BH280)</f>
        <v>0</v>
      </c>
      <c r="BP280" s="42" t="str" cm="1">
        <f t="array" ref="BP280">_xlfn.IFS(BJ280="NA","NA",BJ280&gt;100%,"100%",BJ280&lt;100,BJ280)</f>
        <v>NA</v>
      </c>
      <c r="BQ280" s="45">
        <v>0.22500000000000001</v>
      </c>
      <c r="BR280" s="43">
        <f t="shared" ca="1" si="471"/>
        <v>0.22500000000000001</v>
      </c>
      <c r="BS280" s="45">
        <v>2.2499999999999999E-2</v>
      </c>
      <c r="BT280" s="45">
        <v>2.2499999999999999E-2</v>
      </c>
      <c r="BU280" s="45">
        <v>2.2499999999999999E-2</v>
      </c>
      <c r="BV280" s="43">
        <f t="shared" si="462"/>
        <v>6.7500000000000004E-2</v>
      </c>
      <c r="BW280" s="43">
        <f t="shared" ca="1" si="472"/>
        <v>6.7500000000000004E-2</v>
      </c>
      <c r="BX280" s="43">
        <f t="shared" ca="1" si="473"/>
        <v>0.20250000000000001</v>
      </c>
      <c r="BY280" s="43">
        <f t="shared" si="463"/>
        <v>6.7500000000000004E-2</v>
      </c>
      <c r="BZ280" s="43">
        <f t="shared" si="464"/>
        <v>0</v>
      </c>
      <c r="CA280" s="43">
        <f t="shared" ca="1" si="474"/>
        <v>0</v>
      </c>
      <c r="CB280" s="43">
        <f t="shared" si="465"/>
        <v>6.7500000000000004E-2</v>
      </c>
      <c r="CC280" s="43">
        <f t="shared" si="466"/>
        <v>0</v>
      </c>
      <c r="CD280" s="45">
        <v>0</v>
      </c>
      <c r="CE280" s="43">
        <f t="shared" si="467"/>
        <v>0</v>
      </c>
      <c r="CF280" s="43" t="str">
        <f t="shared" si="468"/>
        <v>NA</v>
      </c>
      <c r="CG280" s="45">
        <v>0</v>
      </c>
    </row>
    <row r="281" spans="1:90" ht="18" customHeight="1">
      <c r="A281" s="260" t="s">
        <v>1302</v>
      </c>
      <c r="B281" s="260" t="s">
        <v>1303</v>
      </c>
      <c r="C281" s="260" t="s">
        <v>1286</v>
      </c>
      <c r="D281" s="260" t="s">
        <v>1657</v>
      </c>
      <c r="E281" s="260" t="s">
        <v>1751</v>
      </c>
      <c r="F281" s="260" t="s">
        <v>1752</v>
      </c>
      <c r="G281" s="260" t="s">
        <v>1753</v>
      </c>
      <c r="H281" s="260" t="s">
        <v>1782</v>
      </c>
      <c r="I281" s="260"/>
      <c r="J281" s="260"/>
      <c r="K281" s="260" t="s">
        <v>1783</v>
      </c>
      <c r="L281" s="260" t="s">
        <v>2996</v>
      </c>
      <c r="M281" s="260" t="s">
        <v>2997</v>
      </c>
      <c r="N281" s="260" t="s">
        <v>111</v>
      </c>
      <c r="O281" s="260" t="s">
        <v>112</v>
      </c>
      <c r="P281" s="10">
        <v>280</v>
      </c>
      <c r="Q281" s="11">
        <v>280</v>
      </c>
      <c r="R281" s="9">
        <f t="shared" si="455"/>
        <v>136</v>
      </c>
      <c r="S281" s="11" t="str">
        <f>VLOOKUP(K281,'1124 Agricultura'!$K$13:$AK$25,9,0)</f>
        <v>Se han realizado en total 136 eventos así: 26 eventos en la vigencia 2020 ayudando a la reactivación económica de los productores cundinamarqueses a mejorar los ingresos en el productor por la eliminación de intermediarios, se promovió la organización social y la asociatividad y se contribuyó a la Seguridad Alimentaria: Mercaton (792 -24 municipios) – 8 Mercados Campesinos–  11 Ferias Ganaderas y 6 Ferias Pesqueras. Así mismo para la vigencia 2021 se han apoyado 110 eventos: 15 eventos de ferias ganaderas, 18 eventos de mercados campesinos con dotación de elementos, 2 eventos e iniciativas empresariales que fomentan la asociatividad como preámbulo al apoyo en la comercialización de productos generados por asociaciones  - 4 ruedas de negocios , 1 circuito corto de comercialización, 53 mercados campesinos en 18 localidades de Bogotá, 15 mercados campesinos a través de la Agrovitrina, Agroexpo sealizado del 22 de octubre al 1 de noviembre en corferias y Expolana que se realizón en el municipio de Cucunubá</v>
      </c>
      <c r="T281" s="11">
        <v>4</v>
      </c>
      <c r="U281" s="11">
        <v>0</v>
      </c>
      <c r="V281" s="11">
        <v>26</v>
      </c>
      <c r="W281" s="11">
        <v>0</v>
      </c>
      <c r="X281" s="11">
        <v>26</v>
      </c>
      <c r="Y281" s="11">
        <v>0</v>
      </c>
      <c r="Z281" s="11">
        <v>26</v>
      </c>
      <c r="AA281" s="11" t="s">
        <v>1786</v>
      </c>
      <c r="AB281" s="11" t="s">
        <v>1787</v>
      </c>
      <c r="AC281" s="11">
        <v>0</v>
      </c>
      <c r="AD281" s="11">
        <v>96</v>
      </c>
      <c r="AE281" s="11">
        <v>0</v>
      </c>
      <c r="AF281" s="11">
        <f>VLOOKUP(K281,'1124 Agricultura'!$K$13:$AK$25,22,0)</f>
        <v>110</v>
      </c>
      <c r="AG281" s="11">
        <f>VLOOKUP(K281,'1124 Agricultura'!$K$13:$AK$25,23,0)</f>
        <v>0</v>
      </c>
      <c r="AH281" s="9">
        <f t="shared" si="456"/>
        <v>110</v>
      </c>
      <c r="AI281" s="9" t="str">
        <f>VLOOKUP(K281,'1124 Agricultura'!$K$13:$AK$25,25,0)</f>
        <v>Apoyo a eventos agropecuarios</v>
      </c>
      <c r="AJ281" s="9" t="str">
        <f>VLOOKUP(K281,'1124 Agricultura'!$K$13:$AK$25,26,0)</f>
        <v xml:space="preserve">Para el cumplimiento de la meta se están realizando 2 procesos:
• Proceso para entrega de implementos y dotación para mercados campesinos beneficiando a 18 municipios con una inversión de $ 393.016.720 y ferias ganaderas beneficiando a 15 municipios con una inversión de $ 168.510.915: Total Eventos realizados 33.
• Proceso de Servicios Logísticos contrato que se firmó el 25 de Junio con la Inmobiliaria de Cundinamarca para realización de mercados campesinos, ruedas de negocios, agro vitrinas  y circuitos cortos de comercialización como apoyo a la reactivación económica del sector: 
2 eventos e iniciativas empresariales que fomentan la asociatividad como preámbulo al apoyo en la comercialización de productos generados por asociaciones a través de:
* Capacitación en Medina en temas organizacionales, administrativos  y psicosociales beneficiando a 15 productores del sector agropecuario.
* Capacitación en Gobernanza efectiva en las asociaciones agropecuarias de Cundinamarca apoyando a asociaciones de 36 municipios del departamento Sasaima, Ubaté, El Rosal, Caparrapí, Chipaque, Villeta, Chocontá, Pacho, Nimaima, Bituima, San Juan de Rio seco, mesitas del colegio, la mesa, Gutiérrez, Arbeláez, Madrid, Facatativá, Cabrera, Soacha, Fusagasugá, Supatá, Utica, Chaguaní, Chía, Silvania, Guasca, Zipaquirá, Venecia, Arbeláez, Cota, Carmen de Carupa, la Palma, Tocaima, Cáqueza y Subachoque de manera virtual beneficiando a 59 productores y en Fómeque la capacitación fue presencial beneficiando a 25 productores
Ruedas de negocio: Total eventos 4
•	A través de la Estrategia de Compras Públicas de Alimentos del Distrito Capital actividad desarrollada en articulación entre la SDDE, la SDIS y la Gobernación de Cundinamarca, Este evento estuvo dirigido a operadores de los programas alimentarios de la SDIS, principalmente de Comedores Comunitarios y CI. Alliance como operador de canasta. Como producto de esta jornada se generaron acuerdos de negociación cuyo valor se estima en más de 100 Millones de pesos mensuales, comercializando productos como: frutas, verduras, hortalizas, tubérculos, lácteos, panela, frijol, arroz, entre otros beneficiando a 18 organizaciones. 
•	El 9 de septiembre desde el Centro de Innovación y Desarrollo – CID  en el municipio de Funza se desarrolló otra rueda de negocios en homenaje  al día internacional de la agricultura con el objetivo de brindar a los pequeños productores la oferta de  sus productos sin intermediación y que sus ventas sean directamente al consumidor final.
•	El 17 de septiembre se realizó rueda de negocios en el municipio de la Mesa en el Polideportivo Luis Carlos Galán Sarmiento  ofertando productos como aguacate, mango, plátano, banano, cítricos entre otros también como una oportunidad de acercar a los demandantes a productos típicos de la región y a precios justos.
•	El 23 de noviembre en la plaza de artesanos se realizó rueda de negocios con la Secretaria de Desarrollo Económico como fortalecimiento en mercados de proximidad y circuitos de comercialización a las familias participantes de ZODAS convenio con la RAPE
Circuitos Cortos 1 evento
•	Como  ayuda a todo el proceso de reactivación económica el 10 de septiembre de 2021 en la Central de Abastos del Municipio de Villeta se realizó circuitos cortos de comercialización en productos  como espárragos, mix de berrys, zarzamora, frambuesas rojas y amarillas europeas, uvilla, arándanos, quesos gourmet, semillas de chía y finas hierbas, orellanas, yogurt griego de frambuesa y otros como una muestra de productos poco convencionales pero que han venido ganando territorio en el departamento de Cundinamarca y como apuesta al rescate de nuestros productores agropecuarios.
Mercados Campesinos: Se apoyó la realización de 53 eventos de mercados campesinos como ayuda a la comercialización sin intermediarios que se llevó acabo en 18 localidades de Bogotá
Agro vitrina: Se han apoyado 15 eventos de mercado campesinos a través de la Agro vitrina
Agroexpo realizado en Corferias del 22 de octubre al 1 de noviembre
Expolana realizado en el municipio de Cucunubá
</v>
      </c>
      <c r="AK281" s="9">
        <f>VLOOKUP(K281,'1124 Agricultura'!$K$13:$AK$25,27,0)</f>
        <v>0</v>
      </c>
      <c r="AL281" s="11">
        <v>89</v>
      </c>
      <c r="AM281" s="11">
        <v>0</v>
      </c>
      <c r="AN281" s="11">
        <v>69</v>
      </c>
      <c r="AO281" s="11">
        <v>0</v>
      </c>
      <c r="AP281" s="11">
        <v>0</v>
      </c>
      <c r="AQ281" s="11">
        <v>0</v>
      </c>
      <c r="AR281" s="51">
        <v>249999776</v>
      </c>
      <c r="AS281" s="54">
        <v>0</v>
      </c>
      <c r="AT281" s="54">
        <f t="shared" si="469"/>
        <v>249999776</v>
      </c>
      <c r="AU281" s="51">
        <v>249999776</v>
      </c>
      <c r="AV281" s="89">
        <v>886546353</v>
      </c>
      <c r="AY281" s="89">
        <v>0</v>
      </c>
      <c r="AZ281" s="42">
        <f t="shared" si="457"/>
        <v>0.48571428571428571</v>
      </c>
      <c r="BA281" s="44">
        <v>9.2899999999999996E-2</v>
      </c>
      <c r="BB281" s="44">
        <v>1</v>
      </c>
      <c r="BC281" s="42">
        <f t="shared" si="458"/>
        <v>0.34285714285714286</v>
      </c>
      <c r="BD281" s="42" cm="1">
        <f t="array" ref="BD281">_xlfn.IFS(AD281=0,"NA",AD281&gt;0,AH281/AD281)</f>
        <v>1.1458333333333333</v>
      </c>
      <c r="BE281" s="42">
        <f t="shared" si="459"/>
        <v>0.31785714285714284</v>
      </c>
      <c r="BF281" s="44">
        <v>0</v>
      </c>
      <c r="BG281" s="42">
        <f t="shared" si="460"/>
        <v>0.24642857142857144</v>
      </c>
      <c r="BH281" s="44">
        <v>0</v>
      </c>
      <c r="BI281" s="42">
        <f t="shared" si="461"/>
        <v>0</v>
      </c>
      <c r="BJ281" s="44" t="s">
        <v>115</v>
      </c>
      <c r="BK281" s="42">
        <f t="shared" si="470"/>
        <v>0.48571428571428571</v>
      </c>
      <c r="BL281" s="44">
        <v>1</v>
      </c>
      <c r="BM281" s="42" t="str" cm="1">
        <f t="array" ref="BM281">_xlfn.IFS(BD281="NA","NA",BD281&gt;100%,"100%",BD281&lt;100,BD281)</f>
        <v>100%</v>
      </c>
      <c r="BN281" s="42" cm="1">
        <f t="array" ref="BN281">_xlfn.IFS(BF281="NA","NA",BF281&gt;100%,"100%",BF281&lt;100,BF281)</f>
        <v>0</v>
      </c>
      <c r="BO281" s="42" cm="1">
        <f t="array" ref="BO281">_xlfn.IFS(BH281="NA","NA",BH281&gt;100%,"100%",BH281&lt;100,BH281)</f>
        <v>0</v>
      </c>
      <c r="BP281" s="42" t="str" cm="1">
        <f t="array" ref="BP281">_xlfn.IFS(BJ281="NA","NA",BJ281&gt;100%,"100%",BJ281&lt;100,BJ281)</f>
        <v>NA</v>
      </c>
      <c r="BQ281" s="45">
        <v>0.22500000000000001</v>
      </c>
      <c r="BR281" s="43">
        <f t="shared" si="471"/>
        <v>0.10928571428571429</v>
      </c>
      <c r="BS281" s="45">
        <v>2.0899999999999998E-2</v>
      </c>
      <c r="BT281" s="45">
        <v>2.0899999999999998E-2</v>
      </c>
      <c r="BU281" s="45">
        <v>2.0899999999999998E-2</v>
      </c>
      <c r="BV281" s="43">
        <f t="shared" si="462"/>
        <v>7.7142857142857152E-2</v>
      </c>
      <c r="BW281" s="43">
        <f t="shared" si="472"/>
        <v>7.7142857142857152E-2</v>
      </c>
      <c r="BX281" s="43">
        <f t="shared" si="473"/>
        <v>8.838571428571429E-2</v>
      </c>
      <c r="BY281" s="43">
        <f t="shared" si="463"/>
        <v>7.1517857142857147E-2</v>
      </c>
      <c r="BZ281" s="43">
        <f t="shared" si="464"/>
        <v>0</v>
      </c>
      <c r="CA281" s="43">
        <f t="shared" si="474"/>
        <v>0</v>
      </c>
      <c r="CB281" s="43">
        <f t="shared" si="465"/>
        <v>5.544642857142857E-2</v>
      </c>
      <c r="CC281" s="43">
        <f t="shared" si="466"/>
        <v>0</v>
      </c>
      <c r="CD281" s="45">
        <v>0</v>
      </c>
      <c r="CE281" s="43">
        <f t="shared" si="467"/>
        <v>0</v>
      </c>
      <c r="CF281" s="43" t="str">
        <f t="shared" si="468"/>
        <v>NA</v>
      </c>
      <c r="CG281" s="45">
        <v>0</v>
      </c>
    </row>
    <row r="282" spans="1:90" ht="18" customHeight="1">
      <c r="A282" s="260" t="s">
        <v>1739</v>
      </c>
      <c r="B282" s="260" t="s">
        <v>1740</v>
      </c>
      <c r="C282" s="260" t="s">
        <v>1286</v>
      </c>
      <c r="D282" s="260" t="s">
        <v>1657</v>
      </c>
      <c r="E282" s="260" t="s">
        <v>1751</v>
      </c>
      <c r="F282" s="260" t="s">
        <v>1752</v>
      </c>
      <c r="G282" s="260" t="s">
        <v>1753</v>
      </c>
      <c r="H282" s="260" t="s">
        <v>1788</v>
      </c>
      <c r="I282" s="260"/>
      <c r="J282" s="260"/>
      <c r="K282" s="260" t="s">
        <v>1789</v>
      </c>
      <c r="L282" s="260" t="s">
        <v>1790</v>
      </c>
      <c r="M282" s="260" t="s">
        <v>1791</v>
      </c>
      <c r="N282" s="260" t="s">
        <v>111</v>
      </c>
      <c r="O282" s="260" t="s">
        <v>112</v>
      </c>
      <c r="P282" s="10">
        <v>0</v>
      </c>
      <c r="Q282" s="11">
        <v>1</v>
      </c>
      <c r="R282" s="9">
        <f t="shared" si="455"/>
        <v>0.38</v>
      </c>
      <c r="S282" s="11" t="str">
        <f>VLOOKUP(K282,'1135 Asuntos Int.'!$K$13:$AK$16,9,0)</f>
        <v xml:space="preserve">Se logró para la vigencia 2020,  la construcción de la Estrategia de Internacionalización del departamento de Cundinamarca a partir de la identificación de dos ejes estratégicos; Promoción del comercio internacional y promoción y consolidación de la inversión extranjera directa. Apoyo y Acompañamiento 63 empresas de Cundinamarca que cuenta con potencial exportador a partir de dos convenios;   Amcham para la promoción de los productos de Cundinamarca en el mercado de Estados Unidos,  se obtuvieron recursos no incorporados por valor de $16.140.000 y un segundo convenio con Pro Colombia en el que realizamos un diagnóstico empresarial para identificar el potencial de las empresas y, apoyo a las empresas del departamento en su plan exportador con el fin de promocionar los productos del territorio en el mercado internacional, se obtuvieron recursos no incorporados por valor de $71.775.000.
Para la vigencia 2021, se realizó socialización e implementación de la estrategia de internacionalización. Partiendo del eje de comercio internacional, con  un total de 199 participantes del sector empresarial de Cundinamarca, entre los que se encuentran representantes de entidades del orden nacional, alcaldes, Secretarios de Desarrollo Económico, Cámaras de Comercio, Cámaras binacionales, entidades académicas, gremios, empresas y asociaciones productivas.
La implementación se ha desarrollado a través de dos grandes estrategias: La intervención empresarial uno a uno, consistente en el acompañamiento a cada una de las empresas y asociaciones con potencial exportador, a través de actividades de asesoría en internacionalización, Diagnósticos a 76 empresas,  inteligencia de mercados, vinculación a actividades de fortalecimiento y promoción en el mercado internacional (a través de convenios y acompañamiento para la postulación a oportunidades del orden nacional e internacional), entre otros. Actualmente, 109 empresas y asociaciones del departamento cuentan con un asesor encargado de su acompañamiento uno a uno. Y la intervención a aglomeraciones productivas priorizadas de acuerdo a la identificación y caracterización de la oferta exportable del departamento, que se compone de aproximadamente treinta (30) productos del sector de agro alimentos, incluyendo subsectores como: frutas exóticas y tropicales, hortalizas y tubérculos, lácteos, pescados, especias, aromáticas y alimentos procesados. 
La Secretaría de Asuntos Internacionales, en alianza con entidades estratégicas como; (Innpulsa, Amcham, Min comercio, Industria y comercio, ICA) desarrolló cinco (5) webinars y eventos en materia de fortalecimiento empresarial y/o asociativo de acuerdo a las tendencias comerciales que exigen fortalecimiento para acceder a nuevos mercados y adelantar procesos de internacionalización.(1.540 participantes)
Se han logrado otras alianzas estratégicas mediante 3 convenios, el primero con  Euro Cámaras: promoción del tejido empresarial del Departamento en el mercado europeo, se logra realizar servicios de asistencia técnica a 10 empresas de Cundinamarca, se obtuvieron recursos no incorporados por valor de $48.000.000
Convenio con Analdex, en el que se busca desarrollar un programa de formación empresarial a 49 empresas y el diseño de un plan exportador a 11 empresas del departamento. Se obtuvieron recursos no incorporados por valor de $ 18.595.986.
Convenio con ICONTEC en el que se busca que 27 empresas participen en el Curso “Sistema HACCP para la industria de alimentos, 15 empresas para pre auditorias en estándares de calidad para exportar y 5 empresas de Cundinamarca en auditorias para la certificación en estándares de calidad para exportar. Se obtuvieron recursos no incorporados por valor de $ 42.857.142.
En lo transcurrido del cuatrienio la SAI, ha logrado gestionar recursos por valor de $197.368.128, logrando fortalecer  a más de 180 empresas de diferentes Municipios del Cundinamarca.
</v>
      </c>
      <c r="T282" s="11">
        <v>0.1</v>
      </c>
      <c r="U282" s="11">
        <v>0</v>
      </c>
      <c r="V282" s="11">
        <v>0.1</v>
      </c>
      <c r="W282" s="11">
        <v>0</v>
      </c>
      <c r="X282" s="11">
        <v>0.1</v>
      </c>
      <c r="Y282" s="11">
        <v>0</v>
      </c>
      <c r="Z282" s="11">
        <v>0.1</v>
      </c>
      <c r="AA282" s="11" t="s">
        <v>1792</v>
      </c>
      <c r="AB282" s="11" t="s">
        <v>1793</v>
      </c>
      <c r="AC282" s="11">
        <v>0</v>
      </c>
      <c r="AD282" s="11">
        <v>0.35</v>
      </c>
      <c r="AE282" s="11">
        <v>0</v>
      </c>
      <c r="AF282" s="11">
        <f>VLOOKUP(K282,'1135 Asuntos Int.'!$K$13:$AK$16,22,0)</f>
        <v>0.28000000000000003</v>
      </c>
      <c r="AG282" s="11">
        <f>VLOOKUP(K282,'1135 Asuntos Int.'!$K$13:$AK$16,23,0)</f>
        <v>0</v>
      </c>
      <c r="AH282" s="9">
        <f t="shared" si="456"/>
        <v>0.28000000000000003</v>
      </c>
      <c r="AI282" s="9" t="str">
        <f>VLOOKUP(K282,'1135 Asuntos Int.'!$K$13:$AK$16,25,0)</f>
        <v xml:space="preserve">Diagnostico empresarial (Pro Colombia).
Cartilla de la estrategia de Internacionalización.
Documentos Oferta exportable de Cundinamarca.
Talleres en Ventanilla única, Plan Vallejo Express e  Innpulsa.
Ficha país.
Estrategia de atracción.
Diagnostico empresarial SAI.
Convenio Euro Cámaras
</v>
      </c>
      <c r="AJ282" s="9" t="str">
        <f>VLOOKUP(K282,'1135 Asuntos Int.'!$K$13:$AK$16,26,0)</f>
        <v xml:space="preserve">Socialización de la Estrategia de Internacionalización con  un total de 199 participantes del sector empresarial de Cundinamarca, entre los que se encuentran representantes de entidades del orden nacional, alcaldes, Secretarios de Desarrollo Económico, Cámaras de Comercio, Cámaras binacionales, entidades académicas, gremios, empresas y asociaciones productivas.
Diagnósticos a 76 empresas del Departamento para acompañarlas en su proceso de internacionalización.
A través la gestión de alianzas estratégicas se establecieron 3 convenios, entre los que se encuentran: Convenio Euro Cámaras: promoción del tejido empresarial del Departamento en el mercado europeo, se logra realizar servicios de asistencia técnica a 10 empresas de Cundinamarca.
Convenio con Analdex, en el que se busca desarrollar un programa de formación empresarial a 49 empresas y el diseño de un plan exportador a 11 empresas del departamento. 
Convenio con ICONTEC en el que se busca que 27 empresas participen en el Curso “Sistema HACCP para la industria de alimentos, 15 empresas para pre auditorias en estándares de calidad para exportar y 5 empresas de Cundinamarca en auditorias para la certificación en estándares de calidad para exportar.
En articulación con Min Comercio, Innpulsa y Amcham  se desarrollaron  cinco (5) webinars y eventos en materia de fortalecimiento empresarial y/o asociativo de acuerdo a las tendencias comerciales que exigen fortalecimiento para acceder a nuevos mercados y adelantar procesos de internacionalización (1.540 empresas participantes)
Talleres y capacitaciones con el apoyo de entidades del orden nacional como lo son Min comercio en temas de Comercializadoras Internacionales y el ICA para los procesos y requisitos de exportación para los productos agrícolas y pecuarios del departamento.
Construcción e Identificación de la oferta exportable de Cundinamarca a partir del estudio y análisis de la producción y comercialización dada la naturaleza del territorio.
Ficha país y ficha producto para los bienes y servicios del Departamento.
Estrategia de atracción “Por qué invertir en Cundinamarca”
</v>
      </c>
      <c r="AK282" s="9">
        <f>VLOOKUP(K282,'1135 Asuntos Int.'!$K$13:$AK$16,27,0)</f>
        <v>0</v>
      </c>
      <c r="AL282" s="11">
        <v>0.35</v>
      </c>
      <c r="AM282" s="11">
        <v>0</v>
      </c>
      <c r="AN282" s="11">
        <v>0.2</v>
      </c>
      <c r="AO282" s="11">
        <v>0</v>
      </c>
      <c r="AP282" s="11">
        <v>0</v>
      </c>
      <c r="AQ282" s="11">
        <v>0</v>
      </c>
      <c r="AR282" s="51">
        <v>153303162</v>
      </c>
      <c r="AS282" s="54">
        <v>0</v>
      </c>
      <c r="AT282" s="54">
        <f t="shared" si="469"/>
        <v>153303162</v>
      </c>
      <c r="AU282" s="51">
        <v>153303000</v>
      </c>
      <c r="AV282" s="89">
        <v>100000000</v>
      </c>
      <c r="AY282" s="89">
        <v>98913000</v>
      </c>
      <c r="AZ282" s="42">
        <f t="shared" si="457"/>
        <v>0.38</v>
      </c>
      <c r="BA282" s="44">
        <v>0.1</v>
      </c>
      <c r="BB282" s="44">
        <v>1</v>
      </c>
      <c r="BC282" s="42">
        <f t="shared" si="458"/>
        <v>0.35</v>
      </c>
      <c r="BD282" s="42" cm="1">
        <f t="array" ref="BD282">_xlfn.IFS(AD282=0,"NA",AD282&gt;0,AH282/AD282)</f>
        <v>0.80000000000000016</v>
      </c>
      <c r="BE282" s="42">
        <f t="shared" si="459"/>
        <v>0.35</v>
      </c>
      <c r="BF282" s="44">
        <v>0</v>
      </c>
      <c r="BG282" s="42">
        <f t="shared" si="460"/>
        <v>0.2</v>
      </c>
      <c r="BH282" s="44">
        <v>0</v>
      </c>
      <c r="BI282" s="42">
        <f t="shared" si="461"/>
        <v>0</v>
      </c>
      <c r="BJ282" s="44" t="s">
        <v>115</v>
      </c>
      <c r="BK282" s="42">
        <f t="shared" si="470"/>
        <v>0.38</v>
      </c>
      <c r="BL282" s="44">
        <v>1</v>
      </c>
      <c r="BM282" s="42" cm="1">
        <f t="array" ref="BM282">_xlfn.IFS(BD282="NA","NA",BD282&gt;100%,"100%",BD282&lt;100,BD282)</f>
        <v>0.80000000000000016</v>
      </c>
      <c r="BN282" s="42" cm="1">
        <f t="array" ref="BN282">_xlfn.IFS(BF282="NA","NA",BF282&gt;100%,"100%",BF282&lt;100,BF282)</f>
        <v>0</v>
      </c>
      <c r="BO282" s="42" cm="1">
        <f t="array" ref="BO282">_xlfn.IFS(BH282="NA","NA",BH282&gt;100%,"100%",BH282&lt;100,BH282)</f>
        <v>0</v>
      </c>
      <c r="BP282" s="42" t="str" cm="1">
        <f t="array" ref="BP282">_xlfn.IFS(BJ282="NA","NA",BJ282&gt;100%,"100%",BJ282&lt;100,BJ282)</f>
        <v>NA</v>
      </c>
      <c r="BQ282" s="45">
        <v>0.22500000000000001</v>
      </c>
      <c r="BR282" s="43">
        <f t="shared" si="471"/>
        <v>8.5500000000000007E-2</v>
      </c>
      <c r="BS282" s="45">
        <v>2.2499999999999999E-2</v>
      </c>
      <c r="BT282" s="45">
        <v>2.2499999999999999E-2</v>
      </c>
      <c r="BU282" s="45">
        <v>2.2499999999999999E-2</v>
      </c>
      <c r="BV282" s="43">
        <f t="shared" si="462"/>
        <v>7.8750000000000001E-2</v>
      </c>
      <c r="BW282" s="43">
        <f t="shared" si="472"/>
        <v>6.3000000000000014E-2</v>
      </c>
      <c r="BX282" s="43">
        <f t="shared" si="473"/>
        <v>6.3E-2</v>
      </c>
      <c r="BY282" s="43">
        <f t="shared" si="463"/>
        <v>7.8750000000000001E-2</v>
      </c>
      <c r="BZ282" s="43">
        <f t="shared" si="464"/>
        <v>0</v>
      </c>
      <c r="CA282" s="43">
        <f t="shared" si="474"/>
        <v>0</v>
      </c>
      <c r="CB282" s="43">
        <f t="shared" si="465"/>
        <v>4.5000000000000005E-2</v>
      </c>
      <c r="CC282" s="43">
        <f t="shared" si="466"/>
        <v>0</v>
      </c>
      <c r="CD282" s="45">
        <v>0</v>
      </c>
      <c r="CE282" s="43">
        <f t="shared" si="467"/>
        <v>0</v>
      </c>
      <c r="CF282" s="43" t="str">
        <f t="shared" si="468"/>
        <v>NA</v>
      </c>
      <c r="CG282" s="45">
        <v>0</v>
      </c>
    </row>
    <row r="283" spans="1:90" ht="18" customHeight="1">
      <c r="A283" s="260" t="s">
        <v>1739</v>
      </c>
      <c r="B283" s="260" t="s">
        <v>1740</v>
      </c>
      <c r="C283" s="260" t="s">
        <v>1286</v>
      </c>
      <c r="D283" s="260" t="s">
        <v>1657</v>
      </c>
      <c r="E283" s="260" t="s">
        <v>1751</v>
      </c>
      <c r="F283" s="260" t="s">
        <v>1752</v>
      </c>
      <c r="G283" s="260" t="s">
        <v>1753</v>
      </c>
      <c r="H283" s="260" t="s">
        <v>1794</v>
      </c>
      <c r="I283" s="260"/>
      <c r="J283" s="260"/>
      <c r="K283" s="260" t="s">
        <v>1795</v>
      </c>
      <c r="L283" s="260" t="s">
        <v>1796</v>
      </c>
      <c r="M283" s="260" t="s">
        <v>1797</v>
      </c>
      <c r="N283" s="260" t="s">
        <v>111</v>
      </c>
      <c r="O283" s="260" t="s">
        <v>124</v>
      </c>
      <c r="P283" s="10">
        <v>2</v>
      </c>
      <c r="Q283" s="11">
        <v>2</v>
      </c>
      <c r="R283" s="11">
        <f>(Z283+AH283)/CL283</f>
        <v>1</v>
      </c>
      <c r="S283" s="11" t="str">
        <f>VLOOKUP(K283,'1135 Asuntos Int.'!$K$13:$AK$16,9,0)</f>
        <v xml:space="preserve">Mediante las dos líneas efectivas de Cooperación a lo largo del cuatrienio se  han establecido 14 alianzas estratégicas con entidades nacionales e internacionales, a través de la gestión de cooperación técnica y financiera, logran generar nuevos espacios y alianzas que contribuyen al desarrollo de diferentes sectores sociales y económicos del Departamento, beneficiando a los 116 municipios y a la población cundinamarquesa. A la fecha y gracias al esfuerzo conjunto con nuestros cooperantes hemos logrado gestionar recursos no incorporados por valor de $2.909.886.410.
.
Se han realizado 30 transferencias de conocimiento que aportan al fortalecimiento las capacidades y competencias del territorio cundinamarqués y diferentes departamentos
</v>
      </c>
      <c r="T283" s="11">
        <v>0</v>
      </c>
      <c r="U283" s="11">
        <v>2</v>
      </c>
      <c r="V283" s="11">
        <v>0</v>
      </c>
      <c r="W283" s="11">
        <v>2</v>
      </c>
      <c r="X283" s="11" t="s">
        <v>115</v>
      </c>
      <c r="Y283" s="11">
        <v>2</v>
      </c>
      <c r="Z283" s="11">
        <v>2</v>
      </c>
      <c r="AA283" s="11">
        <v>0</v>
      </c>
      <c r="AB283" s="11" t="s">
        <v>1798</v>
      </c>
      <c r="AC283" s="11">
        <v>0</v>
      </c>
      <c r="AD283" s="11">
        <v>0</v>
      </c>
      <c r="AE283" s="11">
        <v>2</v>
      </c>
      <c r="AF283" s="11">
        <f>VLOOKUP(K283,'1135 Asuntos Int.'!$K$13:$AK$16,22,0)</f>
        <v>0</v>
      </c>
      <c r="AG283" s="11">
        <f>VLOOKUP(K283,'1135 Asuntos Int.'!$K$13:$AK$16,23,0)</f>
        <v>2</v>
      </c>
      <c r="AH283" s="11">
        <f>AG283</f>
        <v>2</v>
      </c>
      <c r="AI283" s="9" t="str">
        <f>VLOOKUP(K283,'1135 Asuntos Int.'!$K$13:$AK$16,25,0)</f>
        <v>Convenios,proyectos  y transferencias de conocimiento gestionados.</v>
      </c>
      <c r="AJ283" s="9" t="str">
        <f>VLOOKUP(K283,'1135 Asuntos Int.'!$K$13:$AK$16,26,0)</f>
        <v xml:space="preserve">Gestión de cooperación técnica y financiera, se han generado 8 alianzas estratégicas con entidades nacionales e internacionales, que permitirán movilizar recursos técnicos y financieros de cooperación con el fin de aportar al desarrollo Departamento y los Cundinamarqueses: 1. FUNDACIÓN ÉXITO convenio a través del cual se desarrolla el programa GEN CERO que beneficia a 1500 madres gestantes y lactantes y a niños y niñas menores de 12 meses en 15 municipios del Departamento. Así mismo se desarrolló la actividad LACTATON que beneficio a 4000 mujeres, el Valor de la gestión no incorporada, en estas dos actividades es de $1.601.000.000, 2. MEMORANDO DE ENTENDIMIENTO ENTRE LA SAI Y FUNDACIÓN CAROLINA para fortalecimiento de capacidades de los cundinamarqueses, en los sectores que se identifiquen, 3. MEMORANDO DE ENTENDIMIENTO DE COOPERACIÓN ENTRE LA SAI Y  PACT INC. /PROYECTO EQUAL - VAMOS TEJIENDO para beneficiar a mujeres del sector floricultor de los municipios de Facatativá y Funza, 4. Memorando de Entendimiento Gobernación de Cundinamarca y Agencia Turca de Cooperación y Coordinación – TIKA, con el fin de presentar proyectos de impacto territorial. 5. PROYECTO APROBADO POR COOPERANTE INTERNACIONAL TIKA -  COOPERACIÓN FINANCIERA “FORTALECIMIENTO PARA LA TRANSFORMACIÓN DE RESIDUOS PLÁSTICOS EN EL MUNICIPIO DE FUNZA, se entregaron 4 máquinas industrializadas valor de $89.500.000.  6. COMIXTA PARAGUAY, Proyecto de internacionalización del municipio de Facatativá, se está realizando mesas técnicas SAI, APC, Gobierno de Paraguay y Facatativá.  7. CONVENIO DE ASOCIACION ENTRE SAI Y 2811, evento internacional YOUNG CLIMATHON dirigidos a los estudiantes de grado 10 y 11 y sus docentes de instituciones educativas no certificadas del departamento con el fin que presente soluciones al reto medio ambiental planteado  este último aportando recursos de cooperación por valor de $11.000.598. 8. CONVENIO MARCO DE COOPERACIÓN INTERADMINISTRATIVO ENTRE LA GOBERNACIÓN DE CUNDINAMARCA Y LA ESAP, con el fin de aunar esfuerzos técnicos, administrativos y financieros para establecer acciones de cooperación enfocadas al fortalecimiento institucional a través de la formación en el saber público y administrativo a los servidores públicos y los ciudadanos del Departamento de Cundinamarca.
Se han realizado 19 Transferencias de conocimiento con diferentes entes territoriales, departamento nacional e internacional que han expresado su interés por la gestión de la cooperación internacional, su normatividad, sus procedimientos, mapas de riesgos, proceso de gestión de calidad, metodología de la cuantificación de la cooperación internacional y estrategia de internacionalización, proceso de fortalecimiento marca Cundinamarca EL DORADO LA LEYENDA VIVE y metodologías de valoración en gestión pública de la cultura.
</v>
      </c>
      <c r="AK283" s="9">
        <f>VLOOKUP(K283,'1135 Asuntos Int.'!$K$13:$AK$16,27,0)</f>
        <v>0</v>
      </c>
      <c r="AL283" s="11">
        <v>0</v>
      </c>
      <c r="AM283" s="11">
        <v>2</v>
      </c>
      <c r="AN283" s="11">
        <v>0</v>
      </c>
      <c r="AO283" s="11">
        <v>2</v>
      </c>
      <c r="AP283" s="11">
        <v>0</v>
      </c>
      <c r="AQ283" s="11">
        <v>0</v>
      </c>
      <c r="AR283" s="51">
        <v>42726318</v>
      </c>
      <c r="AS283" s="54">
        <v>0</v>
      </c>
      <c r="AT283" s="54">
        <f t="shared" si="469"/>
        <v>42726318</v>
      </c>
      <c r="AU283" s="51">
        <v>41898447</v>
      </c>
      <c r="AV283" s="89">
        <v>125000000</v>
      </c>
      <c r="AY283" s="89">
        <v>106780620</v>
      </c>
      <c r="AZ283" s="44" cm="1">
        <f t="array" ref="AZ283">_xlfn.IFS((BA283=0),(BD283/CL283),(BA283&gt;0),((BB283+BD283)/CL283),(BE283&gt;0),((BB283+BD283+BE283)/CL283),(BG283&gt;0),((BB283+BD283+BE283+G283)/CL283))</f>
        <v>0.5</v>
      </c>
      <c r="BA283" s="44">
        <v>0.25</v>
      </c>
      <c r="BB283" s="44">
        <v>1</v>
      </c>
      <c r="BC283" s="44">
        <f>IF(AE283&gt;0,(1/CL283),0)</f>
        <v>0.25</v>
      </c>
      <c r="BD283" s="44" cm="1">
        <f t="array" ref="BD283">_xlfn.IFS(AE283=0,"NA",AE283&gt;0,AH283/AE283)</f>
        <v>1</v>
      </c>
      <c r="BE283" s="44">
        <f>IF(AM283&gt;0,(1/CL283),0)</f>
        <v>0.25</v>
      </c>
      <c r="BF283" s="44">
        <v>0</v>
      </c>
      <c r="BG283" s="44">
        <f>IF(AO283&gt;0,(1/CL283),0)</f>
        <v>0.25</v>
      </c>
      <c r="BH283" s="44">
        <v>0</v>
      </c>
      <c r="BI283" s="44">
        <v>0</v>
      </c>
      <c r="BJ283" s="44" t="s">
        <v>115</v>
      </c>
      <c r="BK283" s="44">
        <f t="shared" si="470"/>
        <v>0.5</v>
      </c>
      <c r="BL283" s="44">
        <v>1</v>
      </c>
      <c r="BM283" s="42" cm="1">
        <f t="array" ref="BM283">_xlfn.IFS(BD283="NA","NA",BD283&gt;100%,"100%",BD283&lt;100,BD283)</f>
        <v>1</v>
      </c>
      <c r="BN283" s="44">
        <v>0</v>
      </c>
      <c r="BO283" s="44">
        <v>0</v>
      </c>
      <c r="BP283" s="44" t="s">
        <v>115</v>
      </c>
      <c r="BQ283" s="45">
        <v>0.22500000000000001</v>
      </c>
      <c r="BR283" s="43">
        <f t="shared" si="471"/>
        <v>0.1125</v>
      </c>
      <c r="BS283" s="45">
        <v>5.6300000000000003E-2</v>
      </c>
      <c r="BT283" s="45">
        <v>5.6300000000000003E-2</v>
      </c>
      <c r="BU283" s="45">
        <v>5.6300000000000003E-2</v>
      </c>
      <c r="BV283" s="45">
        <v>5.6300000000000003E-2</v>
      </c>
      <c r="BW283" s="43">
        <f t="shared" si="472"/>
        <v>5.6300000000000003E-2</v>
      </c>
      <c r="BX283" s="43">
        <f t="shared" si="473"/>
        <v>5.62E-2</v>
      </c>
      <c r="BY283" s="45">
        <v>5.6300000000000003E-2</v>
      </c>
      <c r="BZ283" s="45">
        <v>0</v>
      </c>
      <c r="CA283" s="43">
        <f t="shared" si="474"/>
        <v>0</v>
      </c>
      <c r="CB283" s="45">
        <v>5.6300000000000003E-2</v>
      </c>
      <c r="CC283" s="45">
        <v>0</v>
      </c>
      <c r="CD283" s="45">
        <v>0</v>
      </c>
      <c r="CE283" s="45">
        <v>0</v>
      </c>
      <c r="CF283" s="45" t="s">
        <v>115</v>
      </c>
      <c r="CG283" s="45">
        <v>0</v>
      </c>
      <c r="CH283">
        <f>IF(W283&gt;0,1,0)</f>
        <v>1</v>
      </c>
      <c r="CI283">
        <f>IF(AE283&gt;0,1,0)</f>
        <v>1</v>
      </c>
      <c r="CJ283">
        <f>IF(AM283&gt;0,1,0)</f>
        <v>1</v>
      </c>
      <c r="CK283">
        <f>IF(AO283&gt;0,1,0)</f>
        <v>1</v>
      </c>
      <c r="CL283">
        <f>CH283+CI283+CJ283+CK283</f>
        <v>4</v>
      </c>
    </row>
    <row r="284" spans="1:90" ht="18" customHeight="1">
      <c r="A284" s="260" t="s">
        <v>1302</v>
      </c>
      <c r="B284" s="260" t="s">
        <v>1303</v>
      </c>
      <c r="C284" s="260" t="s">
        <v>1286</v>
      </c>
      <c r="D284" s="260" t="s">
        <v>1799</v>
      </c>
      <c r="E284" s="260" t="s">
        <v>1800</v>
      </c>
      <c r="F284" s="260" t="s">
        <v>1801</v>
      </c>
      <c r="G284" s="260" t="s">
        <v>1802</v>
      </c>
      <c r="H284" s="260" t="s">
        <v>1803</v>
      </c>
      <c r="I284" s="260"/>
      <c r="J284" s="260"/>
      <c r="K284" s="260" t="s">
        <v>1804</v>
      </c>
      <c r="L284" s="260" t="s">
        <v>1805</v>
      </c>
      <c r="M284" s="260" t="s">
        <v>1806</v>
      </c>
      <c r="N284" s="260" t="s">
        <v>111</v>
      </c>
      <c r="O284" s="260" t="s">
        <v>112</v>
      </c>
      <c r="P284" s="10">
        <v>0</v>
      </c>
      <c r="Q284" s="11">
        <v>1</v>
      </c>
      <c r="R284" s="9">
        <f t="shared" ref="R284:R298" si="475">Z284+AH284</f>
        <v>0.42000000000000004</v>
      </c>
      <c r="S284" s="11" t="str">
        <f>VLOOKUP(K284,'1124 Agricultura'!$K$13:$AK$25,9,0)</f>
        <v xml:space="preserve">Se han visitado y georreferenciado con corte a la fecha 49.938 productores agropecuarios mediante el aplicativo Agrosig con identificación de uso de suelos, cultivo e inventario pecuario que ha servido para el fortalecer el sistema de planificación agropecuaria del departamento, esto se ha realizado mediante el acompañamiento técnico de las UMATAS.
Para el cumplimiento de esta meta se están realizando los siguientes procesos:
*Análisis de suelos para 41 municipios con 2.900 muestras el cual ya se encuentra en ejecución a partir del 4 de junio con Agrosavia. Ya se comenzó la toma muestras y la georreferenciación para el Agrosig y a la fecha ya se ha tomado alrededor de 1.565 muestras. Avance del proceso en un 35%
* Estudio de suelos en las provincias de Ubate y Almeidas convenio adjudicado al IGAC se firmó acta de inicio y está en ejecución. Se está realizando trabajo de campo y elevando cartografía  y frente al proceso en sí se lleva un avance del 60% 
*Evaluación agropecuaria se terminó de revisar y consolidar la información agropecuaria de los años 2019 y 2020 la cual se estima publicar virtualmente en el mes de diciembre pero la publicación física se realizará en la vigencia 2022.
</v>
      </c>
      <c r="T284" s="11">
        <v>0.1</v>
      </c>
      <c r="U284" s="11">
        <v>0</v>
      </c>
      <c r="V284" s="11">
        <v>0.1</v>
      </c>
      <c r="W284" s="11">
        <v>0</v>
      </c>
      <c r="X284" s="11">
        <v>0.08</v>
      </c>
      <c r="Y284" s="11">
        <v>0</v>
      </c>
      <c r="Z284" s="11">
        <v>0.08</v>
      </c>
      <c r="AA284" s="11" t="s">
        <v>1807</v>
      </c>
      <c r="AB284" s="11" t="s">
        <v>1808</v>
      </c>
      <c r="AC284" s="11">
        <v>0</v>
      </c>
      <c r="AD284" s="11">
        <v>0.5</v>
      </c>
      <c r="AE284" s="11">
        <v>0</v>
      </c>
      <c r="AF284" s="11">
        <f>VLOOKUP(K284,'1124 Agricultura'!$K$13:$AK$25,22,0)</f>
        <v>0.34</v>
      </c>
      <c r="AG284" s="11">
        <f>VLOOKUP(K284,'1124 Agricultura'!$K$13:$AK$25,23,0)</f>
        <v>0</v>
      </c>
      <c r="AH284" s="9">
        <f t="shared" ref="AH284:AH298" si="476">AF284</f>
        <v>0.34</v>
      </c>
      <c r="AI284" s="9" t="str">
        <f>VLOOKUP(K284,'1124 Agricultura'!$K$13:$AK$25,25,0)</f>
        <v>Sistema de Planificación Intervenido</v>
      </c>
      <c r="AJ284" s="9" t="str">
        <f>VLOOKUP(K284,'1124 Agricultura'!$K$13:$AK$25,26,0)</f>
        <v xml:space="preserve">Se han visitado y georreferenciado con corte a la fecha 49.938 productores agropecuarios mediante el aplicativo Agrosig con identificación de uso de suelos, cultivo e inventario pecuario que ha servido para el fortalecer el sistema de planificación agropecuaria del departamento, esto se ha realizado mediante el acompañamiento técnico de las UMATAS.
Para el cumplimiento de esta meta se están realizando los siguientes procesos:
*Análisis de suelos para 41 municipios con 2.900 muestras el cual ya se encuentra en ejecución a partir del 4 de junio con Agrosavia. Ya se comenzó la toma muestras y la georreferenciación para el Agrosig y a la fecha ya se ha tomado alrededor de 1.565 muestras. Avance del proceso en un 35%
* Estudio de suelos en las provincias de Ubate y Almeidas convenio adjudicado al IGAC se firmó acta de inicio y está en ejecución. Se está realizando trabajo de campo y elevando cartografía  y frente al proceso en sí se lleva un avance del 60% 
*Evaluación agropecuaria se terminó de revisar y consolidar la información agropecuaria de los años 2019 y 2020 la cual se estima publicar virtualmente en el mes de diciembre pero la publicación física se realizará en la vigencia 2022.
</v>
      </c>
      <c r="AK284" s="9">
        <f>VLOOKUP(K284,'1124 Agricultura'!$K$13:$AK$25,27,0)</f>
        <v>0</v>
      </c>
      <c r="AL284" s="11">
        <v>0.19</v>
      </c>
      <c r="AM284" s="11">
        <v>0</v>
      </c>
      <c r="AN284" s="11">
        <v>0.23</v>
      </c>
      <c r="AO284" s="11">
        <v>0</v>
      </c>
      <c r="AP284" s="11">
        <v>0</v>
      </c>
      <c r="AQ284" s="11">
        <v>0</v>
      </c>
      <c r="AR284" s="52"/>
      <c r="AS284" s="54">
        <v>0</v>
      </c>
      <c r="AT284" s="54">
        <f t="shared" si="469"/>
        <v>0</v>
      </c>
      <c r="AU284" s="52"/>
      <c r="AV284" s="89">
        <v>1072500000</v>
      </c>
      <c r="AY284" s="89">
        <v>0</v>
      </c>
      <c r="AZ284" s="42">
        <f t="shared" ref="AZ284:AZ298" si="477">R284/Q284</f>
        <v>0.42000000000000004</v>
      </c>
      <c r="BA284" s="44">
        <v>0.1</v>
      </c>
      <c r="BB284" s="44">
        <v>0.8</v>
      </c>
      <c r="BC284" s="42">
        <f t="shared" ref="BC284:BC298" si="478">AD284/Q284</f>
        <v>0.5</v>
      </c>
      <c r="BD284" s="42" cm="1">
        <f t="array" ref="BD284">_xlfn.IFS(AD284=0,"NA",AD284&gt;0,AH284/AD284)</f>
        <v>0.68</v>
      </c>
      <c r="BE284" s="42">
        <f t="shared" ref="BE284:BE298" si="479">AL284/Q284</f>
        <v>0.19</v>
      </c>
      <c r="BF284" s="44">
        <v>0</v>
      </c>
      <c r="BG284" s="42">
        <f t="shared" ref="BG284:BG298" si="480">AN284/Q284</f>
        <v>0.23</v>
      </c>
      <c r="BH284" s="44">
        <v>0</v>
      </c>
      <c r="BI284" s="42">
        <f t="shared" ref="BI284:BI298" si="481">AP284/Q284</f>
        <v>0</v>
      </c>
      <c r="BJ284" s="44" t="s">
        <v>115</v>
      </c>
      <c r="BK284" s="42">
        <f t="shared" si="470"/>
        <v>0.42000000000000004</v>
      </c>
      <c r="BL284" s="44">
        <v>0.8</v>
      </c>
      <c r="BM284" s="42" cm="1">
        <f t="array" ref="BM284">_xlfn.IFS(BD284="NA","NA",BD284&gt;100%,"100%",BD284&lt;100,BD284)</f>
        <v>0.68</v>
      </c>
      <c r="BN284" s="42" cm="1">
        <f t="array" ref="BN284">_xlfn.IFS(BF284="NA","NA",BF284&gt;100%,"100%",BF284&lt;100,BF284)</f>
        <v>0</v>
      </c>
      <c r="BO284" s="42" cm="1">
        <f t="array" ref="BO284">_xlfn.IFS(BH284="NA","NA",BH284&gt;100%,"100%",BH284&lt;100,BH284)</f>
        <v>0</v>
      </c>
      <c r="BP284" s="42" t="str" cm="1">
        <f t="array" ref="BP284">_xlfn.IFS(BJ284="NA","NA",BJ284&gt;100%,"100%",BJ284&lt;100,BJ284)</f>
        <v>NA</v>
      </c>
      <c r="BQ284" s="45">
        <v>0.22500000000000001</v>
      </c>
      <c r="BR284" s="43">
        <f t="shared" si="471"/>
        <v>9.4500000000000015E-2</v>
      </c>
      <c r="BS284" s="45">
        <v>2.2499999999999999E-2</v>
      </c>
      <c r="BT284" s="45">
        <v>1.7999999999999999E-2</v>
      </c>
      <c r="BU284" s="45">
        <v>1.7999999999999999E-2</v>
      </c>
      <c r="BV284" s="43">
        <f t="shared" ref="BV284:BV298" si="482">(AD284*BQ284)/Q284</f>
        <v>0.1125</v>
      </c>
      <c r="BW284" s="43">
        <f t="shared" si="472"/>
        <v>7.6500000000000012E-2</v>
      </c>
      <c r="BX284" s="43">
        <f t="shared" si="473"/>
        <v>7.6500000000000012E-2</v>
      </c>
      <c r="BY284" s="43">
        <f t="shared" ref="BY284:BY298" si="483">(AL284*BQ284)/Q284</f>
        <v>4.2750000000000003E-2</v>
      </c>
      <c r="BZ284" s="43">
        <f t="shared" ref="BZ284:BZ298" si="484">IF(BN284="NA","NA",BN284*BY284)</f>
        <v>0</v>
      </c>
      <c r="CA284" s="43">
        <f t="shared" si="474"/>
        <v>0</v>
      </c>
      <c r="CB284" s="43">
        <f t="shared" ref="CB284:CB298" si="485">(AN284*BQ284)/Q284</f>
        <v>5.1750000000000004E-2</v>
      </c>
      <c r="CC284" s="43">
        <f t="shared" ref="CC284:CC298" si="486">IF(BO284="NA","NA",BO284*CB284)</f>
        <v>0</v>
      </c>
      <c r="CD284" s="45">
        <v>0</v>
      </c>
      <c r="CE284" s="43">
        <f t="shared" ref="CE284:CE298" si="487">(AP284*BQ284)/Q284</f>
        <v>0</v>
      </c>
      <c r="CF284" s="43" t="str">
        <f t="shared" ref="CF284:CF298" si="488">IF(BP284="NA","NA",BP284*CE284)</f>
        <v>NA</v>
      </c>
      <c r="CG284" s="45">
        <v>0</v>
      </c>
    </row>
    <row r="285" spans="1:90" ht="18" customHeight="1">
      <c r="A285" s="260" t="s">
        <v>1310</v>
      </c>
      <c r="B285" s="260" t="s">
        <v>1311</v>
      </c>
      <c r="C285" s="260" t="s">
        <v>1286</v>
      </c>
      <c r="D285" s="260" t="s">
        <v>1799</v>
      </c>
      <c r="E285" s="260" t="s">
        <v>1800</v>
      </c>
      <c r="F285" s="260" t="s">
        <v>1801</v>
      </c>
      <c r="G285" s="260" t="s">
        <v>1802</v>
      </c>
      <c r="H285" s="260" t="s">
        <v>1809</v>
      </c>
      <c r="I285" s="260"/>
      <c r="J285" s="260"/>
      <c r="K285" s="260" t="s">
        <v>1810</v>
      </c>
      <c r="L285" s="260" t="s">
        <v>1811</v>
      </c>
      <c r="M285" s="260" t="s">
        <v>1812</v>
      </c>
      <c r="N285" s="260" t="s">
        <v>111</v>
      </c>
      <c r="O285" s="260" t="s">
        <v>112</v>
      </c>
      <c r="P285" s="10">
        <v>0</v>
      </c>
      <c r="Q285" s="11">
        <v>1</v>
      </c>
      <c r="R285" s="9">
        <f t="shared" ca="1" si="475"/>
        <v>0</v>
      </c>
      <c r="S285" s="11">
        <f ca="1">VLOOKUP(K285,'1120 Competitividad'!$K$13:$AK$51,9,0)</f>
        <v>0</v>
      </c>
      <c r="T285" s="11">
        <v>0.2</v>
      </c>
      <c r="U285" s="11">
        <v>0</v>
      </c>
      <c r="V285" s="11">
        <v>0</v>
      </c>
      <c r="W285" s="11">
        <v>0</v>
      </c>
      <c r="X285" s="11">
        <v>0</v>
      </c>
      <c r="Y285" s="11">
        <v>0</v>
      </c>
      <c r="Z285" s="11">
        <v>0</v>
      </c>
      <c r="AA285" s="11"/>
      <c r="AB285" s="11"/>
      <c r="AC285" s="11"/>
      <c r="AD285" s="11">
        <v>0.7</v>
      </c>
      <c r="AE285" s="11">
        <v>0</v>
      </c>
      <c r="AF285" s="11">
        <f ca="1">VLOOKUP(K285,'1120 Competitividad'!$K$13:$AK$51,22,0)</f>
        <v>0</v>
      </c>
      <c r="AG285" s="11">
        <f ca="1">VLOOKUP(K285,'1120 Competitividad'!$K$13:$AK$51,23,0)</f>
        <v>0</v>
      </c>
      <c r="AH285" s="9">
        <f t="shared" ca="1" si="476"/>
        <v>0</v>
      </c>
      <c r="AI285" s="9">
        <f ca="1">VLOOKUP(K285,'1120 Competitividad'!$K$13:$AK$51,25,0)</f>
        <v>0</v>
      </c>
      <c r="AJ285" s="9">
        <f ca="1">VLOOKUP(K285,'1120 Competitividad'!$K$13:$AK$51,26,0)</f>
        <v>0</v>
      </c>
      <c r="AK285" s="9">
        <f ca="1">VLOOKUP(K285,'1120 Competitividad'!$K$13:$AK$51,27,0)</f>
        <v>0</v>
      </c>
      <c r="AL285" s="11">
        <v>0.1</v>
      </c>
      <c r="AM285" s="11">
        <v>0</v>
      </c>
      <c r="AN285" s="11">
        <v>0.2</v>
      </c>
      <c r="AO285" s="11">
        <v>0</v>
      </c>
      <c r="AP285" s="11">
        <v>0</v>
      </c>
      <c r="AQ285" s="11">
        <v>0</v>
      </c>
      <c r="AR285" s="52"/>
      <c r="AS285" s="54">
        <v>0</v>
      </c>
      <c r="AT285" s="54">
        <f t="shared" si="469"/>
        <v>0</v>
      </c>
      <c r="AU285" s="52"/>
      <c r="AV285" s="89">
        <v>0</v>
      </c>
      <c r="AY285" s="89">
        <v>0</v>
      </c>
      <c r="AZ285" s="42">
        <f t="shared" ca="1" si="477"/>
        <v>0</v>
      </c>
      <c r="BA285" s="44">
        <v>0</v>
      </c>
      <c r="BB285" s="44" t="s">
        <v>115</v>
      </c>
      <c r="BC285" s="42">
        <f t="shared" si="478"/>
        <v>0.7</v>
      </c>
      <c r="BD285" s="42" cm="1">
        <f t="array" aca="1" ref="BD285" ca="1">_xlfn.IFS(AD285=0,"NA",AD285&gt;0,AH285/AD285)</f>
        <v>0</v>
      </c>
      <c r="BE285" s="42">
        <f t="shared" si="479"/>
        <v>0.1</v>
      </c>
      <c r="BF285" s="44">
        <v>0</v>
      </c>
      <c r="BG285" s="42">
        <f t="shared" si="480"/>
        <v>0.2</v>
      </c>
      <c r="BH285" s="44">
        <v>0</v>
      </c>
      <c r="BI285" s="42">
        <f t="shared" si="481"/>
        <v>0</v>
      </c>
      <c r="BJ285" s="44" t="s">
        <v>115</v>
      </c>
      <c r="BK285" s="42">
        <f t="shared" ca="1" si="470"/>
        <v>0</v>
      </c>
      <c r="BL285" s="44" t="s">
        <v>115</v>
      </c>
      <c r="BM285" s="42" cm="1">
        <f t="array" aca="1" ref="BM285" ca="1">_xlfn.IFS(BD285="NA","NA",BD285&gt;100%,"100%",BD285&lt;100,BD285)</f>
        <v>0</v>
      </c>
      <c r="BN285" s="42" cm="1">
        <f t="array" ref="BN285">_xlfn.IFS(BF285="NA","NA",BF285&gt;100%,"100%",BF285&lt;100,BF285)</f>
        <v>0</v>
      </c>
      <c r="BO285" s="42" cm="1">
        <f t="array" ref="BO285">_xlfn.IFS(BH285="NA","NA",BH285&gt;100%,"100%",BH285&lt;100,BH285)</f>
        <v>0</v>
      </c>
      <c r="BP285" s="42" t="str" cm="1">
        <f t="array" ref="BP285">_xlfn.IFS(BJ285="NA","NA",BJ285&gt;100%,"100%",BJ285&lt;100,BJ285)</f>
        <v>NA</v>
      </c>
      <c r="BQ285" s="45">
        <v>0.22500000000000001</v>
      </c>
      <c r="BR285" s="43">
        <f t="shared" ca="1" si="471"/>
        <v>0</v>
      </c>
      <c r="BS285" s="45">
        <v>0</v>
      </c>
      <c r="BT285" s="45" t="s">
        <v>115</v>
      </c>
      <c r="BU285" s="45">
        <v>0</v>
      </c>
      <c r="BV285" s="43">
        <f t="shared" si="482"/>
        <v>0.1575</v>
      </c>
      <c r="BW285" s="43">
        <f t="shared" ca="1" si="472"/>
        <v>0</v>
      </c>
      <c r="BX285" s="43">
        <f t="shared" ca="1" si="473"/>
        <v>0</v>
      </c>
      <c r="BY285" s="43">
        <f t="shared" si="483"/>
        <v>2.2500000000000003E-2</v>
      </c>
      <c r="BZ285" s="43">
        <f t="shared" si="484"/>
        <v>0</v>
      </c>
      <c r="CA285" s="43">
        <f t="shared" ca="1" si="474"/>
        <v>0</v>
      </c>
      <c r="CB285" s="43">
        <f t="shared" si="485"/>
        <v>4.5000000000000005E-2</v>
      </c>
      <c r="CC285" s="43">
        <f t="shared" si="486"/>
        <v>0</v>
      </c>
      <c r="CD285" s="45">
        <v>0</v>
      </c>
      <c r="CE285" s="43">
        <f t="shared" si="487"/>
        <v>0</v>
      </c>
      <c r="CF285" s="43" t="str">
        <f t="shared" si="488"/>
        <v>NA</v>
      </c>
      <c r="CG285" s="45">
        <v>0</v>
      </c>
    </row>
    <row r="286" spans="1:90" ht="18" customHeight="1">
      <c r="A286" s="260" t="s">
        <v>1310</v>
      </c>
      <c r="B286" s="260" t="s">
        <v>1311</v>
      </c>
      <c r="C286" s="260" t="s">
        <v>1286</v>
      </c>
      <c r="D286" s="260" t="s">
        <v>1799</v>
      </c>
      <c r="E286" s="260" t="s">
        <v>1800</v>
      </c>
      <c r="F286" s="260" t="s">
        <v>1801</v>
      </c>
      <c r="G286" s="260" t="s">
        <v>1802</v>
      </c>
      <c r="H286" s="260" t="s">
        <v>1813</v>
      </c>
      <c r="I286" s="260"/>
      <c r="J286" s="260"/>
      <c r="K286" s="260" t="s">
        <v>1814</v>
      </c>
      <c r="L286" s="260" t="s">
        <v>2998</v>
      </c>
      <c r="M286" s="260" t="s">
        <v>2999</v>
      </c>
      <c r="N286" s="260" t="s">
        <v>111</v>
      </c>
      <c r="O286" s="260" t="s">
        <v>112</v>
      </c>
      <c r="P286" s="10">
        <v>1</v>
      </c>
      <c r="Q286" s="11">
        <v>1</v>
      </c>
      <c r="R286" s="9">
        <f t="shared" ca="1" si="475"/>
        <v>0</v>
      </c>
      <c r="S286" s="11">
        <f ca="1">VLOOKUP(K286,'1120 Competitividad'!$K$13:$AK$51,9,0)</f>
        <v>0</v>
      </c>
      <c r="T286" s="11">
        <v>0</v>
      </c>
      <c r="U286" s="11">
        <v>0</v>
      </c>
      <c r="V286" s="11">
        <v>0</v>
      </c>
      <c r="W286" s="11">
        <v>0</v>
      </c>
      <c r="X286" s="11">
        <v>0</v>
      </c>
      <c r="Y286" s="11">
        <v>0</v>
      </c>
      <c r="Z286" s="11">
        <v>0</v>
      </c>
      <c r="AA286" s="11"/>
      <c r="AB286" s="11"/>
      <c r="AC286" s="11"/>
      <c r="AD286" s="11">
        <v>1</v>
      </c>
      <c r="AE286" s="11">
        <v>0</v>
      </c>
      <c r="AF286" s="11">
        <f ca="1">VLOOKUP(K286,'1120 Competitividad'!$K$13:$AK$51,22,0)</f>
        <v>0</v>
      </c>
      <c r="AG286" s="11">
        <f ca="1">VLOOKUP(K286,'1120 Competitividad'!$K$13:$AK$51,23,0)</f>
        <v>0</v>
      </c>
      <c r="AH286" s="9">
        <f t="shared" ca="1" si="476"/>
        <v>0</v>
      </c>
      <c r="AI286" s="9" t="str">
        <f ca="1">VLOOKUP(K286,'1120 Competitividad'!$K$13:$AK$51,25,0)</f>
        <v xml:space="preserve">Estudio </v>
      </c>
      <c r="AJ286" s="9" t="str">
        <f ca="1">VLOOKUP(K286,'1120 Competitividad'!$K$13:$AK$51,26,0)</f>
        <v>La Secretaría de Competitividad y Desarrollo Económico de la Gobernación de Cundinamarca y la Organización Iberoamericana de Seguridad Social, firmaron un convenio de cooperación a fin de realizar estudios que permitan identificar la realidad de la competitividad de las Mipymes del departamento de Cundinamarca y su fortalecimiento frente a la formalización laboral, el Trabajo a distancia y la cultura de la seguridad social. En este sentido, se han adelantado aproximadamente 40 talleres, eventos, reuniones y capacitaciones con empresarios, funcionarios públicos, emprendedores, asociaciones y ciudadanía en general a fin de fortalecer conocimientos y levantar un diagnostico de los componentes descritos en el Departamento.</v>
      </c>
      <c r="AK286" s="9">
        <f ca="1">VLOOKUP(K286,'1120 Competitividad'!$K$13:$AK$51,27,0)</f>
        <v>0</v>
      </c>
      <c r="AL286" s="11">
        <v>0</v>
      </c>
      <c r="AM286" s="11">
        <v>0</v>
      </c>
      <c r="AN286" s="11">
        <v>0</v>
      </c>
      <c r="AO286" s="11">
        <v>0</v>
      </c>
      <c r="AP286" s="11">
        <v>0</v>
      </c>
      <c r="AQ286" s="11">
        <v>0</v>
      </c>
      <c r="AR286" s="52"/>
      <c r="AS286" s="54">
        <v>0</v>
      </c>
      <c r="AT286" s="54">
        <f t="shared" si="469"/>
        <v>0</v>
      </c>
      <c r="AU286" s="52"/>
      <c r="AV286" s="89">
        <v>0</v>
      </c>
      <c r="AY286" s="89">
        <v>0</v>
      </c>
      <c r="AZ286" s="42">
        <f t="shared" ca="1" si="477"/>
        <v>0</v>
      </c>
      <c r="BA286" s="44">
        <v>0</v>
      </c>
      <c r="BB286" s="44" t="s">
        <v>115</v>
      </c>
      <c r="BC286" s="42">
        <f t="shared" si="478"/>
        <v>1</v>
      </c>
      <c r="BD286" s="42" cm="1">
        <f t="array" aca="1" ref="BD286" ca="1">_xlfn.IFS(AD286=0,"NA",AD286&gt;0,AH286/AD286)</f>
        <v>0</v>
      </c>
      <c r="BE286" s="42">
        <f t="shared" si="479"/>
        <v>0</v>
      </c>
      <c r="BF286" s="44" t="s">
        <v>115</v>
      </c>
      <c r="BG286" s="42">
        <f t="shared" si="480"/>
        <v>0</v>
      </c>
      <c r="BH286" s="44" t="s">
        <v>115</v>
      </c>
      <c r="BI286" s="42">
        <f t="shared" si="481"/>
        <v>0</v>
      </c>
      <c r="BJ286" s="44" t="s">
        <v>115</v>
      </c>
      <c r="BK286" s="42">
        <f t="shared" ca="1" si="470"/>
        <v>0</v>
      </c>
      <c r="BL286" s="44" t="s">
        <v>115</v>
      </c>
      <c r="BM286" s="42" cm="1">
        <f t="array" aca="1" ref="BM286" ca="1">_xlfn.IFS(BD286="NA","NA",BD286&gt;100%,"100%",BD286&lt;100,BD286)</f>
        <v>0</v>
      </c>
      <c r="BN286" s="42" t="str" cm="1">
        <f t="array" ref="BN286">_xlfn.IFS(BF286="NA","NA",BF286&gt;100%,"100%",BF286&lt;100,BF286)</f>
        <v>NA</v>
      </c>
      <c r="BO286" s="42" t="str" cm="1">
        <f t="array" ref="BO286">_xlfn.IFS(BH286="NA","NA",BH286&gt;100%,"100%",BH286&lt;100,BH286)</f>
        <v>NA</v>
      </c>
      <c r="BP286" s="42" t="str" cm="1">
        <f t="array" ref="BP286">_xlfn.IFS(BJ286="NA","NA",BJ286&gt;100%,"100%",BJ286&lt;100,BJ286)</f>
        <v>NA</v>
      </c>
      <c r="BQ286" s="45">
        <v>0.22500000000000001</v>
      </c>
      <c r="BR286" s="43">
        <f t="shared" ca="1" si="471"/>
        <v>0</v>
      </c>
      <c r="BS286" s="45">
        <v>0</v>
      </c>
      <c r="BT286" s="45" t="s">
        <v>115</v>
      </c>
      <c r="BU286" s="45">
        <v>0</v>
      </c>
      <c r="BV286" s="43">
        <f t="shared" si="482"/>
        <v>0.22500000000000001</v>
      </c>
      <c r="BW286" s="43">
        <f t="shared" ca="1" si="472"/>
        <v>0</v>
      </c>
      <c r="BX286" s="43">
        <f t="shared" ca="1" si="473"/>
        <v>0</v>
      </c>
      <c r="BY286" s="43">
        <f t="shared" si="483"/>
        <v>0</v>
      </c>
      <c r="BZ286" s="43" t="str">
        <f t="shared" si="484"/>
        <v>NA</v>
      </c>
      <c r="CA286" s="43">
        <f t="shared" ca="1" si="474"/>
        <v>0</v>
      </c>
      <c r="CB286" s="43">
        <f t="shared" si="485"/>
        <v>0</v>
      </c>
      <c r="CC286" s="43" t="str">
        <f t="shared" si="486"/>
        <v>NA</v>
      </c>
      <c r="CD286" s="45">
        <v>0</v>
      </c>
      <c r="CE286" s="43">
        <f t="shared" si="487"/>
        <v>0</v>
      </c>
      <c r="CF286" s="43" t="str">
        <f t="shared" si="488"/>
        <v>NA</v>
      </c>
      <c r="CG286" s="45">
        <v>0</v>
      </c>
    </row>
    <row r="287" spans="1:90" ht="18" customHeight="1">
      <c r="A287" s="260" t="s">
        <v>1310</v>
      </c>
      <c r="B287" s="260" t="s">
        <v>1311</v>
      </c>
      <c r="C287" s="260" t="s">
        <v>1286</v>
      </c>
      <c r="D287" s="260" t="s">
        <v>1799</v>
      </c>
      <c r="E287" s="260" t="s">
        <v>1817</v>
      </c>
      <c r="F287" s="260" t="s">
        <v>1818</v>
      </c>
      <c r="G287" s="260" t="s">
        <v>1819</v>
      </c>
      <c r="H287" s="260" t="s">
        <v>3000</v>
      </c>
      <c r="I287" s="260"/>
      <c r="J287" s="260"/>
      <c r="K287" s="260" t="s">
        <v>3001</v>
      </c>
      <c r="L287" s="260" t="s">
        <v>3002</v>
      </c>
      <c r="M287" s="260" t="s">
        <v>3003</v>
      </c>
      <c r="N287" s="260" t="s">
        <v>111</v>
      </c>
      <c r="O287" s="260" t="s">
        <v>112</v>
      </c>
      <c r="P287" s="10">
        <v>0</v>
      </c>
      <c r="Q287" s="11">
        <v>1</v>
      </c>
      <c r="R287" s="9" t="e">
        <f t="shared" ca="1" si="475"/>
        <v>#N/A</v>
      </c>
      <c r="S287" s="11" t="e">
        <f ca="1">VLOOKUP(K287,'1120 Competitividad'!$K$13:$AK$51,9,0)</f>
        <v>#N/A</v>
      </c>
      <c r="T287" s="11">
        <v>0</v>
      </c>
      <c r="U287" s="11">
        <v>0</v>
      </c>
      <c r="V287" s="11">
        <v>0</v>
      </c>
      <c r="W287" s="11">
        <v>0</v>
      </c>
      <c r="X287" s="11">
        <v>0</v>
      </c>
      <c r="Y287" s="11">
        <v>0</v>
      </c>
      <c r="Z287" s="11">
        <v>0</v>
      </c>
      <c r="AA287" s="11"/>
      <c r="AB287" s="11"/>
      <c r="AC287" s="11"/>
      <c r="AD287" s="11">
        <v>0.33</v>
      </c>
      <c r="AE287" s="11">
        <v>0</v>
      </c>
      <c r="AF287" s="11" t="e">
        <f ca="1">VLOOKUP(K287,'1120 Competitividad'!$K$13:$AK$51,22,0)</f>
        <v>#N/A</v>
      </c>
      <c r="AG287" s="11" t="e">
        <f ca="1">VLOOKUP(K287,'1120 Competitividad'!$K$13:$AK$51,23,0)</f>
        <v>#N/A</v>
      </c>
      <c r="AH287" s="9" t="e">
        <f t="shared" ca="1" si="476"/>
        <v>#N/A</v>
      </c>
      <c r="AI287" s="9" t="e">
        <f ca="1">VLOOKUP(K287,'1120 Competitividad'!$K$13:$AK$51,25,0)</f>
        <v>#N/A</v>
      </c>
      <c r="AJ287" s="9" t="e">
        <f ca="1">VLOOKUP(K287,'1120 Competitividad'!$K$13:$AK$51,26,0)</f>
        <v>#N/A</v>
      </c>
      <c r="AK287" s="9" t="e">
        <f ca="1">VLOOKUP(K287,'1120 Competitividad'!$K$13:$AK$51,27,0)</f>
        <v>#N/A</v>
      </c>
      <c r="AL287" s="11">
        <v>0.33</v>
      </c>
      <c r="AM287" s="11">
        <v>0</v>
      </c>
      <c r="AN287" s="11">
        <v>0.34</v>
      </c>
      <c r="AO287" s="11">
        <v>0</v>
      </c>
      <c r="AP287" s="11">
        <v>0</v>
      </c>
      <c r="AQ287" s="11">
        <v>0</v>
      </c>
      <c r="AR287" s="52"/>
      <c r="AS287" s="54">
        <v>0</v>
      </c>
      <c r="AT287" s="54">
        <f t="shared" si="469"/>
        <v>0</v>
      </c>
      <c r="AU287" s="52"/>
      <c r="AV287" s="89">
        <v>0</v>
      </c>
      <c r="AY287" s="89">
        <v>0</v>
      </c>
      <c r="AZ287" s="42" t="e">
        <f t="shared" ca="1" si="477"/>
        <v>#N/A</v>
      </c>
      <c r="BA287" s="44">
        <v>0</v>
      </c>
      <c r="BB287" s="44" t="s">
        <v>115</v>
      </c>
      <c r="BC287" s="42">
        <f t="shared" si="478"/>
        <v>0.33</v>
      </c>
      <c r="BD287" s="42" t="e" cm="1">
        <f t="array" aca="1" ref="BD287" ca="1">_xlfn.IFS(AD287=0,"NA",AD287&gt;0,AH287/AD287)</f>
        <v>#N/A</v>
      </c>
      <c r="BE287" s="42">
        <f t="shared" si="479"/>
        <v>0.33</v>
      </c>
      <c r="BF287" s="44">
        <v>0</v>
      </c>
      <c r="BG287" s="42">
        <f t="shared" si="480"/>
        <v>0.34</v>
      </c>
      <c r="BH287" s="44">
        <v>0</v>
      </c>
      <c r="BI287" s="42">
        <f t="shared" si="481"/>
        <v>0</v>
      </c>
      <c r="BJ287" s="44" t="s">
        <v>115</v>
      </c>
      <c r="BK287" s="42" t="e">
        <f t="shared" ca="1" si="470"/>
        <v>#N/A</v>
      </c>
      <c r="BL287" s="44" t="s">
        <v>115</v>
      </c>
      <c r="BM287" s="42" t="e" cm="1">
        <f t="array" aca="1" ref="BM287" ca="1">_xlfn.IFS(BD287="NA","NA",BD287&gt;100%,"100%",BD287&lt;100,BD287)</f>
        <v>#N/A</v>
      </c>
      <c r="BN287" s="42" cm="1">
        <f t="array" ref="BN287">_xlfn.IFS(BF287="NA","NA",BF287&gt;100%,"100%",BF287&lt;100,BF287)</f>
        <v>0</v>
      </c>
      <c r="BO287" s="42" cm="1">
        <f t="array" ref="BO287">_xlfn.IFS(BH287="NA","NA",BH287&gt;100%,"100%",BH287&lt;100,BH287)</f>
        <v>0</v>
      </c>
      <c r="BP287" s="42" t="str" cm="1">
        <f t="array" ref="BP287">_xlfn.IFS(BJ287="NA","NA",BJ287&gt;100%,"100%",BJ287&lt;100,BJ287)</f>
        <v>NA</v>
      </c>
      <c r="BQ287" s="45">
        <v>0.22500000000000001</v>
      </c>
      <c r="BR287" s="43" t="e">
        <f t="shared" ca="1" si="471"/>
        <v>#N/A</v>
      </c>
      <c r="BS287" s="45">
        <v>0</v>
      </c>
      <c r="BT287" s="45" t="s">
        <v>115</v>
      </c>
      <c r="BU287" s="45">
        <v>0</v>
      </c>
      <c r="BV287" s="43">
        <f t="shared" si="482"/>
        <v>7.425000000000001E-2</v>
      </c>
      <c r="BW287" s="43" t="e">
        <f t="shared" ca="1" si="472"/>
        <v>#N/A</v>
      </c>
      <c r="BX287" s="43" t="e">
        <f t="shared" ca="1" si="473"/>
        <v>#N/A</v>
      </c>
      <c r="BY287" s="43">
        <f t="shared" si="483"/>
        <v>7.425000000000001E-2</v>
      </c>
      <c r="BZ287" s="43">
        <f t="shared" si="484"/>
        <v>0</v>
      </c>
      <c r="CA287" s="43" t="e">
        <f t="shared" ca="1" si="474"/>
        <v>#N/A</v>
      </c>
      <c r="CB287" s="43">
        <f t="shared" si="485"/>
        <v>7.6500000000000012E-2</v>
      </c>
      <c r="CC287" s="43">
        <f t="shared" si="486"/>
        <v>0</v>
      </c>
      <c r="CD287" s="45">
        <v>0</v>
      </c>
      <c r="CE287" s="43">
        <f t="shared" si="487"/>
        <v>0</v>
      </c>
      <c r="CF287" s="43" t="str">
        <f t="shared" si="488"/>
        <v>NA</v>
      </c>
      <c r="CG287" s="45">
        <v>0</v>
      </c>
    </row>
    <row r="288" spans="1:90" s="16" customFormat="1" ht="18" customHeight="1">
      <c r="A288" s="13" t="s">
        <v>388</v>
      </c>
      <c r="B288" s="13" t="s">
        <v>389</v>
      </c>
      <c r="C288" s="13" t="s">
        <v>1286</v>
      </c>
      <c r="D288" s="13" t="s">
        <v>1799</v>
      </c>
      <c r="E288" s="13" t="s">
        <v>1817</v>
      </c>
      <c r="F288" s="13" t="s">
        <v>1818</v>
      </c>
      <c r="G288" s="13" t="s">
        <v>1819</v>
      </c>
      <c r="H288" s="13" t="s">
        <v>1820</v>
      </c>
      <c r="I288" s="13"/>
      <c r="J288" s="13"/>
      <c r="K288" s="13" t="s">
        <v>1821</v>
      </c>
      <c r="L288" s="13" t="s">
        <v>1822</v>
      </c>
      <c r="M288" s="13" t="s">
        <v>1823</v>
      </c>
      <c r="N288" s="13" t="s">
        <v>111</v>
      </c>
      <c r="O288" s="13" t="s">
        <v>112</v>
      </c>
      <c r="P288" s="14">
        <v>0</v>
      </c>
      <c r="Q288" s="15">
        <v>1</v>
      </c>
      <c r="R288" s="9">
        <f t="shared" si="475"/>
        <v>0.35000000000000003</v>
      </c>
      <c r="S288" s="11">
        <f>VLOOKUP(K288,'1123 Transporte'!$K$13:$AK$23,9,0)</f>
        <v>0</v>
      </c>
      <c r="T288" s="11">
        <v>7.0000000000000007E-2</v>
      </c>
      <c r="U288" s="11">
        <v>0</v>
      </c>
      <c r="V288" s="11">
        <v>7.0000000000000007E-2</v>
      </c>
      <c r="W288" s="11">
        <v>0</v>
      </c>
      <c r="X288" s="11">
        <v>7.0000000000000007E-2</v>
      </c>
      <c r="Y288" s="11">
        <v>0</v>
      </c>
      <c r="Z288" s="11">
        <v>7.0000000000000007E-2</v>
      </c>
      <c r="AA288" s="11" t="s">
        <v>1824</v>
      </c>
      <c r="AB288" s="11" t="s">
        <v>1825</v>
      </c>
      <c r="AC288" s="11">
        <v>0</v>
      </c>
      <c r="AD288" s="11">
        <v>0.31</v>
      </c>
      <c r="AE288" s="11">
        <v>0</v>
      </c>
      <c r="AF288" s="11">
        <f>VLOOKUP(K288,'1123 Transporte'!$K$13:$AK$23,22,0)</f>
        <v>0.28000000000000003</v>
      </c>
      <c r="AG288" s="11">
        <f>VLOOKUP(K288,'1123 Transporte'!$K$13:$AK$23,23,0)</f>
        <v>0</v>
      </c>
      <c r="AH288" s="9">
        <f t="shared" si="476"/>
        <v>0.28000000000000003</v>
      </c>
      <c r="AI288" s="9" t="str">
        <f>VLOOKUP(K288,'1123 Transporte'!$K$13:$AK$23,25,0)</f>
        <v>Política Pública formulada</v>
      </c>
      <c r="AJ288" s="9" t="str">
        <f>VLOOKUP(K288,'1123 Transporte'!$K$13:$AK$23,26,0)</f>
        <v xml:space="preserve">META 277
  en proceso precontractual
AVANCE MES DE JULIO Se realiza convocatoria pública fue publicada desde el veintinueve (29) de junio de 2021, hasta primero (01) de julio de 2021 en el portal único de contratación www.colombiacompra.gov.co  SECOP II; término dentro del cual se recibieron observaciones por los proponentes
El día 1 de julio de 2021, se efectuó el cierre del proceso encontrando que se presentaron cuatro proponentes
Una vez la secretaria realizó la evaluación jurídica, técnica y financiera, el comité evaluador recomendó al secretario de Transporte y Movilidad de Cundinamarca, declarar desierto el proceso ya que al no existir ningún proponente que cumpla con las condiciones establecidas en el pliego de condiciones se enmarcan las causales contempladas en el numeral 4to de la Invitación Nº STM-CMC-002-2021.
Avance mes de agosto 
•	Reunión virtual con la Secretaría de Planeación para la revisión de los avances en la formulación de la política pública de movilidad del Departamento. (Agosto 10 de 2021). 
•	Reunión presencial el 19 de agosto del 2021 con Secretaría de Planeación, el Consultor encargado de la fase de diagnóstico y el equipo de trabajo de la Oficina de Proyectos Especiales de la Secretaría de Transporte y Movilidad.
Durante la reunión se socializaron las fases para la construcción de la política pública por parte de la Secretaria de planeación y los instrumentos para la formalización de los actores en la política.
Se acordaron acciones para la articulación entre la Secretaría de Planeación, la Secretaría de Movilidad y la consultoría en relación a la revisión y aporte de información e insumo para la construcción del diagnóstico.
•	Reunión presencial el 19 de agosto del 2021 con el Consultor encargado de la fase de diagnóstico y el equipo de trabajo de la Oficina de Proyectos Especiales de la Secretaría de Transporte y Movilidad.
Durante este encuentro se llevó a cabo la planeación de las mesas de trabajo para la vinculación de los actores que participarán en las diferentes etapas de la política pública y se acordó sobre las estrategias para articulación del trabajo.
Específicamente, se planeó el desarrollo de cinco (5) mesas de trabajo con actores:
Mesa 1:
Secretarías e instancias departamentales
Corporaciones
Mesa 2:
Autoridades municipales
Oficinas de transporte
Sedes operativas
Mesa 3:
Transportadores (empresas, gremios y asociaciones)
Concesiones e interventorías.
Mesa 4
Gobierno Nacional (entidades)
Externos (expertos y universidades)
Mesa 5
Ciudadanía (JACs, colectivos, gremios, veedurías, otros)
•	Reunión presencial el 24 de agosto del 2021 con representantes de las diferentes dependencias de la Secretaría de Transporte y Movilidad,  el Consultor encargado de la fase de diagnóstico y el equipo de trabajo de la Oficina de Proyectos Especiales. 
En esta reunión se revisaron los posibles enfoques que orientaran la política pública de movilidad del Departamento y se socializaron los requerimientos asociados a la consolidación de la fase de diagnóstico de este instrumento.
Se expusieron los diferentes conceptos y dimensiones a incluirse en el diagnóstico. La política pública de movilidad de Cundinamarca deberá incluir temas asociados a:
o	Desarrollo competitivo de los municipios
o	Conectividad a los centros urbanos
o	Descongestión vehicular
o	Seguridad vial
o	Infraestructura vial
o	Protección a los actores viales
o	Cuidado del medio ambiente.
Avance Mes de Septiembre 2021
Acto administrativo de instancia institucional:  Fue adjudicado mediante un proceso de selección de mínima cuantía (STM –CMC-003-2021) al consultor Soluciones comerciales y empresariales Zipar S.A.S.
PLAN DE TRABAJO
•	Esta etapa inicio el 25 de agosto del 2021y finaliza el 30 de octubre del 2021
Investigación sobre la movilidad de Cundinamarca antecedentes normatividad aplicable vigente estrategias, ejes temáticos, recolección de información.
•	Etapa Del 1 de noviembre del 2021 hasta el 5 de noviembre del 2021 
Entrega del primer producto de análisis de la etapa investigativa, un primer avance en la consecución del diagnóstico para la elaboración de la política publica de movilidad para el departamento de Cundinamarca.
•	Etapa del 6 de noviembre del 2021 al 3 de diciembre del 2021 
Se efectuará la construcción del documento diagnóstico para la elaboración de la política publica de movilidad para el departamento de Cundinamarca.
•	Etapa del 6 de diciembre del 2021 al 10 de diciembre del 2021
Entrega y socialización del producto o documento reflejo del estudio diagnóstico para la elaboración de la política publica de movilidad para el departamento de Cundinamarca 
•	Etapa del 11 de diciembre del 2021 hasta el 17 de diciembre
Adecuación, corrección y aplicación de las peticiones que se pudieran presentar al documento diagnostico socializado
•	Etapa del 19 de diciembre del 2021 hasta el 23 diciembre
Entrega final del documento diagnóstico para la elaboración de la política publica de movilidad para el departamento de Cundinamarca.
Avances Octubre de 2021
1.	De acuerdo a la solicitud de información enviada por el Consultor encargado de realizar la fase de diagnóstico de la Política Pública de Movilidad del Departamento se llevaron a cabo las siguientes acciones:
•	Recopilación de información e insumos de las diferentes áreas de la Secretaría de Transporte y Movilidad de Cundinamarca, específicamente del Centro de Estudios e Investigaciones en Seguridad vial – CEIS y de la Oficina de Política Sectorial de esta Secretaría.
•	Revisión y organización de la información recolectada de conformidad a lo solicitado en cada uno de los puntos remitidos.
•	Proyección y envío del oficio de respuesta el 08 de octubre de 2021 con la descripción de cada uno de los puntos requeridos. Se adjuntaron los respectivos documentos e insumos.
2.	Diligenciamiento de matriz con el plan de mejoramiento correspondiente a los meses de abril, mayo y junio de 2021 con la descripción de los avances entorno a los siguientes compromisos:
•	Elaboración de la justificación de la política pública de movilidad.
•	Coordinación para el desarrollo de la formulación de la política pública de movilidad.
En esta matriz se indicó que durante el trimestre se consolidó la información respectiva en cuanto a la identificación de la problemática y el mapa de actores que participarán en el proceso de formulación y ejecución de la política pública de movilidad, así mismo que se realizaron actividades relacionadas con la gestión para la contratación del consultor encargado de realizar el diagnóstico de la Política Pública. 
Como evidencia de los avances se adjuntaron las siguientes evidencias:
-	Formato E-DEAG-FR-062 diligenciado - Justificación  de la política pública de movilidad del Departamento.
-	Presentación de la justificación de la Política Pública de Movilidad.
3.	Diligenciamiento de la matriz Ficha de seguimiento presupuestal donde se incluye información relacionada con los avances del proyecto de formulación de la política pública de movilidad del Departamento.
Este documento fue remitido el 29 de octubre de 2021 e incluyó las siguientes acciones realizadas para el cumplimiento de la meta 277:
-	Se formularon y publicaron los estudios previos para la contratación de la consultoría encargada de la realización de la fase diagnostica para la construcción de la política pública de movilidad de Cundinamarca, en sus componentes de agenda pública, activación de actores y diagnostico estadístico.
-	Se adjudicó mediante acto administrativo el contrato de consultoría para la elaboración del diagnóstico  de la política pública de movilidad de Cundinamarca a la firma Soluciones comerciales y empresariales Zipar S.A.S.
-	Se llevó a cabo el respectivo seguimiento al desarrollo de las actividades de la consultoría apoyando la definición de los enfoques y la organización de los actores que participarán en el proceso de formulación de la política pública de movilidad.
-	Se revisó en conjunto con la Secretaría de Planeación del Departamento los diferentes requisitos y herramientas que se requieren para avanzar en la formulación de las diferentes etapas de la política pública de movilidad.
4.	Entre el 01 y el 05 de noviembre de 2021 y de acuerdo con el plan de trabajo establecido, el consultor realizará la entrega del primer producto de análisis de la etapa investigativa. Esta entrega se constituye como un primer avance para la consolidación del diagnóstico en el marco de la formulación de la política pública de movilidad del Departamento. A partir de dicha entrega se continuará con el seguimiento al proceso de formulación de la política pública de movilidad.
</v>
      </c>
      <c r="AK288" s="9">
        <f>VLOOKUP(K288,'1123 Transporte'!$K$13:$AK$23,27,0)</f>
        <v>0</v>
      </c>
      <c r="AL288" s="11">
        <v>0.31</v>
      </c>
      <c r="AM288" s="11">
        <v>0</v>
      </c>
      <c r="AN288" s="11">
        <v>0.31</v>
      </c>
      <c r="AO288" s="11">
        <v>0</v>
      </c>
      <c r="AP288" s="15">
        <v>0</v>
      </c>
      <c r="AQ288" s="15">
        <v>0</v>
      </c>
      <c r="AR288" s="52"/>
      <c r="AS288" s="54">
        <v>2000000</v>
      </c>
      <c r="AT288" s="54">
        <f t="shared" si="469"/>
        <v>2000000</v>
      </c>
      <c r="AU288" s="52"/>
      <c r="AV288" s="90">
        <v>60000000</v>
      </c>
      <c r="AY288" s="89">
        <v>0</v>
      </c>
      <c r="AZ288" s="42">
        <f t="shared" si="477"/>
        <v>0.35000000000000003</v>
      </c>
      <c r="BA288" s="44">
        <v>7.0000000000000007E-2</v>
      </c>
      <c r="BB288" s="44">
        <v>1</v>
      </c>
      <c r="BC288" s="42">
        <f t="shared" si="478"/>
        <v>0.31</v>
      </c>
      <c r="BD288" s="42" cm="1">
        <f t="array" ref="BD288">_xlfn.IFS(AD288=0,"NA",AD288&gt;0,AH288/AD288)</f>
        <v>0.90322580645161299</v>
      </c>
      <c r="BE288" s="42">
        <f t="shared" si="479"/>
        <v>0.31</v>
      </c>
      <c r="BF288" s="44">
        <v>0</v>
      </c>
      <c r="BG288" s="42">
        <f t="shared" si="480"/>
        <v>0.31</v>
      </c>
      <c r="BH288" s="44">
        <v>0</v>
      </c>
      <c r="BI288" s="42">
        <f t="shared" si="481"/>
        <v>0</v>
      </c>
      <c r="BJ288" s="44" t="s">
        <v>115</v>
      </c>
      <c r="BK288" s="42">
        <f t="shared" si="470"/>
        <v>0.35000000000000003</v>
      </c>
      <c r="BL288" s="44">
        <v>1</v>
      </c>
      <c r="BM288" s="42" cm="1">
        <f t="array" ref="BM288">_xlfn.IFS(BD288="NA","NA",BD288&gt;100%,"100%",BD288&lt;100,BD288)</f>
        <v>0.90322580645161299</v>
      </c>
      <c r="BN288" s="42" cm="1">
        <f t="array" ref="BN288">_xlfn.IFS(BF288="NA","NA",BF288&gt;100%,"100%",BF288&lt;100,BF288)</f>
        <v>0</v>
      </c>
      <c r="BO288" s="42" cm="1">
        <f t="array" ref="BO288">_xlfn.IFS(BH288="NA","NA",BH288&gt;100%,"100%",BH288&lt;100,BH288)</f>
        <v>0</v>
      </c>
      <c r="BP288" s="42" t="str" cm="1">
        <f t="array" ref="BP288">_xlfn.IFS(BJ288="NA","NA",BJ288&gt;100%,"100%",BJ288&lt;100,BJ288)</f>
        <v>NA</v>
      </c>
      <c r="BQ288" s="45">
        <v>0.22500000000000001</v>
      </c>
      <c r="BR288" s="43">
        <f t="shared" si="471"/>
        <v>7.8750000000000014E-2</v>
      </c>
      <c r="BS288" s="45">
        <v>1.5800000000000002E-2</v>
      </c>
      <c r="BT288" s="45">
        <v>1.5800000000000002E-2</v>
      </c>
      <c r="BU288" s="45">
        <v>1.5800000000000002E-2</v>
      </c>
      <c r="BV288" s="43">
        <f t="shared" si="482"/>
        <v>6.9750000000000006E-2</v>
      </c>
      <c r="BW288" s="43">
        <f t="shared" si="472"/>
        <v>6.3000000000000014E-2</v>
      </c>
      <c r="BX288" s="43">
        <f t="shared" si="473"/>
        <v>6.2950000000000006E-2</v>
      </c>
      <c r="BY288" s="43">
        <f t="shared" si="483"/>
        <v>6.9750000000000006E-2</v>
      </c>
      <c r="BZ288" s="43">
        <f t="shared" si="484"/>
        <v>0</v>
      </c>
      <c r="CA288" s="43">
        <f t="shared" si="474"/>
        <v>0</v>
      </c>
      <c r="CB288" s="43">
        <f t="shared" si="485"/>
        <v>6.9750000000000006E-2</v>
      </c>
      <c r="CC288" s="43">
        <f t="shared" si="486"/>
        <v>0</v>
      </c>
      <c r="CD288" s="45">
        <v>0</v>
      </c>
      <c r="CE288" s="43">
        <f t="shared" si="487"/>
        <v>0</v>
      </c>
      <c r="CF288" s="43" t="str">
        <f t="shared" si="488"/>
        <v>NA</v>
      </c>
      <c r="CG288" s="45">
        <v>0</v>
      </c>
    </row>
    <row r="289" spans="1:90" ht="18" customHeight="1">
      <c r="A289" s="260" t="s">
        <v>1826</v>
      </c>
      <c r="B289" s="260" t="s">
        <v>1827</v>
      </c>
      <c r="C289" s="260" t="s">
        <v>1828</v>
      </c>
      <c r="D289" s="260" t="s">
        <v>1829</v>
      </c>
      <c r="E289" s="260" t="s">
        <v>1830</v>
      </c>
      <c r="F289" s="260" t="s">
        <v>1831</v>
      </c>
      <c r="G289" s="260" t="s">
        <v>1832</v>
      </c>
      <c r="H289" s="260" t="s">
        <v>1833</v>
      </c>
      <c r="I289" s="260"/>
      <c r="J289" s="260"/>
      <c r="K289" s="260" t="s">
        <v>1834</v>
      </c>
      <c r="L289" s="260" t="s">
        <v>1835</v>
      </c>
      <c r="M289" s="260" t="s">
        <v>1836</v>
      </c>
      <c r="N289" s="260" t="s">
        <v>111</v>
      </c>
      <c r="O289" s="260" t="s">
        <v>112</v>
      </c>
      <c r="P289" s="10">
        <v>667</v>
      </c>
      <c r="Q289" s="11">
        <v>150</v>
      </c>
      <c r="R289" s="9">
        <f t="shared" si="475"/>
        <v>51</v>
      </c>
      <c r="S289" s="11" t="str">
        <f>VLOOKUP(K289,'1121 Ambiente'!$K$13:$AK$38,9,0)</f>
        <v>Las áreas a rehabilitarse actualmente se encuentran en diagnostico para proceder a realizar las acciones de restauración, para lo cual se celebrará convenio para la reforestación por valor de $200.000.000</v>
      </c>
      <c r="T289" s="11">
        <v>0</v>
      </c>
      <c r="U289" s="11">
        <v>0</v>
      </c>
      <c r="V289" s="11">
        <v>0</v>
      </c>
      <c r="W289" s="11">
        <v>0</v>
      </c>
      <c r="X289" s="11">
        <v>0</v>
      </c>
      <c r="Y289" s="11">
        <v>0</v>
      </c>
      <c r="Z289" s="11">
        <v>0</v>
      </c>
      <c r="AA289" s="11"/>
      <c r="AB289" s="11"/>
      <c r="AC289" s="11"/>
      <c r="AD289" s="11">
        <v>60</v>
      </c>
      <c r="AE289" s="11">
        <v>0</v>
      </c>
      <c r="AF289" s="11">
        <f>VLOOKUP(K289,'1121 Ambiente'!$K$13:$AK$38,22,0)</f>
        <v>51</v>
      </c>
      <c r="AG289" s="11">
        <f>VLOOKUP(K289,'1121 Ambiente'!$K$13:$AK$38,23,0)</f>
        <v>0</v>
      </c>
      <c r="AH289" s="9">
        <f t="shared" si="476"/>
        <v>51</v>
      </c>
      <c r="AI289" s="9" t="str">
        <f>VLOOKUP(K289,'1121 Ambiente'!$K$13:$AK$38,25,0)</f>
        <v>51 Ha reforestadas</v>
      </c>
      <c r="AJ289" s="9" t="str">
        <f>VLOOKUP(K289,'1121 Ambiente'!$K$13:$AK$38,26,0)</f>
        <v>Se realizó la reforestación de 1 hectareas en 5 municipios pertenecientes a la cuenca del río Bogotá (Facatativá, Tausa, Sesquilé, Guatavitá y San Antonio del Tequendama)</v>
      </c>
      <c r="AK289" s="9">
        <f>VLOOKUP(K289,'1121 Ambiente'!$K$13:$AK$38,27,0)</f>
        <v>0</v>
      </c>
      <c r="AL289" s="11">
        <v>64</v>
      </c>
      <c r="AM289" s="11">
        <v>0</v>
      </c>
      <c r="AN289" s="11">
        <v>26</v>
      </c>
      <c r="AO289" s="11">
        <v>0</v>
      </c>
      <c r="AP289" s="11">
        <v>0</v>
      </c>
      <c r="AQ289" s="11">
        <v>0</v>
      </c>
      <c r="AR289" s="52"/>
      <c r="AS289" s="54">
        <v>0</v>
      </c>
      <c r="AT289" s="54">
        <f t="shared" si="469"/>
        <v>0</v>
      </c>
      <c r="AU289" s="52"/>
      <c r="AV289" s="89">
        <v>0</v>
      </c>
      <c r="AY289" s="89">
        <v>0</v>
      </c>
      <c r="AZ289" s="42">
        <f t="shared" si="477"/>
        <v>0.34</v>
      </c>
      <c r="BA289" s="44">
        <v>0</v>
      </c>
      <c r="BB289" s="44" t="s">
        <v>115</v>
      </c>
      <c r="BC289" s="42">
        <f t="shared" si="478"/>
        <v>0.4</v>
      </c>
      <c r="BD289" s="42" cm="1">
        <f t="array" ref="BD289">_xlfn.IFS(AD289=0,"NA",AD289&gt;0,AH289/AD289)</f>
        <v>0.85</v>
      </c>
      <c r="BE289" s="42">
        <f t="shared" si="479"/>
        <v>0.42666666666666669</v>
      </c>
      <c r="BF289" s="44">
        <v>0</v>
      </c>
      <c r="BG289" s="42">
        <f t="shared" si="480"/>
        <v>0.17333333333333334</v>
      </c>
      <c r="BH289" s="44">
        <v>0</v>
      </c>
      <c r="BI289" s="42">
        <f t="shared" si="481"/>
        <v>0</v>
      </c>
      <c r="BJ289" s="44" t="s">
        <v>115</v>
      </c>
      <c r="BK289" s="42">
        <f t="shared" si="470"/>
        <v>0.34</v>
      </c>
      <c r="BL289" s="44" t="s">
        <v>115</v>
      </c>
      <c r="BM289" s="42" cm="1">
        <f t="array" ref="BM289">_xlfn.IFS(BD289="NA","NA",BD289&gt;100%,"100%",BD289&lt;100,BD289)</f>
        <v>0.85</v>
      </c>
      <c r="BN289" s="42" cm="1">
        <f t="array" ref="BN289">_xlfn.IFS(BF289="NA","NA",BF289&gt;100%,"100%",BF289&lt;100,BF289)</f>
        <v>0</v>
      </c>
      <c r="BO289" s="42" cm="1">
        <f t="array" ref="BO289">_xlfn.IFS(BH289="NA","NA",BH289&gt;100%,"100%",BH289&lt;100,BH289)</f>
        <v>0</v>
      </c>
      <c r="BP289" s="42" t="str" cm="1">
        <f t="array" ref="BP289">_xlfn.IFS(BJ289="NA","NA",BJ289&gt;100%,"100%",BJ289&lt;100,BJ289)</f>
        <v>NA</v>
      </c>
      <c r="BQ289" s="45">
        <v>0.22500000000000001</v>
      </c>
      <c r="BR289" s="43">
        <f t="shared" si="471"/>
        <v>7.6500000000000012E-2</v>
      </c>
      <c r="BS289" s="45">
        <v>0</v>
      </c>
      <c r="BT289" s="45" t="s">
        <v>115</v>
      </c>
      <c r="BU289" s="45">
        <v>0</v>
      </c>
      <c r="BV289" s="43">
        <f t="shared" si="482"/>
        <v>0.09</v>
      </c>
      <c r="BW289" s="43">
        <f t="shared" si="472"/>
        <v>7.6499999999999999E-2</v>
      </c>
      <c r="BX289" s="43">
        <f t="shared" si="473"/>
        <v>7.6500000000000012E-2</v>
      </c>
      <c r="BY289" s="43">
        <f t="shared" si="483"/>
        <v>9.6000000000000002E-2</v>
      </c>
      <c r="BZ289" s="43">
        <f t="shared" si="484"/>
        <v>0</v>
      </c>
      <c r="CA289" s="43">
        <f t="shared" si="474"/>
        <v>0</v>
      </c>
      <c r="CB289" s="43">
        <f t="shared" si="485"/>
        <v>3.9000000000000007E-2</v>
      </c>
      <c r="CC289" s="43">
        <f t="shared" si="486"/>
        <v>0</v>
      </c>
      <c r="CD289" s="45">
        <v>0</v>
      </c>
      <c r="CE289" s="43">
        <f t="shared" si="487"/>
        <v>0</v>
      </c>
      <c r="CF289" s="43" t="str">
        <f t="shared" si="488"/>
        <v>NA</v>
      </c>
      <c r="CG289" s="45">
        <v>0</v>
      </c>
    </row>
    <row r="290" spans="1:90" ht="18" customHeight="1">
      <c r="A290" s="260" t="s">
        <v>1826</v>
      </c>
      <c r="B290" s="260" t="s">
        <v>1827</v>
      </c>
      <c r="C290" s="260" t="s">
        <v>1828</v>
      </c>
      <c r="D290" s="260" t="s">
        <v>1829</v>
      </c>
      <c r="E290" s="260" t="s">
        <v>1830</v>
      </c>
      <c r="F290" s="260" t="s">
        <v>1837</v>
      </c>
      <c r="G290" s="260" t="s">
        <v>1838</v>
      </c>
      <c r="H290" s="260" t="s">
        <v>1839</v>
      </c>
      <c r="I290" s="260"/>
      <c r="J290" s="260"/>
      <c r="K290" s="260" t="s">
        <v>1840</v>
      </c>
      <c r="L290" s="260" t="s">
        <v>1841</v>
      </c>
      <c r="M290" s="260" t="s">
        <v>1842</v>
      </c>
      <c r="N290" s="260" t="s">
        <v>111</v>
      </c>
      <c r="O290" s="260" t="s">
        <v>112</v>
      </c>
      <c r="P290" s="10">
        <v>2</v>
      </c>
      <c r="Q290" s="11">
        <v>6</v>
      </c>
      <c r="R290" s="9">
        <f t="shared" si="475"/>
        <v>2</v>
      </c>
      <c r="S290" s="11" t="str">
        <f>VLOOKUP(K290,'1121 Ambiente'!$K$13:$AK$38,9,0)</f>
        <v xml:space="preserve">Se reportaron 2 viveros Nocaima SA-CDCVI-053-2021 $50.986.500 “Vivero Las Mercedes” y Caparrapí SA-CDCVI-054-2021 $47.500.000 “Vivero La Granja”, los cuales presentan un avance del 30% correspondiente al mantenimiento de las áreas que requieren arreglos locativos y la germinación de las plántulas.
Se reportaron 2 viveros Nocaima SA-CDCVI-053-2021 $50.986.500 “Vivero Las Mercedes” y Caparrapí SA-CDCVI-054-2021 $47.500.000 “Vivero La Granja”, los cuales presentan un avance del 30% correspondiente al mantenimiento de las áreas que requieren arreglos locativos y la germinación de las plántulas.
</v>
      </c>
      <c r="T290" s="11">
        <v>1</v>
      </c>
      <c r="U290" s="11">
        <v>0</v>
      </c>
      <c r="V290" s="11">
        <v>1</v>
      </c>
      <c r="W290" s="11">
        <v>0</v>
      </c>
      <c r="X290" s="11">
        <v>0</v>
      </c>
      <c r="Y290" s="11">
        <v>0</v>
      </c>
      <c r="Z290" s="11">
        <v>0</v>
      </c>
      <c r="AA290" s="11"/>
      <c r="AB290" s="11"/>
      <c r="AC290" s="11"/>
      <c r="AD290" s="11">
        <v>3</v>
      </c>
      <c r="AE290" s="11">
        <v>0</v>
      </c>
      <c r="AF290" s="11">
        <f>VLOOKUP(K290,'1121 Ambiente'!$K$13:$AK$38,22,0)</f>
        <v>2</v>
      </c>
      <c r="AG290" s="11">
        <f>VLOOKUP(K290,'1121 Ambiente'!$K$13:$AK$38,23,0)</f>
        <v>0</v>
      </c>
      <c r="AH290" s="9">
        <f t="shared" si="476"/>
        <v>2</v>
      </c>
      <c r="AI290" s="9" t="str">
        <f>VLOOKUP(K290,'1121 Ambiente'!$K$13:$AK$38,25,0)</f>
        <v>2 víveros implementados</v>
      </c>
      <c r="AJ290" s="9" t="str">
        <f>VLOOKUP(K290,'1121 Ambiente'!$K$13:$AK$38,26,0)</f>
        <v xml:space="preserve">Se realizó la implementación de los viveros de Nocaima y Caparrapí para propagar 75.000 árboles. </v>
      </c>
      <c r="AK290" s="9">
        <f>VLOOKUP(K290,'1121 Ambiente'!$K$13:$AK$38,27,0)</f>
        <v>0</v>
      </c>
      <c r="AL290" s="11">
        <v>2</v>
      </c>
      <c r="AM290" s="11">
        <v>0</v>
      </c>
      <c r="AN290" s="11">
        <v>0</v>
      </c>
      <c r="AO290" s="11">
        <v>0</v>
      </c>
      <c r="AP290" s="11">
        <v>0</v>
      </c>
      <c r="AQ290" s="11">
        <v>0</v>
      </c>
      <c r="AR290" s="51">
        <v>70590000</v>
      </c>
      <c r="AS290" s="54">
        <v>0</v>
      </c>
      <c r="AT290" s="54">
        <f t="shared" si="469"/>
        <v>70590000</v>
      </c>
      <c r="AU290" s="51">
        <v>0</v>
      </c>
      <c r="AV290" s="89">
        <v>630000000</v>
      </c>
      <c r="AY290" s="89">
        <v>8500000</v>
      </c>
      <c r="AZ290" s="42">
        <f t="shared" si="477"/>
        <v>0.33333333333333331</v>
      </c>
      <c r="BA290" s="44">
        <v>0.16669999999999999</v>
      </c>
      <c r="BB290" s="44">
        <v>0</v>
      </c>
      <c r="BC290" s="42">
        <f t="shared" si="478"/>
        <v>0.5</v>
      </c>
      <c r="BD290" s="42" cm="1">
        <f t="array" ref="BD290">_xlfn.IFS(AD290=0,"NA",AD290&gt;0,AH290/AD290)</f>
        <v>0.66666666666666663</v>
      </c>
      <c r="BE290" s="42">
        <f t="shared" si="479"/>
        <v>0.33333333333333331</v>
      </c>
      <c r="BF290" s="44">
        <v>0</v>
      </c>
      <c r="BG290" s="42">
        <f t="shared" si="480"/>
        <v>0</v>
      </c>
      <c r="BH290" s="44" t="s">
        <v>115</v>
      </c>
      <c r="BI290" s="42">
        <f t="shared" si="481"/>
        <v>0</v>
      </c>
      <c r="BJ290" s="44" t="s">
        <v>115</v>
      </c>
      <c r="BK290" s="42">
        <f t="shared" si="470"/>
        <v>0.33333333333333331</v>
      </c>
      <c r="BL290" s="44">
        <v>0</v>
      </c>
      <c r="BM290" s="42" cm="1">
        <f t="array" ref="BM290">_xlfn.IFS(BD290="NA","NA",BD290&gt;100%,"100%",BD290&lt;100,BD290)</f>
        <v>0.66666666666666663</v>
      </c>
      <c r="BN290" s="42" cm="1">
        <f t="array" ref="BN290">_xlfn.IFS(BF290="NA","NA",BF290&gt;100%,"100%",BF290&lt;100,BF290)</f>
        <v>0</v>
      </c>
      <c r="BO290" s="42" t="str" cm="1">
        <f t="array" ref="BO290">_xlfn.IFS(BH290="NA","NA",BH290&gt;100%,"100%",BH290&lt;100,BH290)</f>
        <v>NA</v>
      </c>
      <c r="BP290" s="42" t="str" cm="1">
        <f t="array" ref="BP290">_xlfn.IFS(BJ290="NA","NA",BJ290&gt;100%,"100%",BJ290&lt;100,BJ290)</f>
        <v>NA</v>
      </c>
      <c r="BQ290" s="45">
        <v>0.22500000000000001</v>
      </c>
      <c r="BR290" s="43">
        <f t="shared" si="471"/>
        <v>7.4999999999999997E-2</v>
      </c>
      <c r="BS290" s="45">
        <v>3.7499999999999999E-2</v>
      </c>
      <c r="BT290" s="45">
        <v>0</v>
      </c>
      <c r="BU290" s="45">
        <v>0</v>
      </c>
      <c r="BV290" s="43">
        <f t="shared" si="482"/>
        <v>0.1125</v>
      </c>
      <c r="BW290" s="43">
        <f t="shared" si="472"/>
        <v>7.4999999999999997E-2</v>
      </c>
      <c r="BX290" s="43">
        <f t="shared" si="473"/>
        <v>7.4999999999999997E-2</v>
      </c>
      <c r="BY290" s="43">
        <f t="shared" si="483"/>
        <v>7.4999999999999997E-2</v>
      </c>
      <c r="BZ290" s="43">
        <f t="shared" si="484"/>
        <v>0</v>
      </c>
      <c r="CA290" s="43">
        <f t="shared" si="474"/>
        <v>0</v>
      </c>
      <c r="CB290" s="43">
        <f t="shared" si="485"/>
        <v>0</v>
      </c>
      <c r="CC290" s="43" t="str">
        <f t="shared" si="486"/>
        <v>NA</v>
      </c>
      <c r="CD290" s="45">
        <v>0</v>
      </c>
      <c r="CE290" s="43">
        <f t="shared" si="487"/>
        <v>0</v>
      </c>
      <c r="CF290" s="43" t="str">
        <f t="shared" si="488"/>
        <v>NA</v>
      </c>
      <c r="CG290" s="45">
        <v>0</v>
      </c>
    </row>
    <row r="291" spans="1:90" ht="18" customHeight="1">
      <c r="A291" s="260" t="s">
        <v>1826</v>
      </c>
      <c r="B291" s="260" t="s">
        <v>1827</v>
      </c>
      <c r="C291" s="260" t="s">
        <v>1828</v>
      </c>
      <c r="D291" s="260" t="s">
        <v>1829</v>
      </c>
      <c r="E291" s="260" t="s">
        <v>1830</v>
      </c>
      <c r="F291" s="260" t="s">
        <v>1843</v>
      </c>
      <c r="G291" s="260" t="s">
        <v>1844</v>
      </c>
      <c r="H291" s="260" t="s">
        <v>1845</v>
      </c>
      <c r="I291" s="260"/>
      <c r="J291" s="260"/>
      <c r="K291" s="260" t="s">
        <v>1846</v>
      </c>
      <c r="L291" s="260" t="s">
        <v>1847</v>
      </c>
      <c r="M291" s="260" t="s">
        <v>1848</v>
      </c>
      <c r="N291" s="260" t="s">
        <v>111</v>
      </c>
      <c r="O291" s="260" t="s">
        <v>112</v>
      </c>
      <c r="P291" s="10">
        <v>3</v>
      </c>
      <c r="Q291" s="11">
        <v>2</v>
      </c>
      <c r="R291" s="9">
        <f t="shared" si="475"/>
        <v>2</v>
      </c>
      <c r="S291" s="11" t="str">
        <f>VLOOKUP(K291,'1121 Ambiente'!$K$13:$AK$38,9,0)</f>
        <v xml:space="preserve">Se logró la limpieza de 35.853 m2 de espejo de agua del humedal CACAHUAL La Vega, por valor de $ 1.099.927.977 ($560.131.696 aportes CAR).
Convenio SA-CDCVI-031-2018 se logró la limpieza de 5.000 m2 del espejo de agua de la LAGUNA UBAQUE, por valor de $300.000.000.
</v>
      </c>
      <c r="T291" s="11">
        <v>0</v>
      </c>
      <c r="U291" s="11">
        <v>0</v>
      </c>
      <c r="V291" s="11">
        <v>0</v>
      </c>
      <c r="W291" s="11">
        <v>0</v>
      </c>
      <c r="X291" s="11">
        <v>0</v>
      </c>
      <c r="Y291" s="11">
        <v>0</v>
      </c>
      <c r="Z291" s="11">
        <v>0</v>
      </c>
      <c r="AA291" s="11"/>
      <c r="AB291" s="11"/>
      <c r="AC291" s="11"/>
      <c r="AD291" s="11">
        <v>1</v>
      </c>
      <c r="AE291" s="11">
        <v>0</v>
      </c>
      <c r="AF291" s="11">
        <f>VLOOKUP(K291,'1121 Ambiente'!$K$13:$AK$38,22,0)</f>
        <v>2</v>
      </c>
      <c r="AG291" s="11">
        <f>VLOOKUP(K291,'1121 Ambiente'!$K$13:$AK$38,23,0)</f>
        <v>0</v>
      </c>
      <c r="AH291" s="9">
        <f t="shared" si="476"/>
        <v>2</v>
      </c>
      <c r="AI291" s="9" t="str">
        <f>VLOOKUP(K291,'1121 Ambiente'!$K$13:$AK$38,25,0)</f>
        <v>2 lagunas recuperadas</v>
      </c>
      <c r="AJ291" s="9" t="str">
        <f>VLOOKUP(K291,'1121 Ambiente'!$K$13:$AK$38,26,0)</f>
        <v>Se logró la limpieza de 35853 m2 de espejo de agua del humedal CACAHUAL La Vega y 5000 m2 del espejo de agua de la LAGUNA UBAQUE</v>
      </c>
      <c r="AK291" s="9">
        <f>VLOOKUP(K291,'1121 Ambiente'!$K$13:$AK$38,27,0)</f>
        <v>0</v>
      </c>
      <c r="AL291" s="11">
        <v>1</v>
      </c>
      <c r="AM291" s="11">
        <v>0</v>
      </c>
      <c r="AN291" s="11">
        <v>0</v>
      </c>
      <c r="AO291" s="11">
        <v>0</v>
      </c>
      <c r="AP291" s="11">
        <v>0</v>
      </c>
      <c r="AQ291" s="11">
        <v>0</v>
      </c>
      <c r="AR291" s="52"/>
      <c r="AS291" s="54">
        <v>0</v>
      </c>
      <c r="AT291" s="54">
        <f t="shared" si="469"/>
        <v>0</v>
      </c>
      <c r="AU291" s="52"/>
      <c r="AV291" s="89">
        <v>212403941</v>
      </c>
      <c r="AY291" s="89">
        <v>12000000</v>
      </c>
      <c r="AZ291" s="42">
        <f t="shared" si="477"/>
        <v>1</v>
      </c>
      <c r="BA291" s="44">
        <v>0</v>
      </c>
      <c r="BB291" s="44" t="s">
        <v>115</v>
      </c>
      <c r="BC291" s="42">
        <f t="shared" si="478"/>
        <v>0.5</v>
      </c>
      <c r="BD291" s="42" cm="1">
        <f t="array" ref="BD291">_xlfn.IFS(AD291=0,"NA",AD291&gt;0,AH291/AD291)</f>
        <v>2</v>
      </c>
      <c r="BE291" s="42">
        <f t="shared" si="479"/>
        <v>0.5</v>
      </c>
      <c r="BF291" s="44">
        <v>0</v>
      </c>
      <c r="BG291" s="42">
        <f t="shared" si="480"/>
        <v>0</v>
      </c>
      <c r="BH291" s="44" t="s">
        <v>115</v>
      </c>
      <c r="BI291" s="42">
        <f t="shared" si="481"/>
        <v>0</v>
      </c>
      <c r="BJ291" s="44" t="s">
        <v>115</v>
      </c>
      <c r="BK291" s="42">
        <f t="shared" si="470"/>
        <v>1</v>
      </c>
      <c r="BL291" s="44" t="s">
        <v>115</v>
      </c>
      <c r="BM291" s="42" t="str" cm="1">
        <f t="array" ref="BM291">_xlfn.IFS(BD291="NA","NA",BD291&gt;100%,"100%",BD291&lt;100,BD291)</f>
        <v>100%</v>
      </c>
      <c r="BN291" s="42" cm="1">
        <f t="array" ref="BN291">_xlfn.IFS(BF291="NA","NA",BF291&gt;100%,"100%",BF291&lt;100,BF291)</f>
        <v>0</v>
      </c>
      <c r="BO291" s="42" t="str" cm="1">
        <f t="array" ref="BO291">_xlfn.IFS(BH291="NA","NA",BH291&gt;100%,"100%",BH291&lt;100,BH291)</f>
        <v>NA</v>
      </c>
      <c r="BP291" s="42" t="str" cm="1">
        <f t="array" ref="BP291">_xlfn.IFS(BJ291="NA","NA",BJ291&gt;100%,"100%",BJ291&lt;100,BJ291)</f>
        <v>NA</v>
      </c>
      <c r="BQ291" s="45">
        <v>0.22500000000000001</v>
      </c>
      <c r="BR291" s="43">
        <f t="shared" si="471"/>
        <v>0.22500000000000001</v>
      </c>
      <c r="BS291" s="45">
        <v>0</v>
      </c>
      <c r="BT291" s="45" t="s">
        <v>115</v>
      </c>
      <c r="BU291" s="45">
        <v>0</v>
      </c>
      <c r="BV291" s="43">
        <f t="shared" si="482"/>
        <v>0.1125</v>
      </c>
      <c r="BW291" s="43">
        <f t="shared" si="472"/>
        <v>0.1125</v>
      </c>
      <c r="BX291" s="43">
        <f t="shared" si="473"/>
        <v>0.22500000000000001</v>
      </c>
      <c r="BY291" s="43">
        <f t="shared" si="483"/>
        <v>0.1125</v>
      </c>
      <c r="BZ291" s="43">
        <f t="shared" si="484"/>
        <v>0</v>
      </c>
      <c r="CA291" s="43">
        <f t="shared" si="474"/>
        <v>0</v>
      </c>
      <c r="CB291" s="43">
        <f t="shared" si="485"/>
        <v>0</v>
      </c>
      <c r="CC291" s="43" t="str">
        <f t="shared" si="486"/>
        <v>NA</v>
      </c>
      <c r="CD291" s="45">
        <v>0</v>
      </c>
      <c r="CE291" s="43">
        <f t="shared" si="487"/>
        <v>0</v>
      </c>
      <c r="CF291" s="43" t="str">
        <f t="shared" si="488"/>
        <v>NA</v>
      </c>
      <c r="CG291" s="45">
        <v>0</v>
      </c>
    </row>
    <row r="292" spans="1:90" ht="18" customHeight="1">
      <c r="A292" s="260" t="s">
        <v>1826</v>
      </c>
      <c r="B292" s="260" t="s">
        <v>1827</v>
      </c>
      <c r="C292" s="260" t="s">
        <v>1828</v>
      </c>
      <c r="D292" s="260" t="s">
        <v>1829</v>
      </c>
      <c r="E292" s="260" t="s">
        <v>1830</v>
      </c>
      <c r="F292" s="260" t="s">
        <v>1849</v>
      </c>
      <c r="G292" s="260" t="s">
        <v>1850</v>
      </c>
      <c r="H292" s="260" t="s">
        <v>1851</v>
      </c>
      <c r="I292" s="260"/>
      <c r="J292" s="260"/>
      <c r="K292" s="260" t="s">
        <v>1852</v>
      </c>
      <c r="L292" s="260" t="s">
        <v>1853</v>
      </c>
      <c r="M292" s="260" t="s">
        <v>1854</v>
      </c>
      <c r="N292" s="260" t="s">
        <v>111</v>
      </c>
      <c r="O292" s="260" t="s">
        <v>112</v>
      </c>
      <c r="P292" s="10">
        <v>4</v>
      </c>
      <c r="Q292" s="11">
        <v>4</v>
      </c>
      <c r="R292" s="9">
        <f t="shared" si="475"/>
        <v>1</v>
      </c>
      <c r="S292" s="11" t="str">
        <f>VLOOKUP(K292,'1121 Ambiente'!$K$13:$AK$38,9,0)</f>
        <v xml:space="preserve">A través del convenio 0978 CAR- DPTO por valor de $728.371.525, se realizó la implementación de una estrategia mediante la entrega de 80 Toneladas de alimento, para un total de 2.646 animales beneficiados. Piscilago (Nilo): 1.183 animales, Wakata, (Tocancipá): 721 animales, Santa Cruz (San Antonio Tequendama): 592 animales, Reserva (Cota): 150 animales.
</v>
      </c>
      <c r="T292" s="11">
        <v>0.5</v>
      </c>
      <c r="U292" s="11">
        <v>0</v>
      </c>
      <c r="V292" s="11">
        <v>0.5</v>
      </c>
      <c r="W292" s="11">
        <v>0</v>
      </c>
      <c r="X292" s="11">
        <v>0.5</v>
      </c>
      <c r="Y292" s="11">
        <v>0</v>
      </c>
      <c r="Z292" s="11">
        <v>0.5</v>
      </c>
      <c r="AA292" s="11">
        <v>0</v>
      </c>
      <c r="AB292" s="11"/>
      <c r="AC292" s="11">
        <v>0</v>
      </c>
      <c r="AD292" s="11">
        <v>0.5</v>
      </c>
      <c r="AE292" s="11">
        <v>0</v>
      </c>
      <c r="AF292" s="11">
        <f>VLOOKUP(K292,'1121 Ambiente'!$K$13:$AK$38,22,0)</f>
        <v>0.5</v>
      </c>
      <c r="AG292" s="11">
        <f>VLOOKUP(K292,'1121 Ambiente'!$K$13:$AK$38,23,0)</f>
        <v>0</v>
      </c>
      <c r="AH292" s="9">
        <f t="shared" si="476"/>
        <v>0.5</v>
      </c>
      <c r="AI292" s="9" t="str">
        <f>VLOOKUP(K292,'1121 Ambiente'!$K$13:$AK$38,25,0)</f>
        <v>1 estrategia implementada</v>
      </c>
      <c r="AJ292" s="9" t="str">
        <f>VLOOKUP(K292,'1121 Ambiente'!$K$13:$AK$38,26,0)</f>
        <v>Se logró la implementación de una estrategia con la entrega de 80 Toneladas de alimento entregadas beneficiando a 2.646 animales en los zoologicos de Piscilago (Nilo), Wakata, (Tocancipá), Santa Cruz (San Antonio Tequendama) y  Reserva (Cota)</v>
      </c>
      <c r="AK292" s="9" t="str">
        <f>VLOOKUP(K292,'1121 Ambiente'!$K$13:$AK$38,27,0)</f>
        <v>Convenio 0978 CAR- DPTO $728.371.525 
80 Toneladas de alimento entregadas y 2.646 animales beneficiados. Piscilago (Nilo): 1.183 animales, Wakata, (Tocancipá): 721 animales, Santa Cruz (San Antonio Tequendama): 592 animales, Reserva (Cota): 150 animales</v>
      </c>
      <c r="AL292" s="11">
        <v>2</v>
      </c>
      <c r="AM292" s="11">
        <v>0</v>
      </c>
      <c r="AN292" s="11">
        <v>1</v>
      </c>
      <c r="AO292" s="11">
        <v>0</v>
      </c>
      <c r="AP292" s="11">
        <v>0</v>
      </c>
      <c r="AQ292" s="11">
        <v>0</v>
      </c>
      <c r="AR292" s="51">
        <v>698371525</v>
      </c>
      <c r="AS292" s="54">
        <v>0</v>
      </c>
      <c r="AT292" s="54">
        <f t="shared" si="469"/>
        <v>698371525</v>
      </c>
      <c r="AU292" s="51">
        <v>691979111</v>
      </c>
      <c r="AV292" s="89">
        <v>184426676</v>
      </c>
      <c r="AY292" s="89">
        <v>64315000</v>
      </c>
      <c r="AZ292" s="42">
        <f t="shared" si="477"/>
        <v>0.25</v>
      </c>
      <c r="BA292" s="44">
        <v>0.125</v>
      </c>
      <c r="BB292" s="44">
        <v>1</v>
      </c>
      <c r="BC292" s="42">
        <f t="shared" si="478"/>
        <v>0.125</v>
      </c>
      <c r="BD292" s="42" cm="1">
        <f t="array" ref="BD292">_xlfn.IFS(AD292=0,"NA",AD292&gt;0,AH292/AD292)</f>
        <v>1</v>
      </c>
      <c r="BE292" s="42">
        <f t="shared" si="479"/>
        <v>0.5</v>
      </c>
      <c r="BF292" s="44">
        <v>0</v>
      </c>
      <c r="BG292" s="42">
        <f t="shared" si="480"/>
        <v>0.25</v>
      </c>
      <c r="BH292" s="44">
        <v>0</v>
      </c>
      <c r="BI292" s="42">
        <f t="shared" si="481"/>
        <v>0</v>
      </c>
      <c r="BJ292" s="44" t="s">
        <v>115</v>
      </c>
      <c r="BK292" s="42">
        <f t="shared" si="470"/>
        <v>0.25</v>
      </c>
      <c r="BL292" s="44">
        <v>1</v>
      </c>
      <c r="BM292" s="42" cm="1">
        <f t="array" ref="BM292">_xlfn.IFS(BD292="NA","NA",BD292&gt;100%,"100%",BD292&lt;100,BD292)</f>
        <v>1</v>
      </c>
      <c r="BN292" s="42" cm="1">
        <f t="array" ref="BN292">_xlfn.IFS(BF292="NA","NA",BF292&gt;100%,"100%",BF292&lt;100,BF292)</f>
        <v>0</v>
      </c>
      <c r="BO292" s="42" cm="1">
        <f t="array" ref="BO292">_xlfn.IFS(BH292="NA","NA",BH292&gt;100%,"100%",BH292&lt;100,BH292)</f>
        <v>0</v>
      </c>
      <c r="BP292" s="42" t="str" cm="1">
        <f t="array" ref="BP292">_xlfn.IFS(BJ292="NA","NA",BJ292&gt;100%,"100%",BJ292&lt;100,BJ292)</f>
        <v>NA</v>
      </c>
      <c r="BQ292" s="45">
        <v>0.22500000000000001</v>
      </c>
      <c r="BR292" s="43">
        <f t="shared" si="471"/>
        <v>5.6250000000000001E-2</v>
      </c>
      <c r="BS292" s="45">
        <v>2.81E-2</v>
      </c>
      <c r="BT292" s="45">
        <v>2.81E-2</v>
      </c>
      <c r="BU292" s="45">
        <v>2.81E-2</v>
      </c>
      <c r="BV292" s="43">
        <f t="shared" si="482"/>
        <v>2.8125000000000001E-2</v>
      </c>
      <c r="BW292" s="43">
        <f t="shared" si="472"/>
        <v>2.8125000000000001E-2</v>
      </c>
      <c r="BX292" s="43">
        <f t="shared" si="473"/>
        <v>2.8150000000000001E-2</v>
      </c>
      <c r="BY292" s="43">
        <f t="shared" si="483"/>
        <v>0.1125</v>
      </c>
      <c r="BZ292" s="43">
        <f t="shared" si="484"/>
        <v>0</v>
      </c>
      <c r="CA292" s="43">
        <f t="shared" si="474"/>
        <v>0</v>
      </c>
      <c r="CB292" s="43">
        <f t="shared" si="485"/>
        <v>5.6250000000000001E-2</v>
      </c>
      <c r="CC292" s="43">
        <f t="shared" si="486"/>
        <v>0</v>
      </c>
      <c r="CD292" s="45">
        <v>0</v>
      </c>
      <c r="CE292" s="43">
        <f t="shared" si="487"/>
        <v>0</v>
      </c>
      <c r="CF292" s="43" t="str">
        <f t="shared" si="488"/>
        <v>NA</v>
      </c>
      <c r="CG292" s="45">
        <v>0</v>
      </c>
    </row>
    <row r="293" spans="1:90" ht="18" customHeight="1">
      <c r="A293" s="260" t="s">
        <v>1826</v>
      </c>
      <c r="B293" s="260" t="s">
        <v>1827</v>
      </c>
      <c r="C293" s="260" t="s">
        <v>1828</v>
      </c>
      <c r="D293" s="260" t="s">
        <v>1829</v>
      </c>
      <c r="E293" s="260" t="s">
        <v>1830</v>
      </c>
      <c r="F293" s="260" t="s">
        <v>1855</v>
      </c>
      <c r="G293" s="260" t="s">
        <v>1856</v>
      </c>
      <c r="H293" s="260" t="s">
        <v>1857</v>
      </c>
      <c r="I293" s="260"/>
      <c r="J293" s="260"/>
      <c r="K293" s="260" t="s">
        <v>1858</v>
      </c>
      <c r="L293" s="260" t="s">
        <v>1859</v>
      </c>
      <c r="M293" s="260" t="s">
        <v>1860</v>
      </c>
      <c r="N293" s="260" t="s">
        <v>111</v>
      </c>
      <c r="O293" s="260" t="s">
        <v>112</v>
      </c>
      <c r="P293" s="10">
        <v>51541.01</v>
      </c>
      <c r="Q293" s="11">
        <v>10000</v>
      </c>
      <c r="R293" s="9">
        <f t="shared" si="475"/>
        <v>1311.69</v>
      </c>
      <c r="S293" s="11" t="str">
        <f>VLOOKUP(K293,'1121 Ambiente'!$K$13:$AK$38,9,0)</f>
        <v xml:space="preserve">1037 hectáreas conservadas en relación a Apiarios con fines de conservación y restauración con acuerdos de conservación (Villapinzón, Gutiérrez, Zipaquirá, Viota, Silvania, Nilo, Chaguaní). A través de los convenios de recuperación de las Lagunas Cacahual del municipio de La Vega y Laguna Ubaque se logró la conservación de 48,05 hectáreas. Así mismo, a través del convenio 068-2020 celebrado con Corpoguavio se realizó la adquisición de 5 predios logrando la conservación de 123.20 Ha en los municipios de Gachalá y Guasca. 
Así mismo, a través del convenio 065-2021 suscrito con FONDECUN por valor de $948.782.844 se han visitado 636 de 700 predios con el fin de realizar el informe diagnostico de evaluación del estado actual de cada uno de estos, de los cuales 490 se encuentran aprobados, 134 en revisión y 12 en corrección, lo que representa un avance de ejecución del 90%. 
Convenio 056-2021 suscrito con la inmobiliaria para ADQUIRIR PREDIOS PRIORIZADOS DE IMPORTANCIA ESTRATÉGICA PARA LA CONSERVACIÓN DE RECURSOS HIDRICOS QUE SURTEN DE AGUA LOS ACUEDUCTOS MUNICIPALES, VEREDALES Y REGIONALES EN EL DEPARTAMENTO DE CUNDINAMARCA or valor de $2.324.084.515.
</v>
      </c>
      <c r="T293" s="11">
        <v>1500</v>
      </c>
      <c r="U293" s="11">
        <v>0</v>
      </c>
      <c r="V293" s="11">
        <v>1500</v>
      </c>
      <c r="W293" s="11">
        <v>0</v>
      </c>
      <c r="X293" s="11">
        <v>97.94</v>
      </c>
      <c r="Y293" s="11">
        <v>0</v>
      </c>
      <c r="Z293" s="11">
        <v>97.94</v>
      </c>
      <c r="AA293" s="11">
        <v>0</v>
      </c>
      <c r="AB293" s="11" t="s">
        <v>1861</v>
      </c>
      <c r="AC293" s="11">
        <v>0</v>
      </c>
      <c r="AD293" s="11">
        <v>3500</v>
      </c>
      <c r="AE293" s="11">
        <v>0</v>
      </c>
      <c r="AF293" s="11">
        <f>VLOOKUP(K293,'1121 Ambiente'!$K$13:$AK$38,22,0)</f>
        <v>1213.75</v>
      </c>
      <c r="AG293" s="11">
        <f>VLOOKUP(K293,'1121 Ambiente'!$K$13:$AK$38,23,0)</f>
        <v>0</v>
      </c>
      <c r="AH293" s="9">
        <f t="shared" si="476"/>
        <v>1213.75</v>
      </c>
      <c r="AI293" s="9" t="str">
        <f>VLOOKUP(K293,'1121 Ambiente'!$K$13:$AK$38,25,0)</f>
        <v>1.213 Ha conservadas</v>
      </c>
      <c r="AJ293" s="9" t="str">
        <f>VLOOKUP(K293,'1121 Ambiente'!$K$13:$AK$38,26,0)</f>
        <v>Durante el 2021 se han logrado conservar  1213.75 hectareas, de las cuales 1037 de apiarios con acuerdos de conservación  (Villapinzón, Gutiérrez, Zipaquirá, Viota, Silvania, Nilo, Chaguaní). 48.05 hectareas conservadas con la limpieza de dos cuerpos lagunares en el municipio de La Vega y de Ubaque, 12320 hectareas con la adquisición de predios en los municipios de GAchalá y Guasca y 5,5 hectareas mediante la instalación de 2.200 metros de cerca en los municipios de Facatativá, Guatavita y Silvania.</v>
      </c>
      <c r="AK293" s="9" t="str">
        <f>VLOOKUP(K293,'1121 Ambiente'!$K$13:$AK$38,27,0)</f>
        <v>La medición de la restauración se puede realizar luego de un año, sin embargo los cambios en los ecosistemas se pueden observar desde los 6 meses de instalados los apiarios.</v>
      </c>
      <c r="AL293" s="11">
        <v>3500</v>
      </c>
      <c r="AM293" s="11">
        <v>0</v>
      </c>
      <c r="AN293" s="11">
        <v>1500</v>
      </c>
      <c r="AO293" s="11">
        <v>0</v>
      </c>
      <c r="AP293" s="11">
        <v>0</v>
      </c>
      <c r="AQ293" s="11">
        <v>0</v>
      </c>
      <c r="AR293" s="51">
        <v>4806713038</v>
      </c>
      <c r="AS293" s="54">
        <v>0</v>
      </c>
      <c r="AT293" s="54">
        <f t="shared" si="469"/>
        <v>4806713038</v>
      </c>
      <c r="AU293" s="51">
        <v>2836983162</v>
      </c>
      <c r="AV293" s="89">
        <v>11700444000</v>
      </c>
      <c r="AY293" s="89">
        <v>835706243</v>
      </c>
      <c r="AZ293" s="42">
        <f t="shared" si="477"/>
        <v>0.13116900000000001</v>
      </c>
      <c r="BA293" s="44">
        <v>0.15</v>
      </c>
      <c r="BB293" s="44">
        <v>6.5299999999999997E-2</v>
      </c>
      <c r="BC293" s="42">
        <f t="shared" si="478"/>
        <v>0.35</v>
      </c>
      <c r="BD293" s="42" cm="1">
        <f t="array" ref="BD293">_xlfn.IFS(AD293=0,"NA",AD293&gt;0,AH293/AD293)</f>
        <v>0.34678571428571431</v>
      </c>
      <c r="BE293" s="42">
        <f t="shared" si="479"/>
        <v>0.35</v>
      </c>
      <c r="BF293" s="44">
        <v>0</v>
      </c>
      <c r="BG293" s="42">
        <f t="shared" si="480"/>
        <v>0.15</v>
      </c>
      <c r="BH293" s="44">
        <v>0</v>
      </c>
      <c r="BI293" s="42">
        <f t="shared" si="481"/>
        <v>0</v>
      </c>
      <c r="BJ293" s="44" t="s">
        <v>115</v>
      </c>
      <c r="BK293" s="42">
        <f t="shared" si="470"/>
        <v>0.13116900000000001</v>
      </c>
      <c r="BL293" s="44">
        <v>6.5299999999999997E-2</v>
      </c>
      <c r="BM293" s="42" cm="1">
        <f t="array" ref="BM293">_xlfn.IFS(BD293="NA","NA",BD293&gt;100%,"100%",BD293&lt;100,BD293)</f>
        <v>0.34678571428571431</v>
      </c>
      <c r="BN293" s="42" cm="1">
        <f t="array" ref="BN293">_xlfn.IFS(BF293="NA","NA",BF293&gt;100%,"100%",BF293&lt;100,BF293)</f>
        <v>0</v>
      </c>
      <c r="BO293" s="42" cm="1">
        <f t="array" ref="BO293">_xlfn.IFS(BH293="NA","NA",BH293&gt;100%,"100%",BH293&lt;100,BH293)</f>
        <v>0</v>
      </c>
      <c r="BP293" s="42" t="str" cm="1">
        <f t="array" ref="BP293">_xlfn.IFS(BJ293="NA","NA",BJ293&gt;100%,"100%",BJ293&lt;100,BJ293)</f>
        <v>NA</v>
      </c>
      <c r="BQ293" s="45">
        <v>0.22500000000000001</v>
      </c>
      <c r="BR293" s="43">
        <f t="shared" si="471"/>
        <v>2.9513025000000002E-2</v>
      </c>
      <c r="BS293" s="45">
        <v>3.3799999999999997E-2</v>
      </c>
      <c r="BT293" s="45">
        <v>2.2000000000000001E-3</v>
      </c>
      <c r="BU293" s="45">
        <v>2.2000000000000001E-3</v>
      </c>
      <c r="BV293" s="43">
        <f t="shared" si="482"/>
        <v>7.8750000000000001E-2</v>
      </c>
      <c r="BW293" s="43">
        <f t="shared" si="472"/>
        <v>2.7309375E-2</v>
      </c>
      <c r="BX293" s="43">
        <f t="shared" si="473"/>
        <v>2.7313025000000001E-2</v>
      </c>
      <c r="BY293" s="43">
        <f t="shared" si="483"/>
        <v>7.8750000000000001E-2</v>
      </c>
      <c r="BZ293" s="43">
        <f t="shared" si="484"/>
        <v>0</v>
      </c>
      <c r="CA293" s="43">
        <f t="shared" si="474"/>
        <v>0</v>
      </c>
      <c r="CB293" s="43">
        <f t="shared" si="485"/>
        <v>3.3750000000000002E-2</v>
      </c>
      <c r="CC293" s="43">
        <f t="shared" si="486"/>
        <v>0</v>
      </c>
      <c r="CD293" s="45">
        <v>0</v>
      </c>
      <c r="CE293" s="43">
        <f t="shared" si="487"/>
        <v>0</v>
      </c>
      <c r="CF293" s="43" t="str">
        <f t="shared" si="488"/>
        <v>NA</v>
      </c>
      <c r="CG293" s="45">
        <v>0</v>
      </c>
    </row>
    <row r="294" spans="1:90" ht="18" customHeight="1">
      <c r="A294" s="260" t="s">
        <v>1826</v>
      </c>
      <c r="B294" s="260" t="s">
        <v>1827</v>
      </c>
      <c r="C294" s="260" t="s">
        <v>1828</v>
      </c>
      <c r="D294" s="260" t="s">
        <v>1829</v>
      </c>
      <c r="E294" s="260" t="s">
        <v>1830</v>
      </c>
      <c r="F294" s="260" t="s">
        <v>1862</v>
      </c>
      <c r="G294" s="260" t="s">
        <v>1863</v>
      </c>
      <c r="H294" s="260" t="s">
        <v>1864</v>
      </c>
      <c r="I294" s="260"/>
      <c r="J294" s="260"/>
      <c r="K294" s="260" t="s">
        <v>1865</v>
      </c>
      <c r="L294" s="260" t="s">
        <v>1866</v>
      </c>
      <c r="M294" s="260" t="s">
        <v>1867</v>
      </c>
      <c r="N294" s="260" t="s">
        <v>111</v>
      </c>
      <c r="O294" s="260" t="s">
        <v>112</v>
      </c>
      <c r="P294" s="10">
        <v>961985</v>
      </c>
      <c r="Q294" s="11">
        <v>1000000</v>
      </c>
      <c r="R294" s="9">
        <f t="shared" si="475"/>
        <v>322074</v>
      </c>
      <c r="S294" s="11" t="str">
        <f>VLOOKUP(K294,'1121 Ambiente'!$K$13:$AK$38,9,0)</f>
        <v>Se han realizado diferentes jornadas de siembra de árboles en diferentes municipios del departamento, logrando a 31 de agosto 145.895 como aporte a la meta. De los cuales  2.200 se realizaron a través de los convenios de Fincas Sostenibles 079-2020 Nilo 1600 Arboles Sembrados (Finca La Ilusión Especies De Igua) y 080-2020 Villeta Finca San Pedro  N° Plantas 600 Especies:   Oyuelo, Roble, Sauco, Cedro, Madre De Agua</v>
      </c>
      <c r="T294" s="11">
        <v>150000</v>
      </c>
      <c r="U294" s="11">
        <v>0</v>
      </c>
      <c r="V294" s="11">
        <v>40000</v>
      </c>
      <c r="W294" s="11">
        <v>0</v>
      </c>
      <c r="X294" s="11">
        <v>35050</v>
      </c>
      <c r="Y294" s="11">
        <v>0</v>
      </c>
      <c r="Z294" s="11">
        <v>35050</v>
      </c>
      <c r="AA294" s="11">
        <v>0</v>
      </c>
      <c r="AB294" s="11" t="s">
        <v>1868</v>
      </c>
      <c r="AC294" s="11">
        <v>0</v>
      </c>
      <c r="AD294" s="11">
        <v>300000</v>
      </c>
      <c r="AE294" s="11">
        <v>0</v>
      </c>
      <c r="AF294" s="11">
        <f>VLOOKUP(K294,'1121 Ambiente'!$K$13:$AK$38,22,0)</f>
        <v>287024</v>
      </c>
      <c r="AG294" s="11">
        <f>VLOOKUP(K294,'1121 Ambiente'!$K$13:$AK$38,23,0)</f>
        <v>0</v>
      </c>
      <c r="AH294" s="9">
        <f t="shared" si="476"/>
        <v>287024</v>
      </c>
      <c r="AI294" s="9" t="str">
        <f>VLOOKUP(K294,'1121 Ambiente'!$K$13:$AK$38,25,0)</f>
        <v xml:space="preserve">287.024 árboles sembrados
CHOCONTA  20760 ARBOLES SEMBRADOS COMO COMPENSACION
JERUSALEN,  248 ARBOLES SEMBRADOS COMO COMPENSACION
JUNIN, 600 ARBOLES SEMBRADOS COMO COMPENSACION
ANOLAIMA, 730 ARBOLES SEMBRADOS COMO COMPENSACION
GACHALA, 200 ARBOLES SEMBRADOS COMO COMPENSACION 
FUQUENE, 710 ARBOLES SEMBRADOS COMO COMPENSACION
ALBAN, 100 ARBOLES SEMBRADOS COMO COMPENSACION
NEMOCON ,1575 ARBOLES SEMBRADOS COMO COMPENSACION
VILLAPINZON, 790 ARBOLES SEMBRADOS COMO COMPENSACION
FACATATIVA, 680 ARBOLES SEMBRADOS COMO COMPENSACION
MOSQUERA, 12843 ARBOLES SEMBRADOS COMO COMPENSACION
FUNZA, 650 ARBOLES SEMBRADOS COMO COMPENSACION
LA CALERA, 423 ARBOLES SEMBRADOS COMO COMPENSACION
CHIA, 2844 ARBOLES SEMBRADOS COMO COMPENSACION
TABIO, 1860 ARBOLES SEMBRADOS COMO COMPENSACION
VILLAGOMEZ, 9375 ARBOLES SEMBRADOS COMO COMPENSACION
"Facatativa ,Especies Sembradas Central Laurel, Tibar Encenillo. Anillo Hayuelo, Arrayán, Mortiño, 
Macle, Amargoso, Corono, Espino, Chuque, Uva camarona, Ciro , Tinto, Duraznillo, Trompeto"
"Tausa, especies sembradas Central Laurel, Tibar, Encenillo, Arrayán, Aliso. Anillo Aliso, Arrayán, Mortiño, 
Macle, Amargoso, Corono, Espino, Chuque, Uva camarona, Ciro , Tinto, Duraznillo"
"Sesquilé, especies sembradas Central Laurel, Tibar, encenillo. Anillo Aliso, Arrayán, Mortiño, 
Macle, Amargoso, Corono, Espino"
"Silvania, especies sembradas Central Roble, Cedro. Anillos Nogal, Sangregado, Chicalá, 
 Inga, Cambulo, Guayacán de Manizales, Nacedero"
</v>
      </c>
      <c r="AJ294" s="9" t="str">
        <f>VLOOKUP(K294,'1121 Ambiente'!$K$13:$AK$38,26,0)</f>
        <v>Sibate 3000 árboles, Zipacón 1000 árboles, Nariño 500 arboles, Quetame 300 árboles, Nilo 4535 árboles, Guasca 1000 árboles y Cota 2769 árboles.  Agua De Dios 280, Albán 1.000, Apulo 500, Arbeláez 1.700, Cabrera 409, Cachipay 1.000, Cajicá 400, Cáqueza 3.300, Carmen De Carupa 1.650, Chía 2.844, Chipaque 2.360, Choachi 106, Cogua 154, El Colegio 215, El Rosal 375, Facatativá 680, Fosca 700, Funza 650, Fusagasugá 1.616, Gachancipá 450, Gacheta 1.028, Gama 1.000, Girardot 1.200, Guachetá 3.900, Guaduas 2.608, Guayabal de Síquima 200, Guayabetal 2.620, Gutiérrez 2.640, La Calera 423, La Palma 450, Lenguazaque 500, Macheta 340, Medina 2.182, Mosquera 12.843, Nemocón 1.575, Nilo 500, Pacho 422, Paime 750, Paratebueno 3.000, Pasca 11.113, Puerto Salgar 185, Ricaurte 1.554, San Antonio 620, San Bernardo 300, San Cayetano 800, San Juan Ríoseco 1.461, Sesquilé 350, Sibate 837, Silvania 900, Simijaca 9.500, Sopo 352, Subachoque 150, Suesca 387, Supata 1.000, Susa 630, Sutatausa 105, Tausa 1.000, Tena 170, Tenjo 715, Tibacuy 2.051, Tibirita 300, Tocaima 440, Tocancipá 964, Topaipi 200, Ubaté 400, Une 790, Viani 220, Villapinzón 790, Villeta 880, Viota 156, Villeta 670, Sasaima 670, Cachipay 670, Silvania 1.200, Soacha 374, Pandi 300, Guataquí 400, Ubalá 1200, Fusagasugá 100 Y Nemocón 2500 y Secretaria De Competitividad Y Desarrollo Económico 10.000 (Chocontá, La Calera, Villapinzón, Guatavita Y Guasca) Bojaca 686 Arboles Sembrados, El Peñón 1680, Guatavita 170, Madrid 2561, Venecia 640, San Antonio 300 (QDA La Cuy Siembra De Chicala, Chachafruto, Cambulo, Urapán), Sibate, 3000 (Especies De Aliso, Hierba Conejo, Sauco, Mortiño, Laurel, Arrayán, Borrachero, Arboloco), Nilo 1600 Arboles Sembrados (Finca La Ilusión Especies De Igua) Y Villeta Finca San Pedro  N° Plantas 600 Especies:   Oyuelo, Roble, Sauco, Cedro, Madre De Agua FOMEQUE, 500 ARBOLES SEMBRADOS, ANAPOIMA, 1291 ARBOLES SEMBRADOS CUCUNUBA, 16500 ARBOLES SEMBRADOS, SASAIMA, 150 ARBOLES SEMBRADOS
BELTRAN, 200 ARBOLES SEMBRADOS, ARBELAEZ, 600 ARBOLES SEMBRADOS EN LA FINCA EL MIRADOR VEREDA SAN MIGUEL Y  1000 ARBOLES SEMBRADOSN EN FINCA SEDEMAR VEREDA SAN JOSE., VENECIA, 1000 ARBOLES SEMBRADOS, FINCA ELPALMAR, QUEBRADA TIMBRIO, SILVANIA, 200 ARBOLESSEMBRADOS, VEREDA AGUA BONITA, QUEBRADA DIVINO NIÑO, SUBACHOQUE, 300 ARBOLES SEMBRADOS, PROTECCION QUEBRADA HORNILLO, VEREDA LA UNION.</v>
      </c>
      <c r="AK294" s="9" t="str">
        <f>VLOOKUP(K294,'1121 Ambiente'!$K$13:$AK$38,27,0)</f>
        <v>Debido a los problemas de ordén público presentados durante las movilizaciones de Paro Nacional se tuvieron que postergar visitas, por problemas en el desplazamiento</v>
      </c>
      <c r="AL294" s="11">
        <v>400000</v>
      </c>
      <c r="AM294" s="11">
        <v>0</v>
      </c>
      <c r="AN294" s="11">
        <v>2600000</v>
      </c>
      <c r="AO294" s="11">
        <v>0</v>
      </c>
      <c r="AP294" s="11">
        <v>0</v>
      </c>
      <c r="AQ294" s="11">
        <v>0</v>
      </c>
      <c r="AR294" s="51">
        <v>205790000</v>
      </c>
      <c r="AS294" s="54">
        <v>856800000</v>
      </c>
      <c r="AT294" s="54">
        <f t="shared" si="469"/>
        <v>1062590000</v>
      </c>
      <c r="AU294" s="51">
        <v>0</v>
      </c>
      <c r="AV294" s="89">
        <v>2486889697</v>
      </c>
      <c r="AY294" s="89">
        <v>79559076</v>
      </c>
      <c r="AZ294" s="42">
        <f t="shared" si="477"/>
        <v>0.32207400000000003</v>
      </c>
      <c r="BA294" s="44">
        <v>0.04</v>
      </c>
      <c r="BB294" s="44">
        <v>0.87629999999999997</v>
      </c>
      <c r="BC294" s="42">
        <f t="shared" si="478"/>
        <v>0.3</v>
      </c>
      <c r="BD294" s="42" cm="1">
        <f t="array" ref="BD294">_xlfn.IFS(AD294=0,"NA",AD294&gt;0,AH294/AD294)</f>
        <v>0.95674666666666663</v>
      </c>
      <c r="BE294" s="42">
        <f t="shared" si="479"/>
        <v>0.4</v>
      </c>
      <c r="BF294" s="44">
        <v>0</v>
      </c>
      <c r="BG294" s="42">
        <f t="shared" si="480"/>
        <v>2.6</v>
      </c>
      <c r="BH294" s="44">
        <v>0</v>
      </c>
      <c r="BI294" s="42">
        <f t="shared" si="481"/>
        <v>0</v>
      </c>
      <c r="BJ294" s="44" t="s">
        <v>115</v>
      </c>
      <c r="BK294" s="42">
        <f t="shared" si="470"/>
        <v>0.32207400000000003</v>
      </c>
      <c r="BL294" s="44">
        <v>0.87629999999999997</v>
      </c>
      <c r="BM294" s="42" cm="1">
        <f t="array" ref="BM294">_xlfn.IFS(BD294="NA","NA",BD294&gt;100%,"100%",BD294&lt;100,BD294)</f>
        <v>0.95674666666666663</v>
      </c>
      <c r="BN294" s="42" cm="1">
        <f t="array" ref="BN294">_xlfn.IFS(BF294="NA","NA",BF294&gt;100%,"100%",BF294&lt;100,BF294)</f>
        <v>0</v>
      </c>
      <c r="BO294" s="42" cm="1">
        <f t="array" ref="BO294">_xlfn.IFS(BH294="NA","NA",BH294&gt;100%,"100%",BH294&lt;100,BH294)</f>
        <v>0</v>
      </c>
      <c r="BP294" s="42" t="str" cm="1">
        <f t="array" ref="BP294">_xlfn.IFS(BJ294="NA","NA",BJ294&gt;100%,"100%",BJ294&lt;100,BJ294)</f>
        <v>NA</v>
      </c>
      <c r="BQ294" s="45">
        <v>0.22500000000000001</v>
      </c>
      <c r="BR294" s="43">
        <f t="shared" si="471"/>
        <v>7.2466650000000007E-2</v>
      </c>
      <c r="BS294" s="45">
        <v>8.9999999999999993E-3</v>
      </c>
      <c r="BT294" s="45">
        <v>7.9000000000000008E-3</v>
      </c>
      <c r="BU294" s="45">
        <v>7.9000000000000008E-3</v>
      </c>
      <c r="BV294" s="43">
        <f t="shared" si="482"/>
        <v>6.7500000000000004E-2</v>
      </c>
      <c r="BW294" s="43">
        <f t="shared" si="472"/>
        <v>6.4580399999999996E-2</v>
      </c>
      <c r="BX294" s="43">
        <f t="shared" si="473"/>
        <v>6.4566650000000003E-2</v>
      </c>
      <c r="BY294" s="43">
        <f t="shared" si="483"/>
        <v>0.09</v>
      </c>
      <c r="BZ294" s="43">
        <f t="shared" si="484"/>
        <v>0</v>
      </c>
      <c r="CA294" s="43">
        <f t="shared" si="474"/>
        <v>0</v>
      </c>
      <c r="CB294" s="43">
        <f t="shared" si="485"/>
        <v>0.58499999999999996</v>
      </c>
      <c r="CC294" s="43">
        <f t="shared" si="486"/>
        <v>0</v>
      </c>
      <c r="CD294" s="45">
        <v>0</v>
      </c>
      <c r="CE294" s="43">
        <f t="shared" si="487"/>
        <v>0</v>
      </c>
      <c r="CF294" s="43" t="str">
        <f t="shared" si="488"/>
        <v>NA</v>
      </c>
      <c r="CG294" s="45">
        <v>0</v>
      </c>
    </row>
    <row r="295" spans="1:90" ht="18" customHeight="1">
      <c r="A295" s="260" t="s">
        <v>1826</v>
      </c>
      <c r="B295" s="260" t="s">
        <v>1827</v>
      </c>
      <c r="C295" s="260" t="s">
        <v>1828</v>
      </c>
      <c r="D295" s="260" t="s">
        <v>1829</v>
      </c>
      <c r="E295" s="260" t="s">
        <v>1830</v>
      </c>
      <c r="F295" s="260" t="s">
        <v>1869</v>
      </c>
      <c r="G295" s="260" t="s">
        <v>1870</v>
      </c>
      <c r="H295" s="260" t="s">
        <v>1871</v>
      </c>
      <c r="I295" s="260"/>
      <c r="J295" s="260"/>
      <c r="K295" s="260" t="s">
        <v>1872</v>
      </c>
      <c r="L295" s="260" t="s">
        <v>1873</v>
      </c>
      <c r="M295" s="260" t="s">
        <v>1848</v>
      </c>
      <c r="N295" s="260" t="s">
        <v>111</v>
      </c>
      <c r="O295" s="260" t="s">
        <v>112</v>
      </c>
      <c r="P295" s="10">
        <v>52</v>
      </c>
      <c r="Q295" s="11">
        <v>6</v>
      </c>
      <c r="R295" s="9">
        <f t="shared" si="475"/>
        <v>5</v>
      </c>
      <c r="S295" s="11" t="str">
        <f>VLOOKUP(K295,'1121 Ambiente'!$K$13:$AK$38,9,0)</f>
        <v xml:space="preserve">Durante la vigencia 2020 se formularon 3 PUEAAA  en los municipios de Pandi, Bituima y Viani. Para la vigencia 2021 se formularon dos PUEAA: Asociación de usuarios vereda el Tigre municipio de Vergara ASUAT (se radico en la CAR el PUEAA formulado el 16/06/2021) y Asociación ASCUABAÑA Zipacón (Se radico el 06/07/2021 a la CAR).
</v>
      </c>
      <c r="T295" s="11">
        <v>0</v>
      </c>
      <c r="U295" s="11">
        <v>0</v>
      </c>
      <c r="V295" s="11">
        <v>0</v>
      </c>
      <c r="W295" s="11">
        <v>0</v>
      </c>
      <c r="X295" s="11">
        <v>0</v>
      </c>
      <c r="Y295" s="11">
        <v>0</v>
      </c>
      <c r="Z295" s="11">
        <v>0</v>
      </c>
      <c r="AA295" s="11"/>
      <c r="AB295" s="11"/>
      <c r="AC295" s="11"/>
      <c r="AD295" s="11">
        <v>3</v>
      </c>
      <c r="AE295" s="11">
        <v>0</v>
      </c>
      <c r="AF295" s="11">
        <f>VLOOKUP(K295,'1121 Ambiente'!$K$13:$AK$38,22,0)</f>
        <v>5</v>
      </c>
      <c r="AG295" s="11">
        <f>VLOOKUP(K295,'1121 Ambiente'!$K$13:$AK$38,23,0)</f>
        <v>0</v>
      </c>
      <c r="AH295" s="9">
        <f t="shared" si="476"/>
        <v>5</v>
      </c>
      <c r="AI295" s="9" t="str">
        <f>VLOOKUP(K295,'1121 Ambiente'!$K$13:$AK$38,25,0)</f>
        <v>5 PUEAA formulados</v>
      </c>
      <c r="AJ295" s="9" t="str">
        <f>VLOOKUP(K295,'1121 Ambiente'!$K$13:$AK$38,26,0)</f>
        <v>Para la vigencia 2021 se formularon dos: Asociación de usuarios vereda el Tigre municipio de Vergara ASUAT (se radico en l CAR el PUEAA formulado el 16/06/2021) y Asociación ASCUABAÑA Zipacón (Se radico el 06/07/2021 a la CAR formulación PUEAA). Se realizó radicación ante la CAR de los PUEAA de Silvania, vereda Santa Isabel, Guaduas  vereda Lajitas, Sasaima Acualimonal</v>
      </c>
      <c r="AK295" s="9">
        <f>VLOOKUP(K295,'1121 Ambiente'!$K$13:$AK$38,27,0)</f>
        <v>0</v>
      </c>
      <c r="AL295" s="11">
        <v>3</v>
      </c>
      <c r="AM295" s="11">
        <v>0</v>
      </c>
      <c r="AN295" s="11">
        <v>0</v>
      </c>
      <c r="AO295" s="11">
        <v>0</v>
      </c>
      <c r="AP295" s="11">
        <v>0</v>
      </c>
      <c r="AQ295" s="11">
        <v>0</v>
      </c>
      <c r="AR295" s="52"/>
      <c r="AS295" s="54">
        <v>0</v>
      </c>
      <c r="AT295" s="54">
        <f t="shared" si="469"/>
        <v>0</v>
      </c>
      <c r="AU295" s="52"/>
      <c r="AV295" s="89">
        <v>221134356</v>
      </c>
      <c r="AY295" s="89">
        <v>30100000</v>
      </c>
      <c r="AZ295" s="42">
        <f t="shared" si="477"/>
        <v>0.83333333333333337</v>
      </c>
      <c r="BA295" s="44">
        <v>0</v>
      </c>
      <c r="BB295" s="44" t="s">
        <v>115</v>
      </c>
      <c r="BC295" s="42">
        <f t="shared" si="478"/>
        <v>0.5</v>
      </c>
      <c r="BD295" s="42" cm="1">
        <f t="array" ref="BD295">_xlfn.IFS(AD295=0,"NA",AD295&gt;0,AH295/AD295)</f>
        <v>1.6666666666666667</v>
      </c>
      <c r="BE295" s="42">
        <f t="shared" si="479"/>
        <v>0.5</v>
      </c>
      <c r="BF295" s="44">
        <v>0</v>
      </c>
      <c r="BG295" s="42">
        <f t="shared" si="480"/>
        <v>0</v>
      </c>
      <c r="BH295" s="44" t="s">
        <v>115</v>
      </c>
      <c r="BI295" s="42">
        <f t="shared" si="481"/>
        <v>0</v>
      </c>
      <c r="BJ295" s="44" t="s">
        <v>115</v>
      </c>
      <c r="BK295" s="42">
        <f t="shared" si="470"/>
        <v>0.83333333333333337</v>
      </c>
      <c r="BL295" s="44" t="s">
        <v>115</v>
      </c>
      <c r="BM295" s="42" t="str" cm="1">
        <f t="array" ref="BM295">_xlfn.IFS(BD295="NA","NA",BD295&gt;100%,"100%",BD295&lt;100,BD295)</f>
        <v>100%</v>
      </c>
      <c r="BN295" s="42" cm="1">
        <f t="array" ref="BN295">_xlfn.IFS(BF295="NA","NA",BF295&gt;100%,"100%",BF295&lt;100,BF295)</f>
        <v>0</v>
      </c>
      <c r="BO295" s="42" t="str" cm="1">
        <f t="array" ref="BO295">_xlfn.IFS(BH295="NA","NA",BH295&gt;100%,"100%",BH295&lt;100,BH295)</f>
        <v>NA</v>
      </c>
      <c r="BP295" s="42" t="str" cm="1">
        <f t="array" ref="BP295">_xlfn.IFS(BJ295="NA","NA",BJ295&gt;100%,"100%",BJ295&lt;100,BJ295)</f>
        <v>NA</v>
      </c>
      <c r="BQ295" s="45">
        <v>0.22500000000000001</v>
      </c>
      <c r="BR295" s="43">
        <f t="shared" si="471"/>
        <v>0.1875</v>
      </c>
      <c r="BS295" s="45">
        <v>0</v>
      </c>
      <c r="BT295" s="45" t="s">
        <v>115</v>
      </c>
      <c r="BU295" s="45">
        <v>0</v>
      </c>
      <c r="BV295" s="43">
        <f t="shared" si="482"/>
        <v>0.1125</v>
      </c>
      <c r="BW295" s="43">
        <f t="shared" si="472"/>
        <v>0.1125</v>
      </c>
      <c r="BX295" s="43">
        <f t="shared" si="473"/>
        <v>0.1875</v>
      </c>
      <c r="BY295" s="43">
        <f t="shared" si="483"/>
        <v>0.1125</v>
      </c>
      <c r="BZ295" s="43">
        <f t="shared" si="484"/>
        <v>0</v>
      </c>
      <c r="CA295" s="43">
        <f t="shared" si="474"/>
        <v>0</v>
      </c>
      <c r="CB295" s="43">
        <f t="shared" si="485"/>
        <v>0</v>
      </c>
      <c r="CC295" s="43" t="str">
        <f t="shared" si="486"/>
        <v>NA</v>
      </c>
      <c r="CD295" s="45">
        <v>0</v>
      </c>
      <c r="CE295" s="43">
        <f t="shared" si="487"/>
        <v>0</v>
      </c>
      <c r="CF295" s="43" t="str">
        <f t="shared" si="488"/>
        <v>NA</v>
      </c>
      <c r="CG295" s="45">
        <v>0</v>
      </c>
    </row>
    <row r="296" spans="1:90" ht="18" customHeight="1">
      <c r="A296" s="260" t="s">
        <v>1302</v>
      </c>
      <c r="B296" s="260" t="s">
        <v>1303</v>
      </c>
      <c r="C296" s="260" t="s">
        <v>1828</v>
      </c>
      <c r="D296" s="260" t="s">
        <v>1829</v>
      </c>
      <c r="E296" s="260" t="s">
        <v>1830</v>
      </c>
      <c r="F296" s="260" t="s">
        <v>1837</v>
      </c>
      <c r="G296" s="260" t="s">
        <v>1838</v>
      </c>
      <c r="H296" s="260" t="s">
        <v>1874</v>
      </c>
      <c r="I296" s="260"/>
      <c r="J296" s="260"/>
      <c r="K296" s="260" t="s">
        <v>1875</v>
      </c>
      <c r="L296" s="260" t="s">
        <v>1876</v>
      </c>
      <c r="M296" s="260" t="s">
        <v>1877</v>
      </c>
      <c r="N296" s="260" t="s">
        <v>111</v>
      </c>
      <c r="O296" s="260" t="s">
        <v>112</v>
      </c>
      <c r="P296" s="10">
        <v>20</v>
      </c>
      <c r="Q296" s="11">
        <v>42</v>
      </c>
      <c r="R296" s="9">
        <f t="shared" si="475"/>
        <v>28</v>
      </c>
      <c r="S296" s="11" t="str">
        <f>VLOOKUP(K296,'1124 Agricultura'!$K$13:$AK$25,9,0)</f>
        <v>Se han intervenido 28 distritos de riego en su totalidad: en la vigencia 2020 se intervinieron  17 distritos de riego con la adquisición y entrega de elementos requeridos por ellos técnicamente como tuberías y accesorios para rehabilitación por suministros, así mismo para la vigencia 2021 tambien se han rehabilitado 11 distritos de riego por suministros y se entrego a 8 distritos más atendidos en la vigencia 2020 con otros elementos que requerian pero que por temas presupuestales no se pudo atender en su totalidad en esa vigencia</v>
      </c>
      <c r="T296" s="11">
        <v>10</v>
      </c>
      <c r="U296" s="11">
        <v>0</v>
      </c>
      <c r="V296" s="11">
        <v>17</v>
      </c>
      <c r="W296" s="11">
        <v>0</v>
      </c>
      <c r="X296" s="11">
        <v>17</v>
      </c>
      <c r="Y296" s="11">
        <v>0</v>
      </c>
      <c r="Z296" s="11">
        <v>17</v>
      </c>
      <c r="AA296" s="11" t="s">
        <v>1878</v>
      </c>
      <c r="AB296" s="11" t="s">
        <v>1879</v>
      </c>
      <c r="AC296" s="11">
        <v>0</v>
      </c>
      <c r="AD296" s="11">
        <v>16</v>
      </c>
      <c r="AE296" s="11">
        <v>0</v>
      </c>
      <c r="AF296" s="11">
        <f>VLOOKUP(K296,'1124 Agricultura'!$K$13:$AK$25,22,0)</f>
        <v>11</v>
      </c>
      <c r="AG296" s="11">
        <f>VLOOKUP(K296,'1124 Agricultura'!$K$13:$AK$25,23,0)</f>
        <v>8</v>
      </c>
      <c r="AH296" s="9">
        <f t="shared" si="476"/>
        <v>11</v>
      </c>
      <c r="AI296" s="9" t="str">
        <f>VLOOKUP(K296,'1124 Agricultura'!$K$13:$AK$25,25,0)</f>
        <v>Distritos de Riego Rehabilitados por suministros</v>
      </c>
      <c r="AJ296" s="9" t="str">
        <f>VLOOKUP(K296,'1124 Agricultura'!$K$13:$AK$25,26,0)</f>
        <v>Se hizo la entrega a 11 distritos de riego nuevos en los municipios de Cachipay (2 Asociaciones), Ubaque (2 Asociaciones), Fómeque (2 Asociaciones), Fúquene (1 Asociación), Fusagasugá (2 Asociaciones), Pasca (1 Asociación) y Choachí (1 Asociación). Así mismo se entregó a 8 asociaciones más que ya habían sido atendidas en el 2020 otros suministros que habían quedado pendientes por temas de recursos en los municipios de: Anolaima (1 Asociación), Cachipay (1 Asociación), Ubaque (1 Asociación), Fómeque (1 asociación), Pasca (1 Asociación), Suesca (1 Asociación) y Choachí (2 Asociaciones). El total de beneficiados fue de 1.468 productores nuevos y 741 productores antiguos atendidos en 2020 para un total de 2.209 beneficiarios.</v>
      </c>
      <c r="AK296" s="9">
        <f>VLOOKUP(K296,'1124 Agricultura'!$K$13:$AK$25,27,0)</f>
        <v>0</v>
      </c>
      <c r="AL296" s="11">
        <v>2</v>
      </c>
      <c r="AM296" s="11">
        <v>0</v>
      </c>
      <c r="AN296" s="11">
        <v>7</v>
      </c>
      <c r="AO296" s="11">
        <v>0</v>
      </c>
      <c r="AP296" s="11">
        <v>0</v>
      </c>
      <c r="AQ296" s="11">
        <v>0</v>
      </c>
      <c r="AR296" s="51">
        <v>249999802</v>
      </c>
      <c r="AS296" s="54">
        <v>0</v>
      </c>
      <c r="AT296" s="54">
        <f t="shared" si="469"/>
        <v>249999802</v>
      </c>
      <c r="AU296" s="51">
        <v>249999802</v>
      </c>
      <c r="AV296" s="89">
        <v>563000000</v>
      </c>
      <c r="AY296" s="89">
        <v>0</v>
      </c>
      <c r="AZ296" s="42">
        <f t="shared" si="477"/>
        <v>0.66666666666666663</v>
      </c>
      <c r="BA296" s="44">
        <v>0.40479999999999999</v>
      </c>
      <c r="BB296" s="44">
        <v>1</v>
      </c>
      <c r="BC296" s="42">
        <f t="shared" si="478"/>
        <v>0.38095238095238093</v>
      </c>
      <c r="BD296" s="42" cm="1">
        <f t="array" ref="BD296">_xlfn.IFS(AD296=0,"NA",AD296&gt;0,AH296/AD296)</f>
        <v>0.6875</v>
      </c>
      <c r="BE296" s="42">
        <f t="shared" si="479"/>
        <v>4.7619047619047616E-2</v>
      </c>
      <c r="BF296" s="44">
        <v>0</v>
      </c>
      <c r="BG296" s="42">
        <f t="shared" si="480"/>
        <v>0.16666666666666666</v>
      </c>
      <c r="BH296" s="44">
        <v>0</v>
      </c>
      <c r="BI296" s="42">
        <f t="shared" si="481"/>
        <v>0</v>
      </c>
      <c r="BJ296" s="44" t="s">
        <v>115</v>
      </c>
      <c r="BK296" s="42">
        <f t="shared" si="470"/>
        <v>0.66666666666666663</v>
      </c>
      <c r="BL296" s="44">
        <v>1</v>
      </c>
      <c r="BM296" s="42" cm="1">
        <f t="array" ref="BM296">_xlfn.IFS(BD296="NA","NA",BD296&gt;100%,"100%",BD296&lt;100,BD296)</f>
        <v>0.6875</v>
      </c>
      <c r="BN296" s="42" cm="1">
        <f t="array" ref="BN296">_xlfn.IFS(BF296="NA","NA",BF296&gt;100%,"100%",BF296&lt;100,BF296)</f>
        <v>0</v>
      </c>
      <c r="BO296" s="42" cm="1">
        <f t="array" ref="BO296">_xlfn.IFS(BH296="NA","NA",BH296&gt;100%,"100%",BH296&lt;100,BH296)</f>
        <v>0</v>
      </c>
      <c r="BP296" s="42" t="str" cm="1">
        <f t="array" ref="BP296">_xlfn.IFS(BJ296="NA","NA",BJ296&gt;100%,"100%",BJ296&lt;100,BJ296)</f>
        <v>NA</v>
      </c>
      <c r="BQ296" s="45">
        <v>0.22500000000000001</v>
      </c>
      <c r="BR296" s="43">
        <f t="shared" si="471"/>
        <v>0.15</v>
      </c>
      <c r="BS296" s="45">
        <v>9.11E-2</v>
      </c>
      <c r="BT296" s="45">
        <v>9.11E-2</v>
      </c>
      <c r="BU296" s="45">
        <v>9.11E-2</v>
      </c>
      <c r="BV296" s="43">
        <f t="shared" si="482"/>
        <v>8.5714285714285715E-2</v>
      </c>
      <c r="BW296" s="43">
        <f t="shared" si="472"/>
        <v>5.8928571428571427E-2</v>
      </c>
      <c r="BX296" s="43">
        <f t="shared" si="473"/>
        <v>5.8899999999999994E-2</v>
      </c>
      <c r="BY296" s="43">
        <f t="shared" si="483"/>
        <v>1.0714285714285714E-2</v>
      </c>
      <c r="BZ296" s="43">
        <f t="shared" si="484"/>
        <v>0</v>
      </c>
      <c r="CA296" s="43">
        <f t="shared" si="474"/>
        <v>0</v>
      </c>
      <c r="CB296" s="43">
        <f t="shared" si="485"/>
        <v>3.7499999999999999E-2</v>
      </c>
      <c r="CC296" s="43">
        <f t="shared" si="486"/>
        <v>0</v>
      </c>
      <c r="CD296" s="45">
        <v>0</v>
      </c>
      <c r="CE296" s="43">
        <f t="shared" si="487"/>
        <v>0</v>
      </c>
      <c r="CF296" s="43" t="str">
        <f t="shared" si="488"/>
        <v>NA</v>
      </c>
      <c r="CG296" s="45">
        <v>0</v>
      </c>
    </row>
    <row r="297" spans="1:90" ht="18" customHeight="1">
      <c r="A297" s="260" t="s">
        <v>1302</v>
      </c>
      <c r="B297" s="260" t="s">
        <v>1303</v>
      </c>
      <c r="C297" s="260" t="s">
        <v>1828</v>
      </c>
      <c r="D297" s="260" t="s">
        <v>1829</v>
      </c>
      <c r="E297" s="260" t="s">
        <v>1830</v>
      </c>
      <c r="F297" s="260" t="s">
        <v>1837</v>
      </c>
      <c r="G297" s="260" t="s">
        <v>1838</v>
      </c>
      <c r="H297" s="260" t="s">
        <v>1880</v>
      </c>
      <c r="I297" s="260"/>
      <c r="J297" s="260"/>
      <c r="K297" s="260" t="s">
        <v>1881</v>
      </c>
      <c r="L297" s="260" t="s">
        <v>3004</v>
      </c>
      <c r="M297" s="260" t="s">
        <v>3005</v>
      </c>
      <c r="N297" s="260" t="s">
        <v>111</v>
      </c>
      <c r="O297" s="260" t="s">
        <v>112</v>
      </c>
      <c r="P297" s="10">
        <v>0</v>
      </c>
      <c r="Q297" s="11">
        <v>2</v>
      </c>
      <c r="R297" s="9">
        <f t="shared" si="475"/>
        <v>0</v>
      </c>
      <c r="S297" s="11" t="str">
        <f>VLOOKUP(K297,'1124 Agricultura'!$K$13:$AK$25,9,0)</f>
        <v>Meta que esta programada para la vigencia 2023</v>
      </c>
      <c r="T297" s="11">
        <v>0</v>
      </c>
      <c r="U297" s="11">
        <v>0</v>
      </c>
      <c r="V297" s="11">
        <v>0</v>
      </c>
      <c r="W297" s="11">
        <v>0</v>
      </c>
      <c r="X297" s="11">
        <v>0</v>
      </c>
      <c r="Y297" s="11">
        <v>0</v>
      </c>
      <c r="Z297" s="11">
        <v>0</v>
      </c>
      <c r="AA297" s="11"/>
      <c r="AB297" s="11"/>
      <c r="AC297" s="11"/>
      <c r="AD297" s="11">
        <v>1</v>
      </c>
      <c r="AE297" s="11">
        <v>0</v>
      </c>
      <c r="AF297" s="11">
        <f>VLOOKUP(K297,'1124 Agricultura'!$K$13:$AK$25,22,0)</f>
        <v>0</v>
      </c>
      <c r="AG297" s="11">
        <f>VLOOKUP(K297,'1124 Agricultura'!$K$13:$AK$25,23,0)</f>
        <v>0</v>
      </c>
      <c r="AH297" s="9">
        <f t="shared" si="476"/>
        <v>0</v>
      </c>
      <c r="AI297" s="9">
        <f>VLOOKUP(K297,'1124 Agricultura'!$K$13:$AK$25,25,0)</f>
        <v>0</v>
      </c>
      <c r="AJ297" s="9" t="str">
        <f>VLOOKUP(K297,'1124 Agricultura'!$K$13:$AK$25,26,0)</f>
        <v>Esta meta se solicitó a Planeación reprogramarla para la vigencia 2023 por lo tanto no se ejecutará este año</v>
      </c>
      <c r="AK297" s="9">
        <f>VLOOKUP(K297,'1124 Agricultura'!$K$13:$AK$25,27,0)</f>
        <v>0</v>
      </c>
      <c r="AL297" s="11">
        <v>1</v>
      </c>
      <c r="AM297" s="11">
        <v>0</v>
      </c>
      <c r="AN297" s="11">
        <v>0</v>
      </c>
      <c r="AO297" s="11">
        <v>0</v>
      </c>
      <c r="AP297" s="11">
        <v>0</v>
      </c>
      <c r="AQ297" s="11">
        <v>0</v>
      </c>
      <c r="AR297" s="52"/>
      <c r="AS297" s="54">
        <v>0</v>
      </c>
      <c r="AT297" s="54">
        <f t="shared" si="469"/>
        <v>0</v>
      </c>
      <c r="AU297" s="52"/>
      <c r="AV297" s="89">
        <v>22000000</v>
      </c>
      <c r="AY297" s="89">
        <v>0</v>
      </c>
      <c r="AZ297" s="42">
        <f t="shared" si="477"/>
        <v>0</v>
      </c>
      <c r="BA297" s="44">
        <v>0</v>
      </c>
      <c r="BB297" s="44" t="s">
        <v>115</v>
      </c>
      <c r="BC297" s="42">
        <f t="shared" si="478"/>
        <v>0.5</v>
      </c>
      <c r="BD297" s="42" cm="1">
        <f t="array" ref="BD297">_xlfn.IFS(AD297=0,"NA",AD297&gt;0,AH297/AD297)</f>
        <v>0</v>
      </c>
      <c r="BE297" s="42">
        <f t="shared" si="479"/>
        <v>0.5</v>
      </c>
      <c r="BF297" s="44">
        <v>0</v>
      </c>
      <c r="BG297" s="42">
        <f t="shared" si="480"/>
        <v>0</v>
      </c>
      <c r="BH297" s="44" t="s">
        <v>115</v>
      </c>
      <c r="BI297" s="42">
        <f t="shared" si="481"/>
        <v>0</v>
      </c>
      <c r="BJ297" s="44" t="s">
        <v>115</v>
      </c>
      <c r="BK297" s="42">
        <f t="shared" si="470"/>
        <v>0</v>
      </c>
      <c r="BL297" s="44" t="s">
        <v>115</v>
      </c>
      <c r="BM297" s="42" cm="1">
        <f t="array" ref="BM297">_xlfn.IFS(BD297="NA","NA",BD297&gt;100%,"100%",BD297&lt;100,BD297)</f>
        <v>0</v>
      </c>
      <c r="BN297" s="42" cm="1">
        <f t="array" ref="BN297">_xlfn.IFS(BF297="NA","NA",BF297&gt;100%,"100%",BF297&lt;100,BF297)</f>
        <v>0</v>
      </c>
      <c r="BO297" s="42" t="str" cm="1">
        <f t="array" ref="BO297">_xlfn.IFS(BH297="NA","NA",BH297&gt;100%,"100%",BH297&lt;100,BH297)</f>
        <v>NA</v>
      </c>
      <c r="BP297" s="42" t="str" cm="1">
        <f t="array" ref="BP297">_xlfn.IFS(BJ297="NA","NA",BJ297&gt;100%,"100%",BJ297&lt;100,BJ297)</f>
        <v>NA</v>
      </c>
      <c r="BQ297" s="45">
        <v>0.22500000000000001</v>
      </c>
      <c r="BR297" s="43">
        <f t="shared" si="471"/>
        <v>0</v>
      </c>
      <c r="BS297" s="45">
        <v>0</v>
      </c>
      <c r="BT297" s="45" t="s">
        <v>115</v>
      </c>
      <c r="BU297" s="45">
        <v>0</v>
      </c>
      <c r="BV297" s="43">
        <f t="shared" si="482"/>
        <v>0.1125</v>
      </c>
      <c r="BW297" s="43">
        <f t="shared" si="472"/>
        <v>0</v>
      </c>
      <c r="BX297" s="43">
        <f t="shared" si="473"/>
        <v>0</v>
      </c>
      <c r="BY297" s="43">
        <f t="shared" si="483"/>
        <v>0.1125</v>
      </c>
      <c r="BZ297" s="43">
        <f t="shared" si="484"/>
        <v>0</v>
      </c>
      <c r="CA297" s="43">
        <f t="shared" si="474"/>
        <v>0</v>
      </c>
      <c r="CB297" s="43">
        <f t="shared" si="485"/>
        <v>0</v>
      </c>
      <c r="CC297" s="43" t="str">
        <f t="shared" si="486"/>
        <v>NA</v>
      </c>
      <c r="CD297" s="45">
        <v>0</v>
      </c>
      <c r="CE297" s="43">
        <f t="shared" si="487"/>
        <v>0</v>
      </c>
      <c r="CF297" s="43" t="str">
        <f t="shared" si="488"/>
        <v>NA</v>
      </c>
      <c r="CG297" s="45">
        <v>0</v>
      </c>
    </row>
    <row r="298" spans="1:90" ht="18" customHeight="1">
      <c r="A298" s="260" t="s">
        <v>1302</v>
      </c>
      <c r="B298" s="260" t="s">
        <v>1303</v>
      </c>
      <c r="C298" s="260" t="s">
        <v>1828</v>
      </c>
      <c r="D298" s="260" t="s">
        <v>1829</v>
      </c>
      <c r="E298" s="260" t="s">
        <v>1830</v>
      </c>
      <c r="F298" s="260" t="s">
        <v>1837</v>
      </c>
      <c r="G298" s="260" t="s">
        <v>1838</v>
      </c>
      <c r="H298" s="260" t="s">
        <v>1884</v>
      </c>
      <c r="I298" s="260"/>
      <c r="J298" s="260"/>
      <c r="K298" s="260" t="s">
        <v>1885</v>
      </c>
      <c r="L298" s="260" t="s">
        <v>1886</v>
      </c>
      <c r="M298" s="260" t="s">
        <v>1887</v>
      </c>
      <c r="N298" s="260" t="s">
        <v>111</v>
      </c>
      <c r="O298" s="260" t="s">
        <v>112</v>
      </c>
      <c r="P298" s="10">
        <v>713</v>
      </c>
      <c r="Q298" s="11">
        <v>350</v>
      </c>
      <c r="R298" s="9">
        <f t="shared" si="475"/>
        <v>62</v>
      </c>
      <c r="S298" s="11" t="str">
        <f>VLOOKUP(K298,'1124 Agricultura'!$K$13:$AK$25,9,0)</f>
        <v xml:space="preserve">Se priorizaron inicialmente 16 municipios para la entrega de 139 reservorios (Zipaquirá, Nemocón, La Calera, Junín, Machetá, Ubaté, Cucunubá, Fúquene, Madrid, El Rosal, La Mesa, Viotá, El Colegio, Tocaima, Nariño y Beltran). Los predios son seleccionados por los municipios con los criterios establecidos por la Secretaría de Agricultura y Desarrollo Rural los cuales son:
*Propietarios o poseedores de buena fe – certificados por juntas de acción comunal y por la Alcaldía 
*Pequeños productores agropecuarios – lo certifica las oficinas de desarrollo económico o las UMATA
*Que demuestren la necesidad del aprovechamiento del recurso hídrico 
*Que cuenten con el área disponible para la instalación. Preferiblemente terreno plano
El tipo de reservorios a entregar son tipo australiano (desarmables) entre 20.000 y 25.000 litros cada uno.
Para el mes de diciembre entra una adición de recursos con los cuales se llegaran a 10 municipios más entregando 130 reservorios (Anapoima, Cogua, La Peña, Lenguazaque, Sasaima, Simijaca, Susa, Tábio, Tibirita y Villeta) por lo que aumentara lo programado en la vigencia 2021.
 Al 30 de Noviembre se han entregado 62 reservorios así: 6 en La Calera, 40 en Zipaquirá, 10 en Nemocón, 6 en Ubaté. En el mes de noviembre se estima la instalación de reservorios en Zipaquirá, Nemocón, el Rosal y Madrid
</v>
      </c>
      <c r="T298" s="11">
        <v>0</v>
      </c>
      <c r="U298" s="11">
        <v>0</v>
      </c>
      <c r="V298" s="11">
        <v>0</v>
      </c>
      <c r="W298" s="11">
        <v>0</v>
      </c>
      <c r="X298" s="11">
        <v>0</v>
      </c>
      <c r="Y298" s="11">
        <v>0</v>
      </c>
      <c r="Z298" s="11">
        <v>0</v>
      </c>
      <c r="AA298" s="11"/>
      <c r="AB298" s="11"/>
      <c r="AC298" s="11"/>
      <c r="AD298" s="11">
        <v>100</v>
      </c>
      <c r="AE298" s="11">
        <v>0</v>
      </c>
      <c r="AF298" s="11">
        <f>VLOOKUP(K298,'1124 Agricultura'!$K$13:$AK$25,22,0)</f>
        <v>62</v>
      </c>
      <c r="AG298" s="11">
        <f>VLOOKUP(K298,'1124 Agricultura'!$K$13:$AK$25,23,0)</f>
        <v>0</v>
      </c>
      <c r="AH298" s="9">
        <f t="shared" si="476"/>
        <v>62</v>
      </c>
      <c r="AI298" s="9" t="str">
        <f>VLOOKUP(K298,'1124 Agricultura'!$K$13:$AK$25,25,0)</f>
        <v>Predios con Reservorios</v>
      </c>
      <c r="AJ298" s="9" t="str">
        <f>VLOOKUP(K298,'1124 Agricultura'!$K$13:$AK$25,26,0)</f>
        <v xml:space="preserve">Se priorizaron inicialmente 16 municipios para la entrega de 139 reservorios (Zipaquirá, Nemocón, La Calera, Junín, Machetá, Ubaté, Cucunubá, Fúquene, Madrid, El Rosal, La Mesa, Viotá, El Colegio, Tocaima, Nariño y Beltran). Los predios son seleccionados por los municipios con los criterios establecidos por la Secretaría de Agricultura y Desarrollo Rural los cuales son:
*Propietarios o poseedores de buena fe – certificados por juntas de acción comunal y por la Alcaldía 
*Pequeños productores agropecuarios – lo certifica las oficinas de desarrollo económico o las UMATA
*Que demuestren la necesidad del aprovechamiento del recurso hídrico 
*Que cuenten con el área disponible para la instalación. Preferiblemente terreno plano
El tipo de reservorios a entregar son tipo australiano (desarmables) entre 20.000 y 25.000 litros cada uno.
Para el mes de diciembre entra una adición de recursos con los cuales se llegaran a 10 municipios más entregando 130 reservorios (Anapoima, Cogua, La Peña, Lenguazaque, Sasaima, Simijaca, Susa, Tábio, Tibirita y Villeta) por lo que aumentara lo programado en la vigencia 2021.
 Al 30 de Noviembre se han entregado 62 reservorios así: 6 en La Calera, 40 en Zipaquirá, 10 en Nemocón, 6 en Ubaté. En el mes de noviembre se estima la instalación de reservorios en Zipaquirá, Nemocón, el Rosal y Madrid
</v>
      </c>
      <c r="AK298" s="9">
        <f>VLOOKUP(K298,'1124 Agricultura'!$K$13:$AK$25,27,0)</f>
        <v>0</v>
      </c>
      <c r="AL298" s="11">
        <v>200</v>
      </c>
      <c r="AM298" s="11">
        <v>0</v>
      </c>
      <c r="AN298" s="11">
        <v>50</v>
      </c>
      <c r="AO298" s="11">
        <v>0</v>
      </c>
      <c r="AP298" s="11">
        <v>0</v>
      </c>
      <c r="AQ298" s="11">
        <v>0</v>
      </c>
      <c r="AR298" s="52"/>
      <c r="AS298" s="54">
        <v>0</v>
      </c>
      <c r="AT298" s="54">
        <f t="shared" si="469"/>
        <v>0</v>
      </c>
      <c r="AU298" s="52"/>
      <c r="AV298" s="89">
        <v>568000000</v>
      </c>
      <c r="AY298" s="89">
        <v>0</v>
      </c>
      <c r="AZ298" s="42">
        <f t="shared" si="477"/>
        <v>0.17714285714285713</v>
      </c>
      <c r="BA298" s="44">
        <v>0</v>
      </c>
      <c r="BB298" s="44" t="s">
        <v>115</v>
      </c>
      <c r="BC298" s="42">
        <f t="shared" si="478"/>
        <v>0.2857142857142857</v>
      </c>
      <c r="BD298" s="42" cm="1">
        <f t="array" ref="BD298">_xlfn.IFS(AD298=0,"NA",AD298&gt;0,AH298/AD298)</f>
        <v>0.62</v>
      </c>
      <c r="BE298" s="42">
        <f t="shared" si="479"/>
        <v>0.5714285714285714</v>
      </c>
      <c r="BF298" s="44">
        <v>0</v>
      </c>
      <c r="BG298" s="42">
        <f t="shared" si="480"/>
        <v>0.14285714285714285</v>
      </c>
      <c r="BH298" s="44">
        <v>0</v>
      </c>
      <c r="BI298" s="42">
        <f t="shared" si="481"/>
        <v>0</v>
      </c>
      <c r="BJ298" s="44" t="s">
        <v>115</v>
      </c>
      <c r="BK298" s="42">
        <f t="shared" si="470"/>
        <v>0.17714285714285713</v>
      </c>
      <c r="BL298" s="44" t="s">
        <v>115</v>
      </c>
      <c r="BM298" s="42" cm="1">
        <f t="array" ref="BM298">_xlfn.IFS(BD298="NA","NA",BD298&gt;100%,"100%",BD298&lt;100,BD298)</f>
        <v>0.62</v>
      </c>
      <c r="BN298" s="42" cm="1">
        <f t="array" ref="BN298">_xlfn.IFS(BF298="NA","NA",BF298&gt;100%,"100%",BF298&lt;100,BF298)</f>
        <v>0</v>
      </c>
      <c r="BO298" s="42" cm="1">
        <f t="array" ref="BO298">_xlfn.IFS(BH298="NA","NA",BH298&gt;100%,"100%",BH298&lt;100,BH298)</f>
        <v>0</v>
      </c>
      <c r="BP298" s="42" t="str" cm="1">
        <f t="array" ref="BP298">_xlfn.IFS(BJ298="NA","NA",BJ298&gt;100%,"100%",BJ298&lt;100,BJ298)</f>
        <v>NA</v>
      </c>
      <c r="BQ298" s="45">
        <v>0.22500000000000001</v>
      </c>
      <c r="BR298" s="43">
        <f t="shared" si="471"/>
        <v>3.9857142857142855E-2</v>
      </c>
      <c r="BS298" s="45">
        <v>0</v>
      </c>
      <c r="BT298" s="45" t="s">
        <v>115</v>
      </c>
      <c r="BU298" s="45">
        <v>0</v>
      </c>
      <c r="BV298" s="43">
        <f t="shared" si="482"/>
        <v>6.4285714285714279E-2</v>
      </c>
      <c r="BW298" s="43">
        <f t="shared" si="472"/>
        <v>3.9857142857142855E-2</v>
      </c>
      <c r="BX298" s="43">
        <f t="shared" si="473"/>
        <v>3.9857142857142855E-2</v>
      </c>
      <c r="BY298" s="43">
        <f t="shared" si="483"/>
        <v>0.12857142857142856</v>
      </c>
      <c r="BZ298" s="43">
        <f t="shared" si="484"/>
        <v>0</v>
      </c>
      <c r="CA298" s="43">
        <f t="shared" si="474"/>
        <v>0</v>
      </c>
      <c r="CB298" s="43">
        <f t="shared" si="485"/>
        <v>3.214285714285714E-2</v>
      </c>
      <c r="CC298" s="43">
        <f t="shared" si="486"/>
        <v>0</v>
      </c>
      <c r="CD298" s="45">
        <v>0</v>
      </c>
      <c r="CE298" s="43">
        <f t="shared" si="487"/>
        <v>0</v>
      </c>
      <c r="CF298" s="43" t="str">
        <f t="shared" si="488"/>
        <v>NA</v>
      </c>
      <c r="CG298" s="45">
        <v>0</v>
      </c>
    </row>
    <row r="299" spans="1:90" ht="18" customHeight="1">
      <c r="A299" s="260" t="s">
        <v>1826</v>
      </c>
      <c r="B299" s="260" t="s">
        <v>1827</v>
      </c>
      <c r="C299" s="260" t="s">
        <v>1828</v>
      </c>
      <c r="D299" s="260" t="s">
        <v>1829</v>
      </c>
      <c r="E299" s="260" t="s">
        <v>1830</v>
      </c>
      <c r="F299" s="260" t="s">
        <v>1837</v>
      </c>
      <c r="G299" s="260" t="s">
        <v>1838</v>
      </c>
      <c r="H299" s="260" t="s">
        <v>1888</v>
      </c>
      <c r="I299" s="260"/>
      <c r="J299" s="260"/>
      <c r="K299" s="260" t="s">
        <v>1889</v>
      </c>
      <c r="L299" s="260" t="s">
        <v>1890</v>
      </c>
      <c r="M299" s="260" t="s">
        <v>1891</v>
      </c>
      <c r="N299" s="260" t="s">
        <v>123</v>
      </c>
      <c r="O299" s="260" t="s">
        <v>124</v>
      </c>
      <c r="P299" s="10">
        <v>100</v>
      </c>
      <c r="Q299" s="11">
        <v>100</v>
      </c>
      <c r="R299" s="11">
        <f t="shared" ref="R299:R300" si="489">(Z299+AH299)/CL299</f>
        <v>48.907499999999999</v>
      </c>
      <c r="S299" s="11" t="str">
        <f>VLOOKUP(K299,'1121 Ambiente'!$K$13:$AK$38,9,0)</f>
        <v xml:space="preserve">Para la vigencia 2020 se realizó la transferencia de recursos destinados a agua potable y saneamiento básico en un 100%, para la vigencia 2021 se tiene un avance correspondiente a la transferencia de los recursos de $18.535.000.000
</v>
      </c>
      <c r="T299" s="11">
        <v>0</v>
      </c>
      <c r="U299" s="11">
        <v>100</v>
      </c>
      <c r="V299" s="11">
        <v>0</v>
      </c>
      <c r="W299" s="11">
        <v>100</v>
      </c>
      <c r="X299" s="11" t="s">
        <v>115</v>
      </c>
      <c r="Y299" s="11">
        <v>100</v>
      </c>
      <c r="Z299" s="11">
        <v>100</v>
      </c>
      <c r="AA299" s="11" t="s">
        <v>1892</v>
      </c>
      <c r="AB299" s="11" t="s">
        <v>1893</v>
      </c>
      <c r="AC299" s="11">
        <v>0</v>
      </c>
      <c r="AD299" s="11">
        <v>0</v>
      </c>
      <c r="AE299" s="11">
        <v>100</v>
      </c>
      <c r="AF299" s="11">
        <f>VLOOKUP(K299,'1121 Ambiente'!$K$13:$AK$38,22,0)</f>
        <v>0</v>
      </c>
      <c r="AG299" s="11">
        <f>VLOOKUP(K299,'1121 Ambiente'!$K$13:$AK$38,23,0)</f>
        <v>95.63</v>
      </c>
      <c r="AH299" s="11">
        <f t="shared" ref="AH299:AH300" si="490">AG299</f>
        <v>95.63</v>
      </c>
      <c r="AI299" s="9" t="str">
        <f>VLOOKUP(K299,'1121 Ambiente'!$K$13:$AK$38,25,0)</f>
        <v>0.95% transferidos para el PDA</v>
      </c>
      <c r="AJ299" s="9" t="str">
        <f>VLOOKUP(K299,'1121 Ambiente'!$K$13:$AK$38,26,0)</f>
        <v>Los recursos desembolsados no corresponden al 95, 63%, sino un valor menor valor.
Para el mes de Septeimbre se transfirieron 10.000.000.000 de recursos ordinarios al FIA( tercer desembolso), corresponde al 75% y se giraron 6.180.000.000 de los recursos de SGP (2 desembolso), corresponde al 50% 
Teniendo en cuenta lo anterior se puede deducir que la meta total va en un 62,5%</v>
      </c>
      <c r="AK299" s="9">
        <f>VLOOKUP(K299,'1121 Ambiente'!$K$13:$AK$38,27,0)</f>
        <v>0</v>
      </c>
      <c r="AL299" s="11">
        <v>0</v>
      </c>
      <c r="AM299" s="11">
        <v>100</v>
      </c>
      <c r="AN299" s="11">
        <v>0</v>
      </c>
      <c r="AO299" s="11">
        <v>100</v>
      </c>
      <c r="AP299" s="11">
        <v>0</v>
      </c>
      <c r="AQ299" s="11">
        <v>0</v>
      </c>
      <c r="AR299" s="51">
        <v>41517183293</v>
      </c>
      <c r="AS299" s="54">
        <v>0</v>
      </c>
      <c r="AT299" s="54">
        <f t="shared" si="469"/>
        <v>41517183293</v>
      </c>
      <c r="AU299" s="51">
        <v>31827445696</v>
      </c>
      <c r="AV299" s="89">
        <v>70143994959</v>
      </c>
      <c r="AY299" s="89">
        <v>0</v>
      </c>
      <c r="AZ299" s="44" cm="1">
        <f t="array" ref="AZ299">_xlfn.IFS((BA299=0),(BD299/CL299),(BA299&gt;0),((BB299+BD299)/CL299),(BE299&gt;0),((BB299+BD299+BE299)/CL299),(BG299&gt;0),((BB299+BD299+BE299+G299)/CL299))</f>
        <v>0.48907499999999998</v>
      </c>
      <c r="BA299" s="44">
        <v>0.25</v>
      </c>
      <c r="BB299" s="44">
        <v>1</v>
      </c>
      <c r="BC299" s="44">
        <f t="shared" ref="BC299:BC300" si="491">IF(AE299&gt;0,(1/CL299),0)</f>
        <v>0.25</v>
      </c>
      <c r="BD299" s="44" cm="1">
        <f t="array" ref="BD299">_xlfn.IFS(AE299=0,"NA",AE299&gt;0,AH299/AE299)</f>
        <v>0.95629999999999993</v>
      </c>
      <c r="BE299" s="44">
        <f t="shared" ref="BE299:BE300" si="492">IF(AM299&gt;0,(1/CL299),0)</f>
        <v>0.25</v>
      </c>
      <c r="BF299" s="44">
        <v>0</v>
      </c>
      <c r="BG299" s="44">
        <f t="shared" ref="BG299:BG300" si="493">IF(AO299&gt;0,(1/CL299),0)</f>
        <v>0.25</v>
      </c>
      <c r="BH299" s="44">
        <v>0</v>
      </c>
      <c r="BI299" s="44">
        <v>0</v>
      </c>
      <c r="BJ299" s="44" t="s">
        <v>115</v>
      </c>
      <c r="BK299" s="44">
        <f t="shared" si="470"/>
        <v>0.48907499999999998</v>
      </c>
      <c r="BL299" s="44">
        <v>1</v>
      </c>
      <c r="BM299" s="42" cm="1">
        <f t="array" ref="BM299">_xlfn.IFS(BD299="NA","NA",BD299&gt;100%,"100%",BD299&lt;100,BD299)</f>
        <v>0.95629999999999993</v>
      </c>
      <c r="BN299" s="44">
        <v>0</v>
      </c>
      <c r="BO299" s="44">
        <v>0</v>
      </c>
      <c r="BP299" s="44" t="s">
        <v>115</v>
      </c>
      <c r="BQ299" s="45">
        <v>0.22500000000000001</v>
      </c>
      <c r="BR299" s="43">
        <f t="shared" si="471"/>
        <v>0.110041875</v>
      </c>
      <c r="BS299" s="45">
        <v>5.6300000000000003E-2</v>
      </c>
      <c r="BT299" s="45">
        <v>5.6300000000000003E-2</v>
      </c>
      <c r="BU299" s="45">
        <v>5.6300000000000003E-2</v>
      </c>
      <c r="BV299" s="45">
        <v>5.6300000000000003E-2</v>
      </c>
      <c r="BW299" s="43">
        <f t="shared" si="472"/>
        <v>5.3839689999999996E-2</v>
      </c>
      <c r="BX299" s="43">
        <f t="shared" si="473"/>
        <v>5.3741874999999995E-2</v>
      </c>
      <c r="BY299" s="45">
        <v>5.6300000000000003E-2</v>
      </c>
      <c r="BZ299" s="45">
        <v>0</v>
      </c>
      <c r="CA299" s="43">
        <f t="shared" si="474"/>
        <v>0</v>
      </c>
      <c r="CB299" s="45">
        <v>5.6300000000000003E-2</v>
      </c>
      <c r="CC299" s="45">
        <v>0</v>
      </c>
      <c r="CD299" s="45">
        <v>0</v>
      </c>
      <c r="CE299" s="45">
        <v>0</v>
      </c>
      <c r="CF299" s="45" t="s">
        <v>115</v>
      </c>
      <c r="CG299" s="45">
        <v>0</v>
      </c>
      <c r="CH299">
        <f t="shared" ref="CH299:CH300" si="494">IF(W299&gt;0,1,0)</f>
        <v>1</v>
      </c>
      <c r="CI299">
        <f t="shared" ref="CI299:CI300" si="495">IF(AE299&gt;0,1,0)</f>
        <v>1</v>
      </c>
      <c r="CJ299">
        <f t="shared" ref="CJ299:CJ300" si="496">IF(AM299&gt;0,1,0)</f>
        <v>1</v>
      </c>
      <c r="CK299">
        <f t="shared" ref="CK299:CK300" si="497">IF(AO299&gt;0,1,0)</f>
        <v>1</v>
      </c>
      <c r="CL299">
        <f t="shared" ref="CL299:CL300" si="498">CH299+CI299+CJ299+CK299</f>
        <v>4</v>
      </c>
    </row>
    <row r="300" spans="1:90" ht="18" customHeight="1">
      <c r="A300" s="260" t="s">
        <v>98</v>
      </c>
      <c r="B300" s="260" t="s">
        <v>99</v>
      </c>
      <c r="C300" s="260" t="s">
        <v>1828</v>
      </c>
      <c r="D300" s="260" t="s">
        <v>1829</v>
      </c>
      <c r="E300" s="260" t="s">
        <v>1830</v>
      </c>
      <c r="F300" s="260" t="s">
        <v>1843</v>
      </c>
      <c r="G300" s="260" t="s">
        <v>1844</v>
      </c>
      <c r="H300" s="260" t="s">
        <v>1894</v>
      </c>
      <c r="I300" s="260" t="s">
        <v>200</v>
      </c>
      <c r="J300" s="260" t="s">
        <v>1895</v>
      </c>
      <c r="K300" s="260" t="s">
        <v>1896</v>
      </c>
      <c r="L300" s="260" t="s">
        <v>1897</v>
      </c>
      <c r="M300" s="260" t="s">
        <v>1898</v>
      </c>
      <c r="N300" s="260" t="s">
        <v>111</v>
      </c>
      <c r="O300" s="260" t="s">
        <v>124</v>
      </c>
      <c r="P300" s="10">
        <v>0</v>
      </c>
      <c r="Q300" s="11">
        <v>7</v>
      </c>
      <c r="R300" s="11">
        <f t="shared" si="489"/>
        <v>3.5</v>
      </c>
      <c r="S300" s="9" t="str">
        <f>VLOOKUP(K300,'1197 Salud'!$K$13:$AK$54,9,0)</f>
        <v>Se implementaron los 7 planes de acción de las mesas técnicas de agua, aire, alimentos seguridad alimentaria y nutrición, zoonosis, sustancias químicas, residuos sólidos y entornos saludables. y se realizara el seguimiento trimestral a la ejecución de los planes de acción de las mesas técnicas de agua, aire, alimentos seguridad alimentaria y nutrición, zoonosis, sustancias químicas, residuos sólidos y entornos saludables.</v>
      </c>
      <c r="T300" s="11">
        <v>0</v>
      </c>
      <c r="U300" s="11">
        <v>7</v>
      </c>
      <c r="V300" s="11">
        <v>0</v>
      </c>
      <c r="W300" s="11">
        <v>7</v>
      </c>
      <c r="X300" s="11" t="s">
        <v>115</v>
      </c>
      <c r="Y300" s="11">
        <v>7</v>
      </c>
      <c r="Z300" s="11">
        <v>7</v>
      </c>
      <c r="AA300" s="11" t="s">
        <v>1899</v>
      </c>
      <c r="AB300" s="11" t="s">
        <v>1900</v>
      </c>
      <c r="AC300" s="11" t="s">
        <v>1901</v>
      </c>
      <c r="AD300" s="11">
        <v>0</v>
      </c>
      <c r="AE300" s="11">
        <v>7</v>
      </c>
      <c r="AF300" s="9">
        <f>VLOOKUP(K300,'1197 Salud'!$K$13:$AK$54,22,0)</f>
        <v>0</v>
      </c>
      <c r="AG300" s="9">
        <f>VLOOKUP(K300,'1197 Salud'!$K$13:$AK$54,23,0)</f>
        <v>7</v>
      </c>
      <c r="AH300" s="11">
        <f t="shared" si="490"/>
        <v>7</v>
      </c>
      <c r="AI300" s="9" t="str">
        <f>VLOOKUP(K300,'1197 Salud'!$K$13:$AK$54,25,0)</f>
        <v>Planes de acción COTSACUN implementados</v>
      </c>
      <c r="AJ300" s="9">
        <f>VLOOKUP(K300,'1197 Salud'!$K$13:$AK$54,26,0)</f>
        <v>0</v>
      </c>
      <c r="AK300" s="9">
        <f>VLOOKUP(K300,'1197 Salud'!$K$13:$AK$54,27,0)</f>
        <v>0</v>
      </c>
      <c r="AL300" s="11">
        <v>0</v>
      </c>
      <c r="AM300" s="11">
        <v>7</v>
      </c>
      <c r="AN300" s="11">
        <v>0</v>
      </c>
      <c r="AO300" s="11">
        <v>7</v>
      </c>
      <c r="AP300" s="11">
        <v>0</v>
      </c>
      <c r="AQ300" s="11">
        <v>0</v>
      </c>
      <c r="AR300" s="51">
        <v>178336671</v>
      </c>
      <c r="AS300" s="54">
        <v>0</v>
      </c>
      <c r="AT300" s="54">
        <f t="shared" si="469"/>
        <v>178336671</v>
      </c>
      <c r="AU300" s="51">
        <v>103891102</v>
      </c>
      <c r="AV300" s="89">
        <v>1217960011</v>
      </c>
      <c r="AY300" s="89">
        <v>1182292500</v>
      </c>
      <c r="AZ300" s="44" cm="1">
        <f t="array" ref="AZ300">_xlfn.IFS((BA300=0),(BD300/CL300),(BA300&gt;0),((BB300+BD300)/CL300),(BE300&gt;0),((BB300+BD300+BE300)/CL300),(BG300&gt;0),((BB300+BD300+BE300+G300)/CL300))</f>
        <v>0.5</v>
      </c>
      <c r="BA300" s="44">
        <v>0.25</v>
      </c>
      <c r="BB300" s="44">
        <v>1</v>
      </c>
      <c r="BC300" s="44">
        <f t="shared" si="491"/>
        <v>0.25</v>
      </c>
      <c r="BD300" s="44" cm="1">
        <f t="array" ref="BD300">_xlfn.IFS(AE300=0,"NA",AE300&gt;0,AH300/AE300)</f>
        <v>1</v>
      </c>
      <c r="BE300" s="44">
        <f t="shared" si="492"/>
        <v>0.25</v>
      </c>
      <c r="BF300" s="44">
        <v>0</v>
      </c>
      <c r="BG300" s="44">
        <f t="shared" si="493"/>
        <v>0.25</v>
      </c>
      <c r="BH300" s="44">
        <v>0</v>
      </c>
      <c r="BI300" s="44">
        <v>0</v>
      </c>
      <c r="BJ300" s="44" t="s">
        <v>115</v>
      </c>
      <c r="BK300" s="44">
        <f t="shared" si="470"/>
        <v>0.5</v>
      </c>
      <c r="BL300" s="44">
        <v>1</v>
      </c>
      <c r="BM300" s="42" cm="1">
        <f t="array" ref="BM300">_xlfn.IFS(BD300="NA","NA",BD300&gt;100%,"100%",BD300&lt;100,BD300)</f>
        <v>1</v>
      </c>
      <c r="BN300" s="44">
        <v>0</v>
      </c>
      <c r="BO300" s="44">
        <v>0</v>
      </c>
      <c r="BP300" s="44" t="s">
        <v>115</v>
      </c>
      <c r="BQ300" s="45">
        <v>0.22500000000000001</v>
      </c>
      <c r="BR300" s="43">
        <f t="shared" si="471"/>
        <v>0.1125</v>
      </c>
      <c r="BS300" s="45">
        <v>5.6300000000000003E-2</v>
      </c>
      <c r="BT300" s="45">
        <v>5.6300000000000003E-2</v>
      </c>
      <c r="BU300" s="45">
        <v>5.6300000000000003E-2</v>
      </c>
      <c r="BV300" s="45">
        <v>5.6300000000000003E-2</v>
      </c>
      <c r="BW300" s="43">
        <f t="shared" si="472"/>
        <v>5.6300000000000003E-2</v>
      </c>
      <c r="BX300" s="43">
        <f t="shared" si="473"/>
        <v>5.62E-2</v>
      </c>
      <c r="BY300" s="45">
        <v>5.6300000000000003E-2</v>
      </c>
      <c r="BZ300" s="45">
        <v>0</v>
      </c>
      <c r="CA300" s="43">
        <f t="shared" si="474"/>
        <v>0</v>
      </c>
      <c r="CB300" s="45">
        <v>5.6300000000000003E-2</v>
      </c>
      <c r="CC300" s="45">
        <v>0</v>
      </c>
      <c r="CD300" s="45">
        <v>0</v>
      </c>
      <c r="CE300" s="45">
        <v>0</v>
      </c>
      <c r="CF300" s="45" t="s">
        <v>115</v>
      </c>
      <c r="CG300" s="45">
        <v>0</v>
      </c>
      <c r="CH300">
        <f t="shared" si="494"/>
        <v>1</v>
      </c>
      <c r="CI300">
        <f t="shared" si="495"/>
        <v>1</v>
      </c>
      <c r="CJ300">
        <f t="shared" si="496"/>
        <v>1</v>
      </c>
      <c r="CK300">
        <f t="shared" si="497"/>
        <v>1</v>
      </c>
      <c r="CL300">
        <f t="shared" si="498"/>
        <v>4</v>
      </c>
    </row>
    <row r="301" spans="1:90" ht="18" customHeight="1">
      <c r="A301" s="260" t="s">
        <v>98</v>
      </c>
      <c r="B301" s="260" t="s">
        <v>99</v>
      </c>
      <c r="C301" s="260" t="s">
        <v>1828</v>
      </c>
      <c r="D301" s="260" t="s">
        <v>1829</v>
      </c>
      <c r="E301" s="260" t="s">
        <v>1830</v>
      </c>
      <c r="F301" s="260" t="s">
        <v>1843</v>
      </c>
      <c r="G301" s="260" t="s">
        <v>1844</v>
      </c>
      <c r="H301" s="260" t="s">
        <v>1902</v>
      </c>
      <c r="I301" s="260" t="s">
        <v>1903</v>
      </c>
      <c r="J301" s="12" t="s">
        <v>393</v>
      </c>
      <c r="K301" s="260" t="s">
        <v>1904</v>
      </c>
      <c r="L301" s="260" t="s">
        <v>1905</v>
      </c>
      <c r="M301" s="260" t="s">
        <v>1906</v>
      </c>
      <c r="N301" s="260" t="s">
        <v>111</v>
      </c>
      <c r="O301" s="260" t="s">
        <v>112</v>
      </c>
      <c r="P301" s="10">
        <v>25</v>
      </c>
      <c r="Q301" s="11">
        <v>40</v>
      </c>
      <c r="R301" s="9">
        <f t="shared" ref="R301:R313" si="499">Z301+AH301</f>
        <v>17</v>
      </c>
      <c r="S301" s="9" t="str">
        <f>VLOOKUP(K301,'1197 Salud'!$K$13:$AK$54,9,0)</f>
        <v>Se han elaboraron 16 mapas de riesgo de fuentes de abastecimiento de los sistemas de acueducto ubicados en los municipios  de Choconta (4), el Colegio (2), Anolaima (1),  Mesa (1), Suesca (1) , la Calera (2), Subachoque (4), Sesquile (1) , Subachoque (1)</v>
      </c>
      <c r="T301" s="11">
        <v>5</v>
      </c>
      <c r="U301" s="11">
        <v>0</v>
      </c>
      <c r="V301" s="11">
        <v>5</v>
      </c>
      <c r="W301" s="11">
        <v>0</v>
      </c>
      <c r="X301" s="11">
        <v>5</v>
      </c>
      <c r="Y301" s="11">
        <v>0</v>
      </c>
      <c r="Z301" s="11">
        <v>5</v>
      </c>
      <c r="AA301" s="11" t="s">
        <v>1907</v>
      </c>
      <c r="AB301" s="11" t="s">
        <v>1908</v>
      </c>
      <c r="AC301" s="11" t="s">
        <v>1909</v>
      </c>
      <c r="AD301" s="11">
        <v>15</v>
      </c>
      <c r="AE301" s="11">
        <v>0</v>
      </c>
      <c r="AF301" s="9">
        <f>VLOOKUP(K301,'1197 Salud'!$K$13:$AK$54,22,0)</f>
        <v>12</v>
      </c>
      <c r="AG301" s="9">
        <f>VLOOKUP(K301,'1197 Salud'!$K$13:$AK$54,23,0)</f>
        <v>0</v>
      </c>
      <c r="AH301" s="9">
        <f t="shared" ref="AH301:AH313" si="500">AF301</f>
        <v>12</v>
      </c>
      <c r="AI301" s="9" t="str">
        <f>VLOOKUP(K301,'1197 Salud'!$K$13:$AK$54,25,0)</f>
        <v>Mapas de riesgo Elaborados</v>
      </c>
      <c r="AJ301" s="9" t="str">
        <f>VLOOKUP(K301,'1197 Salud'!$K$13:$AK$54,26,0)</f>
        <v>Apoyo interinstitucional entre Empresas Públicas de Cundinamarca - EPC y la Secretaria de Salud de Cundinamarca, para apoyar a los acueductos rurales en las tomas de muestra de Anexo 1 para la elaboración de  los mapas de riesgo de la calidad del agua para consumo humano, y en los diseños de los sistemas de tratamiento, con el fin de otorgar el respectivo mapa de riesgo de Agua para Consumo Humano de las fentes Hídricas: en los municipios de choconta (2)  ,el colegio  (2),la  mesa (1) , la calera (1) , Suesca (1) Anolaima (1), municipio de Subachoque (2), Municipio de Sesquile (1), Municipio de Subachoque (1)</v>
      </c>
      <c r="AK301" s="9" t="str">
        <f>VLOOKUP(K301,'1197 Salud'!$K$13:$AK$54,27,0)</f>
        <v>N/A</v>
      </c>
      <c r="AL301" s="11">
        <v>10</v>
      </c>
      <c r="AM301" s="11">
        <v>0</v>
      </c>
      <c r="AN301" s="11">
        <v>10</v>
      </c>
      <c r="AO301" s="11">
        <v>0</v>
      </c>
      <c r="AP301" s="11">
        <v>0</v>
      </c>
      <c r="AQ301" s="11">
        <v>0</v>
      </c>
      <c r="AR301" s="51">
        <v>36464802</v>
      </c>
      <c r="AS301" s="54">
        <v>0</v>
      </c>
      <c r="AT301" s="54">
        <f t="shared" si="469"/>
        <v>36464802</v>
      </c>
      <c r="AU301" s="51">
        <v>20409156</v>
      </c>
      <c r="AV301" s="89">
        <v>261272384</v>
      </c>
      <c r="AY301" s="89">
        <v>138395190</v>
      </c>
      <c r="AZ301" s="42">
        <f t="shared" ref="AZ301:AZ313" si="501">R301/Q301</f>
        <v>0.42499999999999999</v>
      </c>
      <c r="BA301" s="44">
        <v>0.125</v>
      </c>
      <c r="BB301" s="44">
        <v>1</v>
      </c>
      <c r="BC301" s="42">
        <f t="shared" ref="BC301:BC313" si="502">AD301/Q301</f>
        <v>0.375</v>
      </c>
      <c r="BD301" s="42" cm="1">
        <f t="array" ref="BD301">_xlfn.IFS(AD301=0,"NA",AD301&gt;0,AH301/AD301)</f>
        <v>0.8</v>
      </c>
      <c r="BE301" s="42">
        <f t="shared" ref="BE301:BE313" si="503">AL301/Q301</f>
        <v>0.25</v>
      </c>
      <c r="BF301" s="44">
        <v>0</v>
      </c>
      <c r="BG301" s="42">
        <f t="shared" ref="BG301:BG313" si="504">AN301/Q301</f>
        <v>0.25</v>
      </c>
      <c r="BH301" s="44">
        <v>0</v>
      </c>
      <c r="BI301" s="42">
        <f t="shared" ref="BI301:BI313" si="505">AP301/Q301</f>
        <v>0</v>
      </c>
      <c r="BJ301" s="44" t="s">
        <v>115</v>
      </c>
      <c r="BK301" s="42">
        <f t="shared" si="470"/>
        <v>0.42499999999999999</v>
      </c>
      <c r="BL301" s="44">
        <v>1</v>
      </c>
      <c r="BM301" s="42" cm="1">
        <f t="array" ref="BM301">_xlfn.IFS(BD301="NA","NA",BD301&gt;100%,"100%",BD301&lt;100,BD301)</f>
        <v>0.8</v>
      </c>
      <c r="BN301" s="42" cm="1">
        <f t="array" ref="BN301">_xlfn.IFS(BF301="NA","NA",BF301&gt;100%,"100%",BF301&lt;100,BF301)</f>
        <v>0</v>
      </c>
      <c r="BO301" s="42" cm="1">
        <f t="array" ref="BO301">_xlfn.IFS(BH301="NA","NA",BH301&gt;100%,"100%",BH301&lt;100,BH301)</f>
        <v>0</v>
      </c>
      <c r="BP301" s="42" t="str" cm="1">
        <f t="array" ref="BP301">_xlfn.IFS(BJ301="NA","NA",BJ301&gt;100%,"100%",BJ301&lt;100,BJ301)</f>
        <v>NA</v>
      </c>
      <c r="BQ301" s="45">
        <v>0.22500000000000001</v>
      </c>
      <c r="BR301" s="43">
        <f t="shared" si="471"/>
        <v>9.5625000000000002E-2</v>
      </c>
      <c r="BS301" s="45">
        <v>2.81E-2</v>
      </c>
      <c r="BT301" s="45">
        <v>2.81E-2</v>
      </c>
      <c r="BU301" s="45">
        <v>2.81E-2</v>
      </c>
      <c r="BV301" s="43">
        <f t="shared" ref="BV301:BV313" si="506">(AD301*BQ301)/Q301</f>
        <v>8.4375000000000006E-2</v>
      </c>
      <c r="BW301" s="43">
        <f t="shared" si="472"/>
        <v>6.7500000000000004E-2</v>
      </c>
      <c r="BX301" s="43">
        <f t="shared" si="473"/>
        <v>6.7525000000000002E-2</v>
      </c>
      <c r="BY301" s="43">
        <f t="shared" ref="BY301:BY313" si="507">(AL301*BQ301)/Q301</f>
        <v>5.6250000000000001E-2</v>
      </c>
      <c r="BZ301" s="43">
        <f t="shared" ref="BZ301:BZ313" si="508">IF(BN301="NA","NA",BN301*BY301)</f>
        <v>0</v>
      </c>
      <c r="CA301" s="43">
        <f t="shared" si="474"/>
        <v>0</v>
      </c>
      <c r="CB301" s="43">
        <f t="shared" ref="CB301:CB313" si="509">(AN301*BQ301)/Q301</f>
        <v>5.6250000000000001E-2</v>
      </c>
      <c r="CC301" s="43">
        <f t="shared" ref="CC301:CC313" si="510">IF(BO301="NA","NA",BO301*CB301)</f>
        <v>0</v>
      </c>
      <c r="CD301" s="45">
        <v>0</v>
      </c>
      <c r="CE301" s="43">
        <f t="shared" ref="CE301:CE313" si="511">(AP301*BQ301)/Q301</f>
        <v>0</v>
      </c>
      <c r="CF301" s="43" t="str">
        <f t="shared" ref="CF301:CF313" si="512">IF(BP301="NA","NA",BP301*CE301)</f>
        <v>NA</v>
      </c>
      <c r="CG301" s="45">
        <v>0</v>
      </c>
    </row>
    <row r="302" spans="1:90" ht="30.75" customHeight="1">
      <c r="A302" s="260" t="s">
        <v>1387</v>
      </c>
      <c r="B302" s="260" t="s">
        <v>1388</v>
      </c>
      <c r="C302" s="260" t="s">
        <v>1828</v>
      </c>
      <c r="D302" s="260" t="s">
        <v>1829</v>
      </c>
      <c r="E302" s="260" t="s">
        <v>1910</v>
      </c>
      <c r="F302" s="260" t="s">
        <v>1849</v>
      </c>
      <c r="G302" s="260" t="s">
        <v>1850</v>
      </c>
      <c r="H302" s="260" t="s">
        <v>1911</v>
      </c>
      <c r="I302" s="260"/>
      <c r="J302" s="260"/>
      <c r="K302" s="260" t="s">
        <v>1912</v>
      </c>
      <c r="L302" s="12" t="s">
        <v>1913</v>
      </c>
      <c r="M302" s="260" t="s">
        <v>1914</v>
      </c>
      <c r="N302" s="260" t="s">
        <v>111</v>
      </c>
      <c r="O302" s="260" t="s">
        <v>112</v>
      </c>
      <c r="P302" s="10">
        <v>55</v>
      </c>
      <c r="Q302" s="11">
        <v>15</v>
      </c>
      <c r="R302" s="9">
        <f t="shared" si="499"/>
        <v>5</v>
      </c>
      <c r="S302" s="11">
        <f>VLOOKUP(K302,'1285 EPC'!$K$13:$AK$35,9,0)</f>
        <v>0</v>
      </c>
      <c r="T302" s="11">
        <v>0</v>
      </c>
      <c r="U302" s="11">
        <v>0</v>
      </c>
      <c r="V302" s="11">
        <v>0.8</v>
      </c>
      <c r="W302" s="11">
        <v>0</v>
      </c>
      <c r="X302" s="11">
        <v>0</v>
      </c>
      <c r="Y302" s="11">
        <v>0</v>
      </c>
      <c r="Z302" s="11">
        <v>0</v>
      </c>
      <c r="AA302" s="11"/>
      <c r="AB302" s="11"/>
      <c r="AC302" s="11"/>
      <c r="AD302" s="11">
        <v>5.2</v>
      </c>
      <c r="AE302" s="11">
        <v>0</v>
      </c>
      <c r="AF302" s="11">
        <f>VLOOKUP(K302,'1285 EPC'!$K$13:$AK$35,22,0)</f>
        <v>5</v>
      </c>
      <c r="AG302" s="11">
        <f>VLOOKUP(K302,'1285 EPC'!$K$13:$AK$35,23,0)</f>
        <v>0</v>
      </c>
      <c r="AH302" s="9">
        <f t="shared" si="500"/>
        <v>5</v>
      </c>
      <c r="AI302" s="9" t="str">
        <f>VLOOKUP(K302,'1285 EPC'!$K$13:$AK$35,25,0)</f>
        <v>Plantas de tratamiento de agua residual</v>
      </c>
      <c r="AJ302" s="9" t="str">
        <f>VLOOKUP(K302,'1285 EPC'!$K$13:$AK$35,26,0)</f>
        <v>PTAR en operación
5 PTAR en operación:  Manta, Tenjo, Mosquera, Junín, Tena PTAR y Emisario final urbanización sueños del Castillo 
Proyecto de Colectores Terminados
Construcción de colectores y emisarios final fase 2 (alcantarillado residual) para el centro poblado La Peña Negra municipio de Cachipay
Proyectos en ejecución
Se continua con la ejecución del proyecto de Vergara, dando cumplimiento con la programación aprobada por la interventoría.
De otro lado se adelanta la reformulación interna del proyecto de la PTAR de gama san Roque, con el fin de obtener los recursos para el componente eléctrico que requiere el mismo para ser funcional. Se logro la aprobación de recursos para la reformulación interna del proyecto en el comité Directivo N 110, se está adelantando el modificatorio, se estima dar reinicio a su ejecución el 20/10/2021.
proyecto de Paratebueno ya se cuentan con los permisos los cuales permiten dar pronto reinicio a la ejecución del proyecto, referente al permiso por parte de Corporinoquia, se informa que tan pronto se tenga la construcción de la PTAR será otorgado, así mismo con el proyecto de Gachetá, incluye la construcción de la PTAR que tiene un valor aproximado de $2 mil millones de pesos y el proyecto cuenta con un avance del 33%.
Diseños terminados:
PTAR de Tausa, Cucunuba y Yacopí, Ubaque, Guaduas, Anolaima, Pasca
Aprobación del permiso de vertimientos:
PTAR Granada.
Diseño de Colectores e Interceptores y PTAR aprobados:
- EPC-CI-073-2019 Chipaque
- EPC-CI-077-2017 Anapoima
- EPC-PDA-C-353-2019 Ubaque
- EPC-PDA-363-2019 Guaduas
EPC-PDA-C-339-2019 PTAR Urbana Vianí
Viabilización de proyectos
PTAR Sopó - En evaluación
PTAR Útica – Evaluación
Construcción y/o optimización de sistema de alcantarillado y emisario final del sector El Hato, municipio de La Mesa viabilizado el 8/11/2021
Proyectos en contratación 
colector de Funza
Radicados en la CAR y ventanilla: 
Cucunubá – PTAR
PTAR Tausa
Diagnóstico, actualización y ajuste al diseño de la Planta de Tratamiento de Aguas Residuales del centro poblado Maya del municipio de Paratebueno radicado a MVD el 23/11/2021
Se encuentran en etapa de alistamiento y ajustes de observaciones
PTAR Gachancipá - En alistamiento
PTAR Facatativá - En ajustes
PTAR Funza - En ajustes
PTAR La Calera - En ajustes
En el período, se realizaron 12 capacitaciones a los operadores de las PTAR de los municipios para implementación de las “Buenas Prácticas Operativas en el Tratamiento de Aguas Residuales”, fortaleciendo el manejo de las diferentes operaciones unitarias que intervienen en el proceso de tratamiento tales como filtración, sedimentación, adsorción, clarificación, cribado, y el tratamiento secundario según correspondió y además el uso de la instrumentación básica requerida para el manejo de estas.
 En el mes de agosto, se realizó diagnósticos técnico operativo a 12 PTAR del departamento de Cundinamarca, que se encuentran priorizadas en el Plan de Aseguramiento 2021.</v>
      </c>
      <c r="AK302" s="9" t="str">
        <f>VLOOKUP(K302,'1285 EPC'!$K$13:$AK$35,27,0)</f>
        <v>Atención de observaciones por parte de la consultoría.Mayores tiempos de revisión debido a que no se contaba con el profesional especializado para la evaluación de los proyectos</v>
      </c>
      <c r="AL302" s="11">
        <v>1</v>
      </c>
      <c r="AM302" s="11">
        <v>0</v>
      </c>
      <c r="AN302" s="11">
        <v>8</v>
      </c>
      <c r="AO302" s="11">
        <v>0</v>
      </c>
      <c r="AP302" s="11">
        <v>0</v>
      </c>
      <c r="AQ302" s="11">
        <v>0</v>
      </c>
      <c r="AR302" s="52"/>
      <c r="AS302" s="54">
        <v>0</v>
      </c>
      <c r="AT302" s="54">
        <f t="shared" si="469"/>
        <v>0</v>
      </c>
      <c r="AU302" s="52"/>
      <c r="AV302" s="89">
        <v>2515023509</v>
      </c>
      <c r="AY302" s="89">
        <v>4038776</v>
      </c>
      <c r="AZ302" s="42">
        <f t="shared" si="501"/>
        <v>0.33333333333333331</v>
      </c>
      <c r="BA302" s="44">
        <v>5.33E-2</v>
      </c>
      <c r="BB302" s="44">
        <v>0</v>
      </c>
      <c r="BC302" s="42">
        <f t="shared" si="502"/>
        <v>0.34666666666666668</v>
      </c>
      <c r="BD302" s="42" cm="1">
        <f t="array" ref="BD302">_xlfn.IFS(AD302=0,"NA",AD302&gt;0,AH302/AD302)</f>
        <v>0.96153846153846145</v>
      </c>
      <c r="BE302" s="42">
        <f t="shared" si="503"/>
        <v>6.6666666666666666E-2</v>
      </c>
      <c r="BF302" s="44">
        <v>0</v>
      </c>
      <c r="BG302" s="42">
        <f t="shared" si="504"/>
        <v>0.53333333333333333</v>
      </c>
      <c r="BH302" s="44">
        <v>0</v>
      </c>
      <c r="BI302" s="42">
        <f t="shared" si="505"/>
        <v>0</v>
      </c>
      <c r="BJ302" s="44" t="s">
        <v>115</v>
      </c>
      <c r="BK302" s="42">
        <f t="shared" si="470"/>
        <v>0.33333333333333331</v>
      </c>
      <c r="BL302" s="44">
        <v>0</v>
      </c>
      <c r="BM302" s="42" cm="1">
        <f t="array" ref="BM302">_xlfn.IFS(BD302="NA","NA",BD302&gt;100%,"100%",BD302&lt;100,BD302)</f>
        <v>0.96153846153846145</v>
      </c>
      <c r="BN302" s="42" cm="1">
        <f t="array" ref="BN302">_xlfn.IFS(BF302="NA","NA",BF302&gt;100%,"100%",BF302&lt;100,BF302)</f>
        <v>0</v>
      </c>
      <c r="BO302" s="42" cm="1">
        <f t="array" ref="BO302">_xlfn.IFS(BH302="NA","NA",BH302&gt;100%,"100%",BH302&lt;100,BH302)</f>
        <v>0</v>
      </c>
      <c r="BP302" s="42" t="str" cm="1">
        <f t="array" ref="BP302">_xlfn.IFS(BJ302="NA","NA",BJ302&gt;100%,"100%",BJ302&lt;100,BJ302)</f>
        <v>NA</v>
      </c>
      <c r="BQ302" s="45">
        <v>0.22500000000000001</v>
      </c>
      <c r="BR302" s="43">
        <f t="shared" si="471"/>
        <v>7.4999999999999997E-2</v>
      </c>
      <c r="BS302" s="45">
        <v>1.2E-2</v>
      </c>
      <c r="BT302" s="45">
        <v>0</v>
      </c>
      <c r="BU302" s="45">
        <v>0</v>
      </c>
      <c r="BV302" s="43">
        <f t="shared" si="506"/>
        <v>7.8000000000000014E-2</v>
      </c>
      <c r="BW302" s="43">
        <f t="shared" si="472"/>
        <v>7.5000000000000011E-2</v>
      </c>
      <c r="BX302" s="43">
        <f t="shared" si="473"/>
        <v>7.4999999999999997E-2</v>
      </c>
      <c r="BY302" s="43">
        <f t="shared" si="507"/>
        <v>1.5000000000000001E-2</v>
      </c>
      <c r="BZ302" s="43">
        <f t="shared" si="508"/>
        <v>0</v>
      </c>
      <c r="CA302" s="43">
        <f t="shared" si="474"/>
        <v>0</v>
      </c>
      <c r="CB302" s="43">
        <f t="shared" si="509"/>
        <v>0.12000000000000001</v>
      </c>
      <c r="CC302" s="43">
        <f t="shared" si="510"/>
        <v>0</v>
      </c>
      <c r="CD302" s="45">
        <v>0</v>
      </c>
      <c r="CE302" s="43">
        <f t="shared" si="511"/>
        <v>0</v>
      </c>
      <c r="CF302" s="43" t="str">
        <f t="shared" si="512"/>
        <v>NA</v>
      </c>
      <c r="CG302" s="45">
        <v>0</v>
      </c>
    </row>
    <row r="303" spans="1:90" ht="30.75" customHeight="1">
      <c r="A303" s="260" t="s">
        <v>1387</v>
      </c>
      <c r="B303" s="260" t="s">
        <v>1388</v>
      </c>
      <c r="C303" s="260" t="s">
        <v>1828</v>
      </c>
      <c r="D303" s="260" t="s">
        <v>1829</v>
      </c>
      <c r="E303" s="260" t="s">
        <v>1910</v>
      </c>
      <c r="F303" s="260" t="s">
        <v>1855</v>
      </c>
      <c r="G303" s="260" t="s">
        <v>1856</v>
      </c>
      <c r="H303" s="260" t="s">
        <v>1915</v>
      </c>
      <c r="I303" s="260"/>
      <c r="J303" s="260"/>
      <c r="K303" s="260" t="s">
        <v>1916</v>
      </c>
      <c r="L303" s="12" t="s">
        <v>1917</v>
      </c>
      <c r="M303" s="260" t="s">
        <v>1918</v>
      </c>
      <c r="N303" s="260" t="s">
        <v>111</v>
      </c>
      <c r="O303" s="260" t="s">
        <v>112</v>
      </c>
      <c r="P303" s="10">
        <v>0</v>
      </c>
      <c r="Q303" s="11">
        <v>12</v>
      </c>
      <c r="R303" s="9">
        <f t="shared" si="499"/>
        <v>1.9</v>
      </c>
      <c r="S303" s="11">
        <f>VLOOKUP(K303,'1285 EPC'!$K$13:$AK$35,9,0)</f>
        <v>0</v>
      </c>
      <c r="T303" s="11">
        <v>0</v>
      </c>
      <c r="U303" s="11">
        <v>0</v>
      </c>
      <c r="V303" s="11">
        <v>0.9</v>
      </c>
      <c r="W303" s="11">
        <v>0</v>
      </c>
      <c r="X303" s="11">
        <v>0.9</v>
      </c>
      <c r="Y303" s="11">
        <v>0</v>
      </c>
      <c r="Z303" s="11">
        <v>0.9</v>
      </c>
      <c r="AA303" s="11" t="s">
        <v>1919</v>
      </c>
      <c r="AB303" s="11" t="s">
        <v>1920</v>
      </c>
      <c r="AC303" s="11">
        <v>0</v>
      </c>
      <c r="AD303" s="11">
        <v>1.1000000000000001</v>
      </c>
      <c r="AE303" s="11">
        <v>0</v>
      </c>
      <c r="AF303" s="11">
        <f>VLOOKUP(K303,'1285 EPC'!$K$13:$AK$35,22,0)</f>
        <v>1</v>
      </c>
      <c r="AG303" s="11" t="str">
        <f>VLOOKUP(K303,'1285 EPC'!$K$13:$AK$35,23,0)</f>
        <v> </v>
      </c>
      <c r="AH303" s="9">
        <f t="shared" si="500"/>
        <v>1</v>
      </c>
      <c r="AI303" s="9" t="str">
        <f>VLOOKUP(K303,'1285 EPC'!$K$13:$AK$35,25,0)</f>
        <v>sistemas de acueducto con uso de fuentes o caudales de abastecimiento complementarias.</v>
      </c>
      <c r="AJ303" s="9" t="str">
        <f>VLOOKUP(K303,'1285 EPC'!$K$13:$AK$35,26,0)</f>
        <v xml:space="preserve">Embalse Pantano de arce: Actualización de los Estudios y diseños de Pantano de Arce aprobados por la Interventoría. El proyecto Pantano de Arce ya cuenta con Licencia Ambiental, Otorgada por la Corporación Autónoma Regional de Cundinamarca en el año 2006. El proyecto se debe radicar a la Corporación autónoma Regional de Cundinamarca, para ser evaluado en el cumplimiento de los requisitos técnicos y una vez aprobados se podrá obtener el documento de financiación de la Construcción Embalse Pantano de Arce
Pozos Diseño: 
Gachancipá: 50% de avance, contrato finalizado anticipadamente por falta de información predial y de población, Pulí: 100% avance, terminado,’ Zipacón: 100% terminado,  Ubaté: 85% avance, Ejecución, Fúquene: 60% avance, Ejecución, Chaguaní: 75% avance, Ejecución, Tabio: 70% avance, Ejecución, Guachetá: 80% avance, en ejecución 
Pozos en Ejecución:
El Rosal: 90.5% de ejecución, Suspendido por certificación Codensa, se aprobó reformulación
Deudoro Aponte Facatativá: 100% proyecto terminado
Guanguita 2%: Contrato en proceso de liquidación anticipada, se espera contar con ajustes a los diseños, con lo que se procederá a reformulación del proyecto y posterior proceso de contratación de obra.
Acueductos regionales:
Diseño en ejecución: Acueducto Regional Fruticas Ramal 100% avance, diseños aprobados por interventoría, y radicados a la Dirección de Estructuración de proyectos para su alistamiento y posterior radicación ante el mecanismo de viabilización - Fruticas  Regional: 70% avance físico, se encuentra en ejecución. - Acueducto regional Guataquí - Nariño - Jerusalén 20% avance Suspendido ajustes al diseño - Quipile La Mesa Anapoima: 30% de avance en proceso de reformulación – Suspendido (La Comunidad opuesta al proyecto) - Sibaté - Soacha y Granada; 8% avance - Tena La Mesa: 10% de avance Suspendido (revisión diagnóstico y alternativas) - Arbeláez San Bernardo: 30% avance Suspendido (Geotecnia para pasos elevados), 
Viabilidad- Facatativá - San Francisco en proceso de Viabilidad - Acueducto Regional Sabaneta: Solicitud de recursos para contratar ajustes de diseño, Proyecto Acueducto Regional Nocaima, Nimaima,  Quebradanegra, Útica y Villeta en proceso de viabilización 
Obra: Dorado Fase II: Avance 67.17% en proceso de reformulación, Suspendido (pasos elevados) - Fruticas - Chipaque: Avance 99,8%  -  En proceso de viabilización de la Reformulación 
Gestión predial: Para el Embalse Pantano de Arce se deberán adquirir tres predios, se está adelantando el trámite de levantamiento topográfico. Se envía solicitud al municipio de adelantar los tramites de adquisición predial </v>
      </c>
      <c r="AK303" s="9" t="str">
        <f>VLOOKUP(K303,'1285 EPC'!$K$13:$AK$35,27,0)</f>
        <v>Pantano de Arce: El consultor se encuentra realizando  las actividades del estudio de Sitio como de sustracción forestal, se espera hacer entrega de estos documentos finalizando el mes de septiembre y asi complementar el producto 5.Gachancipá: problemasTécnicos, prediales Ambientales e Institucionales eh temas de predios y operación que no permiten continuar con el proyecto. el municipio liquidó el contrato derivado, por lo que se está a la espera de ajustes requeridos al proyecto con el fin de adelantar reformulación y nuevo proceso de contratación.  se espera contar con ajustes a los diseños en el mes de septiembre de 2021, con lo que se procederá a reformulación del proyecto y posterior proceso de contratación de obra.
Fúquene: Hace falta claridad por parte del municipio frente al predio para realizar la solicitud del permiso de exploración de agua subterránea, ya que el solicitado fue caducado por lo mismo
El Rosal; pendiente componente electrico aprobación Enel Codensa
Guanguita: permiso de exploracion
Facatativa - San Francisco: Demora en la entrega de observaciones por parte del municipio.
Dorado Fase II: Realizar consultoría para los ajustes de diseños puesto que no se contaba con el diseño de detalle de diferentes pasos elevados necesarios para la interconexión de las redes puesto que el proyecto cuenta con el diseño tipo de un paso elevado para una luz de hasta 30m. En proceso de contratacion los ajustes de Diseño con el proyecto EVALUACION Y DIAGNOSTICO DE LAS OBRAS EXISTENTES DEL ACUEDUCTO REGIONAL FASE 1, ESTUDIOS Y DISEÑOS DE LOS PASOS ELEVADOS DE LA FASE 1 Y FASE 2 DEL ACUEDUCTO REGIONAL EL DORADO</v>
      </c>
      <c r="AL303" s="11">
        <v>5</v>
      </c>
      <c r="AM303" s="11">
        <v>0</v>
      </c>
      <c r="AN303" s="11">
        <v>5</v>
      </c>
      <c r="AO303" s="11">
        <v>0</v>
      </c>
      <c r="AP303" s="11">
        <v>0</v>
      </c>
      <c r="AQ303" s="11">
        <v>0</v>
      </c>
      <c r="AR303" s="52"/>
      <c r="AS303" s="54">
        <v>289046645</v>
      </c>
      <c r="AT303" s="54">
        <f t="shared" si="469"/>
        <v>289046645</v>
      </c>
      <c r="AU303" s="52"/>
      <c r="AV303" s="89">
        <v>1771754717.2335639</v>
      </c>
      <c r="AY303" s="89">
        <v>0</v>
      </c>
      <c r="AZ303" s="42">
        <f t="shared" si="501"/>
        <v>0.15833333333333333</v>
      </c>
      <c r="BA303" s="44">
        <v>7.4999999999999997E-2</v>
      </c>
      <c r="BB303" s="44">
        <v>1</v>
      </c>
      <c r="BC303" s="42">
        <f t="shared" si="502"/>
        <v>9.1666666666666674E-2</v>
      </c>
      <c r="BD303" s="42" cm="1">
        <f t="array" ref="BD303">_xlfn.IFS(AD303=0,"NA",AD303&gt;0,AH303/AD303)</f>
        <v>0.90909090909090906</v>
      </c>
      <c r="BE303" s="42">
        <f t="shared" si="503"/>
        <v>0.41666666666666669</v>
      </c>
      <c r="BF303" s="44">
        <v>0</v>
      </c>
      <c r="BG303" s="42">
        <f t="shared" si="504"/>
        <v>0.41666666666666669</v>
      </c>
      <c r="BH303" s="44">
        <v>0</v>
      </c>
      <c r="BI303" s="42">
        <f t="shared" si="505"/>
        <v>0</v>
      </c>
      <c r="BJ303" s="44" t="s">
        <v>115</v>
      </c>
      <c r="BK303" s="42">
        <f t="shared" si="470"/>
        <v>0.15833333333333333</v>
      </c>
      <c r="BL303" s="44">
        <v>1</v>
      </c>
      <c r="BM303" s="42" cm="1">
        <f t="array" ref="BM303">_xlfn.IFS(BD303="NA","NA",BD303&gt;100%,"100%",BD303&lt;100,BD303)</f>
        <v>0.90909090909090906</v>
      </c>
      <c r="BN303" s="42" cm="1">
        <f t="array" ref="BN303">_xlfn.IFS(BF303="NA","NA",BF303&gt;100%,"100%",BF303&lt;100,BF303)</f>
        <v>0</v>
      </c>
      <c r="BO303" s="42" cm="1">
        <f t="array" ref="BO303">_xlfn.IFS(BH303="NA","NA",BH303&gt;100%,"100%",BH303&lt;100,BH303)</f>
        <v>0</v>
      </c>
      <c r="BP303" s="42" t="str" cm="1">
        <f t="array" ref="BP303">_xlfn.IFS(BJ303="NA","NA",BJ303&gt;100%,"100%",BJ303&lt;100,BJ303)</f>
        <v>NA</v>
      </c>
      <c r="BQ303" s="45">
        <v>0.22500000000000001</v>
      </c>
      <c r="BR303" s="43">
        <f t="shared" si="471"/>
        <v>3.5624999999999997E-2</v>
      </c>
      <c r="BS303" s="45">
        <v>1.6899999999999998E-2</v>
      </c>
      <c r="BT303" s="45">
        <v>1.6899999999999998E-2</v>
      </c>
      <c r="BU303" s="45">
        <v>1.6899999999999998E-2</v>
      </c>
      <c r="BV303" s="43">
        <f t="shared" si="506"/>
        <v>2.0625000000000001E-2</v>
      </c>
      <c r="BW303" s="43">
        <f t="shared" si="472"/>
        <v>1.8749999999999999E-2</v>
      </c>
      <c r="BX303" s="43">
        <f t="shared" si="473"/>
        <v>1.8724999999999999E-2</v>
      </c>
      <c r="BY303" s="43">
        <f t="shared" si="507"/>
        <v>9.375E-2</v>
      </c>
      <c r="BZ303" s="43">
        <f t="shared" si="508"/>
        <v>0</v>
      </c>
      <c r="CA303" s="43">
        <f t="shared" si="474"/>
        <v>0</v>
      </c>
      <c r="CB303" s="43">
        <f t="shared" si="509"/>
        <v>9.375E-2</v>
      </c>
      <c r="CC303" s="43">
        <f t="shared" si="510"/>
        <v>0</v>
      </c>
      <c r="CD303" s="45">
        <v>0</v>
      </c>
      <c r="CE303" s="43">
        <f t="shared" si="511"/>
        <v>0</v>
      </c>
      <c r="CF303" s="43" t="str">
        <f t="shared" si="512"/>
        <v>NA</v>
      </c>
      <c r="CG303" s="45">
        <v>0</v>
      </c>
    </row>
    <row r="304" spans="1:90" ht="30.75" customHeight="1">
      <c r="A304" s="260" t="s">
        <v>1387</v>
      </c>
      <c r="B304" s="260" t="s">
        <v>1388</v>
      </c>
      <c r="C304" s="260" t="s">
        <v>1828</v>
      </c>
      <c r="D304" s="260" t="s">
        <v>1829</v>
      </c>
      <c r="E304" s="260" t="s">
        <v>1910</v>
      </c>
      <c r="F304" s="260" t="s">
        <v>1855</v>
      </c>
      <c r="G304" s="260" t="s">
        <v>1856</v>
      </c>
      <c r="H304" s="260" t="s">
        <v>1921</v>
      </c>
      <c r="I304" s="260"/>
      <c r="J304" s="260"/>
      <c r="K304" s="260" t="s">
        <v>1922</v>
      </c>
      <c r="L304" s="12" t="s">
        <v>1923</v>
      </c>
      <c r="M304" s="260" t="s">
        <v>1924</v>
      </c>
      <c r="N304" s="260" t="s">
        <v>111</v>
      </c>
      <c r="O304" s="260" t="s">
        <v>112</v>
      </c>
      <c r="P304" s="10">
        <v>0</v>
      </c>
      <c r="Q304" s="11">
        <v>1</v>
      </c>
      <c r="R304" s="9">
        <f t="shared" si="499"/>
        <v>0.06</v>
      </c>
      <c r="S304" s="11">
        <f>VLOOKUP(K304,'1285 EPC'!$K$13:$AK$35,9,0)</f>
        <v>0</v>
      </c>
      <c r="T304" s="11">
        <v>0</v>
      </c>
      <c r="U304" s="11">
        <v>0</v>
      </c>
      <c r="V304" s="11">
        <v>0</v>
      </c>
      <c r="W304" s="11">
        <v>0</v>
      </c>
      <c r="X304" s="11">
        <v>0</v>
      </c>
      <c r="Y304" s="11">
        <v>0</v>
      </c>
      <c r="Z304" s="11">
        <v>0</v>
      </c>
      <c r="AA304" s="11"/>
      <c r="AB304" s="11"/>
      <c r="AC304" s="11"/>
      <c r="AD304" s="11">
        <v>0.1</v>
      </c>
      <c r="AE304" s="11">
        <v>0</v>
      </c>
      <c r="AF304" s="11">
        <f>VLOOKUP(K304,'1285 EPC'!$K$13:$AK$35,22,0)</f>
        <v>0.06</v>
      </c>
      <c r="AG304" s="11" t="str">
        <f>VLOOKUP(K304,'1285 EPC'!$K$13:$AK$35,23,0)</f>
        <v> </v>
      </c>
      <c r="AH304" s="9">
        <f t="shared" si="500"/>
        <v>0.06</v>
      </c>
      <c r="AI304" s="9" t="str">
        <f>VLOOKUP(K304,'1285 EPC'!$K$13:$AK$35,25,0)</f>
        <v> </v>
      </c>
      <c r="AJ304" s="9" t="str">
        <f>VLOOKUP(K304,'1285 EPC'!$K$13:$AK$35,26,0)</f>
        <v>Se realizaron reuniones entre la CAR y EPC, para la revisión del acuerdo de voluntades, esta actualización se realizara una vez se obtenga la Licencia Ambiental.
Se adelantaron actividades de revisión previa entre EPC y ANLA, para la revisión del Estudio de Impacto Ambiental EIA.
Se presenta presupuesto a la CAR con los costos de la actualización.
De igual manera se presentan las actividades a realizar por parte de EPC y la CAR , queda en evaluación por la CAR de la reunión con la ANLA para adelantar trámites pertinentes.
Se solicita modificatorio en el acuerdo de voluntades firmado con la CAR, con el propósito de modificar los compromisos de las partes de manera que la corporación lidere de ahora en adelante el proceso del trámite de licencia ambiental y que la Corporación asuma la administración del embalse una vez construido este, además de realizar la respectiva actualización de los términos de referencia solicitado por la  ANLA y el respectivo pago por concepto de evaluación del Estudio de Impacto Ambiental EIA, así como la obtención de la Licencia Ambiental para la Construcción del Embalse Calandaima"
La CAR da respuesta a la solicitud de modificación del acuerdo de Voluntades, donde informan, que desde la Dirección Jurídica se está adelantando el trámite del modificatorio, que una vez se tenga resultado, será notificado para la revisión y firma.
EPC hace entrega a la CAR de todos los archivos de los Diseños realizados respecto al Estudio de Impacto Ambiental EIA, con el fin de que se inicie la revisión y así iniciar la actualización del mismo.
La CAR, EPC y los municipios de Anapoima, El colegio, Viotá, Tocaima firmando el modificatorio al acuerdo de voluntades donde la obligación de la actualización de EIA y la posterior radicación y solicitud de licencia ambiental quedan a cargo de la CAR.
De igual manera, la CAR ya inicio con la actualización del EIA con los ensayos de laboratorio en la cuenca del rio Calandaima.
La Corporación Autónoma Regional de Cundinamarca CAR, se encuentra actualizando el Estudio de Impacto Ambiental EIA, en el cual se debe realizar * Estudio Ambiental de Riesgo en el área de influencia del proyecto.
En Mesa de trabajo se evalúa la posibilidad de que la CAR sea la entidad que otorgué la licencia ambiental para la construcción del Embalse Calandaima, se deberá evaluar entre EPC y CAR, el acuerdo de voluntades para el retiro de la CAR si son ellos quienes otorguen la licencia.
Para dicha evaluación se programaron mesas de trabajo entre las partes jurídicas para la revisión.
Como el proyecto de Calandaima ha sufrido retrasos en su ejecución, ahora se realizará  el seguimiento del avance al proyecto de pantano de arce: Actualización de los Estudios y diseños de Pantano de Arce  aprobados por la Interventoría, El proyecto Pantano de Arce ya cuenta con Licencia Ambiental, Otorgada por la Corporación autónoma Regional de Cundinamarca en el año 2006, El proyecto se debe radicar a la Corporación autónoma Regional de Cundinamarca, para ser evaluado en el cumplimiento de los requisitos técnicos y una vez aprobados se podrá obtener el documento de financiación de la Construcción Embalse Pantano de Arce</v>
      </c>
      <c r="AK304" s="9" t="str">
        <f>VLOOKUP(K304,'1285 EPC'!$K$13:$AK$35,27,0)</f>
        <v xml:space="preserve"> Con el cambio de normatividad en los terminos de referencia del año 2018, se deberá actualizar todo el EIA presenatdo inicialmente
De acuerdo a la solicItud de EPC, se esta a la espera de la respuesta de la CAR, de igual manera de esta respuesta depende quien realizará la actualziación al Estudio de Impacto Ambiental EIA.  </v>
      </c>
      <c r="AL304" s="11">
        <v>0.4</v>
      </c>
      <c r="AM304" s="11">
        <v>0</v>
      </c>
      <c r="AN304" s="11">
        <v>0.5</v>
      </c>
      <c r="AO304" s="11">
        <v>0</v>
      </c>
      <c r="AP304" s="11">
        <v>0</v>
      </c>
      <c r="AQ304" s="11">
        <v>0</v>
      </c>
      <c r="AR304" s="52"/>
      <c r="AS304" s="54">
        <v>200000000</v>
      </c>
      <c r="AT304" s="54">
        <f t="shared" si="469"/>
        <v>200000000</v>
      </c>
      <c r="AU304" s="52"/>
      <c r="AV304" s="89">
        <v>1000000000</v>
      </c>
      <c r="AY304" s="89">
        <v>26874300</v>
      </c>
      <c r="AZ304" s="42">
        <f t="shared" si="501"/>
        <v>0.06</v>
      </c>
      <c r="BA304" s="44">
        <v>0</v>
      </c>
      <c r="BB304" s="44" t="s">
        <v>115</v>
      </c>
      <c r="BC304" s="42">
        <f t="shared" si="502"/>
        <v>0.1</v>
      </c>
      <c r="BD304" s="42" cm="1">
        <f t="array" ref="BD304">_xlfn.IFS(AD304=0,"NA",AD304&gt;0,AH304/AD304)</f>
        <v>0.6</v>
      </c>
      <c r="BE304" s="42">
        <f t="shared" si="503"/>
        <v>0.4</v>
      </c>
      <c r="BF304" s="44">
        <v>0</v>
      </c>
      <c r="BG304" s="42">
        <f t="shared" si="504"/>
        <v>0.5</v>
      </c>
      <c r="BH304" s="44">
        <v>0</v>
      </c>
      <c r="BI304" s="42">
        <f t="shared" si="505"/>
        <v>0</v>
      </c>
      <c r="BJ304" s="44" t="s">
        <v>115</v>
      </c>
      <c r="BK304" s="42">
        <f t="shared" si="470"/>
        <v>0.06</v>
      </c>
      <c r="BL304" s="44" t="s">
        <v>115</v>
      </c>
      <c r="BM304" s="42" cm="1">
        <f t="array" ref="BM304">_xlfn.IFS(BD304="NA","NA",BD304&gt;100%,"100%",BD304&lt;100,BD304)</f>
        <v>0.6</v>
      </c>
      <c r="BN304" s="42" cm="1">
        <f t="array" ref="BN304">_xlfn.IFS(BF304="NA","NA",BF304&gt;100%,"100%",BF304&lt;100,BF304)</f>
        <v>0</v>
      </c>
      <c r="BO304" s="42" cm="1">
        <f t="array" ref="BO304">_xlfn.IFS(BH304="NA","NA",BH304&gt;100%,"100%",BH304&lt;100,BH304)</f>
        <v>0</v>
      </c>
      <c r="BP304" s="42" t="str" cm="1">
        <f t="array" ref="BP304">_xlfn.IFS(BJ304="NA","NA",BJ304&gt;100%,"100%",BJ304&lt;100,BJ304)</f>
        <v>NA</v>
      </c>
      <c r="BQ304" s="45">
        <v>0.22500000000000001</v>
      </c>
      <c r="BR304" s="43">
        <f t="shared" si="471"/>
        <v>1.35E-2</v>
      </c>
      <c r="BS304" s="45">
        <v>0</v>
      </c>
      <c r="BT304" s="45" t="s">
        <v>115</v>
      </c>
      <c r="BU304" s="45">
        <v>0</v>
      </c>
      <c r="BV304" s="43">
        <f t="shared" si="506"/>
        <v>2.2500000000000003E-2</v>
      </c>
      <c r="BW304" s="43">
        <f t="shared" si="472"/>
        <v>1.3500000000000002E-2</v>
      </c>
      <c r="BX304" s="43">
        <f t="shared" si="473"/>
        <v>1.35E-2</v>
      </c>
      <c r="BY304" s="43">
        <f t="shared" si="507"/>
        <v>9.0000000000000011E-2</v>
      </c>
      <c r="BZ304" s="43">
        <f t="shared" si="508"/>
        <v>0</v>
      </c>
      <c r="CA304" s="43">
        <f t="shared" si="474"/>
        <v>0</v>
      </c>
      <c r="CB304" s="43">
        <f t="shared" si="509"/>
        <v>0.1125</v>
      </c>
      <c r="CC304" s="43">
        <f t="shared" si="510"/>
        <v>0</v>
      </c>
      <c r="CD304" s="45">
        <v>0</v>
      </c>
      <c r="CE304" s="43">
        <f t="shared" si="511"/>
        <v>0</v>
      </c>
      <c r="CF304" s="43" t="str">
        <f t="shared" si="512"/>
        <v>NA</v>
      </c>
      <c r="CG304" s="45">
        <v>0</v>
      </c>
    </row>
    <row r="305" spans="1:90" ht="30.75" customHeight="1">
      <c r="A305" s="260" t="s">
        <v>1387</v>
      </c>
      <c r="B305" s="260" t="s">
        <v>1388</v>
      </c>
      <c r="C305" s="260" t="s">
        <v>1828</v>
      </c>
      <c r="D305" s="260" t="s">
        <v>1829</v>
      </c>
      <c r="E305" s="260" t="s">
        <v>1910</v>
      </c>
      <c r="F305" s="260" t="s">
        <v>1855</v>
      </c>
      <c r="G305" s="260" t="s">
        <v>1856</v>
      </c>
      <c r="H305" s="260" t="s">
        <v>1925</v>
      </c>
      <c r="I305" s="260"/>
      <c r="J305" s="260"/>
      <c r="K305" s="260" t="s">
        <v>1926</v>
      </c>
      <c r="L305" s="12" t="s">
        <v>1927</v>
      </c>
      <c r="M305" s="260" t="s">
        <v>1928</v>
      </c>
      <c r="N305" s="260" t="s">
        <v>111</v>
      </c>
      <c r="O305" s="260" t="s">
        <v>112</v>
      </c>
      <c r="P305" s="10">
        <v>0</v>
      </c>
      <c r="Q305" s="11">
        <v>1</v>
      </c>
      <c r="R305" s="9">
        <f t="shared" si="499"/>
        <v>0.15</v>
      </c>
      <c r="S305" s="11">
        <f>VLOOKUP(K305,'1285 EPC'!$K$13:$AK$35,9,0)</f>
        <v>0</v>
      </c>
      <c r="T305" s="11">
        <v>0.1</v>
      </c>
      <c r="U305" s="11">
        <v>0</v>
      </c>
      <c r="V305" s="11">
        <v>0.05</v>
      </c>
      <c r="W305" s="11">
        <v>0</v>
      </c>
      <c r="X305" s="11">
        <v>0</v>
      </c>
      <c r="Y305" s="11">
        <v>0</v>
      </c>
      <c r="Z305" s="11">
        <v>0</v>
      </c>
      <c r="AA305" s="11"/>
      <c r="AB305" s="11"/>
      <c r="AC305" s="11"/>
      <c r="AD305" s="11">
        <v>0.39</v>
      </c>
      <c r="AE305" s="11">
        <v>0</v>
      </c>
      <c r="AF305" s="11">
        <f>VLOOKUP(K305,'1285 EPC'!$K$13:$AK$35,22,0)</f>
        <v>0.15</v>
      </c>
      <c r="AG305" s="11" t="str">
        <f>VLOOKUP(K305,'1285 EPC'!$K$13:$AK$35,23,0)</f>
        <v> </v>
      </c>
      <c r="AH305" s="9">
        <f t="shared" si="500"/>
        <v>0.15</v>
      </c>
      <c r="AI305" s="9" t="str">
        <f>VLOOKUP(K305,'1285 EPC'!$K$13:$AK$35,25,0)</f>
        <v>Avance de la implementación del sistema información integrado</v>
      </c>
      <c r="AJ305" s="9" t="str">
        <f>VLOOKUP(K305,'1285 EPC'!$K$13:$AK$35,26,0)</f>
        <v>Se contrató al ingeniero de sistemas experto en sistemas de información, el cual ha realizado una serie de reuniones para obtener un diagnóstico inicial de las necesidades del sistema.
Se realizo sesión con los asesores del director General para revisar y validar las actividades detectadas en el flujo de trabajo del ciclo de vida de los proyectos, para lo cual se realizaron ajustes a las a actividades de planeación y estructuración. Se valida las actividades y tareas con las personas funcionales de las direcciones de DOPE, Interventoría y Contratación. Se ajustan las especificaciones técnicas mínimas requeridas del sistema de información.
Se coordina con el asesor del director General y subgerencia técnica, la revisión y validación de las actividades detectadas al flujo de trabajo del ciclo de vida de los proyectos, para ajustar las especificaciones técnicas mínimas requeridas del sistema de información para la semana comprendida del 2 al 6 de agosto del 2021.
Elaboración de documento en su primera versión con las especificaciones técnicas mínimas requeridas del sistema de información, diagnostico Sistema de Gestión de Calidad procesos Misionales y herramienta de gestión y administración del SGC
Se realizaron reuniones con los líderes de los siguientes procesos: Aseguramiento, Estructuración, contabilidad, presupuesto, tesorería, Servicio al Cliente, Calidad, Gestión Documental, Ventanilla Única, Control Interno, Nomina, Activos Fijo e Inventario, Interventoría, Ambiental, Subgerencia General, Jurídica, Operaciones y Proyectos Especiales, para conocer el flujo del proceso y las actividades de entrada y salida que interactúan con el proceso de Gestión de Proyectos.
 Reuniones realizadas con los líderes de los siguientes procesos: Operación de Servicio Públicos Domiciliarios y Contratación, para conocer el flujo del proceso y las actividades de entrada y salida que interactúan con el proceso de Gestión de Proyectos.
Entrega y socialización al Director de Planeación, del documento con el diagnóstico y la propuesta con el alcance del sistema de información de Gestión de Proyectos para EPC, el día el 19/05/2020
Presentación de KickOff del Sistema de Información de Gestión de Proyectos -SIGPRO, al subgerente General, al director de planeación y a la directora de Gestión Humana.
Programación reunión asesores del director General de EPC, para presentación KickOff Sistema de Información de Gestión de Proyectos -SIGPRO.
Validación las actividades y tareas a desarrollar en el módulo de Recursos Ambientales, con la persona funcional del proceso. Validación con la persona técnica de la empresa que provee el servicio de plataforma de Gestión financiera y contable SOLIN, los mecanismos de conexión para compartir información con el sistema de información de gestión de proyectos. Se ajustan las especificaciones técnicas mínimas requeridas del sistema de información según las observaciones realizadas.
Se realiza presentación de las funcionalidades y se envían las especificaciones técnicas con los componentes de diagnóstico procesos y procedimiento, Sistema de información Sistema de Gestión de Calidad y Sistema de Información de Gestión de Proyectos, para observaciones y ajustes, se encuentra en proceso de aprobación.
Se comparte con las áreas de planeación financiera, asuntos corporativos y presupuesto el APP “Planeación para el desarrollo”, para validar las funcionalidades, aplicabilidad en EPC y cumplimiento de i) Resolución # 3832 de 18/10/2019 Minhacienda” Catálogo de Clasificación Presupuestal para Entidades Territoriales y sus Descentralizadas (CCPET)” ii), DANE: Resolución # 0550 de 08/05/2020 del DANE “Clasificación Central de Productos adaptada para Colombia (CPC)” y iii) Catalogo Central de productos MGA – DNP.
Diligenciamiento del formato el anexo 3 Certificación Proyectos de Preinversión.
Elaboración solicitud a la Gerencia para la asignación de recursos para la contratación del Sistema de Información de Gestión de Proyectos en la vigencia 2022, por valor de $800 millones</v>
      </c>
      <c r="AK305" s="9" t="str">
        <f>VLOOKUP(K305,'1285 EPC'!$K$13:$AK$35,27,0)</f>
        <v>Por disponibilidad de agenda del asesor, designado no se ha continuado con la validación general que permita realizar los ajustes a las funcionalidades descritas para cada uno de los módulos del sistema de información de Gestión de Proyectos.</v>
      </c>
      <c r="AL305" s="11">
        <v>0.46</v>
      </c>
      <c r="AM305" s="11">
        <v>0</v>
      </c>
      <c r="AN305" s="11">
        <v>0.1</v>
      </c>
      <c r="AO305" s="11">
        <v>0</v>
      </c>
      <c r="AP305" s="11">
        <v>0</v>
      </c>
      <c r="AQ305" s="11">
        <v>0</v>
      </c>
      <c r="AR305" s="52"/>
      <c r="AS305" s="54">
        <v>0</v>
      </c>
      <c r="AT305" s="54">
        <f t="shared" si="469"/>
        <v>0</v>
      </c>
      <c r="AU305" s="52"/>
      <c r="AV305" s="89">
        <v>352000000</v>
      </c>
      <c r="AY305" s="89">
        <v>0</v>
      </c>
      <c r="AZ305" s="42">
        <f t="shared" si="501"/>
        <v>0.15</v>
      </c>
      <c r="BA305" s="44">
        <v>0.05</v>
      </c>
      <c r="BB305" s="44">
        <v>0</v>
      </c>
      <c r="BC305" s="42">
        <f t="shared" si="502"/>
        <v>0.39</v>
      </c>
      <c r="BD305" s="42" cm="1">
        <f t="array" ref="BD305">_xlfn.IFS(AD305=0,"NA",AD305&gt;0,AH305/AD305)</f>
        <v>0.38461538461538458</v>
      </c>
      <c r="BE305" s="42">
        <f t="shared" si="503"/>
        <v>0.46</v>
      </c>
      <c r="BF305" s="44">
        <v>0</v>
      </c>
      <c r="BG305" s="42">
        <f t="shared" si="504"/>
        <v>0.1</v>
      </c>
      <c r="BH305" s="44">
        <v>0</v>
      </c>
      <c r="BI305" s="42">
        <f t="shared" si="505"/>
        <v>0</v>
      </c>
      <c r="BJ305" s="44" t="s">
        <v>115</v>
      </c>
      <c r="BK305" s="42">
        <f t="shared" si="470"/>
        <v>0.15</v>
      </c>
      <c r="BL305" s="44">
        <v>0</v>
      </c>
      <c r="BM305" s="42" cm="1">
        <f t="array" ref="BM305">_xlfn.IFS(BD305="NA","NA",BD305&gt;100%,"100%",BD305&lt;100,BD305)</f>
        <v>0.38461538461538458</v>
      </c>
      <c r="BN305" s="42" cm="1">
        <f t="array" ref="BN305">_xlfn.IFS(BF305="NA","NA",BF305&gt;100%,"100%",BF305&lt;100,BF305)</f>
        <v>0</v>
      </c>
      <c r="BO305" s="42" cm="1">
        <f t="array" ref="BO305">_xlfn.IFS(BH305="NA","NA",BH305&gt;100%,"100%",BH305&lt;100,BH305)</f>
        <v>0</v>
      </c>
      <c r="BP305" s="42" t="str" cm="1">
        <f t="array" ref="BP305">_xlfn.IFS(BJ305="NA","NA",BJ305&gt;100%,"100%",BJ305&lt;100,BJ305)</f>
        <v>NA</v>
      </c>
      <c r="BQ305" s="45">
        <v>0.22500000000000001</v>
      </c>
      <c r="BR305" s="43">
        <f t="shared" si="471"/>
        <v>3.3750000000000002E-2</v>
      </c>
      <c r="BS305" s="45">
        <v>1.1299999999999999E-2</v>
      </c>
      <c r="BT305" s="45">
        <v>0</v>
      </c>
      <c r="BU305" s="45">
        <v>0</v>
      </c>
      <c r="BV305" s="43">
        <f t="shared" si="506"/>
        <v>8.7750000000000009E-2</v>
      </c>
      <c r="BW305" s="43">
        <f t="shared" si="472"/>
        <v>3.3750000000000002E-2</v>
      </c>
      <c r="BX305" s="43">
        <f t="shared" si="473"/>
        <v>3.3750000000000002E-2</v>
      </c>
      <c r="BY305" s="43">
        <f t="shared" si="507"/>
        <v>0.10350000000000001</v>
      </c>
      <c r="BZ305" s="43">
        <f t="shared" si="508"/>
        <v>0</v>
      </c>
      <c r="CA305" s="43">
        <f t="shared" si="474"/>
        <v>0</v>
      </c>
      <c r="CB305" s="43">
        <f t="shared" si="509"/>
        <v>2.2500000000000003E-2</v>
      </c>
      <c r="CC305" s="43">
        <f t="shared" si="510"/>
        <v>0</v>
      </c>
      <c r="CD305" s="45">
        <v>0</v>
      </c>
      <c r="CE305" s="43">
        <f t="shared" si="511"/>
        <v>0</v>
      </c>
      <c r="CF305" s="43" t="str">
        <f t="shared" si="512"/>
        <v>NA</v>
      </c>
      <c r="CG305" s="45">
        <v>0</v>
      </c>
    </row>
    <row r="306" spans="1:90" ht="30.75" customHeight="1">
      <c r="A306" s="260" t="s">
        <v>1387</v>
      </c>
      <c r="B306" s="260" t="s">
        <v>1388</v>
      </c>
      <c r="C306" s="260" t="s">
        <v>1828</v>
      </c>
      <c r="D306" s="260" t="s">
        <v>1829</v>
      </c>
      <c r="E306" s="260" t="s">
        <v>1910</v>
      </c>
      <c r="F306" s="260" t="s">
        <v>1855</v>
      </c>
      <c r="G306" s="260" t="s">
        <v>1856</v>
      </c>
      <c r="H306" s="260" t="s">
        <v>1929</v>
      </c>
      <c r="I306" s="260"/>
      <c r="J306" s="260"/>
      <c r="K306" s="260" t="s">
        <v>1930</v>
      </c>
      <c r="L306" s="12" t="s">
        <v>3006</v>
      </c>
      <c r="M306" s="260" t="s">
        <v>2272</v>
      </c>
      <c r="N306" s="260" t="s">
        <v>111</v>
      </c>
      <c r="O306" s="260" t="s">
        <v>112</v>
      </c>
      <c r="P306" s="10">
        <v>0</v>
      </c>
      <c r="Q306" s="11">
        <v>1</v>
      </c>
      <c r="R306" s="9">
        <f t="shared" si="499"/>
        <v>0.75</v>
      </c>
      <c r="S306" s="11">
        <f>VLOOKUP(K306,'1285 EPC'!$K$13:$AK$35,9,0)</f>
        <v>0</v>
      </c>
      <c r="T306" s="11">
        <v>0</v>
      </c>
      <c r="U306" s="11">
        <v>0</v>
      </c>
      <c r="V306" s="11">
        <v>0</v>
      </c>
      <c r="W306" s="11">
        <v>0</v>
      </c>
      <c r="X306" s="11">
        <v>0</v>
      </c>
      <c r="Y306" s="11">
        <v>0</v>
      </c>
      <c r="Z306" s="11">
        <v>0</v>
      </c>
      <c r="AA306" s="11"/>
      <c r="AB306" s="11"/>
      <c r="AC306" s="11"/>
      <c r="AD306" s="11">
        <v>0.9</v>
      </c>
      <c r="AE306" s="11">
        <v>0</v>
      </c>
      <c r="AF306" s="11">
        <f>VLOOKUP(K306,'1285 EPC'!$K$13:$AK$35,22,0)</f>
        <v>0.75</v>
      </c>
      <c r="AG306" s="11" t="str">
        <f>VLOOKUP(K306,'1285 EPC'!$K$13:$AK$35,23,0)</f>
        <v> </v>
      </c>
      <c r="AH306" s="9">
        <f t="shared" si="500"/>
        <v>0.75</v>
      </c>
      <c r="AI306" s="9" t="str">
        <f>VLOOKUP(K306,'1285 EPC'!$K$13:$AK$35,25,0)</f>
        <v> </v>
      </c>
      <c r="AJ306" s="9" t="str">
        <f>VLOOKUP(K306,'1285 EPC'!$K$13:$AK$35,26,0)</f>
        <v>Se encuentran aprobados los productos, avance meta 75%:
producto 1. Recopilación de información secundaria
producto 2. Análisis y procesamiento de   la información secundaria cuencas hidrográficas
producto 3. Análisis y procesamiento de   la información secundaria de aguas subterráneas                                                
producto 4. Necesidad de estudios en campo                                                                                                              
producto 5. Diagnostico   general fuentes actuales       
producto 7. Alternativas de abastecimiento – agua subterránea                                   
producto 8. Alternativas       de abastecimiento - venta de     agua    en     bloque     desde     el   acueducto de Bogotá                                           
producto 9. Alternativas de abastecimiento - alternativas no convencionales             
producto 10. Alternativas de abastecimiento -   aguas superficiales alternas                                                                                     
Producto 11. Análisis Predial: En revisión por la Interventoría.
Producto 12 Diagnóstico Integral:  En revisión por la Interventoría.
Producto 6. Alternativas de abastecimiento - Embalses: En Ajustes por la consultoría.
Producto 7. Alternativas de abastecimiento - Agua Subterránea: En Ajustes por la consultoría.
Producto 8. Alternativas de abastecimiento - Venta Agua en Bloque: En Ajustes por la consultoría.
Producto 9. Alternativas de abastecimiento - No convencionales:  En Ajustes por la consultoría.
Producto 10. Alternativas de abastecimiento - Aguas superficiales alternas:  En Ajustes por la consultoría.
Producto 11. Análisis Predial: En revisión por la Interventoría.
Producto 12 Diagnóstico Integral:  En revisión por la Interventoría.</v>
      </c>
      <c r="AK306" s="9" t="str">
        <f>VLOOKUP(K306,'1285 EPC'!$K$13:$AK$35,27,0)</f>
        <v>Pendiente respuesta por la EAAB para la socialización de este plan de abastecimiento.</v>
      </c>
      <c r="AL306" s="11">
        <v>0.1</v>
      </c>
      <c r="AM306" s="11">
        <v>0</v>
      </c>
      <c r="AN306" s="11">
        <v>0</v>
      </c>
      <c r="AO306" s="11">
        <v>0</v>
      </c>
      <c r="AP306" s="11">
        <v>0</v>
      </c>
      <c r="AQ306" s="11">
        <v>0</v>
      </c>
      <c r="AR306" s="52"/>
      <c r="AS306" s="54">
        <v>50382696</v>
      </c>
      <c r="AT306" s="54">
        <f t="shared" si="469"/>
        <v>50382696</v>
      </c>
      <c r="AU306" s="52"/>
      <c r="AV306" s="89">
        <v>48444900</v>
      </c>
      <c r="AY306" s="89">
        <v>0</v>
      </c>
      <c r="AZ306" s="42">
        <f t="shared" si="501"/>
        <v>0.75</v>
      </c>
      <c r="BA306" s="44">
        <v>0</v>
      </c>
      <c r="BB306" s="44" t="s">
        <v>115</v>
      </c>
      <c r="BC306" s="42">
        <f t="shared" si="502"/>
        <v>0.9</v>
      </c>
      <c r="BD306" s="42" cm="1">
        <f t="array" ref="BD306">_xlfn.IFS(AD306=0,"NA",AD306&gt;0,AH306/AD306)</f>
        <v>0.83333333333333326</v>
      </c>
      <c r="BE306" s="42">
        <f t="shared" si="503"/>
        <v>0.1</v>
      </c>
      <c r="BF306" s="44">
        <v>0</v>
      </c>
      <c r="BG306" s="42">
        <f t="shared" si="504"/>
        <v>0</v>
      </c>
      <c r="BH306" s="44" t="s">
        <v>115</v>
      </c>
      <c r="BI306" s="42">
        <f t="shared" si="505"/>
        <v>0</v>
      </c>
      <c r="BJ306" s="44" t="s">
        <v>115</v>
      </c>
      <c r="BK306" s="42">
        <f t="shared" si="470"/>
        <v>0.75</v>
      </c>
      <c r="BL306" s="44" t="s">
        <v>115</v>
      </c>
      <c r="BM306" s="42" cm="1">
        <f t="array" ref="BM306">_xlfn.IFS(BD306="NA","NA",BD306&gt;100%,"100%",BD306&lt;100,BD306)</f>
        <v>0.83333333333333326</v>
      </c>
      <c r="BN306" s="42" cm="1">
        <f t="array" ref="BN306">_xlfn.IFS(BF306="NA","NA",BF306&gt;100%,"100%",BF306&lt;100,BF306)</f>
        <v>0</v>
      </c>
      <c r="BO306" s="42" t="str" cm="1">
        <f t="array" ref="BO306">_xlfn.IFS(BH306="NA","NA",BH306&gt;100%,"100%",BH306&lt;100,BH306)</f>
        <v>NA</v>
      </c>
      <c r="BP306" s="42" t="str" cm="1">
        <f t="array" ref="BP306">_xlfn.IFS(BJ306="NA","NA",BJ306&gt;100%,"100%",BJ306&lt;100,BJ306)</f>
        <v>NA</v>
      </c>
      <c r="BQ306" s="45">
        <v>0.22500000000000001</v>
      </c>
      <c r="BR306" s="43">
        <f t="shared" si="471"/>
        <v>0.16875000000000001</v>
      </c>
      <c r="BS306" s="45">
        <v>0</v>
      </c>
      <c r="BT306" s="45" t="s">
        <v>115</v>
      </c>
      <c r="BU306" s="45">
        <v>0</v>
      </c>
      <c r="BV306" s="43">
        <f t="shared" si="506"/>
        <v>0.20250000000000001</v>
      </c>
      <c r="BW306" s="43">
        <f t="shared" si="472"/>
        <v>0.16874999999999998</v>
      </c>
      <c r="BX306" s="43">
        <f t="shared" si="473"/>
        <v>0.16875000000000001</v>
      </c>
      <c r="BY306" s="43">
        <f t="shared" si="507"/>
        <v>2.2500000000000003E-2</v>
      </c>
      <c r="BZ306" s="43">
        <f t="shared" si="508"/>
        <v>0</v>
      </c>
      <c r="CA306" s="43">
        <f t="shared" si="474"/>
        <v>0</v>
      </c>
      <c r="CB306" s="43">
        <f t="shared" si="509"/>
        <v>0</v>
      </c>
      <c r="CC306" s="43" t="str">
        <f t="shared" si="510"/>
        <v>NA</v>
      </c>
      <c r="CD306" s="45">
        <v>0</v>
      </c>
      <c r="CE306" s="43">
        <f t="shared" si="511"/>
        <v>0</v>
      </c>
      <c r="CF306" s="43" t="str">
        <f t="shared" si="512"/>
        <v>NA</v>
      </c>
      <c r="CG306" s="45">
        <v>0</v>
      </c>
    </row>
    <row r="307" spans="1:90" ht="30.75" customHeight="1">
      <c r="A307" s="260" t="s">
        <v>1387</v>
      </c>
      <c r="B307" s="260" t="s">
        <v>1388</v>
      </c>
      <c r="C307" s="260" t="s">
        <v>1828</v>
      </c>
      <c r="D307" s="260" t="s">
        <v>1829</v>
      </c>
      <c r="E307" s="260" t="s">
        <v>1910</v>
      </c>
      <c r="F307" s="260" t="s">
        <v>1855</v>
      </c>
      <c r="G307" s="260" t="s">
        <v>1856</v>
      </c>
      <c r="H307" s="260" t="s">
        <v>1933</v>
      </c>
      <c r="I307" s="260"/>
      <c r="J307" s="260"/>
      <c r="K307" s="260" t="s">
        <v>1934</v>
      </c>
      <c r="L307" s="12" t="s">
        <v>1935</v>
      </c>
      <c r="M307" s="260" t="s">
        <v>1936</v>
      </c>
      <c r="N307" s="260" t="s">
        <v>111</v>
      </c>
      <c r="O307" s="260" t="s">
        <v>112</v>
      </c>
      <c r="P307" s="10">
        <v>0</v>
      </c>
      <c r="Q307" s="11">
        <v>4</v>
      </c>
      <c r="R307" s="9">
        <f t="shared" si="499"/>
        <v>1</v>
      </c>
      <c r="S307" s="11">
        <f>VLOOKUP(K307,'1285 EPC'!$K$13:$AK$35,9,0)</f>
        <v>0</v>
      </c>
      <c r="T307" s="11">
        <v>0</v>
      </c>
      <c r="U307" s="11">
        <v>0</v>
      </c>
      <c r="V307" s="11">
        <v>0</v>
      </c>
      <c r="W307" s="11">
        <v>0</v>
      </c>
      <c r="X307" s="11">
        <v>0</v>
      </c>
      <c r="Y307" s="11">
        <v>0</v>
      </c>
      <c r="Z307" s="11">
        <v>0</v>
      </c>
      <c r="AA307" s="11"/>
      <c r="AB307" s="11"/>
      <c r="AC307" s="11"/>
      <c r="AD307" s="11">
        <v>1</v>
      </c>
      <c r="AE307" s="11">
        <v>0</v>
      </c>
      <c r="AF307" s="11">
        <f>VLOOKUP(K307,'1285 EPC'!$K$13:$AK$35,22,0)</f>
        <v>1</v>
      </c>
      <c r="AG307" s="11" t="str">
        <f>VLOOKUP(K307,'1285 EPC'!$K$13:$AK$35,23,0)</f>
        <v> </v>
      </c>
      <c r="AH307" s="9">
        <f t="shared" si="500"/>
        <v>1</v>
      </c>
      <c r="AI307" s="9" t="str">
        <f>VLOOKUP(K307,'1285 EPC'!$K$13:$AK$35,25,0)</f>
        <v> </v>
      </c>
      <c r="AJ307" s="9" t="str">
        <f>VLOOKUP(K307,'1285 EPC'!$K$13:$AK$35,26,0)</f>
        <v>Pendiente la respuesta por parte de la CAR, ante la entrega de los ajustes y el estado de evaluación de las alternativas de Diagnóstico Ambiental DAA, por lo tanto se desarrolló reunión entre la Interventoría, el consultor y la Subgerencia General para establecer las medidas.
Se realizo reunión entre la CAR, DOPE y la Subgerencia General, donde se revisó el estado actual de las solicitudes de DAA, por lo cual EPC, deberá revisar la trazabilidad realizada ya que la CAR solicitó un desistimiento de los trámites. Esta evaluación está a cargo de DOPE y se está a la espera de la respuesta de la CAR.
Por solicitud de la CAR, el día 23 de julio de 2021 se hace entrega nuevamente del contenido de las alternativas de los Embalses Sumapaz, Gualivá y Ubaté.
La CAR solicita mesa de trabajo para la socialización de los requerimientos que debe realizar el consultor. Y se acuerda entre las partes que la CAR seguirá revisando el documento del Plan de Abastecimiento para dar aprobación del mismo.
Se termina el contrato EPC-PDA-C-256-2018 ACTUALIZACIÓN DE LOS ESTUDIOS Y DISEÑOS A DETALLE EMBALSE PANTANO DE ARCE II, avance 100% de ejecución, los diseños fueron aprobados por interventoría
Se han adelantado 3 mesas de trabajo con la CAR, para dar revisión a las observaciones generadas donde la última se realizó el día 30 de noviembre de 2021 por lo que la consultoría generara un plan de trabajo a presentar el próximo 13 de diciembre de 2021.</v>
      </c>
      <c r="AK307" s="9" t="str">
        <f>VLOOKUP(K307,'1285 EPC'!$K$13:$AK$35,27,0)</f>
        <v xml:space="preserve"> No se ha recibido respuesta por parte de la CAR, respecto a los ajustes presentados por epc.
Se requiere de considerables periodos de tiempo para que la CAR pueda realizar la revisión de los entregables así como la programación de las mesas de trabajo dado el alto volumen de trabajo que maneja dicha entidad. 
Se realizo reunón entre la CAR, Dirección Operativa y la Subgerencia Gneral, donde se revisó el estado actual de las solicitudes de DAA, por lo cual EPC, deberá revisar la trazabilidad realizada ya que la CAR solicitó un desistimiento de los tramites.</v>
      </c>
      <c r="AL307" s="11">
        <v>3</v>
      </c>
      <c r="AM307" s="11">
        <v>0</v>
      </c>
      <c r="AN307" s="11">
        <v>0</v>
      </c>
      <c r="AO307" s="11">
        <v>0</v>
      </c>
      <c r="AP307" s="11">
        <v>0</v>
      </c>
      <c r="AQ307" s="11">
        <v>0</v>
      </c>
      <c r="AR307" s="52"/>
      <c r="AS307" s="54">
        <v>3000000000</v>
      </c>
      <c r="AT307" s="54">
        <f t="shared" si="469"/>
        <v>3000000000</v>
      </c>
      <c r="AU307" s="52"/>
      <c r="AV307" s="89">
        <v>24500000</v>
      </c>
      <c r="AY307" s="89">
        <v>0</v>
      </c>
      <c r="AZ307" s="42">
        <f t="shared" si="501"/>
        <v>0.25</v>
      </c>
      <c r="BA307" s="44">
        <v>0</v>
      </c>
      <c r="BB307" s="44" t="s">
        <v>115</v>
      </c>
      <c r="BC307" s="42">
        <f t="shared" si="502"/>
        <v>0.25</v>
      </c>
      <c r="BD307" s="42" cm="1">
        <f t="array" ref="BD307">_xlfn.IFS(AD307=0,"NA",AD307&gt;0,AH307/AD307)</f>
        <v>1</v>
      </c>
      <c r="BE307" s="42">
        <f t="shared" si="503"/>
        <v>0.75</v>
      </c>
      <c r="BF307" s="44">
        <v>0</v>
      </c>
      <c r="BG307" s="42">
        <f t="shared" si="504"/>
        <v>0</v>
      </c>
      <c r="BH307" s="44" t="s">
        <v>115</v>
      </c>
      <c r="BI307" s="42">
        <f t="shared" si="505"/>
        <v>0</v>
      </c>
      <c r="BJ307" s="44" t="s">
        <v>115</v>
      </c>
      <c r="BK307" s="42">
        <f t="shared" si="470"/>
        <v>0.25</v>
      </c>
      <c r="BL307" s="44" t="s">
        <v>115</v>
      </c>
      <c r="BM307" s="42" cm="1">
        <f t="array" ref="BM307">_xlfn.IFS(BD307="NA","NA",BD307&gt;100%,"100%",BD307&lt;100,BD307)</f>
        <v>1</v>
      </c>
      <c r="BN307" s="42" cm="1">
        <f t="array" ref="BN307">_xlfn.IFS(BF307="NA","NA",BF307&gt;100%,"100%",BF307&lt;100,BF307)</f>
        <v>0</v>
      </c>
      <c r="BO307" s="42" t="str" cm="1">
        <f t="array" ref="BO307">_xlfn.IFS(BH307="NA","NA",BH307&gt;100%,"100%",BH307&lt;100,BH307)</f>
        <v>NA</v>
      </c>
      <c r="BP307" s="42" t="str" cm="1">
        <f t="array" ref="BP307">_xlfn.IFS(BJ307="NA","NA",BJ307&gt;100%,"100%",BJ307&lt;100,BJ307)</f>
        <v>NA</v>
      </c>
      <c r="BQ307" s="45">
        <v>0.22500000000000001</v>
      </c>
      <c r="BR307" s="43">
        <f t="shared" si="471"/>
        <v>5.6250000000000001E-2</v>
      </c>
      <c r="BS307" s="45">
        <v>0</v>
      </c>
      <c r="BT307" s="45" t="s">
        <v>115</v>
      </c>
      <c r="BU307" s="45">
        <v>0</v>
      </c>
      <c r="BV307" s="43">
        <f t="shared" si="506"/>
        <v>5.6250000000000001E-2</v>
      </c>
      <c r="BW307" s="43">
        <f t="shared" si="472"/>
        <v>5.6250000000000001E-2</v>
      </c>
      <c r="BX307" s="43">
        <f t="shared" si="473"/>
        <v>5.6250000000000001E-2</v>
      </c>
      <c r="BY307" s="43">
        <f t="shared" si="507"/>
        <v>0.16875000000000001</v>
      </c>
      <c r="BZ307" s="43">
        <f t="shared" si="508"/>
        <v>0</v>
      </c>
      <c r="CA307" s="43">
        <f t="shared" si="474"/>
        <v>0</v>
      </c>
      <c r="CB307" s="43">
        <f t="shared" si="509"/>
        <v>0</v>
      </c>
      <c r="CC307" s="43" t="str">
        <f t="shared" si="510"/>
        <v>NA</v>
      </c>
      <c r="CD307" s="45">
        <v>0</v>
      </c>
      <c r="CE307" s="43">
        <f t="shared" si="511"/>
        <v>0</v>
      </c>
      <c r="CF307" s="43" t="str">
        <f t="shared" si="512"/>
        <v>NA</v>
      </c>
      <c r="CG307" s="45">
        <v>0</v>
      </c>
    </row>
    <row r="308" spans="1:90" ht="18" customHeight="1">
      <c r="A308" s="260" t="s">
        <v>1937</v>
      </c>
      <c r="B308" s="260" t="s">
        <v>3007</v>
      </c>
      <c r="C308" s="260" t="s">
        <v>1828</v>
      </c>
      <c r="D308" s="260" t="s">
        <v>1829</v>
      </c>
      <c r="E308" s="260" t="s">
        <v>1939</v>
      </c>
      <c r="F308" s="260" t="s">
        <v>1862</v>
      </c>
      <c r="G308" s="260" t="s">
        <v>1863</v>
      </c>
      <c r="H308" s="260" t="s">
        <v>1942</v>
      </c>
      <c r="I308" s="260"/>
      <c r="J308" s="260"/>
      <c r="K308" s="260" t="s">
        <v>1943</v>
      </c>
      <c r="L308" s="260" t="s">
        <v>1944</v>
      </c>
      <c r="M308" s="260" t="s">
        <v>1945</v>
      </c>
      <c r="N308" s="260" t="s">
        <v>111</v>
      </c>
      <c r="O308" s="260" t="s">
        <v>112</v>
      </c>
      <c r="P308" s="10">
        <v>109</v>
      </c>
      <c r="Q308" s="11">
        <v>116</v>
      </c>
      <c r="R308" s="9">
        <f t="shared" si="499"/>
        <v>23</v>
      </c>
      <c r="S308" s="11" t="e">
        <f>VLOOKUP(K308,'1124 Agricultura'!$K$13:$AK$25,9,0)</f>
        <v>#N/A</v>
      </c>
      <c r="T308" s="11">
        <v>0</v>
      </c>
      <c r="U308" s="11">
        <v>0</v>
      </c>
      <c r="V308" s="11">
        <v>0</v>
      </c>
      <c r="W308" s="11">
        <v>0</v>
      </c>
      <c r="X308" s="11">
        <v>0</v>
      </c>
      <c r="Y308" s="11">
        <v>0</v>
      </c>
      <c r="Z308" s="11">
        <v>0</v>
      </c>
      <c r="AA308" s="11"/>
      <c r="AB308" s="11"/>
      <c r="AC308" s="11"/>
      <c r="AD308" s="11">
        <v>50</v>
      </c>
      <c r="AE308" s="11">
        <v>0</v>
      </c>
      <c r="AF308" s="11">
        <f>VLOOKUP(K308,'1203 IPYBAC'!$K$13:$AK$27,22,0)</f>
        <v>23</v>
      </c>
      <c r="AG308" s="11">
        <f>VLOOKUP(K308,'1203 IPYBAC'!$K$13:$AK$27,23,0)</f>
        <v>0</v>
      </c>
      <c r="AH308" s="9">
        <f t="shared" si="500"/>
        <v>23</v>
      </c>
      <c r="AI308" s="9" t="str">
        <f>VLOOKUP(K308,'1203 IPYBAC'!$K$13:$AK$27,25,0)</f>
        <v xml:space="preserve">Se han atendido 377 casos de presunto maltrato animal, se han realizado 23 Jornadas de Bienestar Animal donde se han atendido 1144 animales para consulta médica veterinaria prioritaria y se han realizado 3545 cirugías para el control de poblaciones. Además, se realizó la entrega de 15.760 kilogramos de concentrado a los 116 municipios del Departamento. Se han entregado 116 kits de medicamentos veterinarios a las UMATAS y/o las Secretarias del Departamento. Se han realizado 2 charlas virtuales a los 116 municipios del Departamento sobre la necesidad de la atención articulada en los temas de Protección y Bienestar Animal, las competencias del Instituto de Protección y Bienestar Animal de Cundinamarca – IPYBAC y las competencias de los diferentes actores del municipio. De igual manera se han realizado 48 capacitaciones a 36 municipios del Departamento sobre la ruta de atención de casos por presunto maltrato animal, tenencia responsable desde el concepto de “Un Solo Bienestar”, Bienestar Animal en las Cabalgatas, entre otros temas; buscando sensibilizar al Alcalde Municipal o su delegado, representantes de la UMATA o Secretarías Municipales que atienden los temas de Animales, Secretario de Gobierno o su delegado, Secretario de Salud o su delegado (Municipios Categoría I – II – III), Comandante de Policía Municipal o su delegado, Inspectores de Policía, Miembros de la Junta  Defensora de Animales y el Personero o su delegado, además de la comunidad en general. Durante estas capacitaciones se han sensibilizado dos mil ciento cuarenta y dos (2142) personas en los temas relacionados a la Protección y el Bienestar Animal, que deben actuar como multiplicadores de la información. Se realizó el Primer Simposio de Protección Ante la Crueldad Animal el pasado mes de Agosto, el pasado 29 de noviembre inicio el Primer Diplomado en Medicina Veterinaria Legal y Forense donde se están capacitando 30 médicos veterinarios que trabajan con las alcaldías del Departamento para fortalecer la protección ante la crueldad animal y en Diciembre tendremos el Primer Curso de Capacitación en Atención en Primeros Auxilios y Atención de Desastres para fortalecer estos servicios desde la Junta Defensora de Animales y el ente territorial.
</v>
      </c>
      <c r="AJ308" s="9" t="str">
        <f>VLOOKUP(K308,'1203 IPYBAC'!$K$13:$AK$27,26,0)</f>
        <v>Para cumplir esta meta se han diseñado 5 líneas de acción: Desde la Línea de Acción de Manejo Humanitario de Poblaciones se han atiendido solicitudes de los municipios en cuanto a estimativos poblacionales de animales en condición de vulnerabilidad, generación de los programas de Capturas – Esterilizar – Soltar (CES), Animal Comunitario, Red de Hogares de Paso, y programa de adopciones. Además, se ha apoyado desde la medicina de albergues las asesorías en la instauración de Centros de Bienestar Animal y las valoraciones de comportamiento de animales bajo la custodia del albergue municipal. Para la Línea de Acción de Protección Ante la Crueldad Animal se ha venido realizando un consultorio jurídico, abierto a la comunidad en especial para la denuncia de presuntos casos de maltrato animal, así como para los diferentes actores que desde el municipio necesitan conocer la forma técnica y jurídica de atender las diferentes problemáticas asociadas a los animales. Desde el 15 de marzo del presente años al 31 de octubre se han atendido 377 casos. Desde la Línea de Gestión del Bienestar Animal, se han realizado 23 Jornadas de Bienestar Animal donde se han atendido 1144 animales para consulta médica veterinaria prioritaria y se han realizado 3545 cirugías para el control de poblaciones. Además, se realizó la entrega de alimentos balanceados en el marco de la Ruta Huella Animal 2021 con un total de 15.760 kilogramos entregados a los 116 municipios del Departamento. A partir del 4 de octubre se han entregado kits de medicamentos veterinarios a las UMATAS y/o las Secretarias que tengan sus competencias, para fortalecer la atención de los animales en estado de vulnerabilidad de cada uno de  los 116 municipios del Departamento. Para la Línea de Acción de Fortalecimiento del Vínculo Humano – Animal, se han realizado 2 charlas virtuales a los 116 municipios del Departamento sobre la necesidad de la atención articulada en los temas de Protección y Bienestar Animal, las competencias del Instituto de Protección y Bienestar Animal de Cundinamarca – IPYBAC y las competencias de los diferentes actores del municipio. De igual manera se han realizado 48 capacitaciones a 36 municipios del Departamento sobre la ruta de atención de casos por presunto maltrato animal, tenencia responsable desde el concepto de “Un Solo Bienestar”, Bienestar Animal en las Cabalgatas, entre otros temas; buscando sensibilizar al Alcalde Municipal o su delegado, representantes de la UMATA o Secretarías Municipales que atienden los temas de Animales, Secretario de Gobierno o su delegado, Secretario de Salud o su delegado (Municipios Categoría I – II – III), Comandante de Policía Municipal o su delegado, Inspectores de Policía, Miembros de la Junta  Defensora de Animales y el Personero o su delegado, además de la comunidad en general. Durante estas capacitaciones se han sensibilizado dos mil ciento cuarenta y dos (2142) personas en los temas relacionados a la Protección y el Bienestar Animal, que deben actuar como multiplicadores de la información. Cabe resaltar que se realizó el Primer Simposio de Protección Ante la Crueldad Animal el pasado mes de Agosto, el pasado 29 de noviembre inicio el Primer Diplomado en Medicina Veterinaria Legal y Forense donde se están capacitando 30 medicos veterinarios que trabajan con las alcaldías del Departamento para fortalecer la protección ante la crueldad animal y en Diciembre tendremos el Primer Curso de Capacitación en Atención en Primeros Auxilios y Atención de Desastres para fortalecer estos servicios desde la Junta Defensora de Animales y el ente territorial.</v>
      </c>
      <c r="AK308" s="9" t="str">
        <f>VLOOKUP(K308,'1203 IPYBAC'!$K$13:$AK$27,27,0)</f>
        <v>La puesta en marcha del IPYBAC, su alistamiento institucional y conformación de la planta de personal han retrasado la consecucion de actividades que permiten el cumpmienmto de la totalidad de la meta</v>
      </c>
      <c r="AL308" s="11">
        <v>50</v>
      </c>
      <c r="AM308" s="11">
        <v>0</v>
      </c>
      <c r="AN308" s="11">
        <v>16</v>
      </c>
      <c r="AO308" s="11">
        <v>0</v>
      </c>
      <c r="AP308" s="11">
        <v>0</v>
      </c>
      <c r="AQ308" s="11">
        <v>0</v>
      </c>
      <c r="AR308" s="52"/>
      <c r="AS308" s="54">
        <v>0</v>
      </c>
      <c r="AT308" s="54">
        <f t="shared" si="469"/>
        <v>0</v>
      </c>
      <c r="AU308" s="52"/>
      <c r="AV308" s="89">
        <v>2443115741</v>
      </c>
      <c r="AY308" s="89">
        <v>0</v>
      </c>
      <c r="AZ308" s="42">
        <f t="shared" si="501"/>
        <v>0.19827586206896552</v>
      </c>
      <c r="BA308" s="44">
        <v>0</v>
      </c>
      <c r="BB308" s="44" t="s">
        <v>115</v>
      </c>
      <c r="BC308" s="42">
        <f t="shared" si="502"/>
        <v>0.43103448275862066</v>
      </c>
      <c r="BD308" s="42" cm="1">
        <f t="array" ref="BD308">_xlfn.IFS(AD308=0,"NA",AD308&gt;0,AH308/AD308)</f>
        <v>0.46</v>
      </c>
      <c r="BE308" s="42">
        <f t="shared" si="503"/>
        <v>0.43103448275862066</v>
      </c>
      <c r="BF308" s="44">
        <v>0</v>
      </c>
      <c r="BG308" s="42">
        <f t="shared" si="504"/>
        <v>0.13793103448275862</v>
      </c>
      <c r="BH308" s="44">
        <v>0</v>
      </c>
      <c r="BI308" s="42">
        <f t="shared" si="505"/>
        <v>0</v>
      </c>
      <c r="BJ308" s="44" t="s">
        <v>115</v>
      </c>
      <c r="BK308" s="42">
        <f t="shared" si="470"/>
        <v>0.19827586206896552</v>
      </c>
      <c r="BL308" s="44" t="s">
        <v>115</v>
      </c>
      <c r="BM308" s="42" cm="1">
        <f t="array" ref="BM308">_xlfn.IFS(BD308="NA","NA",BD308&gt;100%,"100%",BD308&lt;100,BD308)</f>
        <v>0.46</v>
      </c>
      <c r="BN308" s="42" cm="1">
        <f t="array" ref="BN308">_xlfn.IFS(BF308="NA","NA",BF308&gt;100%,"100%",BF308&lt;100,BF308)</f>
        <v>0</v>
      </c>
      <c r="BO308" s="42" cm="1">
        <f t="array" ref="BO308">_xlfn.IFS(BH308="NA","NA",BH308&gt;100%,"100%",BH308&lt;100,BH308)</f>
        <v>0</v>
      </c>
      <c r="BP308" s="42" t="str" cm="1">
        <f t="array" ref="BP308">_xlfn.IFS(BJ308="NA","NA",BJ308&gt;100%,"100%",BJ308&lt;100,BJ308)</f>
        <v>NA</v>
      </c>
      <c r="BQ308" s="45">
        <v>0.22500000000000001</v>
      </c>
      <c r="BR308" s="43">
        <f t="shared" si="471"/>
        <v>4.4612068965517247E-2</v>
      </c>
      <c r="BS308" s="45">
        <v>0</v>
      </c>
      <c r="BT308" s="45" t="s">
        <v>115</v>
      </c>
      <c r="BU308" s="45">
        <v>0</v>
      </c>
      <c r="BV308" s="43">
        <f t="shared" si="506"/>
        <v>9.6982758620689655E-2</v>
      </c>
      <c r="BW308" s="43">
        <f t="shared" si="472"/>
        <v>4.461206896551724E-2</v>
      </c>
      <c r="BX308" s="43">
        <f t="shared" si="473"/>
        <v>4.4612068965517247E-2</v>
      </c>
      <c r="BY308" s="43">
        <f t="shared" si="507"/>
        <v>9.6982758620689655E-2</v>
      </c>
      <c r="BZ308" s="43">
        <f t="shared" si="508"/>
        <v>0</v>
      </c>
      <c r="CA308" s="43">
        <f t="shared" si="474"/>
        <v>0</v>
      </c>
      <c r="CB308" s="43">
        <f t="shared" si="509"/>
        <v>3.1034482758620689E-2</v>
      </c>
      <c r="CC308" s="43">
        <f t="shared" si="510"/>
        <v>0</v>
      </c>
      <c r="CD308" s="45">
        <v>0</v>
      </c>
      <c r="CE308" s="43">
        <f t="shared" si="511"/>
        <v>0</v>
      </c>
      <c r="CF308" s="43" t="str">
        <f t="shared" si="512"/>
        <v>NA</v>
      </c>
      <c r="CG308" s="45">
        <v>0</v>
      </c>
    </row>
    <row r="309" spans="1:90" ht="18" customHeight="1">
      <c r="A309" s="260" t="s">
        <v>1937</v>
      </c>
      <c r="B309" s="260" t="s">
        <v>3007</v>
      </c>
      <c r="C309" s="260" t="s">
        <v>1828</v>
      </c>
      <c r="D309" s="260" t="s">
        <v>1829</v>
      </c>
      <c r="E309" s="260" t="s">
        <v>1939</v>
      </c>
      <c r="F309" s="260" t="s">
        <v>1862</v>
      </c>
      <c r="G309" s="260" t="s">
        <v>1863</v>
      </c>
      <c r="H309" s="260" t="s">
        <v>1946</v>
      </c>
      <c r="I309" s="260"/>
      <c r="J309" s="260"/>
      <c r="K309" s="260" t="s">
        <v>1947</v>
      </c>
      <c r="L309" s="260" t="s">
        <v>1948</v>
      </c>
      <c r="M309" s="260" t="s">
        <v>1949</v>
      </c>
      <c r="N309" s="260" t="s">
        <v>111</v>
      </c>
      <c r="O309" s="260" t="s">
        <v>112</v>
      </c>
      <c r="P309" s="10">
        <v>0</v>
      </c>
      <c r="Q309" s="11">
        <v>1</v>
      </c>
      <c r="R309" s="9">
        <f t="shared" si="499"/>
        <v>0.3</v>
      </c>
      <c r="S309" s="11" t="e">
        <f>VLOOKUP(K309,'1124 Agricultura'!$K$13:$AK$25,9,0)</f>
        <v>#N/A</v>
      </c>
      <c r="T309" s="11">
        <v>0</v>
      </c>
      <c r="U309" s="11">
        <v>0</v>
      </c>
      <c r="V309" s="11">
        <v>0.35</v>
      </c>
      <c r="W309" s="11">
        <v>0</v>
      </c>
      <c r="X309" s="11">
        <v>0.3</v>
      </c>
      <c r="Y309" s="11">
        <v>0</v>
      </c>
      <c r="Z309" s="11">
        <v>0.3</v>
      </c>
      <c r="AA309" s="11" t="s">
        <v>1950</v>
      </c>
      <c r="AB309" s="11" t="s">
        <v>1951</v>
      </c>
      <c r="AC309" s="11">
        <v>0</v>
      </c>
      <c r="AD309" s="11">
        <v>0.23</v>
      </c>
      <c r="AE309" s="11">
        <v>0</v>
      </c>
      <c r="AF309" s="11">
        <f>VLOOKUP(K309,'1203 IPYBAC'!$K$13:$AK$27,22,0)</f>
        <v>0</v>
      </c>
      <c r="AG309" s="11">
        <f>VLOOKUP(K309,'1203 IPYBAC'!$K$13:$AK$27,23,0)</f>
        <v>0</v>
      </c>
      <c r="AH309" s="9">
        <f t="shared" si="500"/>
        <v>0</v>
      </c>
      <c r="AI309" s="9">
        <f>VLOOKUP(K309,'1203 IPYBAC'!$K$13:$AK$27,25,0)</f>
        <v>0</v>
      </c>
      <c r="AJ309" s="9" t="str">
        <f>VLOOKUP(K309,'1203 IPYBAC'!$K$13:$AK$27,26,0)</f>
        <v>Para el cumplimiento de la meta No. 298 Formular la Política Pública en Protección y Bienestar Animal, la Subgerencia de Bienestar Animal ha trabajado en la estructuración del proceso contractual para la etapa de formulación de la política pública. De igual manera se recibieron los aportes y observaciones de la ciudadanía del proyecto de decreto de creación de las instancias de participación de protección y bienestar animal en el Departamento, las cuales fueron remitidas al área jurídica para evaluarlas y adoptarlas si así se consideran. 
Así mismo ante la Secretaría de Hacienda se tramitó autorización para vigencia futuras, la cual se encuentra incluida en el proyecto de ordenanza 069 de 2021 por la cual se pretende autorizar al sr. Gobernador asumir obligaciones que afectan el presupuesto de vigencias futuras ordinarias y excepcionales, el cual fue aprobado en primer debate el pasado 20 de septiembre de 2021. El IPYBAC ha sustentado la justificación de la necesidad de acogernos a este trámite en razón a que se hace necesario que la contratación para la formulación de política pública sea continua e ininterrumpida por la naturaleza de las acciones que verticalmente no pueden ser fraccionadas y ejecutadas por contratistas diferentes. Vale la pena mencionar que el pasado mes este mismo consejo fue convocado de manera extraordinaria para pedir autorización para adelantar este trámite, sesión en la cual cada uno de ustedes recibió un minucioso informe de lo que se pretende ejecutar y una exposición de la necesidad de la justificación.</v>
      </c>
      <c r="AK309" s="9" t="str">
        <f>VLOOKUP(K309,'1203 IPYBAC'!$K$13:$AK$27,27,0)</f>
        <v>La puesta en marcha del IPYBAC, su alistamiento institucional y conformación de la planta de personal han retrasado la consecucion de actividades que permiten el cumpmiento de las actividades que continuan en el poceso de formulación de la PP.</v>
      </c>
      <c r="AL309" s="11">
        <v>0.42</v>
      </c>
      <c r="AM309" s="11">
        <v>0</v>
      </c>
      <c r="AN309" s="11">
        <v>0</v>
      </c>
      <c r="AO309" s="11">
        <v>0</v>
      </c>
      <c r="AP309" s="11">
        <v>0</v>
      </c>
      <c r="AQ309" s="11">
        <v>0</v>
      </c>
      <c r="AR309" s="52"/>
      <c r="AS309" s="54">
        <v>47296266</v>
      </c>
      <c r="AT309" s="54">
        <f t="shared" si="469"/>
        <v>47296266</v>
      </c>
      <c r="AU309" s="52"/>
      <c r="AV309" s="89">
        <v>150000000</v>
      </c>
      <c r="AY309" s="89">
        <v>0</v>
      </c>
      <c r="AZ309" s="42">
        <f t="shared" si="501"/>
        <v>0.3</v>
      </c>
      <c r="BA309" s="44">
        <v>0.35</v>
      </c>
      <c r="BB309" s="44">
        <v>0.85709999999999997</v>
      </c>
      <c r="BC309" s="42">
        <f t="shared" si="502"/>
        <v>0.23</v>
      </c>
      <c r="BD309" s="42" cm="1">
        <f t="array" ref="BD309">_xlfn.IFS(AD309=0,"NA",AD309&gt;0,AH309/AD309)</f>
        <v>0</v>
      </c>
      <c r="BE309" s="42">
        <f t="shared" si="503"/>
        <v>0.42</v>
      </c>
      <c r="BF309" s="44">
        <v>0</v>
      </c>
      <c r="BG309" s="42">
        <f t="shared" si="504"/>
        <v>0</v>
      </c>
      <c r="BH309" s="44" t="s">
        <v>115</v>
      </c>
      <c r="BI309" s="42">
        <f t="shared" si="505"/>
        <v>0</v>
      </c>
      <c r="BJ309" s="44" t="s">
        <v>115</v>
      </c>
      <c r="BK309" s="42">
        <f t="shared" si="470"/>
        <v>0.3</v>
      </c>
      <c r="BL309" s="44">
        <v>0.85709999999999997</v>
      </c>
      <c r="BM309" s="42" cm="1">
        <f t="array" ref="BM309">_xlfn.IFS(BD309="NA","NA",BD309&gt;100%,"100%",BD309&lt;100,BD309)</f>
        <v>0</v>
      </c>
      <c r="BN309" s="42" cm="1">
        <f t="array" ref="BN309">_xlfn.IFS(BF309="NA","NA",BF309&gt;100%,"100%",BF309&lt;100,BF309)</f>
        <v>0</v>
      </c>
      <c r="BO309" s="42" t="str" cm="1">
        <f t="array" ref="BO309">_xlfn.IFS(BH309="NA","NA",BH309&gt;100%,"100%",BH309&lt;100,BH309)</f>
        <v>NA</v>
      </c>
      <c r="BP309" s="42" t="str" cm="1">
        <f t="array" ref="BP309">_xlfn.IFS(BJ309="NA","NA",BJ309&gt;100%,"100%",BJ309&lt;100,BJ309)</f>
        <v>NA</v>
      </c>
      <c r="BQ309" s="45">
        <v>0.22500000000000001</v>
      </c>
      <c r="BR309" s="43">
        <f t="shared" si="471"/>
        <v>6.7500000000000004E-2</v>
      </c>
      <c r="BS309" s="45">
        <v>7.8799999999999995E-2</v>
      </c>
      <c r="BT309" s="45">
        <v>6.7500000000000004E-2</v>
      </c>
      <c r="BU309" s="45">
        <v>6.7500000000000004E-2</v>
      </c>
      <c r="BV309" s="43">
        <f t="shared" si="506"/>
        <v>5.1750000000000004E-2</v>
      </c>
      <c r="BW309" s="43">
        <f t="shared" si="472"/>
        <v>0</v>
      </c>
      <c r="BX309" s="43">
        <f t="shared" si="473"/>
        <v>0</v>
      </c>
      <c r="BY309" s="43">
        <f t="shared" si="507"/>
        <v>9.4500000000000001E-2</v>
      </c>
      <c r="BZ309" s="43">
        <f t="shared" si="508"/>
        <v>0</v>
      </c>
      <c r="CA309" s="43">
        <f t="shared" si="474"/>
        <v>0</v>
      </c>
      <c r="CB309" s="43">
        <f t="shared" si="509"/>
        <v>0</v>
      </c>
      <c r="CC309" s="43" t="str">
        <f t="shared" si="510"/>
        <v>NA</v>
      </c>
      <c r="CD309" s="45">
        <v>0</v>
      </c>
      <c r="CE309" s="43">
        <f t="shared" si="511"/>
        <v>0</v>
      </c>
      <c r="CF309" s="43" t="str">
        <f t="shared" si="512"/>
        <v>NA</v>
      </c>
      <c r="CG309" s="45">
        <v>0</v>
      </c>
    </row>
    <row r="310" spans="1:90" ht="18" customHeight="1">
      <c r="A310" s="260" t="s">
        <v>98</v>
      </c>
      <c r="B310" s="260" t="s">
        <v>99</v>
      </c>
      <c r="C310" s="260" t="s">
        <v>1828</v>
      </c>
      <c r="D310" s="260" t="s">
        <v>1829</v>
      </c>
      <c r="E310" s="260" t="s">
        <v>1939</v>
      </c>
      <c r="F310" s="260" t="s">
        <v>1869</v>
      </c>
      <c r="G310" s="260" t="s">
        <v>1870</v>
      </c>
      <c r="H310" s="260" t="s">
        <v>1952</v>
      </c>
      <c r="I310" s="260"/>
      <c r="J310" s="12" t="s">
        <v>393</v>
      </c>
      <c r="K310" s="260" t="s">
        <v>1953</v>
      </c>
      <c r="L310" s="260" t="s">
        <v>1954</v>
      </c>
      <c r="M310" s="260" t="s">
        <v>1955</v>
      </c>
      <c r="N310" s="260" t="s">
        <v>123</v>
      </c>
      <c r="O310" s="260" t="s">
        <v>112</v>
      </c>
      <c r="P310" s="10">
        <v>80</v>
      </c>
      <c r="Q310" s="11">
        <v>10</v>
      </c>
      <c r="R310" s="9">
        <f t="shared" si="499"/>
        <v>3</v>
      </c>
      <c r="S310" s="9" t="str">
        <f>VLOOKUP(K310,'1197 Salud'!$K$13:$AK$54,9,0)</f>
        <v xml:space="preserve">Acualmente nos encontramos trabajando artículadamente con el componente de ETV con el fin de llegar a los municipios con la implementacion de la Estrategia Integral  Zoonosis, de acuerdo a   la modificacion de la legislación departamental con el fin de incluir los dos temas y potencializar las intervenciones de los profesionales en los dos  saberes. Se va a interractuar con las ESEs para la custodia y red de frio del biologico antirrabico canino y felino ,  cobertura de vacunación felina y canina en el departamento en los 116 municipios : durante el 2020 se vacunaron 156.293 caninos y 68.894 felinos , y para el 2021 se han vacunado caninos y felinos  32556  </v>
      </c>
      <c r="T310" s="11">
        <v>1</v>
      </c>
      <c r="U310" s="11">
        <v>0</v>
      </c>
      <c r="V310" s="11">
        <v>1</v>
      </c>
      <c r="W310" s="11">
        <v>0</v>
      </c>
      <c r="X310" s="11">
        <v>1</v>
      </c>
      <c r="Y310" s="11">
        <v>0</v>
      </c>
      <c r="Z310" s="11">
        <v>1</v>
      </c>
      <c r="AA310" s="11" t="s">
        <v>1956</v>
      </c>
      <c r="AB310" s="11" t="s">
        <v>1957</v>
      </c>
      <c r="AC310" s="11" t="s">
        <v>1958</v>
      </c>
      <c r="AD310" s="11">
        <v>4</v>
      </c>
      <c r="AE310" s="11">
        <v>0</v>
      </c>
      <c r="AF310" s="9">
        <f>VLOOKUP(K310,'1197 Salud'!$K$13:$AK$54,22,0)</f>
        <v>2</v>
      </c>
      <c r="AG310" s="9">
        <f>VLOOKUP(K310,'1197 Salud'!$K$13:$AK$54,23,0)</f>
        <v>0</v>
      </c>
      <c r="AH310" s="9">
        <f t="shared" si="500"/>
        <v>2</v>
      </c>
      <c r="AI310" s="9" t="str">
        <f>VLOOKUP(K310,'1197 Salud'!$K$13:$AK$54,25,0)</f>
        <v>Coberturas de vacunación de la población canina y felina del departamento</v>
      </c>
      <c r="AJ310" s="9" t="str">
        <f>VLOOKUP(K310,'1197 Salud'!$K$13:$AK$54,26,0)</f>
        <v xml:space="preserve">Se ha intervenido los animales de compañía en los municipios 116 municipios incentivando la tenencia responsable de los mismos, realizando seguimiento a las coberturas vacunales consistentes en la poblacion proyectada. Se encuentra trabajando diariamente en los diferentes Municipios del Departamento con jornadas y recorridos casa a casa. al igual en el mes de septiembre se realizara una intensifiacion de acciones con el fin de cumplir . </v>
      </c>
      <c r="AK310" s="9" t="str">
        <f>VLOOKUP(K310,'1197 Salud'!$K$13:$AK$54,27,0)</f>
        <v>Se ha tenido cambio en la estructura organica organizacional del componente de zoonosis donde el ingreso de nuevo personal posee competencias en Enfermedades trasmitidas por vectores pero en menor proporcion en zoonosis.  las intervenciones  con el mismo Aumento de la población en el año 2021  dada por el Ministerio de Salud y Protección Social. En el año  2020 se proyecto una poblacion total de  de 504,022  animales; con relacion al año 2021 con una poblacion total de 675,788  con un  incremento de 25,4 % . De está poblacion tendriamos que vacunar el 85 % lo que corresponderia a 574.420 del total de animales.</v>
      </c>
      <c r="AL310" s="11">
        <v>4</v>
      </c>
      <c r="AM310" s="11">
        <v>0</v>
      </c>
      <c r="AN310" s="11">
        <v>1</v>
      </c>
      <c r="AO310" s="11">
        <v>0</v>
      </c>
      <c r="AP310" s="11">
        <v>0</v>
      </c>
      <c r="AQ310" s="11">
        <v>0</v>
      </c>
      <c r="AR310" s="51">
        <v>160233215</v>
      </c>
      <c r="AS310" s="54">
        <v>0</v>
      </c>
      <c r="AT310" s="54">
        <f t="shared" si="469"/>
        <v>160233215</v>
      </c>
      <c r="AU310" s="51">
        <v>19881333</v>
      </c>
      <c r="AV310" s="89">
        <v>499476275</v>
      </c>
      <c r="AY310" s="89">
        <v>352704272</v>
      </c>
      <c r="AZ310" s="42">
        <f t="shared" si="501"/>
        <v>0.3</v>
      </c>
      <c r="BA310" s="44">
        <v>0.1</v>
      </c>
      <c r="BB310" s="44">
        <v>1</v>
      </c>
      <c r="BC310" s="42">
        <f t="shared" si="502"/>
        <v>0.4</v>
      </c>
      <c r="BD310" s="42" cm="1">
        <f t="array" ref="BD310">_xlfn.IFS(AD310=0,"NA",AD310&gt;0,AH310/AD310)</f>
        <v>0.5</v>
      </c>
      <c r="BE310" s="42">
        <f t="shared" si="503"/>
        <v>0.4</v>
      </c>
      <c r="BF310" s="44">
        <v>0</v>
      </c>
      <c r="BG310" s="42">
        <f t="shared" si="504"/>
        <v>0.1</v>
      </c>
      <c r="BH310" s="44">
        <v>0</v>
      </c>
      <c r="BI310" s="42">
        <f t="shared" si="505"/>
        <v>0</v>
      </c>
      <c r="BJ310" s="44" t="s">
        <v>115</v>
      </c>
      <c r="BK310" s="42">
        <f t="shared" si="470"/>
        <v>0.3</v>
      </c>
      <c r="BL310" s="44">
        <v>1</v>
      </c>
      <c r="BM310" s="42" cm="1">
        <f t="array" ref="BM310">_xlfn.IFS(BD310="NA","NA",BD310&gt;100%,"100%",BD310&lt;100,BD310)</f>
        <v>0.5</v>
      </c>
      <c r="BN310" s="42" cm="1">
        <f t="array" ref="BN310">_xlfn.IFS(BF310="NA","NA",BF310&gt;100%,"100%",BF310&lt;100,BF310)</f>
        <v>0</v>
      </c>
      <c r="BO310" s="42" cm="1">
        <f t="array" ref="BO310">_xlfn.IFS(BH310="NA","NA",BH310&gt;100%,"100%",BH310&lt;100,BH310)</f>
        <v>0</v>
      </c>
      <c r="BP310" s="42" t="str" cm="1">
        <f t="array" ref="BP310">_xlfn.IFS(BJ310="NA","NA",BJ310&gt;100%,"100%",BJ310&lt;100,BJ310)</f>
        <v>NA</v>
      </c>
      <c r="BQ310" s="45">
        <v>0.22500000000000001</v>
      </c>
      <c r="BR310" s="43">
        <f t="shared" si="471"/>
        <v>6.7500000000000004E-2</v>
      </c>
      <c r="BS310" s="45">
        <v>2.2499999999999999E-2</v>
      </c>
      <c r="BT310" s="45">
        <v>2.2499999999999999E-2</v>
      </c>
      <c r="BU310" s="45">
        <v>2.2499999999999999E-2</v>
      </c>
      <c r="BV310" s="43">
        <f t="shared" si="506"/>
        <v>0.09</v>
      </c>
      <c r="BW310" s="43">
        <f t="shared" si="472"/>
        <v>4.4999999999999998E-2</v>
      </c>
      <c r="BX310" s="43">
        <f t="shared" si="473"/>
        <v>4.5000000000000005E-2</v>
      </c>
      <c r="BY310" s="43">
        <f t="shared" si="507"/>
        <v>0.09</v>
      </c>
      <c r="BZ310" s="43">
        <f t="shared" si="508"/>
        <v>0</v>
      </c>
      <c r="CA310" s="43">
        <f t="shared" si="474"/>
        <v>0</v>
      </c>
      <c r="CB310" s="43">
        <f t="shared" si="509"/>
        <v>2.2499999999999999E-2</v>
      </c>
      <c r="CC310" s="43">
        <f t="shared" si="510"/>
        <v>0</v>
      </c>
      <c r="CD310" s="45">
        <v>0</v>
      </c>
      <c r="CE310" s="43">
        <f t="shared" si="511"/>
        <v>0</v>
      </c>
      <c r="CF310" s="43" t="str">
        <f t="shared" si="512"/>
        <v>NA</v>
      </c>
      <c r="CG310" s="45">
        <v>0</v>
      </c>
    </row>
    <row r="311" spans="1:90" ht="30.75" customHeight="1">
      <c r="A311" s="260" t="s">
        <v>1387</v>
      </c>
      <c r="B311" s="260" t="s">
        <v>1388</v>
      </c>
      <c r="C311" s="260" t="s">
        <v>1828</v>
      </c>
      <c r="D311" s="260" t="s">
        <v>1829</v>
      </c>
      <c r="E311" s="260" t="s">
        <v>1959</v>
      </c>
      <c r="F311" s="260" t="s">
        <v>1960</v>
      </c>
      <c r="G311" s="260" t="s">
        <v>1961</v>
      </c>
      <c r="H311" s="260" t="s">
        <v>1962</v>
      </c>
      <c r="I311" s="260"/>
      <c r="J311" s="260"/>
      <c r="K311" s="260" t="s">
        <v>1963</v>
      </c>
      <c r="L311" s="12" t="s">
        <v>3008</v>
      </c>
      <c r="M311" s="260" t="s">
        <v>1965</v>
      </c>
      <c r="N311" s="260" t="s">
        <v>111</v>
      </c>
      <c r="O311" s="260" t="s">
        <v>112</v>
      </c>
      <c r="P311" s="10">
        <v>20</v>
      </c>
      <c r="Q311" s="11">
        <v>3</v>
      </c>
      <c r="R311" s="9">
        <f t="shared" si="499"/>
        <v>0.09</v>
      </c>
      <c r="S311" s="11">
        <f>VLOOKUP(K311,'1285 EPC'!$K$13:$AK$35,9,0)</f>
        <v>0</v>
      </c>
      <c r="T311" s="11">
        <v>0</v>
      </c>
      <c r="U311" s="11">
        <v>0</v>
      </c>
      <c r="V311" s="11">
        <v>0</v>
      </c>
      <c r="W311" s="11">
        <v>0</v>
      </c>
      <c r="X311" s="11">
        <v>0</v>
      </c>
      <c r="Y311" s="11">
        <v>0</v>
      </c>
      <c r="Z311" s="11">
        <v>0</v>
      </c>
      <c r="AA311" s="11"/>
      <c r="AB311" s="11"/>
      <c r="AC311" s="11"/>
      <c r="AD311" s="11">
        <v>1</v>
      </c>
      <c r="AE311" s="11">
        <v>0</v>
      </c>
      <c r="AF311" s="11">
        <f>VLOOKUP(K311,'1285 EPC'!$K$13:$AK$35,22,0)</f>
        <v>0.09</v>
      </c>
      <c r="AG311" s="11" t="str">
        <f>VLOOKUP(K311,'1285 EPC'!$K$13:$AK$35,23,0)</f>
        <v> </v>
      </c>
      <c r="AH311" s="9">
        <f t="shared" si="500"/>
        <v>0.09</v>
      </c>
      <c r="AI311" s="9" t="str">
        <f>VLOOKUP(K311,'1285 EPC'!$K$13:$AK$35,25,0)</f>
        <v> </v>
      </c>
      <c r="AJ311" s="9" t="str">
        <f>VLOOKUP(K311,'1285 EPC'!$K$13:$AK$35,26,0)</f>
        <v>Se revisó con Secretaria de Ambiente los posibles municipios a intervenir con proyectos de PARSO.
Reuniones internas en la dirección de asuntos ambientales para la estructuración del proceso.
Diagnóstico para la estructuración del proyecto a partir de información secundaria (CAR).
Se encuentra radicada la solicitud de contratación para la actualización del modelo de gestión regional de residuos sólidos ante la Dirección de Contratación
Se priorizaron municipios objeto de estudio para Construir, optimizar y/o poner en funcionamiento  estaciones de transferencia y/o sistemas de aprovechamiento de residuos sólidos
Se realizo visita a los municipios de El Colegio y Zipacón el 11 de junio de 2021, y el 24 de junio a Pacho.
Se inicio la ejecución del contrato de obra PARSO San Juan de Rioseco el 06 de abril de 2021
Se encuentra en ejecución el contrato de obra pública de la PARSO San Juan Rio Seco Avance de obra 20% y se encuentra en trámite la  cuenta de cobro del anticipo por parte del municipio.
El 11 de agosto de 2021 se realizó visita al municipio de San Antonio del Tequendama a los dos posibles predios para la ubicación de la PARSO los cuales presentan dificultad técnicas referente a la distancia mínima requerida y a vías de acceso.</v>
      </c>
      <c r="AK311" s="9" t="str">
        <f>VLOOKUP(K311,'1285 EPC'!$K$13:$AK$35,27,0)</f>
        <v>Falta de equipo técnico para revisisón de la documentación técnica.
Recopilar la información.</v>
      </c>
      <c r="AL311" s="11">
        <v>0.09</v>
      </c>
      <c r="AM311" s="11">
        <v>0</v>
      </c>
      <c r="AN311" s="11">
        <v>1.91</v>
      </c>
      <c r="AO311" s="11">
        <v>0</v>
      </c>
      <c r="AP311" s="11">
        <v>0</v>
      </c>
      <c r="AQ311" s="11">
        <v>0</v>
      </c>
      <c r="AR311" s="52"/>
      <c r="AS311" s="54">
        <v>1825283855</v>
      </c>
      <c r="AT311" s="54">
        <f t="shared" si="469"/>
        <v>1825283855</v>
      </c>
      <c r="AU311" s="52"/>
      <c r="AV311" s="89">
        <v>350000000</v>
      </c>
      <c r="AY311" s="89">
        <v>0</v>
      </c>
      <c r="AZ311" s="42">
        <f t="shared" si="501"/>
        <v>0.03</v>
      </c>
      <c r="BA311" s="44">
        <v>0</v>
      </c>
      <c r="BB311" s="44" t="s">
        <v>115</v>
      </c>
      <c r="BC311" s="42">
        <f t="shared" si="502"/>
        <v>0.33333333333333331</v>
      </c>
      <c r="BD311" s="42" cm="1">
        <f t="array" ref="BD311">_xlfn.IFS(AD311=0,"NA",AD311&gt;0,AH311/AD311)</f>
        <v>0.09</v>
      </c>
      <c r="BE311" s="42">
        <f t="shared" si="503"/>
        <v>0.03</v>
      </c>
      <c r="BF311" s="44">
        <v>0</v>
      </c>
      <c r="BG311" s="42">
        <f t="shared" si="504"/>
        <v>0.6366666666666666</v>
      </c>
      <c r="BH311" s="44">
        <v>0</v>
      </c>
      <c r="BI311" s="42">
        <f t="shared" si="505"/>
        <v>0</v>
      </c>
      <c r="BJ311" s="44" t="s">
        <v>115</v>
      </c>
      <c r="BK311" s="42">
        <f t="shared" si="470"/>
        <v>0.03</v>
      </c>
      <c r="BL311" s="44" t="s">
        <v>115</v>
      </c>
      <c r="BM311" s="42" cm="1">
        <f t="array" ref="BM311">_xlfn.IFS(BD311="NA","NA",BD311&gt;100%,"100%",BD311&lt;100,BD311)</f>
        <v>0.09</v>
      </c>
      <c r="BN311" s="42" cm="1">
        <f t="array" ref="BN311">_xlfn.IFS(BF311="NA","NA",BF311&gt;100%,"100%",BF311&lt;100,BF311)</f>
        <v>0</v>
      </c>
      <c r="BO311" s="42" cm="1">
        <f t="array" ref="BO311">_xlfn.IFS(BH311="NA","NA",BH311&gt;100%,"100%",BH311&lt;100,BH311)</f>
        <v>0</v>
      </c>
      <c r="BP311" s="42" t="str" cm="1">
        <f t="array" ref="BP311">_xlfn.IFS(BJ311="NA","NA",BJ311&gt;100%,"100%",BJ311&lt;100,BJ311)</f>
        <v>NA</v>
      </c>
      <c r="BQ311" s="45">
        <v>0.22500000000000001</v>
      </c>
      <c r="BR311" s="43">
        <f t="shared" si="471"/>
        <v>6.7499999999999999E-3</v>
      </c>
      <c r="BS311" s="45">
        <v>0</v>
      </c>
      <c r="BT311" s="45" t="s">
        <v>115</v>
      </c>
      <c r="BU311" s="45">
        <v>0</v>
      </c>
      <c r="BV311" s="43">
        <f t="shared" si="506"/>
        <v>7.4999999999999997E-2</v>
      </c>
      <c r="BW311" s="43">
        <f t="shared" si="472"/>
        <v>6.7499999999999999E-3</v>
      </c>
      <c r="BX311" s="43">
        <f t="shared" si="473"/>
        <v>6.7499999999999999E-3</v>
      </c>
      <c r="BY311" s="43">
        <f t="shared" si="507"/>
        <v>6.7499999999999999E-3</v>
      </c>
      <c r="BZ311" s="43">
        <f t="shared" si="508"/>
        <v>0</v>
      </c>
      <c r="CA311" s="43">
        <f t="shared" si="474"/>
        <v>0</v>
      </c>
      <c r="CB311" s="43">
        <f t="shared" si="509"/>
        <v>0.14324999999999999</v>
      </c>
      <c r="CC311" s="43">
        <f t="shared" si="510"/>
        <v>0</v>
      </c>
      <c r="CD311" s="45">
        <v>0</v>
      </c>
      <c r="CE311" s="43">
        <f t="shared" si="511"/>
        <v>0</v>
      </c>
      <c r="CF311" s="43" t="str">
        <f t="shared" si="512"/>
        <v>NA</v>
      </c>
      <c r="CG311" s="45">
        <v>0</v>
      </c>
    </row>
    <row r="312" spans="1:90" ht="18" customHeight="1">
      <c r="A312" s="260" t="s">
        <v>1826</v>
      </c>
      <c r="B312" s="260" t="s">
        <v>1827</v>
      </c>
      <c r="C312" s="260" t="s">
        <v>1828</v>
      </c>
      <c r="D312" s="260" t="s">
        <v>1829</v>
      </c>
      <c r="E312" s="260" t="s">
        <v>1959</v>
      </c>
      <c r="F312" s="260" t="s">
        <v>1960</v>
      </c>
      <c r="G312" s="260" t="s">
        <v>1961</v>
      </c>
      <c r="H312" s="260" t="s">
        <v>1966</v>
      </c>
      <c r="I312" s="260"/>
      <c r="J312" s="260"/>
      <c r="K312" s="260" t="s">
        <v>1967</v>
      </c>
      <c r="L312" s="260" t="s">
        <v>1968</v>
      </c>
      <c r="M312" s="260" t="s">
        <v>1969</v>
      </c>
      <c r="N312" s="260" t="s">
        <v>111</v>
      </c>
      <c r="O312" s="260" t="s">
        <v>112</v>
      </c>
      <c r="P312" s="10">
        <v>5</v>
      </c>
      <c r="Q312" s="11">
        <v>2</v>
      </c>
      <c r="R312" s="9">
        <f t="shared" si="499"/>
        <v>1</v>
      </c>
      <c r="S312" s="11" t="str">
        <f>VLOOKUP(K312,'1121 Ambiente'!$K$13:$AK$38,9,0)</f>
        <v xml:space="preserve">Se dio cumplimiento al producto Socialización alternativas de disposición final de Residuos sólidos. 
Así mismo, se realiza estudio del análisis del estado actual del contrato de concesión del RSNM. 80 municipios que disponen en el RSNM
</v>
      </c>
      <c r="T312" s="11">
        <v>0.2</v>
      </c>
      <c r="U312" s="11">
        <v>0</v>
      </c>
      <c r="V312" s="11">
        <v>0.2</v>
      </c>
      <c r="W312" s="11">
        <v>0</v>
      </c>
      <c r="X312" s="11">
        <v>0.2</v>
      </c>
      <c r="Y312" s="11">
        <v>0</v>
      </c>
      <c r="Z312" s="11">
        <v>0.2</v>
      </c>
      <c r="AA312" s="11">
        <v>0</v>
      </c>
      <c r="AB312" s="11"/>
      <c r="AC312" s="11">
        <v>0</v>
      </c>
      <c r="AD312" s="11">
        <v>0.8</v>
      </c>
      <c r="AE312" s="11">
        <v>0</v>
      </c>
      <c r="AF312" s="11">
        <f>VLOOKUP(K312,'1121 Ambiente'!$K$13:$AK$38,22,0)</f>
        <v>0.8</v>
      </c>
      <c r="AG312" s="11">
        <f>VLOOKUP(K312,'1121 Ambiente'!$K$13:$AK$38,23,0)</f>
        <v>0</v>
      </c>
      <c r="AH312" s="9">
        <f t="shared" si="500"/>
        <v>0.8</v>
      </c>
      <c r="AI312" s="9" t="str">
        <f>VLOOKUP(K312,'1121 Ambiente'!$K$13:$AK$38,25,0)</f>
        <v>1 Alternativa de disposición final de Residuos sólidos</v>
      </c>
      <c r="AJ312" s="9" t="str">
        <f>VLOOKUP(K312,'1121 Ambiente'!$K$13:$AK$38,26,0)</f>
        <v xml:space="preserve"> Para el mes de mayo de 2021 se da cumplimiento al producto Socialización alternativas con Gobernador y Secretaria del Ambiente que corresponde a un 15% del 80%.
Se realiza estudio del análisis del estado actual del contrato de concesión del RSNM. 80 municipios que disponen en el RSNM. Se esta realizando proceso contractual para consultoria con el Relleno Sanitario Nuevo Mondoñedo</v>
      </c>
      <c r="AK312" s="9">
        <f>VLOOKUP(K312,'1121 Ambiente'!$K$13:$AK$38,27,0)</f>
        <v>0</v>
      </c>
      <c r="AL312" s="11">
        <v>1</v>
      </c>
      <c r="AM312" s="11">
        <v>0</v>
      </c>
      <c r="AN312" s="11">
        <v>0</v>
      </c>
      <c r="AO312" s="11">
        <v>0</v>
      </c>
      <c r="AP312" s="11">
        <v>0</v>
      </c>
      <c r="AQ312" s="11">
        <v>0</v>
      </c>
      <c r="AR312" s="51">
        <v>100000000</v>
      </c>
      <c r="AS312" s="54">
        <v>0</v>
      </c>
      <c r="AT312" s="54">
        <f t="shared" si="469"/>
        <v>100000000</v>
      </c>
      <c r="AU312" s="51">
        <v>75303200</v>
      </c>
      <c r="AV312" s="89">
        <v>0</v>
      </c>
      <c r="AY312" s="89">
        <v>0</v>
      </c>
      <c r="AZ312" s="42">
        <f t="shared" si="501"/>
        <v>0.5</v>
      </c>
      <c r="BA312" s="44">
        <v>0.1</v>
      </c>
      <c r="BB312" s="44">
        <v>1</v>
      </c>
      <c r="BC312" s="42">
        <f t="shared" si="502"/>
        <v>0.4</v>
      </c>
      <c r="BD312" s="42" cm="1">
        <f t="array" ref="BD312">_xlfn.IFS(AD312=0,"NA",AD312&gt;0,AH312/AD312)</f>
        <v>1</v>
      </c>
      <c r="BE312" s="42">
        <f t="shared" si="503"/>
        <v>0.5</v>
      </c>
      <c r="BF312" s="44">
        <v>0</v>
      </c>
      <c r="BG312" s="42">
        <f t="shared" si="504"/>
        <v>0</v>
      </c>
      <c r="BH312" s="44" t="s">
        <v>115</v>
      </c>
      <c r="BI312" s="42">
        <f t="shared" si="505"/>
        <v>0</v>
      </c>
      <c r="BJ312" s="44" t="s">
        <v>115</v>
      </c>
      <c r="BK312" s="42">
        <f t="shared" si="470"/>
        <v>0.5</v>
      </c>
      <c r="BL312" s="44">
        <v>1</v>
      </c>
      <c r="BM312" s="42" cm="1">
        <f t="array" ref="BM312">_xlfn.IFS(BD312="NA","NA",BD312&gt;100%,"100%",BD312&lt;100,BD312)</f>
        <v>1</v>
      </c>
      <c r="BN312" s="42" cm="1">
        <f t="array" ref="BN312">_xlfn.IFS(BF312="NA","NA",BF312&gt;100%,"100%",BF312&lt;100,BF312)</f>
        <v>0</v>
      </c>
      <c r="BO312" s="42" t="str" cm="1">
        <f t="array" ref="BO312">_xlfn.IFS(BH312="NA","NA",BH312&gt;100%,"100%",BH312&lt;100,BH312)</f>
        <v>NA</v>
      </c>
      <c r="BP312" s="42" t="str" cm="1">
        <f t="array" ref="BP312">_xlfn.IFS(BJ312="NA","NA",BJ312&gt;100%,"100%",BJ312&lt;100,BJ312)</f>
        <v>NA</v>
      </c>
      <c r="BQ312" s="45">
        <v>0.22500000000000001</v>
      </c>
      <c r="BR312" s="43">
        <f t="shared" si="471"/>
        <v>0.1125</v>
      </c>
      <c r="BS312" s="45">
        <v>2.2499999999999999E-2</v>
      </c>
      <c r="BT312" s="45">
        <v>2.2499999999999999E-2</v>
      </c>
      <c r="BU312" s="45">
        <v>2.2499999999999999E-2</v>
      </c>
      <c r="BV312" s="43">
        <f t="shared" si="506"/>
        <v>9.0000000000000011E-2</v>
      </c>
      <c r="BW312" s="43">
        <f t="shared" si="472"/>
        <v>9.0000000000000011E-2</v>
      </c>
      <c r="BX312" s="43">
        <f t="shared" si="473"/>
        <v>0.09</v>
      </c>
      <c r="BY312" s="43">
        <f t="shared" si="507"/>
        <v>0.1125</v>
      </c>
      <c r="BZ312" s="43">
        <f t="shared" si="508"/>
        <v>0</v>
      </c>
      <c r="CA312" s="43">
        <f t="shared" si="474"/>
        <v>0</v>
      </c>
      <c r="CB312" s="43">
        <f t="shared" si="509"/>
        <v>0</v>
      </c>
      <c r="CC312" s="43" t="str">
        <f t="shared" si="510"/>
        <v>NA</v>
      </c>
      <c r="CD312" s="45">
        <v>0</v>
      </c>
      <c r="CE312" s="43">
        <f t="shared" si="511"/>
        <v>0</v>
      </c>
      <c r="CF312" s="43" t="str">
        <f t="shared" si="512"/>
        <v>NA</v>
      </c>
      <c r="CG312" s="45">
        <v>0</v>
      </c>
    </row>
    <row r="313" spans="1:90" ht="18" customHeight="1">
      <c r="A313" s="260" t="s">
        <v>1826</v>
      </c>
      <c r="B313" s="260" t="s">
        <v>1827</v>
      </c>
      <c r="C313" s="260" t="s">
        <v>1828</v>
      </c>
      <c r="D313" s="260" t="s">
        <v>1829</v>
      </c>
      <c r="E313" s="260" t="s">
        <v>1959</v>
      </c>
      <c r="F313" s="260" t="s">
        <v>1960</v>
      </c>
      <c r="G313" s="260" t="s">
        <v>1961</v>
      </c>
      <c r="H313" s="260" t="s">
        <v>1970</v>
      </c>
      <c r="I313" s="260"/>
      <c r="J313" s="260"/>
      <c r="K313" s="260" t="s">
        <v>1971</v>
      </c>
      <c r="L313" s="260" t="s">
        <v>1972</v>
      </c>
      <c r="M313" s="260" t="s">
        <v>1973</v>
      </c>
      <c r="N313" s="260" t="s">
        <v>111</v>
      </c>
      <c r="O313" s="260" t="s">
        <v>112</v>
      </c>
      <c r="P313" s="10">
        <v>22</v>
      </c>
      <c r="Q313" s="11">
        <v>15</v>
      </c>
      <c r="R313" s="9">
        <f t="shared" si="499"/>
        <v>11</v>
      </c>
      <c r="S313" s="11" t="str">
        <f>VLOOKUP(K313,'1121 Ambiente'!$K$13:$AK$38,9,0)</f>
        <v xml:space="preserve">Durante el año 2020 se potencializaron 3 asociaciones provinciales de recuperadores ambientales, mediante convenios bipartitas y tripartitas en el fortalecimiento a municipios del Departamento como son Cajicá, Fusagasugá, y Madrid, y para la vigencia 2021  Se han reportado 2 asociaciones beneficiadas con la entrega de bienes y servicios en los municipios de Cáqueza (equipo de seguridad industrial, 1 compactadora) y Nimaima (equipo de seguridad industrial, 1 compactadora y una chipiadora).
</v>
      </c>
      <c r="T313" s="11">
        <v>3</v>
      </c>
      <c r="U313" s="11">
        <v>0</v>
      </c>
      <c r="V313" s="11">
        <v>3</v>
      </c>
      <c r="W313" s="11">
        <v>0</v>
      </c>
      <c r="X313" s="11">
        <v>3</v>
      </c>
      <c r="Y313" s="11">
        <v>0</v>
      </c>
      <c r="Z313" s="11">
        <v>3</v>
      </c>
      <c r="AA313" s="11">
        <v>0</v>
      </c>
      <c r="AB313" s="11"/>
      <c r="AC313" s="11">
        <v>0</v>
      </c>
      <c r="AD313" s="11">
        <v>4</v>
      </c>
      <c r="AE313" s="11">
        <v>0</v>
      </c>
      <c r="AF313" s="11">
        <f>VLOOKUP(K313,'1121 Ambiente'!$K$13:$AK$38,22,0)</f>
        <v>8</v>
      </c>
      <c r="AG313" s="11">
        <f>VLOOKUP(K313,'1121 Ambiente'!$K$13:$AK$38,23,0)</f>
        <v>0</v>
      </c>
      <c r="AH313" s="9">
        <f t="shared" si="500"/>
        <v>8</v>
      </c>
      <c r="AI313" s="9" t="str">
        <f>VLOOKUP(K313,'1121 Ambiente'!$K$13:$AK$38,25,0)</f>
        <v>8 Asociaciones potencializadas con la entrega de insumos y equipos</v>
      </c>
      <c r="AJ313" s="9" t="str">
        <f>VLOOKUP(K313,'1121 Ambiente'!$K$13:$AK$38,26,0)</f>
        <v>Se logró potencializar 8 Asociaciones con la entrega de equipos e insumos:
Cáqueza: equipo de seguridad industrial y compactadora. 
Nimaima: equipo de seguridad industrial, 1 compactadora y una chipiadora.
Bituima (12 contenedores de residuos solidos, una picadora de desechos, 10 lonas de fibra sintética, 1 guadaña de combustión, 4 palas, 12 contenedores de polietileno).,  Nimaima (13 equipos de seguridad industrial y una computadora vertical), 
San Bernardo (un medidor Multiparametros, 4 extractores de aire multiaxial), 
Chaguaní (395 ECOTANK y 366 Kg de ECOTEK), 
Albán (motocargueros de 300 Kg y elementos de Seguridad industrial: (07 Jeans de dotación, 07 chaquetas de protección, 07 zapatos industriales,  07 guantes de carnaza y 07 cachuchas) ,  
Villapinzón  Caneca de 30 litros doble fondo con rejilla separadora, salida y tapón para extracción de lixiviado y tapa ajuste hermético y sustrato enriquecido con bacterias degradadoras de residuos sólidos Orgánicos
Fusagasugá, por medio del cual se realizó la entrega  de 164 Overoles Industriales de Manga Larga en Gabardina de alto gramaje, 164 Tapa bocas tres capas, 164 Guantes y 164 Gorra en drill, todos con marcación Logo</v>
      </c>
      <c r="AK313" s="9">
        <f>VLOOKUP(K313,'1121 Ambiente'!$K$13:$AK$38,27,0)</f>
        <v>0</v>
      </c>
      <c r="AL313" s="11">
        <v>4</v>
      </c>
      <c r="AM313" s="11">
        <v>0</v>
      </c>
      <c r="AN313" s="11">
        <v>4</v>
      </c>
      <c r="AO313" s="11">
        <v>0</v>
      </c>
      <c r="AP313" s="11">
        <v>0</v>
      </c>
      <c r="AQ313" s="11">
        <v>0</v>
      </c>
      <c r="AR313" s="51">
        <v>100000000</v>
      </c>
      <c r="AS313" s="54">
        <v>10000000</v>
      </c>
      <c r="AT313" s="54">
        <f t="shared" si="469"/>
        <v>110000000</v>
      </c>
      <c r="AU313" s="51">
        <v>60075357</v>
      </c>
      <c r="AV313" s="89">
        <v>200000000</v>
      </c>
      <c r="AY313" s="89">
        <v>79800000</v>
      </c>
      <c r="AZ313" s="42">
        <f t="shared" si="501"/>
        <v>0.73333333333333328</v>
      </c>
      <c r="BA313" s="44">
        <v>0.2</v>
      </c>
      <c r="BB313" s="44">
        <v>1</v>
      </c>
      <c r="BC313" s="42">
        <f t="shared" si="502"/>
        <v>0.26666666666666666</v>
      </c>
      <c r="BD313" s="42" cm="1">
        <f t="array" ref="BD313">_xlfn.IFS(AD313=0,"NA",AD313&gt;0,AH313/AD313)</f>
        <v>2</v>
      </c>
      <c r="BE313" s="42">
        <f t="shared" si="503"/>
        <v>0.26666666666666666</v>
      </c>
      <c r="BF313" s="44">
        <v>0</v>
      </c>
      <c r="BG313" s="42">
        <f t="shared" si="504"/>
        <v>0.26666666666666666</v>
      </c>
      <c r="BH313" s="44">
        <v>0</v>
      </c>
      <c r="BI313" s="42">
        <f t="shared" si="505"/>
        <v>0</v>
      </c>
      <c r="BJ313" s="44" t="s">
        <v>115</v>
      </c>
      <c r="BK313" s="42">
        <f t="shared" si="470"/>
        <v>0.73333333333333328</v>
      </c>
      <c r="BL313" s="44">
        <v>1</v>
      </c>
      <c r="BM313" s="42" t="str" cm="1">
        <f t="array" ref="BM313">_xlfn.IFS(BD313="NA","NA",BD313&gt;100%,"100%",BD313&lt;100,BD313)</f>
        <v>100%</v>
      </c>
      <c r="BN313" s="42" cm="1">
        <f t="array" ref="BN313">_xlfn.IFS(BF313="NA","NA",BF313&gt;100%,"100%",BF313&lt;100,BF313)</f>
        <v>0</v>
      </c>
      <c r="BO313" s="42" cm="1">
        <f t="array" ref="BO313">_xlfn.IFS(BH313="NA","NA",BH313&gt;100%,"100%",BH313&lt;100,BH313)</f>
        <v>0</v>
      </c>
      <c r="BP313" s="42" t="str" cm="1">
        <f t="array" ref="BP313">_xlfn.IFS(BJ313="NA","NA",BJ313&gt;100%,"100%",BJ313&lt;100,BJ313)</f>
        <v>NA</v>
      </c>
      <c r="BQ313" s="45">
        <v>0.22500000000000001</v>
      </c>
      <c r="BR313" s="43">
        <f t="shared" si="471"/>
        <v>0.16499999999999998</v>
      </c>
      <c r="BS313" s="45">
        <v>4.4999999999999998E-2</v>
      </c>
      <c r="BT313" s="45">
        <v>4.4999999999999998E-2</v>
      </c>
      <c r="BU313" s="45">
        <v>4.4999999999999998E-2</v>
      </c>
      <c r="BV313" s="43">
        <f t="shared" si="506"/>
        <v>6.0000000000000005E-2</v>
      </c>
      <c r="BW313" s="43">
        <f t="shared" si="472"/>
        <v>6.0000000000000005E-2</v>
      </c>
      <c r="BX313" s="43">
        <f t="shared" si="473"/>
        <v>0.11999999999999998</v>
      </c>
      <c r="BY313" s="43">
        <f t="shared" si="507"/>
        <v>6.0000000000000005E-2</v>
      </c>
      <c r="BZ313" s="43">
        <f t="shared" si="508"/>
        <v>0</v>
      </c>
      <c r="CA313" s="43">
        <f t="shared" si="474"/>
        <v>0</v>
      </c>
      <c r="CB313" s="43">
        <f t="shared" si="509"/>
        <v>6.0000000000000005E-2</v>
      </c>
      <c r="CC313" s="43">
        <f t="shared" si="510"/>
        <v>0</v>
      </c>
      <c r="CD313" s="45">
        <v>0</v>
      </c>
      <c r="CE313" s="43">
        <f t="shared" si="511"/>
        <v>0</v>
      </c>
      <c r="CF313" s="43" t="str">
        <f t="shared" si="512"/>
        <v>NA</v>
      </c>
      <c r="CG313" s="45">
        <v>0</v>
      </c>
    </row>
    <row r="314" spans="1:90" ht="18" customHeight="1">
      <c r="A314" s="260" t="s">
        <v>1826</v>
      </c>
      <c r="B314" s="260" t="s">
        <v>1827</v>
      </c>
      <c r="C314" s="260" t="s">
        <v>1828</v>
      </c>
      <c r="D314" s="260" t="s">
        <v>1829</v>
      </c>
      <c r="E314" s="260" t="s">
        <v>1959</v>
      </c>
      <c r="F314" s="260" t="s">
        <v>1960</v>
      </c>
      <c r="G314" s="260" t="s">
        <v>1961</v>
      </c>
      <c r="H314" s="260" t="s">
        <v>1974</v>
      </c>
      <c r="I314" s="260"/>
      <c r="J314" s="260"/>
      <c r="K314" s="260" t="s">
        <v>1975</v>
      </c>
      <c r="L314" s="260" t="s">
        <v>1976</v>
      </c>
      <c r="M314" s="260" t="s">
        <v>1977</v>
      </c>
      <c r="N314" s="260" t="s">
        <v>111</v>
      </c>
      <c r="O314" s="260" t="s">
        <v>124</v>
      </c>
      <c r="P314" s="10">
        <v>1</v>
      </c>
      <c r="Q314" s="11">
        <v>1</v>
      </c>
      <c r="R314" s="11">
        <f>(Z314+AH314)/CL314</f>
        <v>0.25</v>
      </c>
      <c r="S314" s="11" t="str">
        <f>VLOOKUP(K314,'1121 Ambiente'!$K$13:$AK$38,9,0)</f>
        <v xml:space="preserve">Durante la vigencia 2020 se realizó la interventoria, sin embargo, existe una dificultad con el reporte debido a que no se ve reflejado. Para esta vigencia 2021 se tiene contratada la interventoría hasta el 31/12/2021 y se realizó el pago 5/5  la Fiduciaria Bogotá por valor de $60.720.346 mediante factura de pago No. 3300021473.
</v>
      </c>
      <c r="T314" s="11">
        <v>0</v>
      </c>
      <c r="U314" s="11">
        <v>1</v>
      </c>
      <c r="V314" s="11">
        <v>0</v>
      </c>
      <c r="W314" s="11">
        <v>1</v>
      </c>
      <c r="X314" s="11" t="s">
        <v>115</v>
      </c>
      <c r="Y314" s="11">
        <v>0</v>
      </c>
      <c r="Z314" s="11">
        <v>0</v>
      </c>
      <c r="AA314" s="11"/>
      <c r="AB314" s="11" t="s">
        <v>1978</v>
      </c>
      <c r="AC314" s="11"/>
      <c r="AD314" s="11">
        <v>0</v>
      </c>
      <c r="AE314" s="11">
        <v>1</v>
      </c>
      <c r="AF314" s="11">
        <f>VLOOKUP(K314,'1121 Ambiente'!$K$13:$AK$38,22,0)</f>
        <v>0</v>
      </c>
      <c r="AG314" s="11">
        <f>VLOOKUP(K314,'1121 Ambiente'!$K$13:$AK$38,23,0)</f>
        <v>1</v>
      </c>
      <c r="AH314" s="11">
        <f>AG314</f>
        <v>1</v>
      </c>
      <c r="AI314" s="9" t="str">
        <f>VLOOKUP(K314,'1121 Ambiente'!$K$13:$AK$38,25,0)</f>
        <v>Interventoria 2021 garantizada</v>
      </c>
      <c r="AJ314" s="9" t="str">
        <f>VLOOKUP(K314,'1121 Ambiente'!$K$13:$AK$38,26,0)</f>
        <v>Para esta vigencia se tiene contratada la interventoría hasta el 31/12/2021 y se realizó el pago 5/5  la Fiduciaria Bogotá por valor de $60.720.346 mediante factura de pago No. 3300021473
Meta cumplida vigencia 2021. A la fecha el Contrato de interventoria esta vigente y con los recursos asignados y trasnferidos para la Interventoria hasta el 31 de diciembre de 2021.</v>
      </c>
      <c r="AK314" s="9">
        <f>VLOOKUP(K314,'1121 Ambiente'!$K$13:$AK$38,27,0)</f>
        <v>0</v>
      </c>
      <c r="AL314" s="11">
        <v>0</v>
      </c>
      <c r="AM314" s="11">
        <v>1</v>
      </c>
      <c r="AN314" s="11">
        <v>0</v>
      </c>
      <c r="AO314" s="11">
        <v>1</v>
      </c>
      <c r="AP314" s="11">
        <v>0</v>
      </c>
      <c r="AQ314" s="11">
        <v>0</v>
      </c>
      <c r="AR314" s="52"/>
      <c r="AS314" s="54">
        <v>190000000</v>
      </c>
      <c r="AT314" s="54">
        <f t="shared" si="469"/>
        <v>190000000</v>
      </c>
      <c r="AU314" s="52"/>
      <c r="AV314" s="89">
        <v>130867760</v>
      </c>
      <c r="AY314" s="89">
        <v>130867759</v>
      </c>
      <c r="AZ314" s="44" cm="1">
        <f t="array" ref="AZ314">_xlfn.IFS((BA314=0),(BD314/CL314),(BA314&gt;0),((BB314+BD314)/CL314),(BE314&gt;0),((BB314+BD314+BE314)/CL314),(BG314&gt;0),((BB314+BD314+BE314+G314)/CL314))</f>
        <v>0.25</v>
      </c>
      <c r="BA314" s="44">
        <v>0.25</v>
      </c>
      <c r="BB314" s="44">
        <v>0</v>
      </c>
      <c r="BC314" s="44">
        <f>IF(AE314&gt;0,(1/CL314),0)</f>
        <v>0.25</v>
      </c>
      <c r="BD314" s="44" cm="1">
        <f t="array" ref="BD314">_xlfn.IFS(AE314=0,"NA",AE314&gt;0,AH314/AE314)</f>
        <v>1</v>
      </c>
      <c r="BE314" s="44">
        <f>IF(AM314&gt;0,(1/CL314),0)</f>
        <v>0.25</v>
      </c>
      <c r="BF314" s="44">
        <v>0</v>
      </c>
      <c r="BG314" s="44">
        <f>IF(AO314&gt;0,(1/CL314),0)</f>
        <v>0.25</v>
      </c>
      <c r="BH314" s="44">
        <v>0</v>
      </c>
      <c r="BI314" s="44">
        <v>0</v>
      </c>
      <c r="BJ314" s="44" t="s">
        <v>115</v>
      </c>
      <c r="BK314" s="44">
        <f t="shared" si="470"/>
        <v>0.25</v>
      </c>
      <c r="BL314" s="44">
        <v>0</v>
      </c>
      <c r="BM314" s="42" cm="1">
        <f t="array" ref="BM314">_xlfn.IFS(BD314="NA","NA",BD314&gt;100%,"100%",BD314&lt;100,BD314)</f>
        <v>1</v>
      </c>
      <c r="BN314" s="44">
        <v>0</v>
      </c>
      <c r="BO314" s="44">
        <v>0</v>
      </c>
      <c r="BP314" s="44" t="s">
        <v>115</v>
      </c>
      <c r="BQ314" s="45">
        <v>0.22500000000000001</v>
      </c>
      <c r="BR314" s="43">
        <f t="shared" si="471"/>
        <v>5.6250000000000001E-2</v>
      </c>
      <c r="BS314" s="45">
        <v>5.6300000000000003E-2</v>
      </c>
      <c r="BT314" s="45">
        <v>0</v>
      </c>
      <c r="BU314" s="45">
        <v>0</v>
      </c>
      <c r="BV314" s="45">
        <v>5.6300000000000003E-2</v>
      </c>
      <c r="BW314" s="43">
        <f t="shared" si="472"/>
        <v>5.6300000000000003E-2</v>
      </c>
      <c r="BX314" s="43">
        <f t="shared" si="473"/>
        <v>5.6250000000000001E-2</v>
      </c>
      <c r="BY314" s="45">
        <v>5.6300000000000003E-2</v>
      </c>
      <c r="BZ314" s="45">
        <v>0</v>
      </c>
      <c r="CA314" s="43">
        <f t="shared" si="474"/>
        <v>0</v>
      </c>
      <c r="CB314" s="45">
        <v>5.6300000000000003E-2</v>
      </c>
      <c r="CC314" s="45">
        <v>0</v>
      </c>
      <c r="CD314" s="45">
        <v>0</v>
      </c>
      <c r="CE314" s="45">
        <v>0</v>
      </c>
      <c r="CF314" s="45" t="s">
        <v>115</v>
      </c>
      <c r="CG314" s="45">
        <v>0</v>
      </c>
      <c r="CH314">
        <f>IF(W314&gt;0,1,0)</f>
        <v>1</v>
      </c>
      <c r="CI314">
        <f>IF(AE314&gt;0,1,0)</f>
        <v>1</v>
      </c>
      <c r="CJ314">
        <f>IF(AM314&gt;0,1,0)</f>
        <v>1</v>
      </c>
      <c r="CK314">
        <f>IF(AO314&gt;0,1,0)</f>
        <v>1</v>
      </c>
      <c r="CL314">
        <f>CH314+CI314+CJ314+CK314</f>
        <v>4</v>
      </c>
    </row>
    <row r="315" spans="1:90" ht="18" customHeight="1">
      <c r="A315" s="260" t="s">
        <v>1826</v>
      </c>
      <c r="B315" s="260" t="s">
        <v>1827</v>
      </c>
      <c r="C315" s="260" t="s">
        <v>1828</v>
      </c>
      <c r="D315" s="260" t="s">
        <v>1829</v>
      </c>
      <c r="E315" s="260" t="s">
        <v>1959</v>
      </c>
      <c r="F315" s="260" t="s">
        <v>1960</v>
      </c>
      <c r="G315" s="260" t="s">
        <v>1961</v>
      </c>
      <c r="H315" s="260" t="s">
        <v>1979</v>
      </c>
      <c r="I315" s="260"/>
      <c r="J315" s="260"/>
      <c r="K315" s="260" t="s">
        <v>1980</v>
      </c>
      <c r="L315" s="260" t="s">
        <v>1981</v>
      </c>
      <c r="M315" s="260" t="s">
        <v>1982</v>
      </c>
      <c r="N315" s="260" t="s">
        <v>111</v>
      </c>
      <c r="O315" s="260" t="s">
        <v>112</v>
      </c>
      <c r="P315" s="10">
        <v>17</v>
      </c>
      <c r="Q315" s="11">
        <v>30</v>
      </c>
      <c r="R315" s="9">
        <f t="shared" ref="R315:R319" si="513">Z315+AH315</f>
        <v>13</v>
      </c>
      <c r="S315" s="11" t="str">
        <f>VLOOKUP(K315,'1121 Ambiente'!$K$13:$AK$38,9,0)</f>
        <v xml:space="preserve">Durante la vigencia 2021 se han terminado 8 convenios de manejo y aprovechamiento de Residuos sólidos, Bituima (12 contenedores de residuos sólidos, una picadora, 10 lonas, 1 guadaña, 4 palas, 12 contenedores de polietileno)., Cáqueza (elementos de seguridad industrial y una computadora para 100Kg.), Nimaima (13 equipos de seguridad industrial y una computadora vertical), San Bernardo (un medidor Multiparametros, 4 extractores de aire multiaxial), Chaguaní (395 ECOTANK y 366 Kg de ECOTEK), Albán (motocargueros de 300 Kg y elementos de Seguridad industrial), Villapinzón  (Caneca de 30 litros y sustrato enriquecido con bacterias degradadoras de residuos sólidos Orgánicos) y Fusagasugá (elementos de seguridad industrial).
</v>
      </c>
      <c r="T315" s="11">
        <v>3</v>
      </c>
      <c r="U315" s="11">
        <v>0</v>
      </c>
      <c r="V315" s="11">
        <v>3</v>
      </c>
      <c r="W315" s="11">
        <v>0</v>
      </c>
      <c r="X315" s="11">
        <v>3</v>
      </c>
      <c r="Y315" s="11">
        <v>0</v>
      </c>
      <c r="Z315" s="11">
        <v>3</v>
      </c>
      <c r="AA315" s="11">
        <v>0</v>
      </c>
      <c r="AB315" s="11" t="s">
        <v>1983</v>
      </c>
      <c r="AC315" s="11">
        <v>0</v>
      </c>
      <c r="AD315" s="11">
        <v>13</v>
      </c>
      <c r="AE315" s="11">
        <v>0</v>
      </c>
      <c r="AF315" s="11">
        <f>VLOOKUP(K315,'1121 Ambiente'!$K$13:$AK$38,22,0)</f>
        <v>10</v>
      </c>
      <c r="AG315" s="11">
        <f>VLOOKUP(K315,'1121 Ambiente'!$K$13:$AK$38,23,0)</f>
        <v>0</v>
      </c>
      <c r="AH315" s="9">
        <f t="shared" ref="AH315:AH319" si="514">AF315</f>
        <v>10</v>
      </c>
      <c r="AI315" s="9" t="str">
        <f>VLOOKUP(K315,'1121 Ambiente'!$K$13:$AK$38,25,0)</f>
        <v>10 convenios de manejo y aprovechamiento residuos sólidos terminados
Se terminaron dos convenios de residuos sólidos a satisfacción con la entrega de:
1. Madrid: 2 moto cargueros, 100 elementos de seguridad industrial y 1 compactadora
2. Cajicá: 500 canecas verdes, 500 aceleradores bacterianos, 2 moto cargueros, 50 Elementos de seguridad industrial y 4 triciclos.</v>
      </c>
      <c r="AJ315" s="9" t="str">
        <f>VLOOKUP(K315,'1121 Ambiente'!$K$13:$AK$38,26,0)</f>
        <v>se han terminado 10 convenios de manejo y aprovechamiento de Residuos sólidos, realizando la entrega de equipos e insumos en los municipios de Bituima (12 contenedores de residuos solidos, una picadora de desechos, 10 lonas de fibra sintética, 1 guadaña de combustión, 4 palas, 12 contenedores de polietileno)., Cáqueza (elementos de seguridad industrial y una computadora para 100Kg.), Nimaima (13 equipos de seguridad industrial y una computadora vertical), San Bernardo (un medidor Multiparametros, 4 extractores de aire multiaxial), Chaguaní (395 ECOTANK y 366 Kg de ECOTEK), Albán (motocargueros de 300 Kg y elementos de Seguridad industrial: (07 Jeans de dotación, 07 chaquetas de protección, 07 zapatos industriales,  07 guantes de carnaza y 07 cachuchas) ,  Villapinzón  Caneca de 30 litros doble fondo con rejilla separadora, salida y tapón para extracción de lixiviado y tapa ajuste hermético y sustrato enriquecido con bacterias degradadoras de residuos sólidos Orgánicos y  Fusagasugá, por medio del cual se realizó la entrega  de 164 Overoles Industriales de Manga Larga en
Gabardina de alto gramaje, 164 Tapa bocas tres capas, 164 Guantes y 164 Gorra en drill, todos con marcación Logo</v>
      </c>
      <c r="AK315" s="9">
        <f>VLOOKUP(K315,'1121 Ambiente'!$K$13:$AK$38,27,0)</f>
        <v>0</v>
      </c>
      <c r="AL315" s="11">
        <v>12</v>
      </c>
      <c r="AM315" s="11">
        <v>0</v>
      </c>
      <c r="AN315" s="11">
        <v>2</v>
      </c>
      <c r="AO315" s="11">
        <v>0</v>
      </c>
      <c r="AP315" s="11">
        <v>0</v>
      </c>
      <c r="AQ315" s="11">
        <v>0</v>
      </c>
      <c r="AR315" s="51">
        <v>110000000</v>
      </c>
      <c r="AS315" s="54">
        <v>40000000</v>
      </c>
      <c r="AT315" s="54">
        <f t="shared" si="469"/>
        <v>150000000</v>
      </c>
      <c r="AU315" s="51">
        <v>108544611</v>
      </c>
      <c r="AV315" s="89">
        <v>274352528</v>
      </c>
      <c r="AY315" s="89">
        <v>93800000</v>
      </c>
      <c r="AZ315" s="42">
        <f t="shared" ref="AZ315:AZ319" si="515">R315/Q315</f>
        <v>0.43333333333333335</v>
      </c>
      <c r="BA315" s="44">
        <v>0.1</v>
      </c>
      <c r="BB315" s="44">
        <v>1</v>
      </c>
      <c r="BC315" s="42">
        <f t="shared" ref="BC315:BC319" si="516">AD315/Q315</f>
        <v>0.43333333333333335</v>
      </c>
      <c r="BD315" s="42" cm="1">
        <f t="array" ref="BD315">_xlfn.IFS(AD315=0,"NA",AD315&gt;0,AH315/AD315)</f>
        <v>0.76923076923076927</v>
      </c>
      <c r="BE315" s="42">
        <f t="shared" ref="BE315:BE319" si="517">AL315/Q315</f>
        <v>0.4</v>
      </c>
      <c r="BF315" s="44">
        <v>0</v>
      </c>
      <c r="BG315" s="42">
        <f t="shared" ref="BG315:BG319" si="518">AN315/Q315</f>
        <v>6.6666666666666666E-2</v>
      </c>
      <c r="BH315" s="44">
        <v>0</v>
      </c>
      <c r="BI315" s="42">
        <f t="shared" ref="BI315:BI319" si="519">AP315/Q315</f>
        <v>0</v>
      </c>
      <c r="BJ315" s="44" t="s">
        <v>115</v>
      </c>
      <c r="BK315" s="42">
        <f t="shared" si="470"/>
        <v>0.43333333333333335</v>
      </c>
      <c r="BL315" s="44">
        <v>1</v>
      </c>
      <c r="BM315" s="42" cm="1">
        <f t="array" ref="BM315">_xlfn.IFS(BD315="NA","NA",BD315&gt;100%,"100%",BD315&lt;100,BD315)</f>
        <v>0.76923076923076927</v>
      </c>
      <c r="BN315" s="42" cm="1">
        <f t="array" ref="BN315">_xlfn.IFS(BF315="NA","NA",BF315&gt;100%,"100%",BF315&lt;100,BF315)</f>
        <v>0</v>
      </c>
      <c r="BO315" s="42" cm="1">
        <f t="array" ref="BO315">_xlfn.IFS(BH315="NA","NA",BH315&gt;100%,"100%",BH315&lt;100,BH315)</f>
        <v>0</v>
      </c>
      <c r="BP315" s="42" t="str" cm="1">
        <f t="array" ref="BP315">_xlfn.IFS(BJ315="NA","NA",BJ315&gt;100%,"100%",BJ315&lt;100,BJ315)</f>
        <v>NA</v>
      </c>
      <c r="BQ315" s="45">
        <v>0.22500000000000001</v>
      </c>
      <c r="BR315" s="43">
        <f t="shared" si="471"/>
        <v>9.7500000000000003E-2</v>
      </c>
      <c r="BS315" s="45">
        <v>2.2499999999999999E-2</v>
      </c>
      <c r="BT315" s="45">
        <v>2.2499999999999999E-2</v>
      </c>
      <c r="BU315" s="45">
        <v>2.2499999999999999E-2</v>
      </c>
      <c r="BV315" s="43">
        <f t="shared" ref="BV315:BV319" si="520">(AD315*BQ315)/Q315</f>
        <v>9.7500000000000003E-2</v>
      </c>
      <c r="BW315" s="43">
        <f t="shared" si="472"/>
        <v>7.5000000000000011E-2</v>
      </c>
      <c r="BX315" s="43">
        <f t="shared" si="473"/>
        <v>7.5000000000000011E-2</v>
      </c>
      <c r="BY315" s="43">
        <f t="shared" ref="BY315:BY319" si="521">(AL315*BQ315)/Q315</f>
        <v>9.0000000000000011E-2</v>
      </c>
      <c r="BZ315" s="43">
        <f t="shared" ref="BZ315:BZ319" si="522">IF(BN315="NA","NA",BN315*BY315)</f>
        <v>0</v>
      </c>
      <c r="CA315" s="43">
        <f t="shared" si="474"/>
        <v>0</v>
      </c>
      <c r="CB315" s="43">
        <f t="shared" ref="CB315:CB319" si="523">(AN315*BQ315)/Q315</f>
        <v>1.5000000000000001E-2</v>
      </c>
      <c r="CC315" s="43">
        <f t="shared" ref="CC315:CC319" si="524">IF(BO315="NA","NA",BO315*CB315)</f>
        <v>0</v>
      </c>
      <c r="CD315" s="45">
        <v>0</v>
      </c>
      <c r="CE315" s="43">
        <f t="shared" ref="CE315:CE319" si="525">(AP315*BQ315)/Q315</f>
        <v>0</v>
      </c>
      <c r="CF315" s="43" t="str">
        <f t="shared" ref="CF315:CF319" si="526">IF(BP315="NA","NA",BP315*CE315)</f>
        <v>NA</v>
      </c>
      <c r="CG315" s="45">
        <v>0</v>
      </c>
    </row>
    <row r="316" spans="1:90" ht="18" customHeight="1">
      <c r="A316" s="260" t="s">
        <v>1826</v>
      </c>
      <c r="B316" s="260" t="s">
        <v>1827</v>
      </c>
      <c r="C316" s="260" t="s">
        <v>1828</v>
      </c>
      <c r="D316" s="260" t="s">
        <v>1829</v>
      </c>
      <c r="E316" s="260" t="s">
        <v>1959</v>
      </c>
      <c r="F316" s="260" t="s">
        <v>1960</v>
      </c>
      <c r="G316" s="260" t="s">
        <v>1961</v>
      </c>
      <c r="H316" s="260" t="s">
        <v>1984</v>
      </c>
      <c r="I316" s="260"/>
      <c r="J316" s="260"/>
      <c r="K316" s="260" t="s">
        <v>1985</v>
      </c>
      <c r="L316" s="260" t="s">
        <v>1986</v>
      </c>
      <c r="M316" s="260" t="s">
        <v>1987</v>
      </c>
      <c r="N316" s="260" t="s">
        <v>111</v>
      </c>
      <c r="O316" s="260" t="s">
        <v>112</v>
      </c>
      <c r="P316" s="10">
        <v>0</v>
      </c>
      <c r="Q316" s="11">
        <v>3</v>
      </c>
      <c r="R316" s="9">
        <f t="shared" si="513"/>
        <v>1.6</v>
      </c>
      <c r="S316" s="11" t="str">
        <f>VLOOKUP(K316,'1121 Ambiente'!$K$13:$AK$38,9,0)</f>
        <v>Se desarrolló el Primer Concurso virtual de educación ambiental en el Departamento de Cundinamarca, donde se reconocieron 7 proyectos de los municipios de Granada, Medina, Sasaima, Sibaté, Anolaima, Tabio y Junín, en estos se desarrollaron actividades de educación ambiental, que fueron avalados por los CIDEAS municipales, en temáticas de Ahorro y uso eficiente del agua, manejo de residuos sólidos, siembra de árboles, viveros, compostaje, sustitución de empaques, cambio climático, ECOTIENDAS, entre otros</v>
      </c>
      <c r="T316" s="11">
        <v>1</v>
      </c>
      <c r="U316" s="11">
        <v>0</v>
      </c>
      <c r="V316" s="11">
        <v>1</v>
      </c>
      <c r="W316" s="11">
        <v>0</v>
      </c>
      <c r="X316" s="11">
        <v>0.6</v>
      </c>
      <c r="Y316" s="11">
        <v>0</v>
      </c>
      <c r="Z316" s="11">
        <v>0.6</v>
      </c>
      <c r="AA316" s="11">
        <v>0</v>
      </c>
      <c r="AB316" s="11"/>
      <c r="AC316" s="11">
        <v>0</v>
      </c>
      <c r="AD316" s="11">
        <v>1</v>
      </c>
      <c r="AE316" s="11">
        <v>0</v>
      </c>
      <c r="AF316" s="11">
        <f>VLOOKUP(K316,'1121 Ambiente'!$K$13:$AK$38,22,0)</f>
        <v>1</v>
      </c>
      <c r="AG316" s="11">
        <f>VLOOKUP(K316,'1121 Ambiente'!$K$13:$AK$38,23,0)</f>
        <v>0</v>
      </c>
      <c r="AH316" s="9">
        <f t="shared" si="514"/>
        <v>1</v>
      </c>
      <c r="AI316" s="9">
        <f>VLOOKUP(K316,'1121 Ambiente'!$K$13:$AK$38,25,0)</f>
        <v>0</v>
      </c>
      <c r="AJ316" s="9" t="str">
        <f>VLOOKUP(K316,'1121 Ambiente'!$K$13:$AK$38,26,0)</f>
        <v xml:space="preserve">Se estudia la posibilidad de ejecutar un proyecto de innovción con el uso de la Guadua y/o la implmentación de bolsas ecologicas. Se adelanta el proceso precontractual para la IMPLEMENTACION DE UNA ESTRATEGIA DE FORTALECIMIENTO DE LA CADENA DE LA GUADUA </v>
      </c>
      <c r="AK316" s="9">
        <f>VLOOKUP(K316,'1121 Ambiente'!$K$13:$AK$38,27,0)</f>
        <v>0</v>
      </c>
      <c r="AL316" s="11">
        <v>1</v>
      </c>
      <c r="AM316" s="11">
        <v>0</v>
      </c>
      <c r="AN316" s="11">
        <v>0</v>
      </c>
      <c r="AO316" s="11">
        <v>0</v>
      </c>
      <c r="AP316" s="11">
        <v>0</v>
      </c>
      <c r="AQ316" s="11">
        <v>0</v>
      </c>
      <c r="AR316" s="51">
        <v>70000000</v>
      </c>
      <c r="AS316" s="54">
        <v>0</v>
      </c>
      <c r="AT316" s="54">
        <f t="shared" si="469"/>
        <v>70000000</v>
      </c>
      <c r="AU316" s="51">
        <v>40296000</v>
      </c>
      <c r="AV316" s="89">
        <v>100000000</v>
      </c>
      <c r="AY316" s="89">
        <v>0</v>
      </c>
      <c r="AZ316" s="42">
        <f t="shared" si="515"/>
        <v>0.53333333333333333</v>
      </c>
      <c r="BA316" s="44">
        <v>0.33329999999999999</v>
      </c>
      <c r="BB316" s="44">
        <v>0.6</v>
      </c>
      <c r="BC316" s="42">
        <f t="shared" si="516"/>
        <v>0.33333333333333331</v>
      </c>
      <c r="BD316" s="42" cm="1">
        <f t="array" ref="BD316">_xlfn.IFS(AD316=0,"NA",AD316&gt;0,AH316/AD316)</f>
        <v>1</v>
      </c>
      <c r="BE316" s="42">
        <f t="shared" si="517"/>
        <v>0.33333333333333331</v>
      </c>
      <c r="BF316" s="44">
        <v>0</v>
      </c>
      <c r="BG316" s="42">
        <f t="shared" si="518"/>
        <v>0</v>
      </c>
      <c r="BH316" s="44" t="s">
        <v>115</v>
      </c>
      <c r="BI316" s="42">
        <f t="shared" si="519"/>
        <v>0</v>
      </c>
      <c r="BJ316" s="44" t="s">
        <v>115</v>
      </c>
      <c r="BK316" s="42">
        <f t="shared" si="470"/>
        <v>0.53333333333333333</v>
      </c>
      <c r="BL316" s="44">
        <v>0.6</v>
      </c>
      <c r="BM316" s="42" cm="1">
        <f t="array" ref="BM316">_xlfn.IFS(BD316="NA","NA",BD316&gt;100%,"100%",BD316&lt;100,BD316)</f>
        <v>1</v>
      </c>
      <c r="BN316" s="42" cm="1">
        <f t="array" ref="BN316">_xlfn.IFS(BF316="NA","NA",BF316&gt;100%,"100%",BF316&lt;100,BF316)</f>
        <v>0</v>
      </c>
      <c r="BO316" s="42" t="str" cm="1">
        <f t="array" ref="BO316">_xlfn.IFS(BH316="NA","NA",BH316&gt;100%,"100%",BH316&lt;100,BH316)</f>
        <v>NA</v>
      </c>
      <c r="BP316" s="42" t="str" cm="1">
        <f t="array" ref="BP316">_xlfn.IFS(BJ316="NA","NA",BJ316&gt;100%,"100%",BJ316&lt;100,BJ316)</f>
        <v>NA</v>
      </c>
      <c r="BQ316" s="45">
        <v>0.22500000000000001</v>
      </c>
      <c r="BR316" s="43">
        <f t="shared" si="471"/>
        <v>0.12</v>
      </c>
      <c r="BS316" s="45">
        <v>7.4999999999999997E-2</v>
      </c>
      <c r="BT316" s="45">
        <v>4.4999999999999998E-2</v>
      </c>
      <c r="BU316" s="45">
        <v>4.4999999999999998E-2</v>
      </c>
      <c r="BV316" s="43">
        <f t="shared" si="520"/>
        <v>7.4999999999999997E-2</v>
      </c>
      <c r="BW316" s="43">
        <f t="shared" si="472"/>
        <v>7.4999999999999997E-2</v>
      </c>
      <c r="BX316" s="43">
        <f t="shared" si="473"/>
        <v>7.4999999999999997E-2</v>
      </c>
      <c r="BY316" s="43">
        <f t="shared" si="521"/>
        <v>7.4999999999999997E-2</v>
      </c>
      <c r="BZ316" s="43">
        <f t="shared" si="522"/>
        <v>0</v>
      </c>
      <c r="CA316" s="43">
        <f t="shared" si="474"/>
        <v>0</v>
      </c>
      <c r="CB316" s="43">
        <f t="shared" si="523"/>
        <v>0</v>
      </c>
      <c r="CC316" s="43" t="str">
        <f t="shared" si="524"/>
        <v>NA</v>
      </c>
      <c r="CD316" s="45">
        <v>0</v>
      </c>
      <c r="CE316" s="43">
        <f t="shared" si="525"/>
        <v>0</v>
      </c>
      <c r="CF316" s="43" t="str">
        <f t="shared" si="526"/>
        <v>NA</v>
      </c>
      <c r="CG316" s="45">
        <v>0</v>
      </c>
    </row>
    <row r="317" spans="1:90" ht="30.75" customHeight="1">
      <c r="A317" s="260" t="s">
        <v>1387</v>
      </c>
      <c r="B317" s="260" t="s">
        <v>1388</v>
      </c>
      <c r="C317" s="260" t="s">
        <v>1828</v>
      </c>
      <c r="D317" s="260" t="s">
        <v>1988</v>
      </c>
      <c r="E317" s="260" t="s">
        <v>1989</v>
      </c>
      <c r="F317" s="260" t="s">
        <v>1990</v>
      </c>
      <c r="G317" s="260" t="s">
        <v>1991</v>
      </c>
      <c r="H317" s="260" t="s">
        <v>1992</v>
      </c>
      <c r="I317" s="260"/>
      <c r="J317" s="260"/>
      <c r="K317" s="260" t="s">
        <v>1993</v>
      </c>
      <c r="L317" s="12" t="s">
        <v>1994</v>
      </c>
      <c r="M317" s="260" t="s">
        <v>1995</v>
      </c>
      <c r="N317" s="260" t="s">
        <v>111</v>
      </c>
      <c r="O317" s="260" t="s">
        <v>112</v>
      </c>
      <c r="P317" s="10">
        <v>0</v>
      </c>
      <c r="Q317" s="11">
        <v>300</v>
      </c>
      <c r="R317" s="9">
        <f t="shared" si="513"/>
        <v>21</v>
      </c>
      <c r="S317" s="11">
        <f>VLOOKUP(K317,'1285 EPC'!$K$13:$AK$35,9,0)</f>
        <v>0</v>
      </c>
      <c r="T317" s="11">
        <v>30</v>
      </c>
      <c r="U317" s="11">
        <v>0</v>
      </c>
      <c r="V317" s="11">
        <v>0</v>
      </c>
      <c r="W317" s="11">
        <v>0</v>
      </c>
      <c r="X317" s="11">
        <v>0</v>
      </c>
      <c r="Y317" s="11">
        <v>0</v>
      </c>
      <c r="Z317" s="11">
        <v>0</v>
      </c>
      <c r="AA317" s="11"/>
      <c r="AB317" s="11"/>
      <c r="AC317" s="11"/>
      <c r="AD317" s="11">
        <v>100</v>
      </c>
      <c r="AE317" s="11">
        <v>0</v>
      </c>
      <c r="AF317" s="11">
        <f>VLOOKUP(K317,'1285 EPC'!$K$13:$AK$35,22,0)</f>
        <v>21</v>
      </c>
      <c r="AG317" s="11" t="str">
        <f>VLOOKUP(K317,'1285 EPC'!$K$13:$AK$35,23,0)</f>
        <v> </v>
      </c>
      <c r="AH317" s="9">
        <f t="shared" si="514"/>
        <v>21</v>
      </c>
      <c r="AI317" s="9" t="str">
        <f>VLOOKUP(K317,'1285 EPC'!$K$13:$AK$35,25,0)</f>
        <v xml:space="preserve">Planes de emergencia y contingencia Formulados: Por parte de los municipios se tienen formulados 10 documentos, en los siguientes prestadores:
La Mesa: Junta De Acción Comunal De Inspección San Joaquín, Asociación De Usuarios Del Acueducto Rural Colectivo De Las Veredas Doima La Esperanza
San Antonio Del Tequendama:  Asociación De Usuarios Del Acueducto Rural Los Naranjos Vereda Las Angustias
Subachoque: Asociación De Usuarios Del Acueducto Regional De La Vereda Rincón Santo
Villeta: Asociación De Usuarios Del Acueducto Fernando Salazar De La Vereda De Rio Dulce
Zipacón: Asociación De Usuarios Del Servicio De Acueducto De La Parte Alta Y Baja De La Vereda Paloquemao Del Municipio De Zipacón, Asociación De Usuarios De Acueducto Y Saneamiento Básico Vereda Pueblo Viejo Sector La Joya Sabanalarga, Asociación De Usuarios Del Servicio De Acueducto De La Vereda El Chuscal
Anolaima: Asociación De Usuarios Del Acueducto De Las Veredas La Esmeralda, Montelargo, San Jerónimo, Milán Y Limonal Del Municipio De Anolaima - Acuamili. 
La Mesa - Tena: ASUARTELAM
Ricaurte: Aguas Marakata S.A. Empresa De Servicios Públicos
Agua De Dios, Tocaima: Central Colombiana De Aseo S.A ESP
Anapoima, El Colegio: Asociación De Usuarios Del Acueducto Regional El Triunfo La Paz
Anolaima: Asociación De Usuarios Del Acueducto De Mesitas De Caballero
Arbeláez: Asociación De Acueducto Regional Veredas San Miguel, Santa Rosa, San José
Cota, Facatativá: Iglesia Cristiana De Los Testigos De Jehová
Cota, Funza, Girardot, Madrid, Mosquera, Soacha, Tocancipá: Ekoplanet S.A.S. E.S.P.
El Colegio: Asociación Acueducto Los Ocobos
Fusagasugá: Asociación De Usuarios Del Acueducto Leonardo Hoyos De Fusagasugá
Gachancipá: Asociación De Usuarios Del Acueducto De La Vereda San Martin De Gachancipá
Granada: Asociación De Afiliados Del Acueducto Regional De Granada Cundinamarca
Contrato EPC-PS-330-2021 firmado y con acta de inicio. En ejecución
Durante el mes de noviembre se avanzó en los procesos de capacitación a los prestadores de los municipios de El Colegio, Guasca, Tabio, Cota, Nemocón, Subachoque, Pacho, Zipacón y La Calera, logrando un alcance de 20 prestadores de los 37 invitados. En ejecución el contrato EPC-PS-330-2021. El avance total del año es de 39.
</v>
      </c>
      <c r="AJ317" s="9" t="str">
        <f>VLOOKUP(K317,'1285 EPC'!$K$13:$AK$35,26,0)</f>
        <v>Planes de emergencia y contingencia Formulados: Por parte de los municipios se tienen formulados 9 documentos en los municipios de La Mesa, San Antonio del Tequendama, Subachoque, Villeta, Zipacón.
ASUARTELAM - Tena / La Mesa, AGUAS MARAKATA S.A. Empresa de servicios públicos - Ricaurte.
El proceso de contratación del programa de capacitación y formulación de los planes se encuentra en el área de gestión contractual. Se realizó inventario de prestadores, para establecer la población objeto del presente año. Se está recolectando información de los Planes de emergencia y contingencia adelantados en el año 2020.
Contrato EPC-PS-330-2021 firmado y con acta de inicio. En ejecución</v>
      </c>
      <c r="AK317" s="9" t="str">
        <f>VLOOKUP(K317,'1285 EPC'!$K$13:$AK$35,27,0)</f>
        <v> </v>
      </c>
      <c r="AL317" s="11">
        <v>100</v>
      </c>
      <c r="AM317" s="11">
        <v>0</v>
      </c>
      <c r="AN317" s="11">
        <v>100</v>
      </c>
      <c r="AO317" s="11">
        <v>0</v>
      </c>
      <c r="AP317" s="11">
        <v>0</v>
      </c>
      <c r="AQ317" s="11">
        <v>0</v>
      </c>
      <c r="AR317" s="52"/>
      <c r="AS317" s="54">
        <v>283904862</v>
      </c>
      <c r="AT317" s="54">
        <f t="shared" si="469"/>
        <v>283904862</v>
      </c>
      <c r="AU317" s="52"/>
      <c r="AV317" s="89">
        <v>355700000</v>
      </c>
      <c r="AY317" s="89">
        <v>0</v>
      </c>
      <c r="AZ317" s="42">
        <f t="shared" si="515"/>
        <v>7.0000000000000007E-2</v>
      </c>
      <c r="BA317" s="44">
        <v>0</v>
      </c>
      <c r="BB317" s="44" t="s">
        <v>115</v>
      </c>
      <c r="BC317" s="42">
        <f t="shared" si="516"/>
        <v>0.33333333333333331</v>
      </c>
      <c r="BD317" s="42" cm="1">
        <f t="array" ref="BD317">_xlfn.IFS(AD317=0,"NA",AD317&gt;0,AH317/AD317)</f>
        <v>0.21</v>
      </c>
      <c r="BE317" s="42">
        <f t="shared" si="517"/>
        <v>0.33333333333333331</v>
      </c>
      <c r="BF317" s="44">
        <v>0</v>
      </c>
      <c r="BG317" s="42">
        <f t="shared" si="518"/>
        <v>0.33333333333333331</v>
      </c>
      <c r="BH317" s="44">
        <v>0</v>
      </c>
      <c r="BI317" s="42">
        <f t="shared" si="519"/>
        <v>0</v>
      </c>
      <c r="BJ317" s="44" t="s">
        <v>115</v>
      </c>
      <c r="BK317" s="42">
        <f t="shared" si="470"/>
        <v>7.0000000000000007E-2</v>
      </c>
      <c r="BL317" s="44" t="s">
        <v>115</v>
      </c>
      <c r="BM317" s="42" cm="1">
        <f t="array" ref="BM317">_xlfn.IFS(BD317="NA","NA",BD317&gt;100%,"100%",BD317&lt;100,BD317)</f>
        <v>0.21</v>
      </c>
      <c r="BN317" s="42" cm="1">
        <f t="array" ref="BN317">_xlfn.IFS(BF317="NA","NA",BF317&gt;100%,"100%",BF317&lt;100,BF317)</f>
        <v>0</v>
      </c>
      <c r="BO317" s="42" cm="1">
        <f t="array" ref="BO317">_xlfn.IFS(BH317="NA","NA",BH317&gt;100%,"100%",BH317&lt;100,BH317)</f>
        <v>0</v>
      </c>
      <c r="BP317" s="42" t="str" cm="1">
        <f t="array" ref="BP317">_xlfn.IFS(BJ317="NA","NA",BJ317&gt;100%,"100%",BJ317&lt;100,BJ317)</f>
        <v>NA</v>
      </c>
      <c r="BQ317" s="45">
        <v>0.22500000000000001</v>
      </c>
      <c r="BR317" s="43">
        <f t="shared" si="471"/>
        <v>1.5750000000000004E-2</v>
      </c>
      <c r="BS317" s="45">
        <v>0</v>
      </c>
      <c r="BT317" s="45" t="s">
        <v>115</v>
      </c>
      <c r="BU317" s="45">
        <v>0</v>
      </c>
      <c r="BV317" s="43">
        <f t="shared" si="520"/>
        <v>7.4999999999999997E-2</v>
      </c>
      <c r="BW317" s="43">
        <f t="shared" si="472"/>
        <v>1.575E-2</v>
      </c>
      <c r="BX317" s="43">
        <f t="shared" si="473"/>
        <v>1.5750000000000004E-2</v>
      </c>
      <c r="BY317" s="43">
        <f t="shared" si="521"/>
        <v>7.4999999999999997E-2</v>
      </c>
      <c r="BZ317" s="43">
        <f t="shared" si="522"/>
        <v>0</v>
      </c>
      <c r="CA317" s="43">
        <f t="shared" si="474"/>
        <v>0</v>
      </c>
      <c r="CB317" s="43">
        <f t="shared" si="523"/>
        <v>7.4999999999999997E-2</v>
      </c>
      <c r="CC317" s="43">
        <f t="shared" si="524"/>
        <v>0</v>
      </c>
      <c r="CD317" s="45">
        <v>0</v>
      </c>
      <c r="CE317" s="43">
        <f t="shared" si="525"/>
        <v>0</v>
      </c>
      <c r="CF317" s="43" t="str">
        <f t="shared" si="526"/>
        <v>NA</v>
      </c>
      <c r="CG317" s="45">
        <v>0</v>
      </c>
    </row>
    <row r="318" spans="1:90" ht="18" customHeight="1">
      <c r="A318" s="260" t="s">
        <v>1996</v>
      </c>
      <c r="B318" s="260" t="s">
        <v>1997</v>
      </c>
      <c r="C318" s="260" t="s">
        <v>1828</v>
      </c>
      <c r="D318" s="260" t="s">
        <v>1988</v>
      </c>
      <c r="E318" s="260" t="s">
        <v>1989</v>
      </c>
      <c r="F318" s="260" t="s">
        <v>1990</v>
      </c>
      <c r="G318" s="260" t="s">
        <v>1991</v>
      </c>
      <c r="H318" s="260" t="s">
        <v>1998</v>
      </c>
      <c r="I318" s="260"/>
      <c r="J318" s="260"/>
      <c r="K318" s="260" t="s">
        <v>1999</v>
      </c>
      <c r="L318" s="260" t="s">
        <v>2000</v>
      </c>
      <c r="M318" s="260" t="s">
        <v>2001</v>
      </c>
      <c r="N318" s="260" t="s">
        <v>111</v>
      </c>
      <c r="O318" s="260" t="s">
        <v>112</v>
      </c>
      <c r="P318" s="10">
        <v>0</v>
      </c>
      <c r="Q318" s="11">
        <v>1</v>
      </c>
      <c r="R318" s="9">
        <f t="shared" si="513"/>
        <v>0.2</v>
      </c>
      <c r="S318" s="11" t="str">
        <f>VLOOKUP(K318,'1152 UAEGRD'!$K$13:$AK$21,9,0)</f>
        <v>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de igual manera, se ha realizado acompañamiento y asesoría a los municipios mediante las asistencias técnicas con el fin de fomentar el conocimiento del riesgo, la reducción del riesgo y el manejo de desastres en aras de lograr la implementación de la política pública lo que ha permitido fortalecer las acciones mediante las capacitaciones a más de 3.000 personas sobre la política publica, el plan departamental para la gestión del riesgo y la estrategia de respuesta. Asimismo, se cuenta a la fecha con la instalación del 100% de los comités provinciales para la gestión del riesgo de acuerdo a la ordenanza 066 de 2018. Por otra parte, se ha implementado el plan padrino por parte de la UAEGRD con el fin de poder realizar asesoría y seguimiento a las necesidades y acciones de los municipios en el marco de la implementación de la política publica. Se logró llevar a cabo el reporte a la Unidad Nacional para la Gestión del Riesgo del 100% de los municipios del departamento frente a la implementación de la política pública mediante los planes municipales para la gestión del riesgo y las estrategias municipales de respuesta. Se cuenta con plan operativo de la política publica para validación y ejecución.</v>
      </c>
      <c r="T318" s="11">
        <v>0</v>
      </c>
      <c r="U318" s="11">
        <v>0</v>
      </c>
      <c r="V318" s="11">
        <v>0</v>
      </c>
      <c r="W318" s="11">
        <v>0</v>
      </c>
      <c r="X318" s="11">
        <v>0</v>
      </c>
      <c r="Y318" s="11">
        <v>0</v>
      </c>
      <c r="Z318" s="11">
        <v>0</v>
      </c>
      <c r="AA318" s="11"/>
      <c r="AB318" s="11"/>
      <c r="AC318" s="11"/>
      <c r="AD318" s="11">
        <v>0.2</v>
      </c>
      <c r="AE318" s="11">
        <v>0</v>
      </c>
      <c r="AF318" s="11">
        <f>VLOOKUP(K318,'1152 UAEGRD'!$K$13:$AK$21,22,0)</f>
        <v>0.2</v>
      </c>
      <c r="AG318" s="11">
        <f>VLOOKUP(K318,'1152 UAEGRD'!$K$13:$AK$21,23,0)</f>
        <v>0</v>
      </c>
      <c r="AH318" s="9">
        <f t="shared" si="514"/>
        <v>0.2</v>
      </c>
      <c r="AI318" s="9" t="str">
        <f>VLOOKUP(K318,'1152 UAEGRD'!$K$13:$AK$21,25,0)</f>
        <v xml:space="preserve">* Se realizaron 6 asistencias técnicas para un total de 58 personas asistidas de los consejos municipales para la gestión del riesgo y alcaldias con el fin de Fortalecer la gobernanza con el fin de formentar acciones que propendan al adecuado manejo de la gestión del riesgo, de las cuales cuatro fueron mediante acompañamiento para un total de 46 personas asistidas y dos mediantes asistencia para un total de 12 personas asistidas. 
* Se llevó a cabo la actualización de soportes de la política publica de acuerdo con la gestión del año 2021. 
* Mediante circular 10 se llevo a cabo requerimiento a los 116 municipios del departamento para la revisión y actualización de la estrategia de respuesta dada la calamidad pública por la emergencia del nevado del Ruiz con el fin de que se proyecten acciones ante los eventos que se puedan presentar en el mes de diciembre.
* Se formulo la circular 11 dado el reporte del servicio meteorológico colombiano articulando el sistema nacional con el sistema departamental y municipal para la gestión del riesgo y desastres. Bajo dicha circular se llevo a cabo articulación con los municipios de San Juan de Rio Seco, Puerto Salgar, Girardot, Guataquí, Nariño, Beltran, Pulí, Chaguaní y Jerusalén. 
* Se llevaron a cabo 10 mesas de trabajo virtual con el fin de realizar seguimiento a las circulares 5 y 6 del año 2020 mediante la cual se solicita reporte de los instrumentos de planificación de los municipios y seguimiento a la circular 6 de 2021 mediante la cual se solicita la inclusión de los comunales en los comités y procesos para al gestión del riesgo.
* Se gestiono mediante circular 12 del 17 de noviembre se fortaleció la gestión de seguimiento de la circular 6, reafirmando a los municipios la necesidad de incorporar a los presidentes de las juntas de acción comunal y veedurías en los procesos para la gestión del riesgo. Se logro el avance de 40 municipios que llevaron a cabo la inclusión comunal en los procesos.
* Mediante circular 13 se llevo a cabo la solicitud para formulación del plan de contingencia dirigida al sistema departamental de riesgos y desastres con motivo de la contingencia por la alerta del nevado del Ruíz llevando a cabo la articulación respectiva con el sistema nacional para la gestión del riesgo. 
* Se elaboró circular 14 mediante la cual se llevo a cabo la consolidación del diagnostico de los instrumentos de planificación territorial, logrando a la fecha que 94 municipios de los 166 cuenten con plan municipal para la gestión del riesgo, y 43 municipios cuenten con la estrategia municipal de respuesta, 86 municipios cuentan con fondo municipal para la gestión del riesgo, 97 municipios cuentan con acuerdo para la tasa bomberil y 35 municipios tienen convenio con bomberos. Asimismo, se llevo a cabo asistencia telefónica a cada municipio para el cumplimiento de los instrumentos de planificación en el marco de la política departamental para la gestión del riesgo. 
* Se llevo a cabo dos capacitaciones en el municipio de Fusagasugá, una capacitación responde al tema de planes comunitarios con 37 personas capacitadas, la segunda capacitación se desarrollo el tema de planes escolares con 37 personas capacitadas. 
* Se llevo a cabo la organización de la gestión documental de las actuaciones de la UAEGRD entorno al sistema nacional y departamental para requerimientos de la procuraduría. 
* Se realizó seguimiento y asesoría para todas las secretarias con el fin de dar cumplimiento a las acciones de reporte del plan nacional para la gestión del riesgo. 
* Se logro llevar a cabo la consolidación de los 116 municipios del departamento de acuerdo con las acciones realizadas en cumplimiento de la política publica departamental para la gestión del riesgo. 
* Se llevo a cabo acompañamiento para la instalación del PMU nacional para el plan de vacunación, la contingencia del nevado del Ruiz y se acompaño el proceso de elaboración del plan de contingencia para juegos comunales. 
* Se realizo asistencia telefónica a los 166 municipios del departamento para la incorporación comunal en los procesos para la gestión el riesgo. </v>
      </c>
      <c r="AJ318" s="9" t="str">
        <f>VLOOKUP(K318,'1152 UAEGRD'!$K$13:$AK$21,26,0)</f>
        <v xml:space="preserve">Se ha logrado mediante el acompañamiento y la asistencia a los municipios, que el 50% de los mismos cumplan con los requerimientos realizados por la UAEGRD en cumplimiento de la política publica, los cuales se orientan a los instrumentos de planificación como planes municipales para la gestión del riesgo y estrategias municipales de respuesta. 
Fortalecimiento del plan padrino mediante acciones de conocimiento, reducción y manejo de desastres a partir de las asistencias técnicas a los consejos municipales y capacitaciones en el marco de la implementación de la política pública en planes comunitarios de gestión del riesgo, planes escolares de gestión del riesgo, evidenciados en actas y listado de asistencias con firmas. Consolidación del 100% de los comités provinciales para la gestión del riesgo. Ejecución del plan de comunicaciones para la divulgación de la política publica y sus instrumentos de planificación. asistencia técnica a 116 municipios frente a la política pública y sus instrumentos de planificación, proceso que se ha llevado a cabo mediante la articulación de acciones entre la subdirección de conocimiento y la subdirección de manejo de la UAEGRD. Se logró llevar a cabo el reporte a la Unidad Nacional para la Gestión del Riesgo del 100% de los municipios del departamento frente a la implementación de la política pública mediante los planes municipales para la gestión del riesgo y las estrategias municipales de respuesta. </v>
      </c>
      <c r="AK318" s="9" t="str">
        <f>VLOOKUP(K318,'1152 UAEGRD'!$K$13:$AK$21,27,0)</f>
        <v xml:space="preserve">Durante el primer semestre del año : Pese a que existe la formulación del plan de capacitación para los colegios  frente a la implementación de la política publica para la gestión del riesgo y sus instrumentos de planificación, no se ha logrado llevar a cabo las capacitaciones planteadas dada la emergencia por COVID-19
Durante el segundo semestre del año la dificultad que se presenta se relaciona a la disponibilidad de vehículos o transporte para llevar a cabo la movilización a los municipios por parte de la subdirección de conocimiento. </v>
      </c>
      <c r="AL318" s="11">
        <v>0.4</v>
      </c>
      <c r="AM318" s="11">
        <v>0</v>
      </c>
      <c r="AN318" s="11">
        <v>0.4</v>
      </c>
      <c r="AO318" s="11">
        <v>0</v>
      </c>
      <c r="AP318" s="11">
        <v>0</v>
      </c>
      <c r="AQ318" s="11">
        <v>0</v>
      </c>
      <c r="AR318" s="52"/>
      <c r="AS318" s="54">
        <v>693750000</v>
      </c>
      <c r="AT318" s="54">
        <f t="shared" si="469"/>
        <v>693750000</v>
      </c>
      <c r="AU318" s="52"/>
      <c r="AV318" s="89">
        <v>578631484</v>
      </c>
      <c r="AY318" s="89">
        <v>526822257</v>
      </c>
      <c r="AZ318" s="42">
        <f t="shared" si="515"/>
        <v>0.2</v>
      </c>
      <c r="BA318" s="44">
        <v>0</v>
      </c>
      <c r="BB318" s="44" t="s">
        <v>115</v>
      </c>
      <c r="BC318" s="42">
        <f t="shared" si="516"/>
        <v>0.2</v>
      </c>
      <c r="BD318" s="42" cm="1">
        <f t="array" ref="BD318">_xlfn.IFS(AD318=0,"NA",AD318&gt;0,AH318/AD318)</f>
        <v>1</v>
      </c>
      <c r="BE318" s="42">
        <f t="shared" si="517"/>
        <v>0.4</v>
      </c>
      <c r="BF318" s="44">
        <v>0</v>
      </c>
      <c r="BG318" s="42">
        <f t="shared" si="518"/>
        <v>0.4</v>
      </c>
      <c r="BH318" s="44">
        <v>0</v>
      </c>
      <c r="BI318" s="42">
        <f t="shared" si="519"/>
        <v>0</v>
      </c>
      <c r="BJ318" s="44" t="s">
        <v>115</v>
      </c>
      <c r="BK318" s="42">
        <f t="shared" si="470"/>
        <v>0.2</v>
      </c>
      <c r="BL318" s="44" t="s">
        <v>115</v>
      </c>
      <c r="BM318" s="42" cm="1">
        <f t="array" ref="BM318">_xlfn.IFS(BD318="NA","NA",BD318&gt;100%,"100%",BD318&lt;100,BD318)</f>
        <v>1</v>
      </c>
      <c r="BN318" s="42" cm="1">
        <f t="array" ref="BN318">_xlfn.IFS(BF318="NA","NA",BF318&gt;100%,"100%",BF318&lt;100,BF318)</f>
        <v>0</v>
      </c>
      <c r="BO318" s="42" cm="1">
        <f t="array" ref="BO318">_xlfn.IFS(BH318="NA","NA",BH318&gt;100%,"100%",BH318&lt;100,BH318)</f>
        <v>0</v>
      </c>
      <c r="BP318" s="42" t="str" cm="1">
        <f t="array" ref="BP318">_xlfn.IFS(BJ318="NA","NA",BJ318&gt;100%,"100%",BJ318&lt;100,BJ318)</f>
        <v>NA</v>
      </c>
      <c r="BQ318" s="45">
        <v>0.22500000000000001</v>
      </c>
      <c r="BR318" s="43">
        <f t="shared" si="471"/>
        <v>4.5000000000000005E-2</v>
      </c>
      <c r="BS318" s="45">
        <v>0</v>
      </c>
      <c r="BT318" s="45" t="s">
        <v>115</v>
      </c>
      <c r="BU318" s="45">
        <v>0</v>
      </c>
      <c r="BV318" s="43">
        <f t="shared" si="520"/>
        <v>4.5000000000000005E-2</v>
      </c>
      <c r="BW318" s="43">
        <f t="shared" si="472"/>
        <v>4.5000000000000005E-2</v>
      </c>
      <c r="BX318" s="43">
        <f>BR318-BU318</f>
        <v>4.5000000000000005E-2</v>
      </c>
      <c r="BY318" s="43">
        <f t="shared" si="521"/>
        <v>9.0000000000000011E-2</v>
      </c>
      <c r="BZ318" s="43">
        <f t="shared" si="522"/>
        <v>0</v>
      </c>
      <c r="CA318" s="43">
        <f t="shared" si="474"/>
        <v>0</v>
      </c>
      <c r="CB318" s="43">
        <f t="shared" si="523"/>
        <v>9.0000000000000011E-2</v>
      </c>
      <c r="CC318" s="43">
        <f t="shared" si="524"/>
        <v>0</v>
      </c>
      <c r="CD318" s="45">
        <v>0</v>
      </c>
      <c r="CE318" s="43">
        <f t="shared" si="525"/>
        <v>0</v>
      </c>
      <c r="CF318" s="43" t="str">
        <f t="shared" si="526"/>
        <v>NA</v>
      </c>
      <c r="CG318" s="45">
        <v>0</v>
      </c>
    </row>
    <row r="319" spans="1:90" ht="18" customHeight="1">
      <c r="A319" s="260" t="s">
        <v>1996</v>
      </c>
      <c r="B319" s="260" t="s">
        <v>1997</v>
      </c>
      <c r="C319" s="260" t="s">
        <v>1828</v>
      </c>
      <c r="D319" s="260" t="s">
        <v>1988</v>
      </c>
      <c r="E319" s="260" t="s">
        <v>1989</v>
      </c>
      <c r="F319" s="260" t="s">
        <v>1990</v>
      </c>
      <c r="G319" s="260" t="s">
        <v>1991</v>
      </c>
      <c r="H319" s="260" t="s">
        <v>2002</v>
      </c>
      <c r="I319" s="260"/>
      <c r="J319" s="260"/>
      <c r="K319" s="260" t="s">
        <v>2003</v>
      </c>
      <c r="L319" s="260" t="s">
        <v>2004</v>
      </c>
      <c r="M319" s="260" t="s">
        <v>2005</v>
      </c>
      <c r="N319" s="260" t="s">
        <v>111</v>
      </c>
      <c r="O319" s="260" t="s">
        <v>112</v>
      </c>
      <c r="P319" s="10">
        <v>0</v>
      </c>
      <c r="Q319" s="11">
        <v>80</v>
      </c>
      <c r="R319" s="9">
        <f t="shared" si="513"/>
        <v>11</v>
      </c>
      <c r="S319" s="11" t="str">
        <f>VLOOKUP(K319,'1152 UAEGRD'!$K$13:$AK$21,9,0)</f>
        <v>Definición de agendas y rutas para el desarrollo de las primeras 60 jornadas de fortalecimiento de las capacidades de gestión de riesgo.
8 Mesas de trabajo llevadas a cabo con los directivos de la corporación Maloka para la planeación del evento. 
Comités técnicos y directivos para el cumplimiento de meta 
Asistencia y socialización de proyecto con los integrantes del consejo municipal de gestión de riesgo de desastres del proyecto “unidad móvil para la gestión del riesgo”, verificación del lugar de instalación y plan de trabajo. 
Visitas técnicas a seis municipios de la avanzada con un total de 106 personas relacionadas con el plan de trabajo en los municipios de Paratebueno, Medina, Ubalá, Guatavita, Guasca, Gachetá.
Se cuenta con cronograma de ejecución establecido para el cuarto trimestre del año 2021 y para la ejecución de toda la vigencia 2022. A la fecha se cuenta con un avance del 30% de la meta establecida para el actual año y pese a que no se pudo dar inicio a la ejecución desde el primer trimestre del año, si se programa cumplimiento total de la meta. 
Fortalecimiento de las capacidades para la gestión del riesgo mediante la unidad móvil con un total de 8.311 personas entre estudiantes, docentes, servidores públicos y comunidad en general, logrando llevar la unidad móvil a los municipios de Ubaté, Zipaquirá, Sopo, Tausa, Medina, Guatavita , Cajicá, Gobernación de Cundinamarca, Paratebueno, Gacheta y Guasca.</v>
      </c>
      <c r="T319" s="11">
        <v>0</v>
      </c>
      <c r="U319" s="11">
        <v>0</v>
      </c>
      <c r="V319" s="11">
        <v>0</v>
      </c>
      <c r="W319" s="11">
        <v>0</v>
      </c>
      <c r="X319" s="11">
        <v>0</v>
      </c>
      <c r="Y319" s="11">
        <v>0</v>
      </c>
      <c r="Z319" s="11">
        <v>0</v>
      </c>
      <c r="AA319" s="11"/>
      <c r="AB319" s="11"/>
      <c r="AC319" s="11"/>
      <c r="AD319" s="11">
        <v>10</v>
      </c>
      <c r="AE319" s="11">
        <v>0</v>
      </c>
      <c r="AF319" s="11">
        <f>VLOOKUP(K319,'1152 UAEGRD'!$K$13:$AK$21,22,0)</f>
        <v>11</v>
      </c>
      <c r="AG319" s="11">
        <f>VLOOKUP(K319,'1152 UAEGRD'!$K$13:$AK$21,23,0)</f>
        <v>0</v>
      </c>
      <c r="AH319" s="9">
        <f t="shared" si="514"/>
        <v>11</v>
      </c>
      <c r="AI319" s="9" t="str">
        <f>VLOOKUP(K319,'1152 UAEGRD'!$K$13:$AK$21,25,0)</f>
        <v xml:space="preserve">Para el mes de noviembre se llevaron a cabo 4 jornadas para el fortalecimiento de las capacidades de gestión de riesgo en los municipios de Ubate, Zipaquirá, Sopo y Tausa para un total de 2.675 personas capacitadas mediante las jornadas con la unidad móvil. De acuerdo con la gestión las jornadas se ejecutaron de la siguiente manera:
Municipio de Ubaté con 801 participantes
3 de noviembre - 215 personas
4 de noviembre - 494 personas
5 de noviembre - 92 personas
Municipio de Zipaquirá con 1.121 personas
9 de noviembre - 38 personas
10 de noviembre - 124 personas
11 de noviembre - 605 personas
12 de noviembre - 354 personas
Municipio de Sopo con 451 personas
17 de noviembre - 248 personas
18 de noviembre - 74 personas
19 de noviembre - 129 personas
Municipio de Tausa con 302 personas
24 de noviembre - 43 personas
25 de noviembre - 212 personas
26 de noviembre - 47 personas
</v>
      </c>
      <c r="AJ319" s="9" t="str">
        <f>VLOOKUP(K319,'1152 UAEGRD'!$K$13:$AK$21,26,0)</f>
        <v>Se ha logrado llevar a cabo las agendas de avanzada con los municipios que hacen parte de la primera fase de ejecución de capacitaciones para el fortalecimiento de las capacidades de gestión del riesgo. Se cuenta con cronograma de ejecución establecido para el cuarto trimestre del año 2021 y para la ejecución de toda la vigencia 2022. A la fecha se cuenta con un avance del 110%, se ha llevado a cabo el fortalecimiento de las capacidades para la gestión del riesgo mediante la unidad móvil con un total de 8.311 personas entre estudiantes, docentes, servidores públicos y comunidad en general, logrando llevar la unidad móvil a los municipios de Ubaté, Zipaquirá, Sopo, Tausa, Medina, Guatavita , Cajicá, Gobernación de Cundinamarca, Paratebueno, Gacheta y Guasca.</v>
      </c>
      <c r="AK319" s="9">
        <f>VLOOKUP(K319,'1152 UAEGRD'!$K$13:$AK$21,27,0)</f>
        <v>0</v>
      </c>
      <c r="AL319" s="11">
        <v>40</v>
      </c>
      <c r="AM319" s="11">
        <v>0</v>
      </c>
      <c r="AN319" s="11">
        <v>30</v>
      </c>
      <c r="AO319" s="11">
        <v>0</v>
      </c>
      <c r="AP319" s="11">
        <v>0</v>
      </c>
      <c r="AQ319" s="11">
        <v>0</v>
      </c>
      <c r="AR319" s="52"/>
      <c r="AS319" s="54">
        <v>0</v>
      </c>
      <c r="AT319" s="54">
        <f t="shared" si="469"/>
        <v>0</v>
      </c>
      <c r="AU319" s="52"/>
      <c r="AV319" s="89">
        <v>79082016</v>
      </c>
      <c r="AY319" s="89">
        <v>0</v>
      </c>
      <c r="AZ319" s="42">
        <f t="shared" si="515"/>
        <v>0.13750000000000001</v>
      </c>
      <c r="BA319" s="44">
        <v>0</v>
      </c>
      <c r="BB319" s="44" t="s">
        <v>115</v>
      </c>
      <c r="BC319" s="42">
        <f t="shared" si="516"/>
        <v>0.125</v>
      </c>
      <c r="BD319" s="42" cm="1">
        <f t="array" ref="BD319">_xlfn.IFS(AD319=0,"NA",AD319&gt;0,AH319/AD319)</f>
        <v>1.1000000000000001</v>
      </c>
      <c r="BE319" s="42">
        <f t="shared" si="517"/>
        <v>0.5</v>
      </c>
      <c r="BF319" s="44">
        <v>0</v>
      </c>
      <c r="BG319" s="42">
        <f t="shared" si="518"/>
        <v>0.375</v>
      </c>
      <c r="BH319" s="44">
        <v>0</v>
      </c>
      <c r="BI319" s="42">
        <f t="shared" si="519"/>
        <v>0</v>
      </c>
      <c r="BJ319" s="44" t="s">
        <v>115</v>
      </c>
      <c r="BK319" s="42">
        <f t="shared" si="470"/>
        <v>0.13750000000000001</v>
      </c>
      <c r="BL319" s="44" t="s">
        <v>115</v>
      </c>
      <c r="BM319" s="42" t="str" cm="1">
        <f t="array" ref="BM319">_xlfn.IFS(BD319="NA","NA",BD319&gt;100%,"100%",BD319&lt;100,BD319)</f>
        <v>100%</v>
      </c>
      <c r="BN319" s="42" cm="1">
        <f t="array" ref="BN319">_xlfn.IFS(BF319="NA","NA",BF319&gt;100%,"100%",BF319&lt;100,BF319)</f>
        <v>0</v>
      </c>
      <c r="BO319" s="42" cm="1">
        <f t="array" ref="BO319">_xlfn.IFS(BH319="NA","NA",BH319&gt;100%,"100%",BH319&lt;100,BH319)</f>
        <v>0</v>
      </c>
      <c r="BP319" s="42" t="str" cm="1">
        <f t="array" ref="BP319">_xlfn.IFS(BJ319="NA","NA",BJ319&gt;100%,"100%",BJ319&lt;100,BJ319)</f>
        <v>NA</v>
      </c>
      <c r="BQ319" s="45">
        <v>0.22500000000000001</v>
      </c>
      <c r="BR319" s="43">
        <f t="shared" si="471"/>
        <v>3.0937500000000003E-2</v>
      </c>
      <c r="BS319" s="45">
        <v>0</v>
      </c>
      <c r="BT319" s="45" t="s">
        <v>115</v>
      </c>
      <c r="BU319" s="45">
        <v>0</v>
      </c>
      <c r="BV319" s="43">
        <f t="shared" si="520"/>
        <v>2.8125000000000001E-2</v>
      </c>
      <c r="BW319" s="43">
        <f t="shared" si="472"/>
        <v>2.8125000000000001E-2</v>
      </c>
      <c r="BX319" s="43">
        <f t="shared" si="473"/>
        <v>3.0937500000000003E-2</v>
      </c>
      <c r="BY319" s="43">
        <f t="shared" si="521"/>
        <v>0.1125</v>
      </c>
      <c r="BZ319" s="43">
        <f t="shared" si="522"/>
        <v>0</v>
      </c>
      <c r="CA319" s="43">
        <f t="shared" si="474"/>
        <v>0</v>
      </c>
      <c r="CB319" s="43">
        <f t="shared" si="523"/>
        <v>8.4375000000000006E-2</v>
      </c>
      <c r="CC319" s="43">
        <f t="shared" si="524"/>
        <v>0</v>
      </c>
      <c r="CD319" s="45">
        <v>0</v>
      </c>
      <c r="CE319" s="43">
        <f t="shared" si="525"/>
        <v>0</v>
      </c>
      <c r="CF319" s="43" t="str">
        <f t="shared" si="526"/>
        <v>NA</v>
      </c>
      <c r="CG319" s="45">
        <v>0</v>
      </c>
    </row>
    <row r="320" spans="1:90" ht="18" customHeight="1">
      <c r="A320" s="260" t="s">
        <v>1996</v>
      </c>
      <c r="B320" s="260" t="s">
        <v>1997</v>
      </c>
      <c r="C320" s="260" t="s">
        <v>1828</v>
      </c>
      <c r="D320" s="260" t="s">
        <v>1988</v>
      </c>
      <c r="E320" s="260" t="s">
        <v>1989</v>
      </c>
      <c r="F320" s="260" t="s">
        <v>1990</v>
      </c>
      <c r="G320" s="260" t="s">
        <v>1991</v>
      </c>
      <c r="H320" s="260" t="s">
        <v>2006</v>
      </c>
      <c r="I320" s="260"/>
      <c r="J320" s="260"/>
      <c r="K320" s="260" t="s">
        <v>2007</v>
      </c>
      <c r="L320" s="260" t="s">
        <v>2008</v>
      </c>
      <c r="M320" s="260" t="s">
        <v>2009</v>
      </c>
      <c r="N320" s="260" t="s">
        <v>111</v>
      </c>
      <c r="O320" s="260" t="s">
        <v>124</v>
      </c>
      <c r="P320" s="10">
        <v>1</v>
      </c>
      <c r="Q320" s="11">
        <v>1</v>
      </c>
      <c r="R320" s="11">
        <f>(Z320+AH320)/CL320</f>
        <v>0.5</v>
      </c>
      <c r="S320" s="11" t="str">
        <f>VLOOKUP(K320,'1152 UAEGRD'!$K$13:$AK$21,9,0)</f>
        <v>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de igual manera, se ha realizado acompañamiento y asesoría a los municipios mediante las asistencias técnicas con el fin de fomentar el diseño e implementación de los planes municipales para la gestión del riesgo; asimismo, a la fecha se cuenta con la instalación del 100% de los comités provinciales para la gestión del riesgo.  Por otra parte, se ha implementado el plan padrino por parte de la UAEGRD con el fin de poder realizar asesoría y seguimiento a las necesidades y acciones de los municipios en el marco de la implementación de la política publica, el plan departamental y la estrategia departamental de respuesta. Finalmente, se cuenta con el plan de capacitación y plan de divulgación el cuals e ha ejecutado a partir de las asistencias técnicas mediante la implementación del plan padrino; asimismo, se ha logrado contar con el diagnostico de los instrumentos de planificación de los 116 municipios mediante la articulación entre la subdirección de conocimiento y manejo.</v>
      </c>
      <c r="T320" s="11">
        <v>0</v>
      </c>
      <c r="U320" s="11">
        <v>1</v>
      </c>
      <c r="V320" s="11">
        <v>0</v>
      </c>
      <c r="W320" s="11">
        <v>1</v>
      </c>
      <c r="X320" s="11" t="s">
        <v>115</v>
      </c>
      <c r="Y320" s="11">
        <v>1</v>
      </c>
      <c r="Z320" s="11">
        <v>1</v>
      </c>
      <c r="AA320" s="11" t="s">
        <v>2010</v>
      </c>
      <c r="AB320" s="11" t="s">
        <v>2011</v>
      </c>
      <c r="AC320" s="11" t="s">
        <v>2012</v>
      </c>
      <c r="AD320" s="11">
        <v>0</v>
      </c>
      <c r="AE320" s="11">
        <v>1</v>
      </c>
      <c r="AF320" s="11">
        <f>VLOOKUP(K320,'1152 UAEGRD'!$K$13:$AK$21,22,0)</f>
        <v>0</v>
      </c>
      <c r="AG320" s="11">
        <f>VLOOKUP(K320,'1152 UAEGRD'!$K$13:$AK$21,23,0)</f>
        <v>1</v>
      </c>
      <c r="AH320" s="11">
        <f>AG320</f>
        <v>1</v>
      </c>
      <c r="AI320" s="9" t="str">
        <f>VLOOKUP(K320,'1152 UAEGRD'!$K$13:$AK$21,25,0)</f>
        <v xml:space="preserve">* Se llevó a cabo contrato con EDURED con el fin de llevar a cabo la verificación de la implementación y cumplimiento del plan departamental y la politica publica en aras de formular la ruta requerida para la actaulización del plan departamental yla estrategia de respuesta. 
* Se realizó la formulación para llevar a cabo el encuentro de departamental de bomberos, defensa civil, cruz roja y los 116 coordinadores de gestión del riesgo de los municipios del departamento.
* Se realizaron 7 asistencias tecnicas para un total de 152 personas asistidas mediante 3 asistencias para un total de 24 personas asistidas de las alcaldias y consejos municipales para la gestión del riesgo; 3 capacitaciones para un total de 105 personas asistidas y un acompañamiento para un total de 23 personas. Los temas en los cuales se brindo asistencia cumplieron el objetivo de  Fortalecer los conceptos básicos de la gestión del riesgo mediante los instrumentos de planificaciòn de la politica pública; Orientar a los municipios frente al reconocimiento de las capacidades reales en factores de bioseguridad, psicosociales, logisticos, fisicos y preventivos e
Implementar el conocimiento frente al plan departamental y planes municipales  para la gestión del riesgo a partir de la socialización del marco normativo y legal.  </v>
      </c>
      <c r="AJ320" s="9" t="str">
        <f>VLOOKUP(K320,'1152 UAEGRD'!$K$13:$AK$21,26,0)</f>
        <v>Se ha fortalecido el conocimiento e implementación del plan departamental para la gestión del riesgo al igual que se ha promovido con los municipios mediante las asistencias, para que diseñen e implementen  sus planes municipales en el marco de la ejecución de la ordenanza 066 de 2018. Se cuenta con el plan de divulgación y respectivo cronograma el cual se ejecuta a través de las asistencias técnicas que realizan los funcionarios y contratistas. Se cuenta con la instalación del 100% de los comités provinciales para la gestión del riesgo; de igual manera, se cuenta con la elaboración de la ruta para la actualización del plan departamental para la gestión del riesgo.
Se cuenta con las matrices actualizadas de enlaces para la gestión del riesgo y los cuerpos oeprativos de los 116 municipios, asi mismo se cuenta con la matriz de inventario de planes municipales y estrategias municipales. finalmete, se ha logrado la articulación del sistema departamanetal para la gestión del riesgo a partir del eje de gobernanza el cual contara con un plan de capacitación y divulgaciób que se ejecutara en el mes de diciembre mediante 4 eventos macro con los coordinadores municipales y los cuerpos operativos.</v>
      </c>
      <c r="AK320" s="9" t="str">
        <f>VLOOKUP(K320,'1152 UAEGRD'!$K$13:$AK$21,27,0)</f>
        <v>En el primer semestre del año temas como el paro nacional y las emergencias por temporada de lluvias así como la emergencia por COVID-19 generaron que las acciones de capacitación y divulgación se vieran retrasadas.</v>
      </c>
      <c r="AL320" s="11">
        <v>0</v>
      </c>
      <c r="AM320" s="11">
        <v>1</v>
      </c>
      <c r="AN320" s="11">
        <v>0</v>
      </c>
      <c r="AO320" s="11">
        <v>1</v>
      </c>
      <c r="AP320" s="11">
        <v>0</v>
      </c>
      <c r="AQ320" s="11">
        <v>0</v>
      </c>
      <c r="AR320" s="52"/>
      <c r="AS320" s="54">
        <v>25000000</v>
      </c>
      <c r="AT320" s="54">
        <f t="shared" si="469"/>
        <v>25000000</v>
      </c>
      <c r="AU320" s="52"/>
      <c r="AV320" s="89">
        <v>83000000</v>
      </c>
      <c r="AY320" s="89">
        <v>79398152</v>
      </c>
      <c r="AZ320" s="44" cm="1">
        <f t="array" ref="AZ320">_xlfn.IFS((BA320=0),(BD320/CL320),(BA320&gt;0),((BB320+BD320)/CL320),(BE320&gt;0),((BB320+BD320+BE320)/CL320),(BG320&gt;0),((BB320+BD320+BE320+G320)/CL320))</f>
        <v>0.5</v>
      </c>
      <c r="BA320" s="44">
        <v>0.25</v>
      </c>
      <c r="BB320" s="44">
        <v>1</v>
      </c>
      <c r="BC320" s="44">
        <f>IF(AE320&gt;0,(1/CL320),0)</f>
        <v>0.25</v>
      </c>
      <c r="BD320" s="44" cm="1">
        <f t="array" ref="BD320">_xlfn.IFS(AE320=0,"NA",AE320&gt;0,AH320/AE320)</f>
        <v>1</v>
      </c>
      <c r="BE320" s="44">
        <f>IF(AM320&gt;0,(1/CL320),0)</f>
        <v>0.25</v>
      </c>
      <c r="BF320" s="44">
        <v>0</v>
      </c>
      <c r="BG320" s="44">
        <f>IF(AO320&gt;0,(1/CL320),0)</f>
        <v>0.25</v>
      </c>
      <c r="BH320" s="44">
        <v>0</v>
      </c>
      <c r="BI320" s="44">
        <v>0</v>
      </c>
      <c r="BJ320" s="44" t="s">
        <v>115</v>
      </c>
      <c r="BK320" s="44">
        <f t="shared" si="470"/>
        <v>0.5</v>
      </c>
      <c r="BL320" s="44">
        <v>1</v>
      </c>
      <c r="BM320" s="42" cm="1">
        <f t="array" ref="BM320">_xlfn.IFS(BD320="NA","NA",BD320&gt;100%,"100%",BD320&lt;100,BD320)</f>
        <v>1</v>
      </c>
      <c r="BN320" s="44">
        <v>0</v>
      </c>
      <c r="BO320" s="44">
        <v>0</v>
      </c>
      <c r="BP320" s="44" t="s">
        <v>115</v>
      </c>
      <c r="BQ320" s="45">
        <v>0.22500000000000001</v>
      </c>
      <c r="BR320" s="43">
        <f t="shared" si="471"/>
        <v>0.1125</v>
      </c>
      <c r="BS320" s="45">
        <v>5.6300000000000003E-2</v>
      </c>
      <c r="BT320" s="45">
        <v>5.6300000000000003E-2</v>
      </c>
      <c r="BU320" s="45">
        <v>5.6300000000000003E-2</v>
      </c>
      <c r="BV320" s="45">
        <v>5.6300000000000003E-2</v>
      </c>
      <c r="BW320" s="43">
        <f t="shared" si="472"/>
        <v>5.6300000000000003E-2</v>
      </c>
      <c r="BX320" s="43">
        <f t="shared" si="473"/>
        <v>5.62E-2</v>
      </c>
      <c r="BY320" s="45">
        <v>5.6300000000000003E-2</v>
      </c>
      <c r="BZ320" s="45">
        <v>0</v>
      </c>
      <c r="CA320" s="43">
        <f t="shared" si="474"/>
        <v>0</v>
      </c>
      <c r="CB320" s="45">
        <v>5.6300000000000003E-2</v>
      </c>
      <c r="CC320" s="45">
        <v>0</v>
      </c>
      <c r="CD320" s="45">
        <v>0</v>
      </c>
      <c r="CE320" s="45">
        <v>0</v>
      </c>
      <c r="CF320" s="45" t="s">
        <v>115</v>
      </c>
      <c r="CG320" s="45">
        <v>0</v>
      </c>
      <c r="CH320">
        <f>IF(W320&gt;0,1,0)</f>
        <v>1</v>
      </c>
      <c r="CI320">
        <f>IF(AE320&gt;0,1,0)</f>
        <v>1</v>
      </c>
      <c r="CJ320">
        <f>IF(AM320&gt;0,1,0)</f>
        <v>1</v>
      </c>
      <c r="CK320">
        <f>IF(AO320&gt;0,1,0)</f>
        <v>1</v>
      </c>
      <c r="CL320">
        <f>CH320+CI320+CJ320+CK320</f>
        <v>4</v>
      </c>
    </row>
    <row r="321" spans="1:90" ht="18" customHeight="1">
      <c r="A321" s="260" t="s">
        <v>1302</v>
      </c>
      <c r="B321" s="260" t="s">
        <v>1303</v>
      </c>
      <c r="C321" s="260" t="s">
        <v>1828</v>
      </c>
      <c r="D321" s="260" t="s">
        <v>1988</v>
      </c>
      <c r="E321" s="260" t="s">
        <v>2013</v>
      </c>
      <c r="F321" s="260" t="s">
        <v>2014</v>
      </c>
      <c r="G321" s="260" t="s">
        <v>2015</v>
      </c>
      <c r="H321" s="260" t="s">
        <v>2016</v>
      </c>
      <c r="I321" s="260"/>
      <c r="J321" s="260"/>
      <c r="K321" s="260" t="s">
        <v>2017</v>
      </c>
      <c r="L321" s="260" t="s">
        <v>3009</v>
      </c>
      <c r="M321" s="260" t="s">
        <v>2019</v>
      </c>
      <c r="N321" s="260" t="s">
        <v>111</v>
      </c>
      <c r="O321" s="260" t="s">
        <v>112</v>
      </c>
      <c r="P321" s="10">
        <v>9467</v>
      </c>
      <c r="Q321" s="11">
        <v>5000</v>
      </c>
      <c r="R321" s="9">
        <f t="shared" ref="R321:R323" si="527">Z321+AH321</f>
        <v>13954</v>
      </c>
      <c r="S321" s="11" t="str">
        <f>VLOOKUP(K321,'1124 Agricultura'!$K$13:$AK$25,9,0)</f>
        <v>Se han beneficiado un total de 12.962 productores de los cuales en la vigencia 2020 se atendieron 7.562 productores que presentaron afectaciones agroclimáticas (sequias y heladas) de los cuales 7.162 de 60 municipios fueron con insumos y semillas para el fortalecimiento de los sistemas productivos agroalimentarios y 400 pequeños productores ganaderos de 4 municipios se beneficiaron con miel pura de caña. así mismo en la vigencia 2021 se han atendido 6.037 productores de 50 municipios que reportaron tambien afectaciones agroclimáticas y frente al seguro agropecuario se han podido beneficiar a 310 productores rurales</v>
      </c>
      <c r="T321" s="11">
        <v>1100</v>
      </c>
      <c r="U321" s="11">
        <v>0</v>
      </c>
      <c r="V321" s="11">
        <v>2500</v>
      </c>
      <c r="W321" s="11">
        <v>0</v>
      </c>
      <c r="X321" s="11">
        <v>7562</v>
      </c>
      <c r="Y321" s="11">
        <v>0</v>
      </c>
      <c r="Z321" s="11">
        <v>7562</v>
      </c>
      <c r="AA321" s="11" t="s">
        <v>2020</v>
      </c>
      <c r="AB321" s="11" t="s">
        <v>2021</v>
      </c>
      <c r="AC321" s="11">
        <v>0</v>
      </c>
      <c r="AD321" s="11">
        <v>1000</v>
      </c>
      <c r="AE321" s="11">
        <v>0</v>
      </c>
      <c r="AF321" s="11">
        <f>VLOOKUP(K321,'1124 Agricultura'!$K$13:$AK$25,22,0)</f>
        <v>6392</v>
      </c>
      <c r="AG321" s="11">
        <f>VLOOKUP(K321,'1124 Agricultura'!$K$13:$AK$25,23,0)</f>
        <v>0</v>
      </c>
      <c r="AH321" s="9">
        <f t="shared" ref="AH321:AH323" si="528">AF321</f>
        <v>6392</v>
      </c>
      <c r="AI321" s="9" t="str">
        <f>VLOOKUP(K321,'1124 Agricultura'!$K$13:$AK$25,25,0)</f>
        <v>Productores beneficiados con insumos y semillas frente afectaciones agroclimáticas</v>
      </c>
      <c r="AJ321" s="9" t="str">
        <f>VLOOKUP(K321,'1124 Agricultura'!$K$13:$AK$25,26,0)</f>
        <v xml:space="preserve">El Proceso de insumos y semillas se adjudicó el 2 de julio sin embargo el acta de inicio comenzó a partir del 23 de julio. A la fecha se han atendido a 6.082 productores que reportaron afectaciones agroclimáticas 51 municipios y se intervino  10 cadenas productivas (Papa, maíz, arveja, frijol, pastos para clima cálido y frio, nutrición ganadera, frutales  y hortalizas). 
Con respecto al tema de aseguramiento A la fecha se han beneficiado 310 productores rurales con un valor asegurado por la suma de $1.329.216.532, cuyo costo de la prima de seguro asciende a $272.376.404, de los cuales, a través del ISACUND se cubrieron $58.327.371. HDI y Proagro son las compañías aseguradoras con mayor participación en la cobertura del seguro agropecuario, otorgando estas pólizas a 191 hombres, 117 mujeres y 2 personas jurídicas. De esta población 301 fueron pequeños productores con una inversión de $50.623.191 con un valor asegurado de $1.203.701.532 y 9 medianos productores con una inversión de $7.704.180 con un valor asegurado de $125.515.000.
</v>
      </c>
      <c r="AK321" s="9">
        <f>VLOOKUP(K321,'1124 Agricultura'!$K$13:$AK$25,27,0)</f>
        <v>0</v>
      </c>
      <c r="AL321" s="11">
        <v>1000</v>
      </c>
      <c r="AM321" s="11">
        <v>0</v>
      </c>
      <c r="AN321" s="11">
        <v>500</v>
      </c>
      <c r="AO321" s="11">
        <v>0</v>
      </c>
      <c r="AP321" s="11">
        <v>0</v>
      </c>
      <c r="AQ321" s="11">
        <v>0</v>
      </c>
      <c r="AR321" s="51">
        <v>1537999918</v>
      </c>
      <c r="AS321" s="54">
        <v>0</v>
      </c>
      <c r="AT321" s="54">
        <f t="shared" si="469"/>
        <v>1537999918</v>
      </c>
      <c r="AU321" s="51">
        <v>1537999918</v>
      </c>
      <c r="AV321" s="89">
        <v>4770000000</v>
      </c>
      <c r="AY321" s="89">
        <v>0</v>
      </c>
      <c r="AZ321" s="42">
        <f t="shared" ref="AZ321:AZ323" si="529">R321/Q321</f>
        <v>2.7907999999999999</v>
      </c>
      <c r="BA321" s="44">
        <v>0.5</v>
      </c>
      <c r="BB321" s="44">
        <v>3.0247999999999999</v>
      </c>
      <c r="BC321" s="42">
        <f t="shared" ref="BC321:BC323" si="530">AD321/Q321</f>
        <v>0.2</v>
      </c>
      <c r="BD321" s="42" cm="1">
        <f t="array" ref="BD321">_xlfn.IFS(AD321=0,"NA",AD321&gt;0,AH321/AD321)</f>
        <v>6.3920000000000003</v>
      </c>
      <c r="BE321" s="42">
        <f t="shared" ref="BE321:BE323" si="531">AL321/Q321</f>
        <v>0.2</v>
      </c>
      <c r="BF321" s="44">
        <v>0</v>
      </c>
      <c r="BG321" s="42">
        <f t="shared" ref="BG321:BG323" si="532">AN321/Q321</f>
        <v>0.1</v>
      </c>
      <c r="BH321" s="44">
        <v>0</v>
      </c>
      <c r="BI321" s="42">
        <f t="shared" ref="BI321:BI323" si="533">AP321/Q321</f>
        <v>0</v>
      </c>
      <c r="BJ321" s="44" t="s">
        <v>115</v>
      </c>
      <c r="BK321" s="42" t="str">
        <f t="shared" si="470"/>
        <v>100%</v>
      </c>
      <c r="BL321" s="44">
        <v>1</v>
      </c>
      <c r="BM321" s="42" t="str" cm="1">
        <f t="array" ref="BM321">_xlfn.IFS(BD321="NA","NA",BD321&gt;100%,"100%",BD321&lt;100,BD321)</f>
        <v>100%</v>
      </c>
      <c r="BN321" s="42" cm="1">
        <f t="array" ref="BN321">_xlfn.IFS(BF321="NA","NA",BF321&gt;100%,"100%",BF321&lt;100,BF321)</f>
        <v>0</v>
      </c>
      <c r="BO321" s="42" cm="1">
        <f t="array" ref="BO321">_xlfn.IFS(BH321="NA","NA",BH321&gt;100%,"100%",BH321&lt;100,BH321)</f>
        <v>0</v>
      </c>
      <c r="BP321" s="42" t="str" cm="1">
        <f t="array" ref="BP321">_xlfn.IFS(BJ321="NA","NA",BJ321&gt;100%,"100%",BJ321&lt;100,BJ321)</f>
        <v>NA</v>
      </c>
      <c r="BQ321" s="45">
        <v>0.22500000000000001</v>
      </c>
      <c r="BR321" s="43">
        <f t="shared" si="471"/>
        <v>0.22500000000000001</v>
      </c>
      <c r="BS321" s="45">
        <v>0.1125</v>
      </c>
      <c r="BT321" s="45">
        <v>0.1125</v>
      </c>
      <c r="BU321" s="45">
        <v>0.22500000000000001</v>
      </c>
      <c r="BV321" s="43">
        <f t="shared" ref="BV321:BV323" si="534">(AD321*BQ321)/Q321</f>
        <v>4.4999999999999998E-2</v>
      </c>
      <c r="BW321" s="43">
        <f t="shared" si="472"/>
        <v>4.4999999999999998E-2</v>
      </c>
      <c r="BX321" s="43">
        <f t="shared" si="473"/>
        <v>0</v>
      </c>
      <c r="BY321" s="43">
        <f t="shared" ref="BY321:BY323" si="535">(AL321*BQ321)/Q321</f>
        <v>4.4999999999999998E-2</v>
      </c>
      <c r="BZ321" s="43">
        <f t="shared" ref="BZ321:BZ323" si="536">IF(BN321="NA","NA",BN321*BY321)</f>
        <v>0</v>
      </c>
      <c r="CA321" s="43">
        <f t="shared" si="474"/>
        <v>0</v>
      </c>
      <c r="CB321" s="43">
        <f t="shared" ref="CB321:CB323" si="537">(AN321*BQ321)/Q321</f>
        <v>2.2499999999999999E-2</v>
      </c>
      <c r="CC321" s="43">
        <f t="shared" ref="CC321:CC323" si="538">IF(BO321="NA","NA",BO321*CB321)</f>
        <v>0</v>
      </c>
      <c r="CD321" s="45">
        <v>0</v>
      </c>
      <c r="CE321" s="43">
        <f t="shared" ref="CE321:CE323" si="539">(AP321*BQ321)/Q321</f>
        <v>0</v>
      </c>
      <c r="CF321" s="43" t="str">
        <f t="shared" ref="CF321:CF323" si="540">IF(BP321="NA","NA",BP321*CE321)</f>
        <v>NA</v>
      </c>
      <c r="CG321" s="45">
        <v>0</v>
      </c>
    </row>
    <row r="322" spans="1:90" ht="18" customHeight="1">
      <c r="A322" s="260" t="s">
        <v>1996</v>
      </c>
      <c r="B322" s="260" t="s">
        <v>1997</v>
      </c>
      <c r="C322" s="260" t="s">
        <v>1828</v>
      </c>
      <c r="D322" s="260" t="s">
        <v>1988</v>
      </c>
      <c r="E322" s="260" t="s">
        <v>2013</v>
      </c>
      <c r="F322" s="260" t="s">
        <v>2014</v>
      </c>
      <c r="G322" s="260" t="s">
        <v>2015</v>
      </c>
      <c r="H322" s="260" t="s">
        <v>2022</v>
      </c>
      <c r="I322" s="260"/>
      <c r="J322" s="260"/>
      <c r="K322" s="260" t="s">
        <v>2023</v>
      </c>
      <c r="L322" s="260" t="s">
        <v>2024</v>
      </c>
      <c r="M322" s="260" t="s">
        <v>2025</v>
      </c>
      <c r="N322" s="260" t="s">
        <v>111</v>
      </c>
      <c r="O322" s="260" t="s">
        <v>112</v>
      </c>
      <c r="P322" s="10">
        <v>1</v>
      </c>
      <c r="Q322" s="11">
        <v>1</v>
      </c>
      <c r="R322" s="9">
        <f t="shared" si="527"/>
        <v>0.48</v>
      </c>
      <c r="S322" s="11" t="str">
        <f>VLOOKUP(K322,'1152 UAEGRD'!$K$13:$AK$21,9,0)</f>
        <v xml:space="preserve">* Se han certificado 304 personas de los municipios del departamento en el 1er. seminario taller gestión integral del riesgo de desastres en Cundinamarca “NUESTRO TERRITORIO, NUESTRO PROGRESO, RESPONSABILIDAD DE TODOS” en donde se capacitaron a las personas en relación a la política publica para la gestión del riesgo, el plan departamental para la gestión del riesgo y la estrategia departamental de respuesta a emergencias. 
* Se ha realizado acompañamiento y asesoría a los municipios mediante las asistencias técnicas con el fin de fomentar el diseño e implementación de la estrategia municipal para larespuesta aemergencias. 
*Se formularon protocolos para orientar a los municipios frente a la ruta para declarar emergencias y fortalecer el sistema de alertas tempranas. 
* Se ha implementado el plan padrino por parte de la UAEGRD con el fin de poder realizar asesoría y seguimiento a las necesidades y acciones de los municipios en el marco de la implementación de la política publica, el plan departamental y la estrategia departamental de respuesta. 
*Se cuenta con el plan de capacitación y plan de divulgación de la estrategia departamental de respuesta a emergencias. </v>
      </c>
      <c r="T322" s="11">
        <v>0.25</v>
      </c>
      <c r="U322" s="11">
        <v>0</v>
      </c>
      <c r="V322" s="11">
        <v>0.25</v>
      </c>
      <c r="W322" s="11">
        <v>0</v>
      </c>
      <c r="X322" s="11">
        <v>0.25</v>
      </c>
      <c r="Y322" s="11">
        <v>0</v>
      </c>
      <c r="Z322" s="11">
        <v>0.25</v>
      </c>
      <c r="AA322" s="11" t="s">
        <v>2026</v>
      </c>
      <c r="AB322" s="11" t="s">
        <v>2027</v>
      </c>
      <c r="AC322" s="11" t="s">
        <v>2012</v>
      </c>
      <c r="AD322" s="11">
        <v>0.25</v>
      </c>
      <c r="AE322" s="11">
        <v>0</v>
      </c>
      <c r="AF322" s="11">
        <f>VLOOKUP(K322,'1152 UAEGRD'!$K$13:$AK$21,22,0)</f>
        <v>0.23</v>
      </c>
      <c r="AG322" s="11">
        <f>VLOOKUP(K322,'1152 UAEGRD'!$K$13:$AK$21,23,0)</f>
        <v>0</v>
      </c>
      <c r="AH322" s="9">
        <f t="shared" si="528"/>
        <v>0.23</v>
      </c>
      <c r="AI322" s="9" t="str">
        <f>VLOOKUP(K322,'1152 UAEGRD'!$K$13:$AK$21,25,0)</f>
        <v xml:space="preserve">Para el mes de noviembre se realizaron 10 asistencias técnicas en los municipios de  Fusagasugá, Soacha, Arbelaez,Tibacuy, Cabrera, Venecia, Gacheta, Simijaca, Fúquene, Cucunuba, Ubaté, Beltrán, Zipaquirá, Caparrapí, Cáqueza, Tocancipá, Cajicá y Guaduas, mediante cuatro capacitaciones, cinco asesorías y dos acompañamientos para un total de 635 personas asistidas de los consejos municipales para la gestión del riesgo, funcionarios de las alcaldías, instituciones educativas, empresas de servicios públicos, juntas de acción comunal y población en general en relación con:
* Niveles de emergencia  1 asesorías para un total de 10 personas asistidas.
* Instrumentos legales y normativos de la estrategia departamental y estrategia municipal de respuesta a emergencias. 1 capacitación y una asesoría para un total de 13 personas.
* Articulación de los planes comunitarios. 2 capacitaciones y 1 asesoría para un total de 305 personas. 
3. Protocolos de acción para eventos de emergencia. 2 asesorías, 1 capacitación, 1 acompañamiento para un total de 37 personas
De igual manera se llevo a cabo diagnostico de los municipios frente a la formulación de la estrategia municipal de respuesta la cual a la fecha presenta un avance de 43 municipios con estrategia. De igual manera, se ha brindado acompañamiento a todos los municipios frente a la implementación de la política, el plan y la estrategia municipal de respuesta con el fin de llevar a cabo la articulación del sistema departamental.
Se llevó a cabo un convenio con FONDECUN con el fin de formular la ejecución de los eventos de divulgación y capacitación de los cuerpos operativos del departamento y los coordinadores municipales para la gestión del riesgo. De igual manera se formulo estrategia para la temporada de diciembre con el fin de disminuir los riesgos por majeo de pólvora. 
</v>
      </c>
      <c r="AJ322" s="9" t="str">
        <f>VLOOKUP(K322,'1152 UAEGRD'!$K$13:$AK$21,26,0)</f>
        <v>Fortalecimiento a los municipios frente a la implementación de la estrategia departamental de respuesta mediante las asistencias técnicas a los miembros que conforman el sistema municipal para la gestión del riesgo. Acompañamiento a los municipios que han decretado alertas con motivo a emergencias naturales y/o antrópicos, así como a los que requieren asesoría frente a la implementación de la estrategia de respuesta lo cual se ha fortalecido mediante la implementación del plan padrino por parte de la UAEGRD y la actualización del plan de asistencia técnica.</v>
      </c>
      <c r="AK322" s="9" t="str">
        <f>VLOOKUP(K322,'1152 UAEGRD'!$K$13:$AK$21,27,0)</f>
        <v>La temporada de lluvias genero el incremento de emergencias y activo en mayor medida las solicitudes por ayudas humanitarias, lo cual conlleva a que se deban atender muchas solicitudes de asesoría y asistencia por parte de los municipios con el fin llevar a cabo el debido proceso estipulado en la política y  la estrategia, esto genera a su vez la modificación en el cronograma del plan de capacitación y divulgación, tema que también es afectado por la emergencia que aún se presenta por COVID-19. Para el mes de agosto se vio afectada la gestión dada la emergencia en el municipio de Guayabetal que genero que el recurso humano de la unidad se concentrara en las acciones de acompañamiento al municipio tanto en la entrega de ayuda humanitarias como en el apoyo psicosocial de la población afectada.</v>
      </c>
      <c r="AL322" s="11">
        <v>0.25</v>
      </c>
      <c r="AM322" s="11">
        <v>0</v>
      </c>
      <c r="AN322" s="11">
        <v>0.25</v>
      </c>
      <c r="AO322" s="11">
        <v>0</v>
      </c>
      <c r="AP322" s="11">
        <v>0</v>
      </c>
      <c r="AQ322" s="11">
        <v>0</v>
      </c>
      <c r="AR322" s="52"/>
      <c r="AS322" s="54">
        <v>25000000</v>
      </c>
      <c r="AT322" s="54">
        <f t="shared" si="469"/>
        <v>25000000</v>
      </c>
      <c r="AU322" s="52"/>
      <c r="AV322" s="89">
        <v>165000000</v>
      </c>
      <c r="AY322" s="89">
        <v>151096007</v>
      </c>
      <c r="AZ322" s="42">
        <f t="shared" si="529"/>
        <v>0.48</v>
      </c>
      <c r="BA322" s="44">
        <v>0.25</v>
      </c>
      <c r="BB322" s="44">
        <v>1</v>
      </c>
      <c r="BC322" s="42">
        <f t="shared" si="530"/>
        <v>0.25</v>
      </c>
      <c r="BD322" s="42" cm="1">
        <f t="array" ref="BD322">_xlfn.IFS(AD322=0,"NA",AD322&gt;0,AH322/AD322)</f>
        <v>0.92</v>
      </c>
      <c r="BE322" s="42">
        <f t="shared" si="531"/>
        <v>0.25</v>
      </c>
      <c r="BF322" s="44">
        <v>0</v>
      </c>
      <c r="BG322" s="42">
        <f t="shared" si="532"/>
        <v>0.25</v>
      </c>
      <c r="BH322" s="44">
        <v>0</v>
      </c>
      <c r="BI322" s="42">
        <f t="shared" si="533"/>
        <v>0</v>
      </c>
      <c r="BJ322" s="44" t="s">
        <v>115</v>
      </c>
      <c r="BK322" s="42">
        <f t="shared" si="470"/>
        <v>0.48</v>
      </c>
      <c r="BL322" s="44">
        <v>1</v>
      </c>
      <c r="BM322" s="42" cm="1">
        <f t="array" ref="BM322">_xlfn.IFS(BD322="NA","NA",BD322&gt;100%,"100%",BD322&lt;100,BD322)</f>
        <v>0.92</v>
      </c>
      <c r="BN322" s="42" cm="1">
        <f t="array" ref="BN322">_xlfn.IFS(BF322="NA","NA",BF322&gt;100%,"100%",BF322&lt;100,BF322)</f>
        <v>0</v>
      </c>
      <c r="BO322" s="42" cm="1">
        <f t="array" ref="BO322">_xlfn.IFS(BH322="NA","NA",BH322&gt;100%,"100%",BH322&lt;100,BH322)</f>
        <v>0</v>
      </c>
      <c r="BP322" s="42" t="str" cm="1">
        <f t="array" ref="BP322">_xlfn.IFS(BJ322="NA","NA",BJ322&gt;100%,"100%",BJ322&lt;100,BJ322)</f>
        <v>NA</v>
      </c>
      <c r="BQ322" s="45">
        <v>0.22500000000000001</v>
      </c>
      <c r="BR322" s="43">
        <f t="shared" si="471"/>
        <v>0.108</v>
      </c>
      <c r="BS322" s="45">
        <v>5.6300000000000003E-2</v>
      </c>
      <c r="BT322" s="45">
        <v>5.6300000000000003E-2</v>
      </c>
      <c r="BU322" s="45">
        <v>5.6300000000000003E-2</v>
      </c>
      <c r="BV322" s="43">
        <f t="shared" si="534"/>
        <v>5.6250000000000001E-2</v>
      </c>
      <c r="BW322" s="43">
        <f t="shared" si="472"/>
        <v>5.1750000000000004E-2</v>
      </c>
      <c r="BX322" s="43">
        <f t="shared" si="473"/>
        <v>5.1699999999999996E-2</v>
      </c>
      <c r="BY322" s="43">
        <f t="shared" si="535"/>
        <v>5.6250000000000001E-2</v>
      </c>
      <c r="BZ322" s="43">
        <f t="shared" si="536"/>
        <v>0</v>
      </c>
      <c r="CA322" s="43">
        <f t="shared" si="474"/>
        <v>0</v>
      </c>
      <c r="CB322" s="43">
        <f t="shared" si="537"/>
        <v>5.6250000000000001E-2</v>
      </c>
      <c r="CC322" s="43">
        <f t="shared" si="538"/>
        <v>0</v>
      </c>
      <c r="CD322" s="45">
        <v>0</v>
      </c>
      <c r="CE322" s="43">
        <f t="shared" si="539"/>
        <v>0</v>
      </c>
      <c r="CF322" s="43" t="str">
        <f t="shared" si="540"/>
        <v>NA</v>
      </c>
      <c r="CG322" s="45">
        <v>0</v>
      </c>
    </row>
    <row r="323" spans="1:90" ht="18" customHeight="1">
      <c r="A323" s="260" t="s">
        <v>1996</v>
      </c>
      <c r="B323" s="260" t="s">
        <v>1997</v>
      </c>
      <c r="C323" s="260" t="s">
        <v>1828</v>
      </c>
      <c r="D323" s="260" t="s">
        <v>1988</v>
      </c>
      <c r="E323" s="260" t="s">
        <v>2013</v>
      </c>
      <c r="F323" s="260" t="s">
        <v>2014</v>
      </c>
      <c r="G323" s="260" t="s">
        <v>2015</v>
      </c>
      <c r="H323" s="260" t="s">
        <v>2028</v>
      </c>
      <c r="I323" s="260"/>
      <c r="J323" s="260"/>
      <c r="K323" s="260" t="s">
        <v>2029</v>
      </c>
      <c r="L323" s="260" t="s">
        <v>3010</v>
      </c>
      <c r="M323" s="260" t="s">
        <v>3011</v>
      </c>
      <c r="N323" s="260" t="s">
        <v>123</v>
      </c>
      <c r="O323" s="260" t="s">
        <v>112</v>
      </c>
      <c r="P323" s="10">
        <v>50</v>
      </c>
      <c r="Q323" s="11">
        <v>80</v>
      </c>
      <c r="R323" s="9">
        <f t="shared" si="527"/>
        <v>2</v>
      </c>
      <c r="S323" s="11" t="str">
        <f>VLOOKUP(K323,'1152 UAEGRD'!$K$13:$AK$21,9,0)</f>
        <v xml:space="preserve">Se ha logrado atender el 100% de las solicitudes que realizan los municipios con el fin de llevar a cabo mediante las visitas y asistencias oculares, la formulación de acciones correctivas y prospectivas que permitan la disminución del riesgo y la incorporación de los escenarios identificados  en los instrumentos de planificación en el municipio. Actualmente se viene ejecutando el proyecto de obras de construcción para quebradanegra con el fin de disminuir el riesgo al que se expone la comunidad; proyecto que, se formula bajo la implementación del eje estratégico de gobernanza estipulado en la política pública departamental para la gestión del riesgo. </v>
      </c>
      <c r="T323" s="11">
        <v>0</v>
      </c>
      <c r="U323" s="11">
        <v>0</v>
      </c>
      <c r="V323" s="11">
        <v>2</v>
      </c>
      <c r="W323" s="11">
        <v>0</v>
      </c>
      <c r="X323" s="11">
        <v>2</v>
      </c>
      <c r="Y323" s="11">
        <v>0</v>
      </c>
      <c r="Z323" s="11">
        <v>2</v>
      </c>
      <c r="AA323" s="11" t="s">
        <v>2032</v>
      </c>
      <c r="AB323" s="11" t="s">
        <v>2033</v>
      </c>
      <c r="AC323" s="11">
        <v>0</v>
      </c>
      <c r="AD323" s="11">
        <v>8</v>
      </c>
      <c r="AE323" s="11">
        <v>0</v>
      </c>
      <c r="AF323" s="11">
        <f>VLOOKUP(K323,'1152 UAEGRD'!$K$13:$AK$21,22,0)</f>
        <v>0</v>
      </c>
      <c r="AG323" s="11">
        <f>VLOOKUP(K323,'1152 UAEGRD'!$K$13:$AK$21,23,0)</f>
        <v>100</v>
      </c>
      <c r="AH323" s="9">
        <f t="shared" si="528"/>
        <v>0</v>
      </c>
      <c r="AI323" s="9" t="str">
        <f>VLOOKUP(K323,'1152 UAEGRD'!$K$13:$AK$21,25,0)</f>
        <v>Se realizó visita técnica e inspección ocular en 22 escenarios de riesgo identificados en 22 municipios por solicitud de los mismos (Albán, Bituima, Cabrera, Caparrapí, Choachí, Guayabetal, La mesa, la palma, Madrid, Nilo, Puerto Salgar, San Juan de Rioseco, Supatá, Susa, Tena, Topaipi, Ubalá, Venecia, Vergara,  Villa Gomez, Villa Pinzon y Villeta ), con el fin de formular las recomendaciones respectivas para las acciones de mitigación por parte de los municipios y entidades competentes.</v>
      </c>
      <c r="AJ323" s="9" t="str">
        <f>VLOOKUP(K323,'1152 UAEGRD'!$K$13:$AK$21,26,0)</f>
        <v>Se llevó a cabo informe técnico con las respectivas recomendaciones para los consejos municipales para la gestión del riesgo de acuerdo con la ejecución de 150 asistencias por parte del equipo de reducción del riesgo, atendiendo el 100% de solicitudes de los municipios del Departamento. Se realizó la respectiva recomendación para la incorporación de los escenarios de riesgo en los instrumentos de planificación de los municipios lo cual permite a su vez consolidar la base de datos de los escenarios de riesgo y amenazas del departamento conforme los estipula las metas de Bienestar del programa ruta de la gestión del riesgo.</v>
      </c>
      <c r="AK323" s="9">
        <f>VLOOKUP(K323,'1152 UAEGRD'!$K$13:$AK$21,27,0)</f>
        <v>0</v>
      </c>
      <c r="AL323" s="11">
        <v>30</v>
      </c>
      <c r="AM323" s="11">
        <v>0</v>
      </c>
      <c r="AN323" s="11">
        <v>40</v>
      </c>
      <c r="AO323" s="11">
        <v>0</v>
      </c>
      <c r="AP323" s="11">
        <v>0</v>
      </c>
      <c r="AQ323" s="11">
        <v>0</v>
      </c>
      <c r="AR323" s="51">
        <v>32000000</v>
      </c>
      <c r="AS323" s="54">
        <v>0</v>
      </c>
      <c r="AT323" s="54">
        <f t="shared" si="469"/>
        <v>32000000</v>
      </c>
      <c r="AU323" s="51">
        <v>29503333</v>
      </c>
      <c r="AV323" s="89">
        <v>36650018016</v>
      </c>
      <c r="AY323" s="89">
        <v>218035227</v>
      </c>
      <c r="AZ323" s="42">
        <f t="shared" si="529"/>
        <v>2.5000000000000001E-2</v>
      </c>
      <c r="BA323" s="44">
        <v>2.5000000000000001E-2</v>
      </c>
      <c r="BB323" s="44">
        <v>1</v>
      </c>
      <c r="BC323" s="42">
        <f t="shared" si="530"/>
        <v>0.1</v>
      </c>
      <c r="BD323" s="42" cm="1">
        <f t="array" ref="BD323">_xlfn.IFS(AD323=0,"NA",AD323&gt;0,AH323/AD323)</f>
        <v>0</v>
      </c>
      <c r="BE323" s="42">
        <f t="shared" si="531"/>
        <v>0.375</v>
      </c>
      <c r="BF323" s="44">
        <v>0</v>
      </c>
      <c r="BG323" s="42">
        <f t="shared" si="532"/>
        <v>0.5</v>
      </c>
      <c r="BH323" s="44">
        <v>0</v>
      </c>
      <c r="BI323" s="42">
        <f t="shared" si="533"/>
        <v>0</v>
      </c>
      <c r="BJ323" s="44" t="s">
        <v>115</v>
      </c>
      <c r="BK323" s="42">
        <f t="shared" si="470"/>
        <v>2.5000000000000001E-2</v>
      </c>
      <c r="BL323" s="44">
        <v>1</v>
      </c>
      <c r="BM323" s="42" cm="1">
        <f t="array" ref="BM323">_xlfn.IFS(BD323="NA","NA",BD323&gt;100%,"100%",BD323&lt;100,BD323)</f>
        <v>0</v>
      </c>
      <c r="BN323" s="42" cm="1">
        <f t="array" ref="BN323">_xlfn.IFS(BF323="NA","NA",BF323&gt;100%,"100%",BF323&lt;100,BF323)</f>
        <v>0</v>
      </c>
      <c r="BO323" s="42" cm="1">
        <f t="array" ref="BO323">_xlfn.IFS(BH323="NA","NA",BH323&gt;100%,"100%",BH323&lt;100,BH323)</f>
        <v>0</v>
      </c>
      <c r="BP323" s="42" t="str" cm="1">
        <f t="array" ref="BP323">_xlfn.IFS(BJ323="NA","NA",BJ323&gt;100%,"100%",BJ323&lt;100,BJ323)</f>
        <v>NA</v>
      </c>
      <c r="BQ323" s="45">
        <v>0.22500000000000001</v>
      </c>
      <c r="BR323" s="43">
        <f t="shared" si="471"/>
        <v>5.6250000000000007E-3</v>
      </c>
      <c r="BS323" s="45">
        <v>5.5999999999999999E-3</v>
      </c>
      <c r="BT323" s="45">
        <v>5.5999999999999999E-3</v>
      </c>
      <c r="BU323" s="45">
        <v>5.5999999999999999E-3</v>
      </c>
      <c r="BV323" s="43">
        <f t="shared" si="534"/>
        <v>2.2499999999999999E-2</v>
      </c>
      <c r="BW323" s="43">
        <f t="shared" si="472"/>
        <v>0</v>
      </c>
      <c r="BX323" s="43">
        <f t="shared" si="473"/>
        <v>2.5000000000000716E-5</v>
      </c>
      <c r="BY323" s="43">
        <f t="shared" si="535"/>
        <v>8.4375000000000006E-2</v>
      </c>
      <c r="BZ323" s="43">
        <f t="shared" si="536"/>
        <v>0</v>
      </c>
      <c r="CA323" s="43">
        <f t="shared" si="474"/>
        <v>0</v>
      </c>
      <c r="CB323" s="43">
        <f t="shared" si="537"/>
        <v>0.1125</v>
      </c>
      <c r="CC323" s="43">
        <f t="shared" si="538"/>
        <v>0</v>
      </c>
      <c r="CD323" s="45">
        <v>0</v>
      </c>
      <c r="CE323" s="43">
        <f t="shared" si="539"/>
        <v>0</v>
      </c>
      <c r="CF323" s="43" t="str">
        <f t="shared" si="540"/>
        <v>NA</v>
      </c>
      <c r="CG323" s="45">
        <v>0</v>
      </c>
    </row>
    <row r="324" spans="1:90" ht="30.75" customHeight="1">
      <c r="A324" s="260" t="s">
        <v>1387</v>
      </c>
      <c r="B324" s="260" t="s">
        <v>1388</v>
      </c>
      <c r="C324" s="260" t="s">
        <v>1828</v>
      </c>
      <c r="D324" s="260" t="s">
        <v>1988</v>
      </c>
      <c r="E324" s="260" t="s">
        <v>2034</v>
      </c>
      <c r="F324" s="260" t="s">
        <v>2035</v>
      </c>
      <c r="G324" s="260" t="s">
        <v>2036</v>
      </c>
      <c r="H324" s="260" t="s">
        <v>2037</v>
      </c>
      <c r="I324" s="260"/>
      <c r="J324" s="260"/>
      <c r="K324" s="260" t="s">
        <v>2038</v>
      </c>
      <c r="L324" s="12" t="s">
        <v>2039</v>
      </c>
      <c r="M324" s="260" t="s">
        <v>2040</v>
      </c>
      <c r="N324" s="260" t="s">
        <v>123</v>
      </c>
      <c r="O324" s="260" t="s">
        <v>124</v>
      </c>
      <c r="P324" s="10">
        <v>100</v>
      </c>
      <c r="Q324" s="11">
        <v>100</v>
      </c>
      <c r="R324" s="11">
        <f>(Z324+AH324)/CL324</f>
        <v>50</v>
      </c>
      <c r="S324" s="11">
        <f>VLOOKUP(K324,'1285 EPC'!$K$13:$AK$35,9,0)</f>
        <v>0</v>
      </c>
      <c r="T324" s="11">
        <v>0</v>
      </c>
      <c r="U324" s="11">
        <v>100</v>
      </c>
      <c r="V324" s="11">
        <v>0</v>
      </c>
      <c r="W324" s="11">
        <v>100</v>
      </c>
      <c r="X324" s="11" t="s">
        <v>115</v>
      </c>
      <c r="Y324" s="11">
        <v>100</v>
      </c>
      <c r="Z324" s="11">
        <v>100</v>
      </c>
      <c r="AA324" s="11" t="s">
        <v>2041</v>
      </c>
      <c r="AB324" s="11" t="s">
        <v>2042</v>
      </c>
      <c r="AC324" s="11">
        <v>0</v>
      </c>
      <c r="AD324" s="11">
        <v>0</v>
      </c>
      <c r="AE324" s="11">
        <v>100</v>
      </c>
      <c r="AF324" s="11">
        <f>VLOOKUP(K324,'1285 EPC'!$K$13:$AK$35,22,0)</f>
        <v>0</v>
      </c>
      <c r="AG324" s="11">
        <f>VLOOKUP(K324,'1285 EPC'!$K$13:$AK$35,23,0)</f>
        <v>100</v>
      </c>
      <c r="AH324" s="11">
        <f>AG324</f>
        <v>100</v>
      </c>
      <c r="AI324" s="9" t="str">
        <f>VLOOKUP(K324,'1285 EPC'!$K$13:$AK$35,25,0)</f>
        <v>Servicio de atención de emergencias con carrotanque y con equipo presión succión</v>
      </c>
      <c r="AJ324" s="9" t="str">
        <f>VLOOKUP(K324,'1285 EPC'!$K$13:$AK$35,26,0)</f>
        <v>Se realizó 214 atenciones con carrotanque por desabastecimiento de agua potable, para un total de 648 días de operación; 182 atenciones con equipos succión presión por taponamientos y colmataciones en las redes de alcantarillado, para un total de 502 días de operación. Se entregaron 37 obras de rehabilitación de infraestructura en 23 municipios: Granada, Sasaima, Manta, Cachipay, Ubaque, Alban, Villeta, y Viotá, Sibaté, San Antonio del Tequendama, Yacopí, Vergara, Caparrapí y Chocontá, Tibirita, Guataquí, Beltrán El Peñón y Chipaque, Ubalá, Subachoque, Suesca, Nariño. y 2 inspecciones de redes en los municipios de Nocaima y Villapinzón</v>
      </c>
      <c r="AK324" s="9" t="str">
        <f>VLOOKUP(K324,'1285 EPC'!$K$13:$AK$35,27,0)</f>
        <v> </v>
      </c>
      <c r="AL324" s="11">
        <v>0</v>
      </c>
      <c r="AM324" s="11">
        <v>100</v>
      </c>
      <c r="AN324" s="11">
        <v>0</v>
      </c>
      <c r="AO324" s="11">
        <v>100</v>
      </c>
      <c r="AP324" s="11">
        <v>0</v>
      </c>
      <c r="AQ324" s="11">
        <v>0</v>
      </c>
      <c r="AR324" s="52"/>
      <c r="AS324" s="54">
        <v>5371670592</v>
      </c>
      <c r="AT324" s="54">
        <f t="shared" si="469"/>
        <v>5371670592</v>
      </c>
      <c r="AU324" s="52"/>
      <c r="AV324" s="89">
        <v>6267292352</v>
      </c>
      <c r="AY324" s="89">
        <v>0</v>
      </c>
      <c r="AZ324" s="44" cm="1">
        <f t="array" ref="AZ324">_xlfn.IFS((BA324=0),(BD324/CL324),(BA324&gt;0),((BB324+BD324)/CL324),(BE324&gt;0),((BB324+BD324+BE324)/CL324),(BG324&gt;0),((BB324+BD324+BE324+G324)/CL324))</f>
        <v>0.5</v>
      </c>
      <c r="BA324" s="44">
        <v>0.25</v>
      </c>
      <c r="BB324" s="44">
        <v>1</v>
      </c>
      <c r="BC324" s="44">
        <f>IF(AE324&gt;0,(1/CL324),0)</f>
        <v>0.25</v>
      </c>
      <c r="BD324" s="44" cm="1">
        <f t="array" ref="BD324">_xlfn.IFS(AE324=0,"NA",AE324&gt;0,AH324/AE324)</f>
        <v>1</v>
      </c>
      <c r="BE324" s="44">
        <f>IF(AM324&gt;0,(1/CL324),0)</f>
        <v>0.25</v>
      </c>
      <c r="BF324" s="44">
        <v>0</v>
      </c>
      <c r="BG324" s="44">
        <f>IF(AO324&gt;0,(1/CL324),0)</f>
        <v>0.25</v>
      </c>
      <c r="BH324" s="44">
        <v>0</v>
      </c>
      <c r="BI324" s="44">
        <v>0</v>
      </c>
      <c r="BJ324" s="44" t="s">
        <v>115</v>
      </c>
      <c r="BK324" s="44">
        <f t="shared" si="470"/>
        <v>0.5</v>
      </c>
      <c r="BL324" s="44">
        <v>1</v>
      </c>
      <c r="BM324" s="42" cm="1">
        <f t="array" ref="BM324">_xlfn.IFS(BD324="NA","NA",BD324&gt;100%,"100%",BD324&lt;100,BD324)</f>
        <v>1</v>
      </c>
      <c r="BN324" s="44">
        <v>0</v>
      </c>
      <c r="BO324" s="44">
        <v>0</v>
      </c>
      <c r="BP324" s="44" t="s">
        <v>115</v>
      </c>
      <c r="BQ324" s="45">
        <v>0.22500000000000001</v>
      </c>
      <c r="BR324" s="43">
        <f t="shared" si="471"/>
        <v>0.1125</v>
      </c>
      <c r="BS324" s="45">
        <v>5.6300000000000003E-2</v>
      </c>
      <c r="BT324" s="45">
        <v>5.6300000000000003E-2</v>
      </c>
      <c r="BU324" s="45">
        <v>5.6300000000000003E-2</v>
      </c>
      <c r="BV324" s="45">
        <v>5.6300000000000003E-2</v>
      </c>
      <c r="BW324" s="43">
        <f t="shared" si="472"/>
        <v>5.6300000000000003E-2</v>
      </c>
      <c r="BX324" s="43">
        <f t="shared" si="473"/>
        <v>5.62E-2</v>
      </c>
      <c r="BY324" s="45">
        <v>5.6300000000000003E-2</v>
      </c>
      <c r="BZ324" s="45">
        <v>0</v>
      </c>
      <c r="CA324" s="43">
        <f t="shared" si="474"/>
        <v>0</v>
      </c>
      <c r="CB324" s="45">
        <v>5.6300000000000003E-2</v>
      </c>
      <c r="CC324" s="45">
        <v>0</v>
      </c>
      <c r="CD324" s="45">
        <v>0</v>
      </c>
      <c r="CE324" s="45">
        <v>0</v>
      </c>
      <c r="CF324" s="45" t="s">
        <v>115</v>
      </c>
      <c r="CG324" s="45">
        <v>0</v>
      </c>
      <c r="CH324">
        <f>IF(W324&gt;0,1,0)</f>
        <v>1</v>
      </c>
      <c r="CI324">
        <f>IF(AE324&gt;0,1,0)</f>
        <v>1</v>
      </c>
      <c r="CJ324">
        <f>IF(AM324&gt;0,1,0)</f>
        <v>1</v>
      </c>
      <c r="CK324">
        <f>IF(AO324&gt;0,1,0)</f>
        <v>1</v>
      </c>
      <c r="CL324">
        <f>CH324+CI324+CJ324+CK324</f>
        <v>4</v>
      </c>
    </row>
    <row r="325" spans="1:90" ht="18" customHeight="1">
      <c r="A325" s="260" t="s">
        <v>1996</v>
      </c>
      <c r="B325" s="260" t="s">
        <v>1997</v>
      </c>
      <c r="C325" s="260" t="s">
        <v>1828</v>
      </c>
      <c r="D325" s="260" t="s">
        <v>1988</v>
      </c>
      <c r="E325" s="260" t="s">
        <v>2034</v>
      </c>
      <c r="F325" s="260" t="s">
        <v>2035</v>
      </c>
      <c r="G325" s="260" t="s">
        <v>2036</v>
      </c>
      <c r="H325" s="260" t="s">
        <v>2043</v>
      </c>
      <c r="I325" s="260"/>
      <c r="J325" s="260"/>
      <c r="K325" s="260" t="s">
        <v>2044</v>
      </c>
      <c r="L325" s="260" t="s">
        <v>3012</v>
      </c>
      <c r="M325" s="260" t="s">
        <v>2046</v>
      </c>
      <c r="N325" s="260" t="s">
        <v>111</v>
      </c>
      <c r="O325" s="260" t="s">
        <v>112</v>
      </c>
      <c r="P325" s="10">
        <v>2</v>
      </c>
      <c r="Q325" s="11">
        <v>15</v>
      </c>
      <c r="R325" s="9">
        <f t="shared" ref="R325:R327" si="541">Z325+AH325</f>
        <v>1.8</v>
      </c>
      <c r="S325" s="11" t="str">
        <f>VLOOKUP(K325,'1152 UAEGRD'!$K$13:$AK$21,9,0)</f>
        <v>En el mes de agosto se llevó a cabo la inauguración del CRIR de Tocaima el cual realizó apertura y se encuentra al servicio de la comunidad. Se firmo convenio interadministrativo  con el objeto de aunar esfuerzos técnicos y administrativos entre el Departamento UAEGRD Secretaria General y el Municipio de Tocaima para la operación y puesta en funcionamiento. Se adelantaron acciones con la Universidad de Cundinamarca para la firma de un convenio con el propósito de prestar asistencia técnica a los municipios de la jurisdicción del CRIR, mediante el apoyo de docentes, pasantes y practicantes.</v>
      </c>
      <c r="T325" s="11">
        <v>2</v>
      </c>
      <c r="U325" s="11">
        <v>0</v>
      </c>
      <c r="V325" s="11">
        <v>1</v>
      </c>
      <c r="W325" s="11">
        <v>0</v>
      </c>
      <c r="X325" s="11">
        <v>0.8</v>
      </c>
      <c r="Y325" s="11">
        <v>0</v>
      </c>
      <c r="Z325" s="11">
        <v>0.8</v>
      </c>
      <c r="AA325" s="11">
        <v>0</v>
      </c>
      <c r="AB325" s="11" t="s">
        <v>2047</v>
      </c>
      <c r="AC325" s="11">
        <v>0</v>
      </c>
      <c r="AD325" s="11">
        <v>4</v>
      </c>
      <c r="AE325" s="11">
        <v>0</v>
      </c>
      <c r="AF325" s="11">
        <f>VLOOKUP(K325,'1152 UAEGRD'!$K$13:$AK$21,22,0)</f>
        <v>1</v>
      </c>
      <c r="AG325" s="11">
        <f>VLOOKUP(K325,'1152 UAEGRD'!$K$13:$AK$21,23,0)</f>
        <v>0</v>
      </c>
      <c r="AH325" s="9">
        <f t="shared" ref="AH325:AH327" si="542">AF325</f>
        <v>1</v>
      </c>
      <c r="AI325" s="9">
        <f>VLOOKUP(K325,'1152 UAEGRD'!$K$13:$AK$21,25,0)</f>
        <v>0</v>
      </c>
      <c r="AJ325" s="9" t="str">
        <f>VLOOKUP(K325,'1152 UAEGRD'!$K$13:$AK$21,26,0)</f>
        <v xml:space="preserve">Se garantizó la puesta en marcha y funcionamiento del CRIR de Tocaima a partir del 28 de agosto. </v>
      </c>
      <c r="AK325" s="9" t="str">
        <f>VLOOKUP(K325,'1152 UAEGRD'!$K$13:$AK$21,27,0)</f>
        <v>Para garantizar el funcionamiento del CRIR de Tocancipá, se requiere llevar adecuación en tema de infraestructura, proceso que se realizará mediante la inversión del municipio en aras de garantizar la entrega del CRIR e iniciar la puesta en funcionamiento.</v>
      </c>
      <c r="AL325" s="11">
        <v>5</v>
      </c>
      <c r="AM325" s="11">
        <v>0</v>
      </c>
      <c r="AN325" s="11">
        <v>5</v>
      </c>
      <c r="AO325" s="11">
        <v>0</v>
      </c>
      <c r="AP325" s="11">
        <v>0</v>
      </c>
      <c r="AQ325" s="11">
        <v>0</v>
      </c>
      <c r="AR325" s="52"/>
      <c r="AS325" s="54">
        <v>20400000</v>
      </c>
      <c r="AT325" s="54">
        <f t="shared" si="469"/>
        <v>20400000</v>
      </c>
      <c r="AU325" s="52"/>
      <c r="AV325" s="89">
        <v>265330358</v>
      </c>
      <c r="AY325" s="89">
        <v>52500000</v>
      </c>
      <c r="AZ325" s="42">
        <f t="shared" ref="AZ325:AZ327" si="543">R325/Q325</f>
        <v>0.12000000000000001</v>
      </c>
      <c r="BA325" s="44">
        <v>6.6699999999999995E-2</v>
      </c>
      <c r="BB325" s="44">
        <v>0.8</v>
      </c>
      <c r="BC325" s="42">
        <f t="shared" ref="BC325:BC327" si="544">AD325/Q325</f>
        <v>0.26666666666666666</v>
      </c>
      <c r="BD325" s="42" cm="1">
        <f t="array" ref="BD325">_xlfn.IFS(AD325=0,"NA",AD325&gt;0,AH325/AD325)</f>
        <v>0.25</v>
      </c>
      <c r="BE325" s="42">
        <f t="shared" ref="BE325:BE327" si="545">AL325/Q325</f>
        <v>0.33333333333333331</v>
      </c>
      <c r="BF325" s="44">
        <v>0</v>
      </c>
      <c r="BG325" s="42">
        <f t="shared" ref="BG325:BG327" si="546">AN325/Q325</f>
        <v>0.33333333333333331</v>
      </c>
      <c r="BH325" s="44">
        <v>0</v>
      </c>
      <c r="BI325" s="42">
        <f t="shared" ref="BI325:BI327" si="547">AP325/Q325</f>
        <v>0</v>
      </c>
      <c r="BJ325" s="44" t="s">
        <v>115</v>
      </c>
      <c r="BK325" s="42">
        <f t="shared" si="470"/>
        <v>0.12000000000000001</v>
      </c>
      <c r="BL325" s="44">
        <v>0.8</v>
      </c>
      <c r="BM325" s="42" cm="1">
        <f t="array" ref="BM325">_xlfn.IFS(BD325="NA","NA",BD325&gt;100%,"100%",BD325&lt;100,BD325)</f>
        <v>0.25</v>
      </c>
      <c r="BN325" s="42" cm="1">
        <f t="array" ref="BN325">_xlfn.IFS(BF325="NA","NA",BF325&gt;100%,"100%",BF325&lt;100,BF325)</f>
        <v>0</v>
      </c>
      <c r="BO325" s="42" cm="1">
        <f t="array" ref="BO325">_xlfn.IFS(BH325="NA","NA",BH325&gt;100%,"100%",BH325&lt;100,BH325)</f>
        <v>0</v>
      </c>
      <c r="BP325" s="42" t="str" cm="1">
        <f t="array" ref="BP325">_xlfn.IFS(BJ325="NA","NA",BJ325&gt;100%,"100%",BJ325&lt;100,BJ325)</f>
        <v>NA</v>
      </c>
      <c r="BQ325" s="45">
        <v>0.22500000000000001</v>
      </c>
      <c r="BR325" s="43">
        <f t="shared" si="471"/>
        <v>2.7000000000000003E-2</v>
      </c>
      <c r="BS325" s="45">
        <v>1.4999999999999999E-2</v>
      </c>
      <c r="BT325" s="45">
        <v>1.2E-2</v>
      </c>
      <c r="BU325" s="45">
        <v>1.2E-2</v>
      </c>
      <c r="BV325" s="43">
        <f t="shared" ref="BV325:BV327" si="548">(AD325*BQ325)/Q325</f>
        <v>6.0000000000000005E-2</v>
      </c>
      <c r="BW325" s="43">
        <f t="shared" si="472"/>
        <v>1.5000000000000001E-2</v>
      </c>
      <c r="BX325" s="43">
        <f t="shared" si="473"/>
        <v>1.5000000000000003E-2</v>
      </c>
      <c r="BY325" s="43">
        <f t="shared" ref="BY325:BY327" si="549">(AL325*BQ325)/Q325</f>
        <v>7.4999999999999997E-2</v>
      </c>
      <c r="BZ325" s="43">
        <f t="shared" ref="BZ325:BZ327" si="550">IF(BN325="NA","NA",BN325*BY325)</f>
        <v>0</v>
      </c>
      <c r="CA325" s="43">
        <f t="shared" si="474"/>
        <v>0</v>
      </c>
      <c r="CB325" s="43">
        <f t="shared" ref="CB325:CB327" si="551">(AN325*BQ325)/Q325</f>
        <v>7.4999999999999997E-2</v>
      </c>
      <c r="CC325" s="43">
        <f t="shared" ref="CC325:CC327" si="552">IF(BO325="NA","NA",BO325*CB325)</f>
        <v>0</v>
      </c>
      <c r="CD325" s="45">
        <v>0</v>
      </c>
      <c r="CE325" s="43">
        <f t="shared" ref="CE325:CE327" si="553">(AP325*BQ325)/Q325</f>
        <v>0</v>
      </c>
      <c r="CF325" s="43" t="str">
        <f t="shared" ref="CF325:CF327" si="554">IF(BP325="NA","NA",BP325*CE325)</f>
        <v>NA</v>
      </c>
      <c r="CG325" s="45">
        <v>0</v>
      </c>
    </row>
    <row r="326" spans="1:90" ht="18" customHeight="1">
      <c r="A326" s="260" t="s">
        <v>1996</v>
      </c>
      <c r="B326" s="260" t="s">
        <v>1997</v>
      </c>
      <c r="C326" s="260" t="s">
        <v>1828</v>
      </c>
      <c r="D326" s="260" t="s">
        <v>1988</v>
      </c>
      <c r="E326" s="260" t="s">
        <v>2034</v>
      </c>
      <c r="F326" s="260" t="s">
        <v>2035</v>
      </c>
      <c r="G326" s="260" t="s">
        <v>2036</v>
      </c>
      <c r="H326" s="260" t="s">
        <v>2048</v>
      </c>
      <c r="I326" s="260"/>
      <c r="J326" s="260"/>
      <c r="K326" s="260" t="s">
        <v>2049</v>
      </c>
      <c r="L326" s="260" t="s">
        <v>2050</v>
      </c>
      <c r="M326" s="260" t="s">
        <v>2051</v>
      </c>
      <c r="N326" s="260" t="s">
        <v>111</v>
      </c>
      <c r="O326" s="260" t="s">
        <v>112</v>
      </c>
      <c r="P326" s="10">
        <v>1</v>
      </c>
      <c r="Q326" s="11">
        <v>3</v>
      </c>
      <c r="R326" s="9">
        <f t="shared" si="541"/>
        <v>0.9</v>
      </c>
      <c r="S326" s="11" t="str">
        <f>VLOOKUP(K326,'1152 UAEGRD'!$K$13:$AK$21,9,0)</f>
        <v>Se logro dar cumplimiento a la creación e implementación del Centro de Información y Telecomunicaciones de la UAEGRD con el fin de integrar las acciones requeridas para atender las emergencias y realizar los respectivos reportes que permiten la formulación de acciones para la mitigación del riesgo como acción y funcion del sistema de información de gestión del riesgo y de alertas tempranas. Consolidación de base de información que permitirá identificar las provincias y municipios con mayor frecuencia de riesgo con el fin de llevar a cabo la identificación de las alertas tempranas implementadas y articular la creación del modulo con base en la priorización de las alertas identificadas  por la unidad nacional.</v>
      </c>
      <c r="T326" s="11">
        <v>0</v>
      </c>
      <c r="U326" s="11">
        <v>0</v>
      </c>
      <c r="V326" s="11">
        <v>0</v>
      </c>
      <c r="W326" s="11">
        <v>0</v>
      </c>
      <c r="X326" s="11">
        <v>0</v>
      </c>
      <c r="Y326" s="11">
        <v>0</v>
      </c>
      <c r="Z326" s="11">
        <v>0</v>
      </c>
      <c r="AA326" s="11"/>
      <c r="AB326" s="11"/>
      <c r="AC326" s="11"/>
      <c r="AD326" s="11">
        <v>1</v>
      </c>
      <c r="AE326" s="11">
        <v>0</v>
      </c>
      <c r="AF326" s="11">
        <f>VLOOKUP(K326,'1152 UAEGRD'!$K$13:$AK$21,22,0)</f>
        <v>0.9</v>
      </c>
      <c r="AG326" s="11">
        <f>VLOOKUP(K326,'1152 UAEGRD'!$K$13:$AK$21,23,0)</f>
        <v>0</v>
      </c>
      <c r="AH326" s="9">
        <f t="shared" si="542"/>
        <v>0.9</v>
      </c>
      <c r="AI326" s="9" t="str">
        <f>VLOOKUP(K326,'1152 UAEGRD'!$K$13:$AK$21,25,0)</f>
        <v xml:space="preserve">Se realizo la asistencia técnica a los municipios que reportaron emergencias y/o desastres mediante CITEL, se llevó a cabo la consolidación del boletín mensual de octubre y la consolidación anual  con el fin de contar con las bases de información que serán insumo para la creación de un modulo que permita reportar información en tiempo real. 
Se lleva a cabo la consolidación de informe anual con corte al mes de noviembre, ejecutando de esta manera las acciones del proyecto de CITEL como funcionalidad del sistema de alertas tempranas. </v>
      </c>
      <c r="AJ326" s="9" t="str">
        <f>VLOOKUP(K326,'1152 UAEGRD'!$K$13:$AK$21,26,0)</f>
        <v>Consolidación de base de información que permitirá identificar las provincias y municipios con mayor frecuencia de riesgo y consolidación de la información de emergencias naturales y antrópicas del departamento, formulación de boletines semanales y mensuales frente a emergencias para la creación e base de datos de información para el modulo SAGA.
Se logro dar cumplimiento a la creación e implementación del Centro de Información y Telecomunicaciones de la UAEGRD con el fin de integrar las acciones requeridas para atender las emergencias y realizar los respectivos reportes que permiten la formulación de acciones para la mitigación del riesgo.</v>
      </c>
      <c r="AK326" s="9" t="str">
        <f>VLOOKUP(K326,'1152 UAEGRD'!$K$13:$AK$21,27,0)</f>
        <v>Pese a los requerimientos realizados a la Secretaría de Tics, a la fecha no se ha logrado concretar plan de trabajo para definir las acciones requeridas para la nueva funcionalidad del sistema de SAGA</v>
      </c>
      <c r="AL326" s="11">
        <v>1</v>
      </c>
      <c r="AM326" s="11">
        <v>0</v>
      </c>
      <c r="AN326" s="11">
        <v>1</v>
      </c>
      <c r="AO326" s="11">
        <v>0</v>
      </c>
      <c r="AP326" s="11">
        <v>0</v>
      </c>
      <c r="AQ326" s="11">
        <v>0</v>
      </c>
      <c r="AR326" s="52"/>
      <c r="AS326" s="54">
        <v>0</v>
      </c>
      <c r="AT326" s="54">
        <f t="shared" si="469"/>
        <v>0</v>
      </c>
      <c r="AU326" s="52"/>
      <c r="AV326" s="89">
        <v>441000000</v>
      </c>
      <c r="AY326" s="89">
        <v>27313768</v>
      </c>
      <c r="AZ326" s="42">
        <f t="shared" si="543"/>
        <v>0.3</v>
      </c>
      <c r="BA326" s="44">
        <v>0</v>
      </c>
      <c r="BB326" s="44" t="s">
        <v>115</v>
      </c>
      <c r="BC326" s="42">
        <f t="shared" si="544"/>
        <v>0.33333333333333331</v>
      </c>
      <c r="BD326" s="42" cm="1">
        <f t="array" ref="BD326">_xlfn.IFS(AD326=0,"NA",AD326&gt;0,AH326/AD326)</f>
        <v>0.9</v>
      </c>
      <c r="BE326" s="42">
        <f t="shared" si="545"/>
        <v>0.33333333333333331</v>
      </c>
      <c r="BF326" s="44">
        <v>0</v>
      </c>
      <c r="BG326" s="42">
        <f t="shared" si="546"/>
        <v>0.33333333333333331</v>
      </c>
      <c r="BH326" s="44">
        <v>0</v>
      </c>
      <c r="BI326" s="42">
        <f t="shared" si="547"/>
        <v>0</v>
      </c>
      <c r="BJ326" s="44" t="s">
        <v>115</v>
      </c>
      <c r="BK326" s="42">
        <f t="shared" si="470"/>
        <v>0.3</v>
      </c>
      <c r="BL326" s="44" t="s">
        <v>115</v>
      </c>
      <c r="BM326" s="42" cm="1">
        <f t="array" ref="BM326">_xlfn.IFS(BD326="NA","NA",BD326&gt;100%,"100%",BD326&lt;100,BD326)</f>
        <v>0.9</v>
      </c>
      <c r="BN326" s="42" cm="1">
        <f t="array" ref="BN326">_xlfn.IFS(BF326="NA","NA",BF326&gt;100%,"100%",BF326&lt;100,BF326)</f>
        <v>0</v>
      </c>
      <c r="BO326" s="42" cm="1">
        <f t="array" ref="BO326">_xlfn.IFS(BH326="NA","NA",BH326&gt;100%,"100%",BH326&lt;100,BH326)</f>
        <v>0</v>
      </c>
      <c r="BP326" s="42" t="str" cm="1">
        <f t="array" ref="BP326">_xlfn.IFS(BJ326="NA","NA",BJ326&gt;100%,"100%",BJ326&lt;100,BJ326)</f>
        <v>NA</v>
      </c>
      <c r="BQ326" s="45">
        <v>0.22500000000000001</v>
      </c>
      <c r="BR326" s="43">
        <f t="shared" si="471"/>
        <v>6.7500000000000004E-2</v>
      </c>
      <c r="BS326" s="45">
        <v>0</v>
      </c>
      <c r="BT326" s="45" t="s">
        <v>115</v>
      </c>
      <c r="BU326" s="45">
        <v>0</v>
      </c>
      <c r="BV326" s="43">
        <f t="shared" si="548"/>
        <v>7.4999999999999997E-2</v>
      </c>
      <c r="BW326" s="43">
        <f t="shared" si="472"/>
        <v>6.7500000000000004E-2</v>
      </c>
      <c r="BX326" s="43">
        <f t="shared" si="473"/>
        <v>6.7500000000000004E-2</v>
      </c>
      <c r="BY326" s="43">
        <f t="shared" si="549"/>
        <v>7.4999999999999997E-2</v>
      </c>
      <c r="BZ326" s="43">
        <f t="shared" si="550"/>
        <v>0</v>
      </c>
      <c r="CA326" s="43">
        <f t="shared" si="474"/>
        <v>0</v>
      </c>
      <c r="CB326" s="43">
        <f t="shared" si="551"/>
        <v>7.4999999999999997E-2</v>
      </c>
      <c r="CC326" s="43">
        <f t="shared" si="552"/>
        <v>0</v>
      </c>
      <c r="CD326" s="45">
        <v>0</v>
      </c>
      <c r="CE326" s="43">
        <f t="shared" si="553"/>
        <v>0</v>
      </c>
      <c r="CF326" s="43" t="str">
        <f t="shared" si="554"/>
        <v>NA</v>
      </c>
      <c r="CG326" s="45">
        <v>0</v>
      </c>
    </row>
    <row r="327" spans="1:90" ht="18" customHeight="1">
      <c r="A327" s="260" t="s">
        <v>1996</v>
      </c>
      <c r="B327" s="260" t="s">
        <v>1997</v>
      </c>
      <c r="C327" s="260" t="s">
        <v>1828</v>
      </c>
      <c r="D327" s="260" t="s">
        <v>1988</v>
      </c>
      <c r="E327" s="260" t="s">
        <v>2034</v>
      </c>
      <c r="F327" s="260" t="s">
        <v>2035</v>
      </c>
      <c r="G327" s="260" t="s">
        <v>2036</v>
      </c>
      <c r="H327" s="260" t="s">
        <v>2052</v>
      </c>
      <c r="I327" s="260"/>
      <c r="J327" s="260"/>
      <c r="K327" s="260" t="s">
        <v>2053</v>
      </c>
      <c r="L327" s="260" t="s">
        <v>2054</v>
      </c>
      <c r="M327" s="260" t="s">
        <v>2055</v>
      </c>
      <c r="N327" s="260" t="s">
        <v>111</v>
      </c>
      <c r="O327" s="260" t="s">
        <v>112</v>
      </c>
      <c r="P327" s="10">
        <v>0</v>
      </c>
      <c r="Q327" s="11">
        <v>1</v>
      </c>
      <c r="R327" s="9">
        <f t="shared" si="541"/>
        <v>0.4</v>
      </c>
      <c r="S327" s="11" t="str">
        <f>VLOOKUP(K327,'1152 UAEGRD'!$K$13:$AK$21,9,0)</f>
        <v>ESBOCUN cuenta a la fecha con licencia de funcionamiento y se le otorgo el registro de los programas de formación laboral, cuenta también con aprobación dos carreras técnicas, cursos libres y diplomados todo incluyentes en el tema de gestión del riesgo, se ha ejecutado proceso de capacitación de técnico con las unidades de bomberos Tabio, personal invitado PONALSAR, ejército nacional y bomberos de otras instituciones. Se vienen realizando mesas de trabajo para el  acompañamiento al municipio de acuerdo con las necesidades requeridas para el proceso de adquisición del predio y posteriormente estudios de diseño donde se llevaría a cabo la construcción.</v>
      </c>
      <c r="T327" s="11">
        <v>0</v>
      </c>
      <c r="U327" s="11">
        <v>0</v>
      </c>
      <c r="V327" s="11">
        <v>0</v>
      </c>
      <c r="W327" s="11">
        <v>0</v>
      </c>
      <c r="X327" s="11">
        <v>0</v>
      </c>
      <c r="Y327" s="11">
        <v>0</v>
      </c>
      <c r="Z327" s="11">
        <v>0</v>
      </c>
      <c r="AA327" s="11"/>
      <c r="AB327" s="11"/>
      <c r="AC327" s="11"/>
      <c r="AD327" s="11">
        <v>0.5</v>
      </c>
      <c r="AE327" s="11">
        <v>0</v>
      </c>
      <c r="AF327" s="11">
        <f>VLOOKUP(K327,'1152 UAEGRD'!$K$13:$AK$21,22,0)</f>
        <v>0.4</v>
      </c>
      <c r="AG327" s="11">
        <f>VLOOKUP(K327,'1152 UAEGRD'!$K$13:$AK$21,23,0)</f>
        <v>0</v>
      </c>
      <c r="AH327" s="9">
        <f t="shared" si="542"/>
        <v>0.4</v>
      </c>
      <c r="AI327" s="9" t="str">
        <f>VLOOKUP(K327,'1152 UAEGRD'!$K$13:$AK$21,25,0)</f>
        <v>* Se llevó cabo la operación de donación para pistas de entrenamiento para rescate en alturas, rescate en espacios confinados y rescate industrial. 
* los equipos de entrenamiento donados estan en el orden de los Cuatrocientos Setenta Millones de pesos ($470.000.000)
* los costos de desmonte, transporte, re-instalación y mantenimiento y pintura esta estimado en Cien Millones de Pesos ($100.000.000)
* Se logro contar con la licencia de funcionamiento a la Institución de Educación Para El Trabajo y El Desarrollo Humano a La Escuela De Bomberos De Cundinamarca “ESBOCUN” Del Municipio De Tabio – Cundinamarca
* Mediante Resolución número 103 se expidio la licencia de Subdivisión de un predio ubicado en la zona rural del municipio de Tabio expedida por la secretaria de planeación.
* Mediante resolución 003738  se otorgo el registro de los programas de FORMACION LABORAL a la Institución de Educación para el Trabajo y el Desarrollo Humano a la ESCUELA DE BOMBEROS DE CUNDINAMARCA “ESBOCUN” del municipios de Tabio – Cundinamarca
* Aprobación dos carreras técnicas, cursos libres y diplomados todo incluyentes en el tema de gestión del riesgo.
*Actualmente se inició proceso de capacitación de técnico con las unidades de bomberos Tabio, personal invitado ponalsar, ejército nacional y bomberos de otras instituciones. Un total de 30 personas.
* mediante escritura publica No. 2.002 se cuenta con donación predio “Las Brisas”
* Mediante contrato con FONDECUN se formulo evento para la socialización y divulgación de la estrategia de la escuela de bomberos con todo el sistema departamental de bomberos el cuals e llevara a cabo en el mes de diciembre.</v>
      </c>
      <c r="AJ327" s="9" t="str">
        <f>VLOOKUP(K327,'1152 UAEGRD'!$K$13:$AK$21,26,0)</f>
        <v>ESBOCUN cuenta a la fecha con licencia de funcionamiento y se le otorgo el registro de los programas de formación laboral, cuenta también con aprobación dos carreras técnicas, cursos libres y diplomados todo incluyentes en el tema de gestión del riesgo y  a la fecha ya se inició proceso de capacitación de técnico con las unidades de bomberos Tabio, personal invitado ponalsar, ejército nacional y bomberos de otras instituciones para un total de 30 personas.</v>
      </c>
      <c r="AK327" s="9">
        <f>VLOOKUP(K327,'1152 UAEGRD'!$K$13:$AK$21,27,0)</f>
        <v>0</v>
      </c>
      <c r="AL327" s="11">
        <v>0.5</v>
      </c>
      <c r="AM327" s="11">
        <v>0</v>
      </c>
      <c r="AN327" s="11">
        <v>0</v>
      </c>
      <c r="AO327" s="11">
        <v>0</v>
      </c>
      <c r="AP327" s="11">
        <v>0</v>
      </c>
      <c r="AQ327" s="11">
        <v>0</v>
      </c>
      <c r="AR327" s="52"/>
      <c r="AS327" s="54">
        <v>75000000</v>
      </c>
      <c r="AT327" s="54">
        <f t="shared" si="469"/>
        <v>75000000</v>
      </c>
      <c r="AU327" s="52"/>
      <c r="AV327" s="89">
        <v>0</v>
      </c>
      <c r="AY327" s="89">
        <v>0</v>
      </c>
      <c r="AZ327" s="42">
        <f t="shared" si="543"/>
        <v>0.4</v>
      </c>
      <c r="BA327" s="44">
        <v>0</v>
      </c>
      <c r="BB327" s="44" t="s">
        <v>115</v>
      </c>
      <c r="BC327" s="42">
        <f t="shared" si="544"/>
        <v>0.5</v>
      </c>
      <c r="BD327" s="42" cm="1">
        <f t="array" ref="BD327">_xlfn.IFS(AD327=0,"NA",AD327&gt;0,AH327/AD327)</f>
        <v>0.8</v>
      </c>
      <c r="BE327" s="42">
        <f t="shared" si="545"/>
        <v>0.5</v>
      </c>
      <c r="BF327" s="44">
        <v>0</v>
      </c>
      <c r="BG327" s="42">
        <f t="shared" si="546"/>
        <v>0</v>
      </c>
      <c r="BH327" s="44" t="s">
        <v>115</v>
      </c>
      <c r="BI327" s="42">
        <f t="shared" si="547"/>
        <v>0</v>
      </c>
      <c r="BJ327" s="44" t="s">
        <v>115</v>
      </c>
      <c r="BK327" s="42">
        <f t="shared" si="470"/>
        <v>0.4</v>
      </c>
      <c r="BL327" s="44" t="s">
        <v>115</v>
      </c>
      <c r="BM327" s="42" cm="1">
        <f t="array" ref="BM327">_xlfn.IFS(BD327="NA","NA",BD327&gt;100%,"100%",BD327&lt;100,BD327)</f>
        <v>0.8</v>
      </c>
      <c r="BN327" s="42" cm="1">
        <f t="array" ref="BN327">_xlfn.IFS(BF327="NA","NA",BF327&gt;100%,"100%",BF327&lt;100,BF327)</f>
        <v>0</v>
      </c>
      <c r="BO327" s="42" t="str" cm="1">
        <f t="array" ref="BO327">_xlfn.IFS(BH327="NA","NA",BH327&gt;100%,"100%",BH327&lt;100,BH327)</f>
        <v>NA</v>
      </c>
      <c r="BP327" s="42" t="str" cm="1">
        <f t="array" ref="BP327">_xlfn.IFS(BJ327="NA","NA",BJ327&gt;100%,"100%",BJ327&lt;100,BJ327)</f>
        <v>NA</v>
      </c>
      <c r="BQ327" s="45">
        <v>0.22500000000000001</v>
      </c>
      <c r="BR327" s="43">
        <f t="shared" si="471"/>
        <v>9.0000000000000011E-2</v>
      </c>
      <c r="BS327" s="45">
        <v>0</v>
      </c>
      <c r="BT327" s="45" t="s">
        <v>115</v>
      </c>
      <c r="BU327" s="45">
        <v>0</v>
      </c>
      <c r="BV327" s="43">
        <f t="shared" si="548"/>
        <v>0.1125</v>
      </c>
      <c r="BW327" s="43">
        <f t="shared" si="472"/>
        <v>9.0000000000000011E-2</v>
      </c>
      <c r="BX327" s="43">
        <f t="shared" si="473"/>
        <v>9.0000000000000011E-2</v>
      </c>
      <c r="BY327" s="43">
        <f t="shared" si="549"/>
        <v>0.1125</v>
      </c>
      <c r="BZ327" s="43">
        <f t="shared" si="550"/>
        <v>0</v>
      </c>
      <c r="CA327" s="43">
        <f t="shared" si="474"/>
        <v>0</v>
      </c>
      <c r="CB327" s="43">
        <f t="shared" si="551"/>
        <v>0</v>
      </c>
      <c r="CC327" s="43" t="str">
        <f t="shared" si="552"/>
        <v>NA</v>
      </c>
      <c r="CD327" s="45">
        <v>0</v>
      </c>
      <c r="CE327" s="43">
        <f t="shared" si="553"/>
        <v>0</v>
      </c>
      <c r="CF327" s="43" t="str">
        <f t="shared" si="554"/>
        <v>NA</v>
      </c>
      <c r="CG327" s="45">
        <v>0</v>
      </c>
    </row>
    <row r="328" spans="1:90" ht="18" customHeight="1">
      <c r="A328" s="260" t="s">
        <v>1996</v>
      </c>
      <c r="B328" s="260" t="s">
        <v>1997</v>
      </c>
      <c r="C328" s="260" t="s">
        <v>1828</v>
      </c>
      <c r="D328" s="260" t="s">
        <v>1988</v>
      </c>
      <c r="E328" s="260" t="s">
        <v>2034</v>
      </c>
      <c r="F328" s="260" t="s">
        <v>2035</v>
      </c>
      <c r="G328" s="260" t="s">
        <v>2036</v>
      </c>
      <c r="H328" s="260" t="s">
        <v>2056</v>
      </c>
      <c r="I328" s="260"/>
      <c r="J328" s="260"/>
      <c r="K328" s="260" t="s">
        <v>2057</v>
      </c>
      <c r="L328" s="260" t="s">
        <v>2058</v>
      </c>
      <c r="M328" s="260" t="s">
        <v>122</v>
      </c>
      <c r="N328" s="260" t="s">
        <v>123</v>
      </c>
      <c r="O328" s="260" t="s">
        <v>124</v>
      </c>
      <c r="P328" s="10">
        <v>100</v>
      </c>
      <c r="Q328" s="11">
        <v>100</v>
      </c>
      <c r="R328" s="11">
        <f>(Z328+AH328)/CL328</f>
        <v>50</v>
      </c>
      <c r="S328" s="11" t="str">
        <f>VLOOKUP(K328,'1152 UAEGRD'!$K$13:$AK$21,9,0)</f>
        <v>Como consecuencia de eventos de ola invernal, incendio forestal y desabastecimiento de agua se han atendido un total de 90 ayudas humanitarias mediante la entrega de bonos de alimentos, mercados, insumos y herramientas como kit de cocina, kit de aseso, tanques de agua, colchonetas, colchas entre otros, ayudando a un total de 10.059 familias</v>
      </c>
      <c r="T328" s="11">
        <v>0</v>
      </c>
      <c r="U328" s="11">
        <v>100</v>
      </c>
      <c r="V328" s="11">
        <v>0</v>
      </c>
      <c r="W328" s="11">
        <v>100</v>
      </c>
      <c r="X328" s="11" t="s">
        <v>115</v>
      </c>
      <c r="Y328" s="11">
        <v>100</v>
      </c>
      <c r="Z328" s="11">
        <v>100</v>
      </c>
      <c r="AA328" s="11" t="s">
        <v>2059</v>
      </c>
      <c r="AB328" s="11" t="s">
        <v>2060</v>
      </c>
      <c r="AC328" s="11" t="s">
        <v>2061</v>
      </c>
      <c r="AD328" s="11">
        <v>0</v>
      </c>
      <c r="AE328" s="11">
        <v>100</v>
      </c>
      <c r="AF328" s="11">
        <f>VLOOKUP(K328,'1152 UAEGRD'!$K$13:$AK$21,22,0)</f>
        <v>0</v>
      </c>
      <c r="AG328" s="11">
        <f>VLOOKUP(K328,'1152 UAEGRD'!$K$13:$AK$21,23,0)</f>
        <v>100</v>
      </c>
      <c r="AH328" s="11">
        <f>AG328</f>
        <v>100</v>
      </c>
      <c r="AI328" s="9" t="str">
        <f>VLOOKUP(K328,'1152 UAEGRD'!$K$13:$AK$21,25,0)</f>
        <v>Se atendio la solicitud de ayuda humanitaria de los municipios de Girardot, La peña, Villeta, Nocaima, Guacheta, Fuquene, Tiribitá, Machetá, Puli, Bituima, El Rosal, Zipacón y Subachoque, dada la emergencia por la segunda temporada de lluevias  mediante la cual se vieron beneficiadas 811 familias a quienes se les entregaron 1.421 tejas de zinc, 8 tejas eternit, 44 tanques de agua de 500 litros, 500 kit de cocina, 556 kit de aseo, 831 kit de mercado, 258 colchonetas y 333 frazadas.</v>
      </c>
      <c r="AJ328" s="9" t="str">
        <f>VLOOKUP(K328,'1152 UAEGRD'!$K$13:$AK$21,26,0)</f>
        <v>Se han atendido durante la vigencia del año 78 solicitudes de ayudas humanitarias por parte de los municipios afectados por eventos de ola invernal, incendio forestal y desabastecimiento de agua, entre otros, lo cual ha permitido beneficiar mediante las ayudas a un total de 10.059 familias. Se ha fortalecido el conocimiento de los sistemas municipales para la gestión del riesgo frente a la ruta de emergencias y la atención a solicitudes de ayudas humanitarias mediante las capacitaciones que se brinda a la comunidad en los momentos en que se atiende la emergencia.</v>
      </c>
      <c r="AK328" s="9" t="str">
        <f>VLOOKUP(K328,'1152 UAEGRD'!$K$13:$AK$21,27,0)</f>
        <v>Se presenta incremento de emergencias y requerimientos de ayuda humanitaria como consecuencia de la primera y segunda ola invernal, temporada seca y otras emergencias y desastres de origen natural. Así mismo el Departamento se encuentra bajo alerta roja y varios municipios se enfrentan a la necesidad de declarar calamidad pública si las lluvias continuan en incremento.</v>
      </c>
      <c r="AL328" s="11">
        <v>0</v>
      </c>
      <c r="AM328" s="11">
        <v>100</v>
      </c>
      <c r="AN328" s="11">
        <v>0</v>
      </c>
      <c r="AO328" s="11">
        <v>100</v>
      </c>
      <c r="AP328" s="11">
        <v>0</v>
      </c>
      <c r="AQ328" s="11">
        <v>0</v>
      </c>
      <c r="AR328" s="51">
        <v>5998675521</v>
      </c>
      <c r="AS328" s="54">
        <v>0</v>
      </c>
      <c r="AT328" s="54">
        <f t="shared" si="469"/>
        <v>5998675521</v>
      </c>
      <c r="AU328" s="51">
        <v>3952072679</v>
      </c>
      <c r="AV328" s="89">
        <v>1833952714</v>
      </c>
      <c r="AY328" s="89">
        <v>610115220</v>
      </c>
      <c r="AZ328" s="44" cm="1">
        <f t="array" ref="AZ328">_xlfn.IFS((BA328=0),(BD328/CL328),(BA328&gt;0),((BB328+BD328)/CL328),(BE328&gt;0),((BB328+BD328+BE328)/CL328),(BG328&gt;0),((BB328+BD328+BE328+G328)/CL328))</f>
        <v>0.5</v>
      </c>
      <c r="BA328" s="44">
        <v>0.25</v>
      </c>
      <c r="BB328" s="44">
        <v>1</v>
      </c>
      <c r="BC328" s="44">
        <f>IF(AE328&gt;0,(1/CL328),0)</f>
        <v>0.25</v>
      </c>
      <c r="BD328" s="44" cm="1">
        <f t="array" ref="BD328">_xlfn.IFS(AE328=0,"NA",AE328&gt;0,AH328/AE328)</f>
        <v>1</v>
      </c>
      <c r="BE328" s="44">
        <f>IF(AM328&gt;0,(1/CL328),0)</f>
        <v>0.25</v>
      </c>
      <c r="BF328" s="44">
        <v>0</v>
      </c>
      <c r="BG328" s="44">
        <f>IF(AO328&gt;0,(1/CL328),0)</f>
        <v>0.25</v>
      </c>
      <c r="BH328" s="44">
        <v>0</v>
      </c>
      <c r="BI328" s="44">
        <v>0</v>
      </c>
      <c r="BJ328" s="44" t="s">
        <v>115</v>
      </c>
      <c r="BK328" s="44">
        <f t="shared" si="470"/>
        <v>0.5</v>
      </c>
      <c r="BL328" s="44">
        <v>1</v>
      </c>
      <c r="BM328" s="42" cm="1">
        <f t="array" ref="BM328">_xlfn.IFS(BD328="NA","NA",BD328&gt;100%,"100%",BD328&lt;100,BD328)</f>
        <v>1</v>
      </c>
      <c r="BN328" s="44">
        <v>0</v>
      </c>
      <c r="BO328" s="44">
        <v>0</v>
      </c>
      <c r="BP328" s="44" t="s">
        <v>115</v>
      </c>
      <c r="BQ328" s="45">
        <v>0.22500000000000001</v>
      </c>
      <c r="BR328" s="43">
        <f t="shared" si="471"/>
        <v>0.1125</v>
      </c>
      <c r="BS328" s="45">
        <v>5.6300000000000003E-2</v>
      </c>
      <c r="BT328" s="45">
        <v>5.6300000000000003E-2</v>
      </c>
      <c r="BU328" s="45">
        <v>5.6300000000000003E-2</v>
      </c>
      <c r="BV328" s="45">
        <v>5.6300000000000003E-2</v>
      </c>
      <c r="BW328" s="43">
        <f t="shared" si="472"/>
        <v>5.6300000000000003E-2</v>
      </c>
      <c r="BX328" s="43">
        <f t="shared" si="473"/>
        <v>5.62E-2</v>
      </c>
      <c r="BY328" s="45">
        <v>5.6300000000000003E-2</v>
      </c>
      <c r="BZ328" s="45">
        <v>0</v>
      </c>
      <c r="CA328" s="43">
        <f t="shared" si="474"/>
        <v>0</v>
      </c>
      <c r="CB328" s="45">
        <v>5.6300000000000003E-2</v>
      </c>
      <c r="CC328" s="45">
        <v>0</v>
      </c>
      <c r="CD328" s="45">
        <v>0</v>
      </c>
      <c r="CE328" s="45">
        <v>0</v>
      </c>
      <c r="CF328" s="45" t="s">
        <v>115</v>
      </c>
      <c r="CG328" s="45">
        <v>0</v>
      </c>
      <c r="CH328">
        <f>IF(W328&gt;0,1,0)</f>
        <v>1</v>
      </c>
      <c r="CI328">
        <f>IF(AE328&gt;0,1,0)</f>
        <v>1</v>
      </c>
      <c r="CJ328">
        <f>IF(AM328&gt;0,1,0)</f>
        <v>1</v>
      </c>
      <c r="CK328">
        <f>IF(AO328&gt;0,1,0)</f>
        <v>1</v>
      </c>
      <c r="CL328">
        <f>CH328+CI328+CJ328+CK328</f>
        <v>4</v>
      </c>
    </row>
    <row r="329" spans="1:90" ht="18" customHeight="1">
      <c r="A329" s="260" t="s">
        <v>1826</v>
      </c>
      <c r="B329" s="260" t="s">
        <v>1827</v>
      </c>
      <c r="C329" s="260" t="s">
        <v>1828</v>
      </c>
      <c r="D329" s="260" t="s">
        <v>2062</v>
      </c>
      <c r="E329" s="260" t="s">
        <v>2063</v>
      </c>
      <c r="F329" s="260" t="s">
        <v>2064</v>
      </c>
      <c r="G329" s="260" t="s">
        <v>2065</v>
      </c>
      <c r="H329" s="260" t="s">
        <v>2066</v>
      </c>
      <c r="I329" s="260"/>
      <c r="J329" s="260"/>
      <c r="K329" s="260" t="s">
        <v>2067</v>
      </c>
      <c r="L329" s="260" t="s">
        <v>2068</v>
      </c>
      <c r="M329" s="260" t="s">
        <v>2069</v>
      </c>
      <c r="N329" s="260" t="s">
        <v>111</v>
      </c>
      <c r="O329" s="260" t="s">
        <v>112</v>
      </c>
      <c r="P329" s="10">
        <v>2</v>
      </c>
      <c r="Q329" s="11">
        <v>3</v>
      </c>
      <c r="R329" s="9">
        <f t="shared" ref="R329:R363" si="555">Z329+AH329</f>
        <v>2.5</v>
      </c>
      <c r="S329" s="11" t="str">
        <f>VLOOKUP(K329,'1121 Ambiente'!$K$13:$AK$38,9,0)</f>
        <v xml:space="preserve">Se realizó asistencia técnica de 30 Empresas para apoyarse en la conformación de Negocios Verdes en asocio con CAEM, generando planes de acción y determinación de estrategias de Responsabilidad Ambiental.
La Dirección de ecosistemas lidera un proyecto de fincas sostenibles (estructura de recolección de aguas, electrobomba, siembra de  árboles y Ecomil) con el cual se espera beneficiar 6 fincas (cacao, café y panela) en los municipios de Villeta, Nilo y Arbeláez, de las cuales se han entregado 4 (Villeta y Nilo). 
</v>
      </c>
      <c r="T329" s="11">
        <v>0.5</v>
      </c>
      <c r="U329" s="11">
        <v>0</v>
      </c>
      <c r="V329" s="11">
        <v>0.5</v>
      </c>
      <c r="W329" s="11">
        <v>0</v>
      </c>
      <c r="X329" s="11">
        <v>0.5</v>
      </c>
      <c r="Y329" s="11">
        <v>0</v>
      </c>
      <c r="Z329" s="11">
        <v>0.5</v>
      </c>
      <c r="AA329" s="11">
        <v>0</v>
      </c>
      <c r="AB329" s="11" t="s">
        <v>2070</v>
      </c>
      <c r="AC329" s="11">
        <v>0</v>
      </c>
      <c r="AD329" s="11">
        <v>1.5</v>
      </c>
      <c r="AE329" s="11">
        <v>0</v>
      </c>
      <c r="AF329" s="11">
        <f>VLOOKUP(K329,'1121 Ambiente'!$K$13:$AK$38,22,0)</f>
        <v>2</v>
      </c>
      <c r="AG329" s="11">
        <f>VLOOKUP(K329,'1121 Ambiente'!$K$13:$AK$38,23,0)</f>
        <v>0</v>
      </c>
      <c r="AH329" s="9">
        <f t="shared" ref="AH329:AH363" si="556">AF329</f>
        <v>2</v>
      </c>
      <c r="AI329" s="9" t="str">
        <f>VLOOKUP(K329,'1121 Ambiente'!$K$13:$AK$38,25,0)</f>
        <v>Implementación de 2 sistemas de producción sostenible</v>
      </c>
      <c r="AJ329" s="9" t="str">
        <f>VLOOKUP(K329,'1121 Ambiente'!$K$13:$AK$38,26,0)</f>
        <v>- Constitución del Nodo Departamental de Negocios Verdes. Decreto 133 de 2021 
 - Definición de 30 Negocios verdes. 
- Asistencia técnica de 30 Empresas para apoyarse en la conformación de Negocios Verdes que desarrolla la Secretaria del Ambiente en asocio con CAEM</v>
      </c>
      <c r="AK329" s="9" t="str">
        <f>VLOOKUP(K329,'1121 Ambiente'!$K$13:$AK$38,27,0)</f>
        <v>Se han tenido que postergar visitas de campo, debido a los temas de salud pública y las manifestaciones de ordén público</v>
      </c>
      <c r="AL329" s="11">
        <v>1</v>
      </c>
      <c r="AM329" s="11">
        <v>0</v>
      </c>
      <c r="AN329" s="11">
        <v>0</v>
      </c>
      <c r="AO329" s="11">
        <v>0</v>
      </c>
      <c r="AP329" s="11">
        <v>0</v>
      </c>
      <c r="AQ329" s="11">
        <v>0</v>
      </c>
      <c r="AR329" s="51">
        <v>104900000</v>
      </c>
      <c r="AS329" s="54">
        <v>0</v>
      </c>
      <c r="AT329" s="54">
        <f t="shared" si="469"/>
        <v>104900000</v>
      </c>
      <c r="AU329" s="51">
        <v>99093000</v>
      </c>
      <c r="AV329" s="89">
        <v>70000000</v>
      </c>
      <c r="AY329" s="89">
        <v>0</v>
      </c>
      <c r="AZ329" s="42">
        <f t="shared" ref="AZ329:AZ363" si="557">R329/Q329</f>
        <v>0.83333333333333337</v>
      </c>
      <c r="BA329" s="44">
        <v>0.16669999999999999</v>
      </c>
      <c r="BB329" s="44">
        <v>1</v>
      </c>
      <c r="BC329" s="42">
        <f t="shared" ref="BC329:BC363" si="558">AD329/Q329</f>
        <v>0.5</v>
      </c>
      <c r="BD329" s="42" cm="1">
        <f t="array" ref="BD329">_xlfn.IFS(AD329=0,"NA",AD329&gt;0,AH329/AD329)</f>
        <v>1.3333333333333333</v>
      </c>
      <c r="BE329" s="42">
        <f t="shared" ref="BE329:BE363" si="559">AL329/Q329</f>
        <v>0.33333333333333331</v>
      </c>
      <c r="BF329" s="44">
        <v>0</v>
      </c>
      <c r="BG329" s="42">
        <f t="shared" ref="BG329:BG363" si="560">AN329/Q329</f>
        <v>0</v>
      </c>
      <c r="BH329" s="44" t="s">
        <v>115</v>
      </c>
      <c r="BI329" s="42">
        <f t="shared" ref="BI329:BI363" si="561">AP329/Q329</f>
        <v>0</v>
      </c>
      <c r="BJ329" s="44" t="s">
        <v>115</v>
      </c>
      <c r="BK329" s="42">
        <f t="shared" si="470"/>
        <v>0.83333333333333337</v>
      </c>
      <c r="BL329" s="44">
        <v>1</v>
      </c>
      <c r="BM329" s="42" t="str" cm="1">
        <f t="array" ref="BM329">_xlfn.IFS(BD329="NA","NA",BD329&gt;100%,"100%",BD329&lt;100,BD329)</f>
        <v>100%</v>
      </c>
      <c r="BN329" s="42" cm="1">
        <f t="array" ref="BN329">_xlfn.IFS(BF329="NA","NA",BF329&gt;100%,"100%",BF329&lt;100,BF329)</f>
        <v>0</v>
      </c>
      <c r="BO329" s="42" t="str" cm="1">
        <f t="array" ref="BO329">_xlfn.IFS(BH329="NA","NA",BH329&gt;100%,"100%",BH329&lt;100,BH329)</f>
        <v>NA</v>
      </c>
      <c r="BP329" s="42" t="str" cm="1">
        <f t="array" ref="BP329">_xlfn.IFS(BJ329="NA","NA",BJ329&gt;100%,"100%",BJ329&lt;100,BJ329)</f>
        <v>NA</v>
      </c>
      <c r="BQ329" s="45">
        <v>0.22500000000000001</v>
      </c>
      <c r="BR329" s="43">
        <f t="shared" si="471"/>
        <v>0.1875</v>
      </c>
      <c r="BS329" s="45">
        <v>3.7499999999999999E-2</v>
      </c>
      <c r="BT329" s="45">
        <v>3.7499999999999999E-2</v>
      </c>
      <c r="BU329" s="45">
        <v>3.7499999999999999E-2</v>
      </c>
      <c r="BV329" s="43">
        <f t="shared" ref="BV329:BV363" si="562">(AD329*BQ329)/Q329</f>
        <v>0.1125</v>
      </c>
      <c r="BW329" s="43">
        <f t="shared" si="472"/>
        <v>0.1125</v>
      </c>
      <c r="BX329" s="43">
        <f t="shared" si="473"/>
        <v>0.15</v>
      </c>
      <c r="BY329" s="43">
        <f t="shared" ref="BY329:BY363" si="563">(AL329*BQ329)/Q329</f>
        <v>7.4999999999999997E-2</v>
      </c>
      <c r="BZ329" s="43">
        <f t="shared" ref="BZ329:BZ363" si="564">IF(BN329="NA","NA",BN329*BY329)</f>
        <v>0</v>
      </c>
      <c r="CA329" s="43">
        <f t="shared" si="474"/>
        <v>0</v>
      </c>
      <c r="CB329" s="43">
        <f t="shared" ref="CB329:CB363" si="565">(AN329*BQ329)/Q329</f>
        <v>0</v>
      </c>
      <c r="CC329" s="43" t="str">
        <f t="shared" ref="CC329:CC363" si="566">IF(BO329="NA","NA",BO329*CB329)</f>
        <v>NA</v>
      </c>
      <c r="CD329" s="45">
        <v>0</v>
      </c>
      <c r="CE329" s="43">
        <f t="shared" ref="CE329:CE363" si="567">(AP329*BQ329)/Q329</f>
        <v>0</v>
      </c>
      <c r="CF329" s="43" t="str">
        <f t="shared" ref="CF329:CF363" si="568">IF(BP329="NA","NA",BP329*CE329)</f>
        <v>NA</v>
      </c>
      <c r="CG329" s="45">
        <v>0</v>
      </c>
    </row>
    <row r="330" spans="1:90" ht="18" customHeight="1">
      <c r="A330" s="260" t="s">
        <v>1826</v>
      </c>
      <c r="B330" s="260" t="s">
        <v>1827</v>
      </c>
      <c r="C330" s="260" t="s">
        <v>1828</v>
      </c>
      <c r="D330" s="260" t="s">
        <v>2062</v>
      </c>
      <c r="E330" s="260" t="s">
        <v>2063</v>
      </c>
      <c r="F330" s="260" t="s">
        <v>2064</v>
      </c>
      <c r="G330" s="260" t="s">
        <v>2065</v>
      </c>
      <c r="H330" s="260" t="s">
        <v>2071</v>
      </c>
      <c r="I330" s="260"/>
      <c r="J330" s="260"/>
      <c r="K330" s="260" t="s">
        <v>2072</v>
      </c>
      <c r="L330" s="260" t="s">
        <v>2073</v>
      </c>
      <c r="M330" s="260" t="s">
        <v>2074</v>
      </c>
      <c r="N330" s="260" t="s">
        <v>111</v>
      </c>
      <c r="O330" s="260" t="s">
        <v>112</v>
      </c>
      <c r="P330" s="10">
        <v>0</v>
      </c>
      <c r="Q330" s="11">
        <v>1</v>
      </c>
      <c r="R330" s="9">
        <f t="shared" si="555"/>
        <v>1</v>
      </c>
      <c r="S330" s="11" t="str">
        <f>VLOOKUP(K330,'1121 Ambiente'!$K$13:$AK$38,9,0)</f>
        <v xml:space="preserve">Se realizó reporte de autodiagnósticos ambientales para la  promoción de la responsabilidad  ambientales empresarial y entrega de resultados de implementación de las  estrategias de responsabilidad ambiental  empresarial en las 30 empresas  seleccionadas: Estrategia Construida/diagnostico situacional de la Estrategia (Sutatausa, Quetame, Gachancipá, Cota, Puerto Salgar, Madrid, Subachoque, Cucunubá, la Palma, la Peña, Cajicá, Agua de Dios, Tenjo, Funza, Mosquera, Suesca y Cogua en temas de Responsabilidad Ambiental Empresarial.
</v>
      </c>
      <c r="T330" s="11">
        <v>0.2</v>
      </c>
      <c r="U330" s="11">
        <v>0</v>
      </c>
      <c r="V330" s="11">
        <v>0.2</v>
      </c>
      <c r="W330" s="11">
        <v>0</v>
      </c>
      <c r="X330" s="11">
        <v>0.2</v>
      </c>
      <c r="Y330" s="11">
        <v>0</v>
      </c>
      <c r="Z330" s="11">
        <v>0.2</v>
      </c>
      <c r="AA330" s="11">
        <v>0</v>
      </c>
      <c r="AB330" s="11" t="s">
        <v>2075</v>
      </c>
      <c r="AC330" s="11">
        <v>0</v>
      </c>
      <c r="AD330" s="11">
        <v>0.8</v>
      </c>
      <c r="AE330" s="11">
        <v>0</v>
      </c>
      <c r="AF330" s="11">
        <f>VLOOKUP(K330,'1121 Ambiente'!$K$13:$AK$38,22,0)</f>
        <v>0.8</v>
      </c>
      <c r="AG330" s="11">
        <f>VLOOKUP(K330,'1121 Ambiente'!$K$13:$AK$38,23,0)</f>
        <v>0</v>
      </c>
      <c r="AH330" s="9">
        <f t="shared" si="556"/>
        <v>0.8</v>
      </c>
      <c r="AI330" s="9" t="str">
        <f>VLOOKUP(K330,'1121 Ambiente'!$K$13:$AK$38,25,0)</f>
        <v>Estrategia de Responsabilidad Ambiental articulada</v>
      </c>
      <c r="AJ330" s="9" t="str">
        <f>VLOOKUP(K330,'1121 Ambiente'!$K$13:$AK$38,26,0)</f>
        <v>Definición de 30 Negocios verdes y asistencia técnica a 30 empresas (diagnostico empresarial y Formulación de un Plan Asistencial) a través del convenio 070-2020 con CAEM: Estrategia Construida/diagnostico situacional de la Estrategia (Sutatausa, Quetame, Gachancipá, Cota, Puerto Salgar, Madrid, Subachoque, Cucunubá, la Palma, la Peña, Cajicá, Agua de Dios, Tenjo, Funza, Mosquera, Suesca y Cogua) en temas de Responsabilidad Ambiental Empresarial.</v>
      </c>
      <c r="AK330" s="9" t="str">
        <f>VLOOKUP(K330,'1121 Ambiente'!$K$13:$AK$38,27,0)</f>
        <v>Se han presentado retrasos y demoras en el avance de actividades debido a los problemas de orden público y salud pública</v>
      </c>
      <c r="AL330" s="11">
        <v>0</v>
      </c>
      <c r="AM330" s="11">
        <v>0</v>
      </c>
      <c r="AN330" s="11">
        <v>0</v>
      </c>
      <c r="AO330" s="11">
        <v>0</v>
      </c>
      <c r="AP330" s="11">
        <v>0</v>
      </c>
      <c r="AQ330" s="11">
        <v>0</v>
      </c>
      <c r="AR330" s="51">
        <v>80000000</v>
      </c>
      <c r="AS330" s="54">
        <v>0</v>
      </c>
      <c r="AT330" s="54">
        <f t="shared" si="469"/>
        <v>80000000</v>
      </c>
      <c r="AU330" s="51">
        <v>71649700</v>
      </c>
      <c r="AV330" s="89">
        <v>350000000</v>
      </c>
      <c r="AY330" s="89">
        <v>80815000</v>
      </c>
      <c r="AZ330" s="42">
        <f t="shared" si="557"/>
        <v>1</v>
      </c>
      <c r="BA330" s="44">
        <v>0.2</v>
      </c>
      <c r="BB330" s="44">
        <v>1</v>
      </c>
      <c r="BC330" s="42">
        <f t="shared" si="558"/>
        <v>0.8</v>
      </c>
      <c r="BD330" s="42" cm="1">
        <f t="array" ref="BD330">_xlfn.IFS(AD330=0,"NA",AD330&gt;0,AH330/AD330)</f>
        <v>1</v>
      </c>
      <c r="BE330" s="42">
        <f t="shared" si="559"/>
        <v>0</v>
      </c>
      <c r="BF330" s="44" t="s">
        <v>115</v>
      </c>
      <c r="BG330" s="42">
        <f t="shared" si="560"/>
        <v>0</v>
      </c>
      <c r="BH330" s="44" t="s">
        <v>115</v>
      </c>
      <c r="BI330" s="42">
        <f t="shared" si="561"/>
        <v>0</v>
      </c>
      <c r="BJ330" s="44" t="s">
        <v>115</v>
      </c>
      <c r="BK330" s="42">
        <f t="shared" si="470"/>
        <v>1</v>
      </c>
      <c r="BL330" s="44">
        <v>1</v>
      </c>
      <c r="BM330" s="42" cm="1">
        <f t="array" ref="BM330">_xlfn.IFS(BD330="NA","NA",BD330&gt;100%,"100%",BD330&lt;100,BD330)</f>
        <v>1</v>
      </c>
      <c r="BN330" s="42" t="str" cm="1">
        <f t="array" ref="BN330">_xlfn.IFS(BF330="NA","NA",BF330&gt;100%,"100%",BF330&lt;100,BF330)</f>
        <v>NA</v>
      </c>
      <c r="BO330" s="42" t="str" cm="1">
        <f t="array" ref="BO330">_xlfn.IFS(BH330="NA","NA",BH330&gt;100%,"100%",BH330&lt;100,BH330)</f>
        <v>NA</v>
      </c>
      <c r="BP330" s="42" t="str" cm="1">
        <f t="array" ref="BP330">_xlfn.IFS(BJ330="NA","NA",BJ330&gt;100%,"100%",BJ330&lt;100,BJ330)</f>
        <v>NA</v>
      </c>
      <c r="BQ330" s="45">
        <v>0.22500000000000001</v>
      </c>
      <c r="BR330" s="43">
        <f t="shared" si="471"/>
        <v>0.22500000000000001</v>
      </c>
      <c r="BS330" s="45">
        <v>4.4999999999999998E-2</v>
      </c>
      <c r="BT330" s="45">
        <v>4.4999999999999998E-2</v>
      </c>
      <c r="BU330" s="45">
        <v>4.4999999999999998E-2</v>
      </c>
      <c r="BV330" s="43">
        <f t="shared" si="562"/>
        <v>0.18000000000000002</v>
      </c>
      <c r="BW330" s="43">
        <f t="shared" si="472"/>
        <v>0.18000000000000002</v>
      </c>
      <c r="BX330" s="43">
        <f t="shared" si="473"/>
        <v>0.18</v>
      </c>
      <c r="BY330" s="43">
        <f t="shared" si="563"/>
        <v>0</v>
      </c>
      <c r="BZ330" s="43" t="str">
        <f t="shared" si="564"/>
        <v>NA</v>
      </c>
      <c r="CA330" s="43">
        <f t="shared" si="474"/>
        <v>0</v>
      </c>
      <c r="CB330" s="43">
        <f t="shared" si="565"/>
        <v>0</v>
      </c>
      <c r="CC330" s="43" t="str">
        <f t="shared" si="566"/>
        <v>NA</v>
      </c>
      <c r="CD330" s="45">
        <v>0</v>
      </c>
      <c r="CE330" s="43">
        <f t="shared" si="567"/>
        <v>0</v>
      </c>
      <c r="CF330" s="43" t="str">
        <f t="shared" si="568"/>
        <v>NA</v>
      </c>
      <c r="CG330" s="45">
        <v>0</v>
      </c>
    </row>
    <row r="331" spans="1:90" ht="18" customHeight="1">
      <c r="A331" s="260" t="s">
        <v>1310</v>
      </c>
      <c r="B331" s="260" t="s">
        <v>1311</v>
      </c>
      <c r="C331" s="260" t="s">
        <v>1828</v>
      </c>
      <c r="D331" s="260" t="s">
        <v>2062</v>
      </c>
      <c r="E331" s="260" t="s">
        <v>2063</v>
      </c>
      <c r="F331" s="260" t="s">
        <v>2064</v>
      </c>
      <c r="G331" s="260" t="s">
        <v>2065</v>
      </c>
      <c r="H331" s="260" t="s">
        <v>2076</v>
      </c>
      <c r="I331" s="260"/>
      <c r="J331" s="260"/>
      <c r="K331" s="260" t="s">
        <v>2077</v>
      </c>
      <c r="L331" s="260" t="s">
        <v>2078</v>
      </c>
      <c r="M331" s="260" t="s">
        <v>2079</v>
      </c>
      <c r="N331" s="260" t="s">
        <v>111</v>
      </c>
      <c r="O331" s="260" t="s">
        <v>112</v>
      </c>
      <c r="P331" s="10">
        <v>0</v>
      </c>
      <c r="Q331" s="11">
        <v>100</v>
      </c>
      <c r="R331" s="9">
        <f t="shared" ca="1" si="555"/>
        <v>0</v>
      </c>
      <c r="S331" s="11">
        <f ca="1">VLOOKUP(K331,'1120 Competitividad'!$K$13:$AK$51,9,0)</f>
        <v>0</v>
      </c>
      <c r="T331" s="11">
        <v>0</v>
      </c>
      <c r="U331" s="11">
        <v>0</v>
      </c>
      <c r="V331" s="11">
        <v>0</v>
      </c>
      <c r="W331" s="11">
        <v>0</v>
      </c>
      <c r="X331" s="11">
        <v>0</v>
      </c>
      <c r="Y331" s="11">
        <v>0</v>
      </c>
      <c r="Z331" s="11">
        <v>0</v>
      </c>
      <c r="AA331" s="11"/>
      <c r="AB331" s="11"/>
      <c r="AC331" s="11"/>
      <c r="AD331" s="11">
        <v>50</v>
      </c>
      <c r="AE331" s="11">
        <v>0</v>
      </c>
      <c r="AF331" s="11">
        <f ca="1">VLOOKUP(K331,'1120 Competitividad'!$K$13:$AK$51,22,0)</f>
        <v>0</v>
      </c>
      <c r="AG331" s="11">
        <f ca="1">VLOOKUP(K331,'1120 Competitividad'!$K$13:$AK$51,23,0)</f>
        <v>0</v>
      </c>
      <c r="AH331" s="9">
        <f t="shared" ca="1" si="556"/>
        <v>0</v>
      </c>
      <c r="AI331" s="9" t="str">
        <f ca="1">VLOOKUP(K331,'1120 Competitividad'!$K$13:$AK$51,25,0)</f>
        <v xml:space="preserve">Se entregaran 70 Tanques reservorio tipo australiano con capacidad de almacenamiento de 50000 litros de agua Y 20 Bombas de succión y panel solar ( energia limpia) </v>
      </c>
      <c r="AJ331" s="9" t="str">
        <f ca="1">VLOOKUP(K331,'1120 Competitividad'!$K$13:$AK$51,26,0)</f>
        <v>Se instalara 70 reservorios  para Mipymes  esquemas asociativos o asociados de los esquemas, el objetivo es  contar con el recurso hídrico   en épocas de  sequía por el continuo cambio climático que se vive en el mundo. Se  entregaran 20  reservorios a Asociaciones con el componente  de energías limpias y renovables.</v>
      </c>
      <c r="AK331" s="9">
        <f ca="1">VLOOKUP(K331,'1120 Competitividad'!$K$13:$AK$51,27,0)</f>
        <v>0</v>
      </c>
      <c r="AL331" s="11">
        <v>30</v>
      </c>
      <c r="AM331" s="11">
        <v>0</v>
      </c>
      <c r="AN331" s="11">
        <v>20</v>
      </c>
      <c r="AO331" s="11">
        <v>0</v>
      </c>
      <c r="AP331" s="11">
        <v>0</v>
      </c>
      <c r="AQ331" s="11">
        <v>0</v>
      </c>
      <c r="AR331" s="51">
        <v>3450000000</v>
      </c>
      <c r="AS331" s="54">
        <v>0</v>
      </c>
      <c r="AT331" s="54">
        <f t="shared" si="469"/>
        <v>3450000000</v>
      </c>
      <c r="AU331" s="51">
        <v>0</v>
      </c>
      <c r="AV331" s="89">
        <v>5450000000</v>
      </c>
      <c r="AY331" s="89">
        <v>0</v>
      </c>
      <c r="AZ331" s="42">
        <f t="shared" ca="1" si="557"/>
        <v>0</v>
      </c>
      <c r="BA331" s="44">
        <v>0</v>
      </c>
      <c r="BB331" s="44" t="s">
        <v>115</v>
      </c>
      <c r="BC331" s="42">
        <f t="shared" si="558"/>
        <v>0.5</v>
      </c>
      <c r="BD331" s="42" cm="1">
        <f t="array" aca="1" ref="BD331" ca="1">_xlfn.IFS(AD331=0,"NA",AD331&gt;0,AH331/AD331)</f>
        <v>0</v>
      </c>
      <c r="BE331" s="42">
        <f t="shared" si="559"/>
        <v>0.3</v>
      </c>
      <c r="BF331" s="44">
        <v>0</v>
      </c>
      <c r="BG331" s="42">
        <f t="shared" si="560"/>
        <v>0.2</v>
      </c>
      <c r="BH331" s="44">
        <v>0</v>
      </c>
      <c r="BI331" s="42">
        <f t="shared" si="561"/>
        <v>0</v>
      </c>
      <c r="BJ331" s="44" t="s">
        <v>115</v>
      </c>
      <c r="BK331" s="42">
        <f t="shared" ca="1" si="470"/>
        <v>0</v>
      </c>
      <c r="BL331" s="44" t="s">
        <v>115</v>
      </c>
      <c r="BM331" s="42" cm="1">
        <f t="array" aca="1" ref="BM331" ca="1">_xlfn.IFS(BD331="NA","NA",BD331&gt;100%,"100%",BD331&lt;100,BD331)</f>
        <v>0</v>
      </c>
      <c r="BN331" s="42" cm="1">
        <f t="array" ref="BN331">_xlfn.IFS(BF331="NA","NA",BF331&gt;100%,"100%",BF331&lt;100,BF331)</f>
        <v>0</v>
      </c>
      <c r="BO331" s="42" cm="1">
        <f t="array" ref="BO331">_xlfn.IFS(BH331="NA","NA",BH331&gt;100%,"100%",BH331&lt;100,BH331)</f>
        <v>0</v>
      </c>
      <c r="BP331" s="42" t="str" cm="1">
        <f t="array" ref="BP331">_xlfn.IFS(BJ331="NA","NA",BJ331&gt;100%,"100%",BJ331&lt;100,BJ331)</f>
        <v>NA</v>
      </c>
      <c r="BQ331" s="45">
        <v>0.22500000000000001</v>
      </c>
      <c r="BR331" s="43">
        <f t="shared" ca="1" si="471"/>
        <v>0</v>
      </c>
      <c r="BS331" s="45">
        <v>0</v>
      </c>
      <c r="BT331" s="45" t="s">
        <v>115</v>
      </c>
      <c r="BU331" s="45">
        <v>0</v>
      </c>
      <c r="BV331" s="43">
        <f t="shared" si="562"/>
        <v>0.1125</v>
      </c>
      <c r="BW331" s="43">
        <f t="shared" ca="1" si="472"/>
        <v>0</v>
      </c>
      <c r="BX331" s="43">
        <f t="shared" ca="1" si="473"/>
        <v>0</v>
      </c>
      <c r="BY331" s="43">
        <f t="shared" si="563"/>
        <v>6.7500000000000004E-2</v>
      </c>
      <c r="BZ331" s="43">
        <f t="shared" si="564"/>
        <v>0</v>
      </c>
      <c r="CA331" s="43">
        <f t="shared" ca="1" si="474"/>
        <v>0</v>
      </c>
      <c r="CB331" s="43">
        <f t="shared" si="565"/>
        <v>4.4999999999999998E-2</v>
      </c>
      <c r="CC331" s="43">
        <f t="shared" si="566"/>
        <v>0</v>
      </c>
      <c r="CD331" s="45">
        <v>0</v>
      </c>
      <c r="CE331" s="43">
        <f t="shared" si="567"/>
        <v>0</v>
      </c>
      <c r="CF331" s="43" t="str">
        <f t="shared" si="568"/>
        <v>NA</v>
      </c>
      <c r="CG331" s="45">
        <v>0</v>
      </c>
    </row>
    <row r="332" spans="1:90" ht="18" customHeight="1">
      <c r="A332" s="260" t="s">
        <v>1826</v>
      </c>
      <c r="B332" s="260" t="s">
        <v>1827</v>
      </c>
      <c r="C332" s="260" t="s">
        <v>1828</v>
      </c>
      <c r="D332" s="260" t="s">
        <v>2062</v>
      </c>
      <c r="E332" s="260" t="s">
        <v>2080</v>
      </c>
      <c r="F332" s="260" t="s">
        <v>2081</v>
      </c>
      <c r="G332" s="260" t="s">
        <v>2082</v>
      </c>
      <c r="H332" s="260" t="s">
        <v>2083</v>
      </c>
      <c r="I332" s="260"/>
      <c r="J332" s="260"/>
      <c r="K332" s="260" t="s">
        <v>2084</v>
      </c>
      <c r="L332" s="260" t="s">
        <v>2085</v>
      </c>
      <c r="M332" s="260" t="s">
        <v>2086</v>
      </c>
      <c r="N332" s="260" t="s">
        <v>111</v>
      </c>
      <c r="O332" s="260" t="s">
        <v>112</v>
      </c>
      <c r="P332" s="10">
        <v>20</v>
      </c>
      <c r="Q332" s="11">
        <v>30</v>
      </c>
      <c r="R332" s="9">
        <f t="shared" si="555"/>
        <v>15</v>
      </c>
      <c r="S332" s="11" t="str">
        <f>VLOOKUP(K332,'1121 Ambiente'!$K$13:$AK$38,9,0)</f>
        <v>Durante la vigencia 2021 se han realizado 11 jornadas de Capacitación en Gestión Integral De Residuos Sólidos, Reforestación En Conmemoración Al “Día Del Árbol”, Foro Empresarial De Impacto Ambiental, Cambio Climático, Huella De Carbono Formalización De Recuperadores De Oficio, Programa De Uso Eficiente Y Ahorro Del Agua, Implementación De Los PUEAAS , Importancia De Los Sistemas Agroforestales (SAF) Y Silvopastoriles, Conmemoración “Día Mundial De Las Abejas”, Socialización Conceptos Política Publica De Cambio Climático, Uso Eficiente Del Agua Y Manejo De Residuos Sólidos, “ Reconocimiento  A Los Ganadores Del Segundo Concurso Virtual De Educación Ambiental y Charla Sobre La Cultura ambiental</v>
      </c>
      <c r="T332" s="11">
        <v>0</v>
      </c>
      <c r="U332" s="11">
        <v>0</v>
      </c>
      <c r="V332" s="11">
        <v>0</v>
      </c>
      <c r="W332" s="11">
        <v>0</v>
      </c>
      <c r="X332" s="11">
        <v>0</v>
      </c>
      <c r="Y332" s="11">
        <v>0</v>
      </c>
      <c r="Z332" s="11">
        <v>0</v>
      </c>
      <c r="AA332" s="11"/>
      <c r="AB332" s="11"/>
      <c r="AC332" s="11"/>
      <c r="AD332" s="11">
        <v>15</v>
      </c>
      <c r="AE332" s="11">
        <v>0</v>
      </c>
      <c r="AF332" s="11">
        <f>VLOOKUP(K332,'1121 Ambiente'!$K$13:$AK$38,22,0)</f>
        <v>15</v>
      </c>
      <c r="AG332" s="11">
        <f>VLOOKUP(K332,'1121 Ambiente'!$K$13:$AK$38,23,0)</f>
        <v>0</v>
      </c>
      <c r="AH332" s="9">
        <f t="shared" si="556"/>
        <v>15</v>
      </c>
      <c r="AI332" s="9" t="str">
        <f>VLOOKUP(K332,'1121 Ambiente'!$K$13:$AK$38,25,0)</f>
        <v>15 jornadas de educación ambiental</v>
      </c>
      <c r="AJ332" s="9" t="str">
        <f>VLOOKUP(K332,'1121 Ambiente'!$K$13:$AK$38,26,0)</f>
        <v>Jornada De Capacitación Gestión Integral De Residuos Sólidos, Código De Colores Dirigido A Los Funcionarios De Las Dos Administraciones Municipio De Bituima Y Chaguaní, Jornada De Reforestación En Conmemoración Al “Día Del Árbol” Municipio De San Antonio, Nilo, Arbeláez Y San Bernardo - 2300 Árboles, Jornada De Apoyo A La Gestión Municipal En Marcada En El Foro Empresarial De Impacto Ambiental, Cambio Climático, Huella De Carbono Y Código De Colores Municipio De Cota , Jornada De Capacitación Enmarcada En La Formalización De Recuperadores De Oficio Según El Decreto 596 De 2016 Y Socialización Del Nuevo Código De Colores Según Resolución 2184 De 2019 En Los Municipios De Fusagasugá, Ubaté, Quipile, Cota, Funza, Soacha, Silvania, Pasca, La Mesa, Tenjo ,  Jornada De Educación Ambiental Contenido En El Programa De Uso Eficiente Y Ahorro Del Agua, Forma Parte De La Implementación De Los PUEAAS  A Los 116 Municipios, Jornada Importancia De Los Sistemas Agroforestales (SAF) Y Silvopastoriles (SSP) Como Estrategia De Adaptación Y Mitigación Del Cambio Climático Dirigido, Jornada En Conmemoración “Día Mundial De Las Abejas” Municipio De Zipaquirá, Jornada  Taller De Socialización Conceptos Política Publica De Cambio Climático Dirigido A Los 116 Municipios, Jornada Uso Eficiente Del Agua Y Manejo De Residuos Sólidos Dirigida A Los Funcionarios Y Contratistas Del IDECUT y Jornada “ Reconocimiento  A Los Ganadores Del Segundo Concurso Virtual De Educación Ambiental Y Charla Sobre La Cultura Ambiental En El Manejo De Los Residuos Sólidos” Dirigida A Las 57 Organizaciones Que Participaron Del 2do Concurso Y Los Recuperadores Ambientales Del Departamento. 11. Jornada conservartorio “Organizaciones Ambientales, Otra Mirada A La Inclusión De La Población Recicladora En La Región” Dirigida A Las Organizaciones Ecológicas y ambientales del Departamento. 12.Jornada "Dia internacional del aire limpio para un cielo azul" dirijida al personal de la gobernacion de cundinamarca Biciusuarios para incentivar a proteger la calidad del aire, 13. JORNADA FORO EDUCATIVO AMBIENTAL, 14. SEMBRATÓN DÍA DEL ARBOL y 15. JORNADA RECICLATON GACHETA Y UBALÁ</v>
      </c>
      <c r="AK332" s="9">
        <f>VLOOKUP(K332,'1121 Ambiente'!$K$13:$AK$38,27,0)</f>
        <v>0</v>
      </c>
      <c r="AL332" s="11">
        <v>10</v>
      </c>
      <c r="AM332" s="11">
        <v>0</v>
      </c>
      <c r="AN332" s="11">
        <v>5</v>
      </c>
      <c r="AO332" s="11">
        <v>0</v>
      </c>
      <c r="AP332" s="11">
        <v>0</v>
      </c>
      <c r="AQ332" s="11">
        <v>0</v>
      </c>
      <c r="AR332" s="52"/>
      <c r="AS332" s="54">
        <v>0</v>
      </c>
      <c r="AT332" s="54">
        <f t="shared" si="469"/>
        <v>0</v>
      </c>
      <c r="AU332" s="52"/>
      <c r="AV332" s="89">
        <v>200000000</v>
      </c>
      <c r="AY332" s="89">
        <v>42100000</v>
      </c>
      <c r="AZ332" s="42">
        <f t="shared" si="557"/>
        <v>0.5</v>
      </c>
      <c r="BA332" s="44">
        <v>0</v>
      </c>
      <c r="BB332" s="44" t="s">
        <v>115</v>
      </c>
      <c r="BC332" s="42">
        <f t="shared" si="558"/>
        <v>0.5</v>
      </c>
      <c r="BD332" s="42" cm="1">
        <f t="array" ref="BD332">_xlfn.IFS(AD332=0,"NA",AD332&gt;0,AH332/AD332)</f>
        <v>1</v>
      </c>
      <c r="BE332" s="42">
        <f t="shared" si="559"/>
        <v>0.33333333333333331</v>
      </c>
      <c r="BF332" s="44">
        <v>0</v>
      </c>
      <c r="BG332" s="42">
        <f t="shared" si="560"/>
        <v>0.16666666666666666</v>
      </c>
      <c r="BH332" s="44">
        <v>0</v>
      </c>
      <c r="BI332" s="42">
        <f t="shared" si="561"/>
        <v>0</v>
      </c>
      <c r="BJ332" s="44" t="s">
        <v>115</v>
      </c>
      <c r="BK332" s="42">
        <f t="shared" si="470"/>
        <v>0.5</v>
      </c>
      <c r="BL332" s="44" t="s">
        <v>115</v>
      </c>
      <c r="BM332" s="42" cm="1">
        <f t="array" ref="BM332">_xlfn.IFS(BD332="NA","NA",BD332&gt;100%,"100%",BD332&lt;100,BD332)</f>
        <v>1</v>
      </c>
      <c r="BN332" s="42" cm="1">
        <f t="array" ref="BN332">_xlfn.IFS(BF332="NA","NA",BF332&gt;100%,"100%",BF332&lt;100,BF332)</f>
        <v>0</v>
      </c>
      <c r="BO332" s="42" cm="1">
        <f t="array" ref="BO332">_xlfn.IFS(BH332="NA","NA",BH332&gt;100%,"100%",BH332&lt;100,BH332)</f>
        <v>0</v>
      </c>
      <c r="BP332" s="42" t="str" cm="1">
        <f t="array" ref="BP332">_xlfn.IFS(BJ332="NA","NA",BJ332&gt;100%,"100%",BJ332&lt;100,BJ332)</f>
        <v>NA</v>
      </c>
      <c r="BQ332" s="45">
        <v>0.224</v>
      </c>
      <c r="BR332" s="43">
        <f t="shared" si="471"/>
        <v>0.112</v>
      </c>
      <c r="BS332" s="45">
        <v>0</v>
      </c>
      <c r="BT332" s="45" t="s">
        <v>115</v>
      </c>
      <c r="BU332" s="45">
        <v>0</v>
      </c>
      <c r="BV332" s="43">
        <f t="shared" si="562"/>
        <v>0.112</v>
      </c>
      <c r="BW332" s="43">
        <f t="shared" si="472"/>
        <v>0.112</v>
      </c>
      <c r="BX332" s="43">
        <f t="shared" si="473"/>
        <v>0.112</v>
      </c>
      <c r="BY332" s="43">
        <f t="shared" si="563"/>
        <v>7.4666666666666673E-2</v>
      </c>
      <c r="BZ332" s="43">
        <f t="shared" si="564"/>
        <v>0</v>
      </c>
      <c r="CA332" s="43">
        <f t="shared" si="474"/>
        <v>0</v>
      </c>
      <c r="CB332" s="43">
        <f t="shared" si="565"/>
        <v>3.7333333333333336E-2</v>
      </c>
      <c r="CC332" s="43">
        <f t="shared" si="566"/>
        <v>0</v>
      </c>
      <c r="CD332" s="45">
        <v>0</v>
      </c>
      <c r="CE332" s="43">
        <f t="shared" si="567"/>
        <v>0</v>
      </c>
      <c r="CF332" s="43" t="str">
        <f t="shared" si="568"/>
        <v>NA</v>
      </c>
      <c r="CG332" s="45">
        <v>0</v>
      </c>
    </row>
    <row r="333" spans="1:90" ht="18" customHeight="1">
      <c r="A333" s="260" t="s">
        <v>1826</v>
      </c>
      <c r="B333" s="260" t="s">
        <v>1827</v>
      </c>
      <c r="C333" s="260" t="s">
        <v>1828</v>
      </c>
      <c r="D333" s="260" t="s">
        <v>2062</v>
      </c>
      <c r="E333" s="260" t="s">
        <v>2080</v>
      </c>
      <c r="F333" s="260" t="s">
        <v>2081</v>
      </c>
      <c r="G333" s="260" t="s">
        <v>2082</v>
      </c>
      <c r="H333" s="260" t="s">
        <v>2087</v>
      </c>
      <c r="I333" s="260"/>
      <c r="J333" s="260"/>
      <c r="K333" s="260" t="s">
        <v>2088</v>
      </c>
      <c r="L333" s="260" t="s">
        <v>2089</v>
      </c>
      <c r="M333" s="260" t="s">
        <v>1848</v>
      </c>
      <c r="N333" s="260" t="s">
        <v>111</v>
      </c>
      <c r="O333" s="260" t="s">
        <v>112</v>
      </c>
      <c r="P333" s="10">
        <v>20</v>
      </c>
      <c r="Q333" s="11">
        <v>20</v>
      </c>
      <c r="R333" s="9">
        <f t="shared" si="555"/>
        <v>20</v>
      </c>
      <c r="S333" s="11" t="str">
        <f>VLOOKUP(K333,'1121 Ambiente'!$K$13:$AK$38,9,0)</f>
        <v xml:space="preserve">Se ha realizado asistencia técnica y capacitación en los municipios de Cajicá, Guayabal de Síquima y Cáqueza  con la implementación de proyectos de educación ambiental  "Sensibilización a la comunidad para el manejo de residuos sólidos (heces de mascotas) en el área urbana del municipio de Cajicá", "Construcción de cultura ambiental mediante el reciclaje en el municipio de Guayabal de Síquima"  y “Comité Interinstitucional de Educación Ambiental para la Generación de Cultura Ambiental en el Manejo Integral de los Residuos Orgánicos en el Municipio de Cáqueza”, beneficiando un total de 18.956 personas.
</v>
      </c>
      <c r="T333" s="11">
        <v>9</v>
      </c>
      <c r="U333" s="11">
        <v>0</v>
      </c>
      <c r="V333" s="11">
        <v>9</v>
      </c>
      <c r="W333" s="11">
        <v>0</v>
      </c>
      <c r="X333" s="11">
        <v>9</v>
      </c>
      <c r="Y333" s="11">
        <v>0</v>
      </c>
      <c r="Z333" s="11">
        <v>9</v>
      </c>
      <c r="AA333" s="11">
        <v>0</v>
      </c>
      <c r="AB333" s="11"/>
      <c r="AC333" s="11">
        <v>0</v>
      </c>
      <c r="AD333" s="11">
        <v>8</v>
      </c>
      <c r="AE333" s="11">
        <v>0</v>
      </c>
      <c r="AF333" s="11">
        <f>VLOOKUP(K333,'1121 Ambiente'!$K$13:$AK$38,22,0)</f>
        <v>11</v>
      </c>
      <c r="AG333" s="11">
        <f>VLOOKUP(K333,'1121 Ambiente'!$K$13:$AK$38,23,0)</f>
        <v>0</v>
      </c>
      <c r="AH333" s="9">
        <f t="shared" si="556"/>
        <v>11</v>
      </c>
      <c r="AI333" s="9" t="str">
        <f>VLOOKUP(K333,'1121 Ambiente'!$K$13:$AK$38,25,0)</f>
        <v>11 proyectos de educación ambiental implementados</v>
      </c>
      <c r="AJ333" s="9" t="str">
        <f>VLOOKUP(K333,'1121 Ambiente'!$K$13:$AK$38,26,0)</f>
        <v>Durante el primer concurso virtual de Educación ambiental realizado el pasado 12/08/2020 se premiaron nueve proyectos, en Ahorro y uso eficiente del agua y/o residuos sólidos" e "Innovación en el manejo de residuos sólidos y cambio climático" beneficiando a los municipios de Medina, Junín, Sasaima, Tabio, Granada, Anolaima, Sibaté y Soacha, y un total de 41.178personas.
Así mismo, para la vigencia 2021 se ha reportó asistencia técnica y capacitación en los municipios de Cajicá, Guayabal de Síquima y Cáqueza  con la implementación de proyectos de educación ambiental  "Sensibilización a la comunidad para el manejo de residuos sólidos (heces de mascotas) en el área urbana del municipio de Cajicá", "Construcción de cultura ambiental mediante el reciclaje en el municipio de Guayabal de Síquima"  y “Comité Interinstitucional de Educación Ambiental para la Generación de Cultura Ambiental en el Manejo Integral de los Residuos Orgánicos en el Municipio de Cáqueza”, beneficiando un total de 18.956 personas.
Se realizo el desembolso de los 10 proyectos ganadores del segundo concruso virtual de educacion ambiental, con fecha de inicio del 30 de agosto del año 2021 para la respectiva ejecucion de cada proyecto y su seguimiento por parte de la direccion de educacion y cultura ambiental.No Beneficiarios:36970</v>
      </c>
      <c r="AK333" s="9">
        <f>VLOOKUP(K333,'1121 Ambiente'!$K$13:$AK$38,27,0)</f>
        <v>0</v>
      </c>
      <c r="AL333" s="11">
        <v>3</v>
      </c>
      <c r="AM333" s="11">
        <v>0</v>
      </c>
      <c r="AN333" s="11">
        <v>0</v>
      </c>
      <c r="AO333" s="11">
        <v>0</v>
      </c>
      <c r="AP333" s="11">
        <v>0</v>
      </c>
      <c r="AQ333" s="11">
        <v>0</v>
      </c>
      <c r="AR333" s="51">
        <v>110383135</v>
      </c>
      <c r="AS333" s="54">
        <v>0</v>
      </c>
      <c r="AT333" s="54">
        <f t="shared" ref="AT333:AT396" si="569">AR333+AS333</f>
        <v>110383135</v>
      </c>
      <c r="AU333" s="51">
        <v>109690300</v>
      </c>
      <c r="AV333" s="89">
        <v>150000000</v>
      </c>
      <c r="AY333" s="89">
        <v>0</v>
      </c>
      <c r="AZ333" s="42">
        <f t="shared" si="557"/>
        <v>1</v>
      </c>
      <c r="BA333" s="44">
        <v>0.45</v>
      </c>
      <c r="BB333" s="44">
        <v>1</v>
      </c>
      <c r="BC333" s="42">
        <f t="shared" si="558"/>
        <v>0.4</v>
      </c>
      <c r="BD333" s="42" cm="1">
        <f t="array" ref="BD333">_xlfn.IFS(AD333=0,"NA",AD333&gt;0,AH333/AD333)</f>
        <v>1.375</v>
      </c>
      <c r="BE333" s="42">
        <f t="shared" si="559"/>
        <v>0.15</v>
      </c>
      <c r="BF333" s="44">
        <v>0</v>
      </c>
      <c r="BG333" s="42">
        <f t="shared" si="560"/>
        <v>0</v>
      </c>
      <c r="BH333" s="44" t="s">
        <v>115</v>
      </c>
      <c r="BI333" s="42">
        <f t="shared" si="561"/>
        <v>0</v>
      </c>
      <c r="BJ333" s="44" t="s">
        <v>115</v>
      </c>
      <c r="BK333" s="42">
        <f t="shared" ref="BK333:BK396" si="570">IF(AZ333&gt;100%,"100%",AZ333)</f>
        <v>1</v>
      </c>
      <c r="BL333" s="44">
        <v>1</v>
      </c>
      <c r="BM333" s="42" t="str" cm="1">
        <f t="array" ref="BM333">_xlfn.IFS(BD333="NA","NA",BD333&gt;100%,"100%",BD333&lt;100,BD333)</f>
        <v>100%</v>
      </c>
      <c r="BN333" s="42" cm="1">
        <f t="array" ref="BN333">_xlfn.IFS(BF333="NA","NA",BF333&gt;100%,"100%",BF333&lt;100,BF333)</f>
        <v>0</v>
      </c>
      <c r="BO333" s="42" t="str" cm="1">
        <f t="array" ref="BO333">_xlfn.IFS(BH333="NA","NA",BH333&gt;100%,"100%",BH333&lt;100,BH333)</f>
        <v>NA</v>
      </c>
      <c r="BP333" s="42" t="str" cm="1">
        <f t="array" ref="BP333">_xlfn.IFS(BJ333="NA","NA",BJ333&gt;100%,"100%",BJ333&lt;100,BJ333)</f>
        <v>NA</v>
      </c>
      <c r="BQ333" s="45">
        <v>0.224</v>
      </c>
      <c r="BR333" s="43">
        <f t="shared" ref="BR333:BR396" si="571">BQ333*BK333</f>
        <v>0.224</v>
      </c>
      <c r="BS333" s="45">
        <v>0.1008</v>
      </c>
      <c r="BT333" s="45">
        <v>0.1008</v>
      </c>
      <c r="BU333" s="45">
        <v>0.1008</v>
      </c>
      <c r="BV333" s="43">
        <f t="shared" si="562"/>
        <v>8.9599999999999999E-2</v>
      </c>
      <c r="BW333" s="43">
        <f t="shared" ref="BW333:BW396" si="572">IF(BM333="NA","NA",BM333*BV333)</f>
        <v>8.9599999999999999E-2</v>
      </c>
      <c r="BX333" s="43">
        <f t="shared" ref="BX333:BX396" si="573">BR333-BU333</f>
        <v>0.1232</v>
      </c>
      <c r="BY333" s="43">
        <f t="shared" si="563"/>
        <v>3.3600000000000005E-2</v>
      </c>
      <c r="BZ333" s="43">
        <f t="shared" si="564"/>
        <v>0</v>
      </c>
      <c r="CA333" s="43">
        <f t="shared" ref="CA333:CA396" si="574">BR333-BU333-BX333</f>
        <v>0</v>
      </c>
      <c r="CB333" s="43">
        <f t="shared" si="565"/>
        <v>0</v>
      </c>
      <c r="CC333" s="43" t="str">
        <f t="shared" si="566"/>
        <v>NA</v>
      </c>
      <c r="CD333" s="45">
        <v>0</v>
      </c>
      <c r="CE333" s="43">
        <f t="shared" si="567"/>
        <v>0</v>
      </c>
      <c r="CF333" s="43" t="str">
        <f t="shared" si="568"/>
        <v>NA</v>
      </c>
      <c r="CG333" s="45">
        <v>0</v>
      </c>
    </row>
    <row r="334" spans="1:90" ht="18" customHeight="1">
      <c r="A334" s="260" t="s">
        <v>2090</v>
      </c>
      <c r="B334" s="260" t="s">
        <v>2091</v>
      </c>
      <c r="C334" s="260" t="s">
        <v>1828</v>
      </c>
      <c r="D334" s="260" t="s">
        <v>2062</v>
      </c>
      <c r="E334" s="260" t="s">
        <v>2080</v>
      </c>
      <c r="F334" s="260" t="s">
        <v>2081</v>
      </c>
      <c r="G334" s="260" t="s">
        <v>2082</v>
      </c>
      <c r="H334" s="260" t="s">
        <v>2092</v>
      </c>
      <c r="I334" s="260"/>
      <c r="J334" s="260"/>
      <c r="K334" s="260" t="s">
        <v>2093</v>
      </c>
      <c r="L334" s="260" t="s">
        <v>2094</v>
      </c>
      <c r="M334" s="260" t="s">
        <v>2095</v>
      </c>
      <c r="N334" s="260" t="s">
        <v>123</v>
      </c>
      <c r="O334" s="260" t="s">
        <v>112</v>
      </c>
      <c r="P334" s="10">
        <v>0</v>
      </c>
      <c r="Q334" s="11">
        <v>100</v>
      </c>
      <c r="R334" s="9">
        <f t="shared" si="555"/>
        <v>49.45</v>
      </c>
      <c r="S334" s="11" t="str">
        <f>VLOOKUP(K334,'1114 Función Pub.'!$K$13:$AK$16,9,0)</f>
        <v>En 2020, para el logro de esta meta se procedió a realizar:
 ·         La adecuación acopio central de almacenamiento central de residuos sólidos en la sede central de la Gobernación de Cundinamarca.
·         La reactivación del convenio de los programas posconsumo articulado con la Secretaría del Ambiente y el Ministerio de Ambiente y Desarrollo Sostenible.
·         La definición del proyecto para el aprovechamiento de  residuos generados en la Gobernación y sus Sedes Externas.
·         La capacitación al personal técnico y operativo de la sede central y sedes externas en el marco de almacenamiento de sustancias químicas y kit de derrames, con apoyo de la ARL Positiva.
·         La socialización de manejo integral de residuos sólidos con los restaurantes de la Gobernación.
En 2021 se ha logrado:
1.       Definir y estructurar el contexto organizacional, así mismo se realizó la definición de partes interesadas del proceso de Gestión Ambiental, tal y como lo define la norma ISO 14001:2015.
2.       Dar inicio a la etapa de entrenamiento teórico – práctico, que es base para los resultados que se pretenden lograr en el reconocimiento de excelencia en la Gestión Ambiental de la Gobernación de Cundinamarca.
3.       Proceder con la publicación y evaluación de las propuestas de la Convocatoria Pública a asociaciones de recicladores de oficio, con el fin de realizar aprovechamiento de residuos. A la fecha se encuentra en trámite el perfeccionamiento del convenio.
4.       Realizar la actualización del alcance del manual del SIGC en el marco ambiental, dando cumplimiento a la NTC ISO 14001:2015.
5.       Crear los procedimientos y formatos de inspecciones ambientales, así mismo, fueron realizadas las visitas técnicas a la Sede Central y las Sedes Externas, en coordinación con el equipo de SST y la Secretaría General.
6.       Socializar con Secretaria General, Inmobiliaria normatividad y ajustes del nuevo código de colores para la separación de residuos.
2021: Conformacion de equipo de meoramiento, definicion de la caracterizacion del proceso Gestion Ambiental, firma de convenio con Asociacion de recicladores y ejecucion de capacitaciones de apropiacion del sistema</v>
      </c>
      <c r="T334" s="11">
        <v>10</v>
      </c>
      <c r="U334" s="11">
        <v>0</v>
      </c>
      <c r="V334" s="11">
        <v>10</v>
      </c>
      <c r="W334" s="11">
        <v>0</v>
      </c>
      <c r="X334" s="11">
        <v>10</v>
      </c>
      <c r="Y334" s="11">
        <v>0</v>
      </c>
      <c r="Z334" s="11">
        <v>10</v>
      </c>
      <c r="AA334" s="11">
        <v>0</v>
      </c>
      <c r="AB334" s="11" t="s">
        <v>2096</v>
      </c>
      <c r="AC334" s="11">
        <v>0</v>
      </c>
      <c r="AD334" s="11">
        <v>40</v>
      </c>
      <c r="AE334" s="11">
        <v>0</v>
      </c>
      <c r="AF334" s="11">
        <f>VLOOKUP(K334,'1114 Función Pub.'!$K$13:$AK$16,22,0)</f>
        <v>39.450000000000003</v>
      </c>
      <c r="AG334" s="11">
        <f>VLOOKUP(K334,'1114 Función Pub.'!$K$13:$AK$16,23,0)</f>
        <v>0</v>
      </c>
      <c r="AH334" s="9">
        <f t="shared" si="556"/>
        <v>39.450000000000003</v>
      </c>
      <c r="AI334" s="9" t="str">
        <f>VLOOKUP(K334,'1114 Función Pub.'!$K$13:$AK$16,25,0)</f>
        <v>1.       El centro acopio de residuos sólidos de acuerdo con la normatividad vigente.
2.       Los manifiestos que certifican la correcta disposición final de los residuos de posconsumo.  
3.       Convenio con la asociación recicladores para el aprovechamiento de residuos reciclables.
4.       Manual del SIGC actualizado de acuerdo con el estándar ISO 14001:2015
5.       Procedimientos y formatos de inspecciones ambientales verificados por la Secretaría General y la Secretaría de Ambiente.
Julio 2021:
precontractuales para la realización de un contrato cuyo objeto es “REALIZAR EL LEVANTAMIENTO DE ALGUNOS PUNTOS DE VERTIMIENTO, IDENTIFICANDO LAS REDES COMBINADAS Y PUNTOS DE DESCARGA AL ALCANTARILLADO PÚBLICO EN EL MARCO DE LA IMPLEMENTACIÓN DEL SISTEMA DE GESTIÓN AMBIENTAL DE LA GOBERNACIÓN DE CUNDINAMARCA”, enviado al área Jurídica para continuar el trámite correspondiente.
Agosto 2021:
Firma del contrato con Ingeniería y Gestión de la Calidad y el medio Ambiente S.A.S. 31/08/2021, pendiente acta de inicio.
Aprobación y socialización de la caracterización del proceso Gestión Ambiental. 31/08/2021
Capacitación sobre separación de residuos en la fuente en el lugar de trabajo. 13.08/2021
Septiembre 2021: Se realizó inicio de contrato de identificación de puntos posibles vertimiento en sede central y almacén de secretaria de salud, ajuste a programas de residuos peligrosos socializado con la secretaria distrital de ambiente, capacitación a sedes externas en separación de residuos convencionales, acompañamiento a la dirección de desarrollo organizacional en presupuesto año 2022, creación de indicadores de gestión ambiental.</v>
      </c>
      <c r="AJ334" s="9" t="str">
        <f>VLOOKUP(K334,'1114 Función Pub.'!$K$13:$AK$16,26,0)</f>
        <v>A marzo de 2021, se ha logrado:
 ·    Conformar el equipo de mejoramiento del Proceso de Gestión Ambiental.
·         La actualización del SIGC, incorporando el Proceso de Gestión Ambiental como un proceso de apoyo.
·         Estandarización de los formatos de visitas e inspecciones a la sede central y las sedes externas, dando cumplimiento a la normatividad ambiental vigente.
·         Inscripción de la Gobernación de Cundinamarca al programa ACERCAR, que busca el sello de excelencia ambiental.
·         Inscripción del convenio con la asociación de recicladores Puerta de Oro, dando cumplimiento al Decreto 596 de 2015.
Junio 2021:
•	Seguimiento al convenio de aprovechamiento de residuos en la Entidad
•	Capacitación a las empresas de servicios generales en separación de residuos sólidos
•	Reunión y actualización  del PIGA con Secretaria del Ambiente
•	Realización de estudios previos para identificación de redes sanitarias susceptibles a generación de vertimientos
•	Participación en el programa ACERCAR sesión 10, 11 y 12
•	Elaboración de Programa de residuos sólidos convencionales.
•	Realización de caracterización de residuos peligrosos según decreto 4741 de 2005
•	Realización de formatos de registro diario de residuos peligrosos y no peligrosos
Agosto 2021: Firma del contrato con Ingeniería y Gestión de la Calidad y el medio Ambiente S.A.S. 31/08/2021, pendiente acta de inicio.
Aprobación y socialización de la caracterización del proceso Gestión Ambiental. 31/08/2021
Capacitación sobre separación de residuos en la fuente en el lugar de trabajo. 13.08/2021
Octubre 2021: Se ajustó y finalizó la matriz de requisitos legales y otros requisitos, se ajustó el plan y el programa de Gestión Integral de Residuos Peligrosos, se realizó seguimiento al contrato de identificación de puntos de descarga de posibles vertimientos (está en proceso de revisión del informe de actividades), seguimiento al convenio de asociación de recicladores (se completaron 10 capacitaciones y un porcentaje de entrega de informes de recolección de 66.66%)
Nov 2021: Se logró el nivel 3: sistema de gestión ambiental en el programa de ACERCAR de Secretaría Distrital de Ambiente con un puntaje de 97,07. Se culminó el contrato de identificación de puntos de descarga de vertimientos. Se inició la etapa de planificación de los programas de uso eficiente y ahorro de agua y energía. Se completaron 12 de las 13 capacitaciones planificadas con la asociación de recicladores de oficio Puerta de Oro. Se dio cumplimiento normativo en la sede central en cuanto a publicidad exterior visual, manejo de residuos peligrosos, gestión de aceite vegetal usado, registro del Departamento de Gestión Ambiental, entre otros. Se finalizó la matriz de aspectos e impactos ambientales del 123 y se ajustó la matriz de la sede central, laboratorio de salud pública y CRUE</v>
      </c>
      <c r="AK334" s="9" t="str">
        <f>VLOOKUP(K334,'1114 Función Pub.'!$K$13:$AK$16,27,0)</f>
        <v>1.       Recursos financieros limitados para el desarrollo de las iniciativas de impacto ambiental.
2.       Falta de tiempo, por parte de los miembros de los equipos de mejoramiento, para la aplicación de los instrumentos definidos.</v>
      </c>
      <c r="AL334" s="11">
        <v>30</v>
      </c>
      <c r="AM334" s="11">
        <v>0</v>
      </c>
      <c r="AN334" s="11">
        <v>20</v>
      </c>
      <c r="AO334" s="11">
        <v>0</v>
      </c>
      <c r="AP334" s="11">
        <v>0</v>
      </c>
      <c r="AQ334" s="11">
        <v>0</v>
      </c>
      <c r="AR334" s="52"/>
      <c r="AS334" s="54">
        <v>41478360</v>
      </c>
      <c r="AT334" s="54">
        <f t="shared" si="569"/>
        <v>41478360</v>
      </c>
      <c r="AU334" s="52"/>
      <c r="AV334" s="89">
        <v>14718465</v>
      </c>
      <c r="AY334" s="89">
        <v>0</v>
      </c>
      <c r="AZ334" s="42">
        <f t="shared" si="557"/>
        <v>0.49450000000000005</v>
      </c>
      <c r="BA334" s="44">
        <v>0.1</v>
      </c>
      <c r="BB334" s="44">
        <v>1</v>
      </c>
      <c r="BC334" s="42">
        <f t="shared" si="558"/>
        <v>0.4</v>
      </c>
      <c r="BD334" s="42" cm="1">
        <f t="array" ref="BD334">_xlfn.IFS(AD334=0,"NA",AD334&gt;0,AH334/AD334)</f>
        <v>0.98625000000000007</v>
      </c>
      <c r="BE334" s="42">
        <f t="shared" si="559"/>
        <v>0.3</v>
      </c>
      <c r="BF334" s="44">
        <v>0</v>
      </c>
      <c r="BG334" s="42">
        <f t="shared" si="560"/>
        <v>0.2</v>
      </c>
      <c r="BH334" s="44">
        <v>0</v>
      </c>
      <c r="BI334" s="42">
        <f t="shared" si="561"/>
        <v>0</v>
      </c>
      <c r="BJ334" s="44" t="s">
        <v>115</v>
      </c>
      <c r="BK334" s="42">
        <f t="shared" si="570"/>
        <v>0.49450000000000005</v>
      </c>
      <c r="BL334" s="44">
        <v>1</v>
      </c>
      <c r="BM334" s="42" cm="1">
        <f t="array" ref="BM334">_xlfn.IFS(BD334="NA","NA",BD334&gt;100%,"100%",BD334&lt;100,BD334)</f>
        <v>0.98625000000000007</v>
      </c>
      <c r="BN334" s="42" cm="1">
        <f t="array" ref="BN334">_xlfn.IFS(BF334="NA","NA",BF334&gt;100%,"100%",BF334&lt;100,BF334)</f>
        <v>0</v>
      </c>
      <c r="BO334" s="42" cm="1">
        <f t="array" ref="BO334">_xlfn.IFS(BH334="NA","NA",BH334&gt;100%,"100%",BH334&lt;100,BH334)</f>
        <v>0</v>
      </c>
      <c r="BP334" s="42" t="str" cm="1">
        <f t="array" ref="BP334">_xlfn.IFS(BJ334="NA","NA",BJ334&gt;100%,"100%",BJ334&lt;100,BJ334)</f>
        <v>NA</v>
      </c>
      <c r="BQ334" s="45">
        <v>0.224</v>
      </c>
      <c r="BR334" s="43">
        <f t="shared" si="571"/>
        <v>0.11076800000000002</v>
      </c>
      <c r="BS334" s="45">
        <v>2.24E-2</v>
      </c>
      <c r="BT334" s="45">
        <v>2.24E-2</v>
      </c>
      <c r="BU334" s="45">
        <v>2.24E-2</v>
      </c>
      <c r="BV334" s="43">
        <f t="shared" si="562"/>
        <v>8.9600000000000013E-2</v>
      </c>
      <c r="BW334" s="43">
        <f t="shared" si="572"/>
        <v>8.8368000000000016E-2</v>
      </c>
      <c r="BX334" s="43">
        <f t="shared" si="573"/>
        <v>8.8368000000000016E-2</v>
      </c>
      <c r="BY334" s="43">
        <f t="shared" si="563"/>
        <v>6.7199999999999996E-2</v>
      </c>
      <c r="BZ334" s="43">
        <f t="shared" si="564"/>
        <v>0</v>
      </c>
      <c r="CA334" s="43">
        <f t="shared" si="574"/>
        <v>0</v>
      </c>
      <c r="CB334" s="43">
        <f t="shared" si="565"/>
        <v>4.4800000000000006E-2</v>
      </c>
      <c r="CC334" s="43">
        <f t="shared" si="566"/>
        <v>0</v>
      </c>
      <c r="CD334" s="45">
        <v>0</v>
      </c>
      <c r="CE334" s="43">
        <f t="shared" si="567"/>
        <v>0</v>
      </c>
      <c r="CF334" s="43" t="str">
        <f t="shared" si="568"/>
        <v>NA</v>
      </c>
      <c r="CG334" s="45">
        <v>0</v>
      </c>
    </row>
    <row r="335" spans="1:90" ht="18" customHeight="1">
      <c r="A335" s="260" t="s">
        <v>1826</v>
      </c>
      <c r="B335" s="260" t="s">
        <v>1827</v>
      </c>
      <c r="C335" s="260" t="s">
        <v>1828</v>
      </c>
      <c r="D335" s="260" t="s">
        <v>2062</v>
      </c>
      <c r="E335" s="260" t="s">
        <v>2097</v>
      </c>
      <c r="F335" s="260" t="s">
        <v>2098</v>
      </c>
      <c r="G335" s="260" t="s">
        <v>2099</v>
      </c>
      <c r="H335" s="260" t="s">
        <v>2100</v>
      </c>
      <c r="I335" s="260"/>
      <c r="J335" s="260"/>
      <c r="K335" s="260" t="s">
        <v>2101</v>
      </c>
      <c r="L335" s="260" t="s">
        <v>2102</v>
      </c>
      <c r="M335" s="260" t="s">
        <v>2103</v>
      </c>
      <c r="N335" s="260" t="s">
        <v>111</v>
      </c>
      <c r="O335" s="260" t="s">
        <v>112</v>
      </c>
      <c r="P335" s="10">
        <v>1</v>
      </c>
      <c r="Q335" s="11">
        <v>1</v>
      </c>
      <c r="R335" s="9">
        <f t="shared" si="555"/>
        <v>0.5</v>
      </c>
      <c r="S335" s="11" t="str">
        <f>VLOOKUP(K335,'1121 Ambiente'!$K$13:$AK$38,9,0)</f>
        <v xml:space="preserve">Estrategia de huella de carbono Institucional implementada . Se concluyó la medición de huella de carbono y se inician procesos de vinculación. 
Se desarrollo el taller de socialización para el manejo de la huella de carbono en hospitales verdes, con cobertura en  46  municipios.
</v>
      </c>
      <c r="T335" s="11">
        <v>0.25</v>
      </c>
      <c r="U335" s="11">
        <v>0</v>
      </c>
      <c r="V335" s="11">
        <v>0.25</v>
      </c>
      <c r="W335" s="11">
        <v>0</v>
      </c>
      <c r="X335" s="11">
        <v>0.25</v>
      </c>
      <c r="Y335" s="11">
        <v>0</v>
      </c>
      <c r="Z335" s="11">
        <v>0.25</v>
      </c>
      <c r="AA335" s="11">
        <v>0</v>
      </c>
      <c r="AB335" s="11" t="s">
        <v>2104</v>
      </c>
      <c r="AC335" s="11">
        <v>0</v>
      </c>
      <c r="AD335" s="11">
        <v>0.25</v>
      </c>
      <c r="AE335" s="11">
        <v>0</v>
      </c>
      <c r="AF335" s="11">
        <f>VLOOKUP(K335,'1121 Ambiente'!$K$13:$AK$38,22,0)</f>
        <v>0.25</v>
      </c>
      <c r="AG335" s="11">
        <f>VLOOKUP(K335,'1121 Ambiente'!$K$13:$AK$38,23,0)</f>
        <v>0</v>
      </c>
      <c r="AH335" s="9">
        <f t="shared" si="556"/>
        <v>0.25</v>
      </c>
      <c r="AI335" s="9" t="str">
        <f>VLOOKUP(K335,'1121 Ambiente'!$K$13:$AK$38,25,0)</f>
        <v>Entrega de la calculadora huella de carbono</v>
      </c>
      <c r="AJ335" s="9" t="str">
        <f>VLOOKUP(K335,'1121 Ambiente'!$K$13:$AK$38,26,0)</f>
        <v xml:space="preserve">Estrategia de huella de carbono Institucional implementada . Se concluye la medición de huella de carbono y se inician procesos de vinculación para una auditoria ISO 14064-1 que permita la certificación de Empresa de Licores en Huella de Carbono. Compensación 225 Ton Co2/año - 1.349 árboles nativos. Se avanza en la recopilación de información relacionada con la compensación que deben hacer los municipios y hospitales. Se utilizará la calculadora en los municipios seleccionado.
Se desarrollo el taller de socializacion para el manejo de la huella de carbono en hospitales verdes, con cobertura en  46  municipios :  Agua De Dios, Anolaima ,Arbelaez,Cajica , Cáqueza, Chía , Choconta ,El Colegio, Facatativá ,Fomeque , Choachi, Ubaque ,Funza ,Fusagasuga ,Gachetá, Girardot ,Guacheta ,Guatavita ,Junin ,La Mesa ,La Palma ,Madrid ,Medina, Mosquera,Nemocon ,Pacho ,Puerto Salgar ,Ricaurte ,San Francisco De Sales ,San Juan De Rioseco ,Sasaima,Sesquile ,Silvania, Soacha ,Sopo, Suesca ,Tabio, Tausa ,Tenjo ,Tocaima, Ubaté,Une, Vergara ,Viani ,Villeta, Zipaquirá. 
Se socializo y entrego formalmente la calculadora de Huella de Carbono a los 46 Hospitales dentro de la red de hospitales Verdes.  Se realiza la medicion de la huella de carbono de la sede administrativa de la Gobernacion de Cundinamarca. 
Se avanza en la vinculacion  formal de los 46 hospitales verdes del Departamento en el programa de medicion de huella y su corresponsabilidad con Responsabilidad Ambiental Empresarial.  Se Desarrolla la medicion de huella de carbono del Departamento .  Se requiere a los hospitales verdes su certificacion de compensacion de huella de carbono. </v>
      </c>
      <c r="AK335" s="9">
        <f>VLOOKUP(K335,'1121 Ambiente'!$K$13:$AK$38,27,0)</f>
        <v>0</v>
      </c>
      <c r="AL335" s="11">
        <v>0.25</v>
      </c>
      <c r="AM335" s="11">
        <v>0</v>
      </c>
      <c r="AN335" s="11">
        <v>0.25</v>
      </c>
      <c r="AO335" s="11">
        <v>0</v>
      </c>
      <c r="AP335" s="11">
        <v>0</v>
      </c>
      <c r="AQ335" s="11">
        <v>0</v>
      </c>
      <c r="AR335" s="51">
        <v>18330620</v>
      </c>
      <c r="AS335" s="54">
        <v>0</v>
      </c>
      <c r="AT335" s="54">
        <f t="shared" si="569"/>
        <v>18330620</v>
      </c>
      <c r="AU335" s="51">
        <v>18330000</v>
      </c>
      <c r="AV335" s="89">
        <v>100000000</v>
      </c>
      <c r="AY335" s="89">
        <v>49915000</v>
      </c>
      <c r="AZ335" s="42">
        <f t="shared" si="557"/>
        <v>0.5</v>
      </c>
      <c r="BA335" s="44">
        <v>0.25</v>
      </c>
      <c r="BB335" s="44">
        <v>1</v>
      </c>
      <c r="BC335" s="42">
        <f t="shared" si="558"/>
        <v>0.25</v>
      </c>
      <c r="BD335" s="42" cm="1">
        <f t="array" ref="BD335">_xlfn.IFS(AD335=0,"NA",AD335&gt;0,AH335/AD335)</f>
        <v>1</v>
      </c>
      <c r="BE335" s="42">
        <f t="shared" si="559"/>
        <v>0.25</v>
      </c>
      <c r="BF335" s="44">
        <v>0</v>
      </c>
      <c r="BG335" s="42">
        <f t="shared" si="560"/>
        <v>0.25</v>
      </c>
      <c r="BH335" s="44">
        <v>0</v>
      </c>
      <c r="BI335" s="42">
        <f t="shared" si="561"/>
        <v>0</v>
      </c>
      <c r="BJ335" s="44" t="s">
        <v>115</v>
      </c>
      <c r="BK335" s="42">
        <f t="shared" si="570"/>
        <v>0.5</v>
      </c>
      <c r="BL335" s="44">
        <v>1</v>
      </c>
      <c r="BM335" s="42" cm="1">
        <f t="array" ref="BM335">_xlfn.IFS(BD335="NA","NA",BD335&gt;100%,"100%",BD335&lt;100,BD335)</f>
        <v>1</v>
      </c>
      <c r="BN335" s="42" cm="1">
        <f t="array" ref="BN335">_xlfn.IFS(BF335="NA","NA",BF335&gt;100%,"100%",BF335&lt;100,BF335)</f>
        <v>0</v>
      </c>
      <c r="BO335" s="42" cm="1">
        <f t="array" ref="BO335">_xlfn.IFS(BH335="NA","NA",BH335&gt;100%,"100%",BH335&lt;100,BH335)</f>
        <v>0</v>
      </c>
      <c r="BP335" s="42" t="str" cm="1">
        <f t="array" ref="BP335">_xlfn.IFS(BJ335="NA","NA",BJ335&gt;100%,"100%",BJ335&lt;100,BJ335)</f>
        <v>NA</v>
      </c>
      <c r="BQ335" s="45">
        <v>0.224</v>
      </c>
      <c r="BR335" s="43">
        <f t="shared" si="571"/>
        <v>0.112</v>
      </c>
      <c r="BS335" s="45">
        <v>5.6000000000000001E-2</v>
      </c>
      <c r="BT335" s="45">
        <v>5.6000000000000001E-2</v>
      </c>
      <c r="BU335" s="45">
        <v>5.6000000000000001E-2</v>
      </c>
      <c r="BV335" s="43">
        <f t="shared" si="562"/>
        <v>5.6000000000000001E-2</v>
      </c>
      <c r="BW335" s="43">
        <f t="shared" si="572"/>
        <v>5.6000000000000001E-2</v>
      </c>
      <c r="BX335" s="43">
        <f t="shared" si="573"/>
        <v>5.6000000000000001E-2</v>
      </c>
      <c r="BY335" s="43">
        <f t="shared" si="563"/>
        <v>5.6000000000000001E-2</v>
      </c>
      <c r="BZ335" s="43">
        <f t="shared" si="564"/>
        <v>0</v>
      </c>
      <c r="CA335" s="43">
        <f t="shared" si="574"/>
        <v>0</v>
      </c>
      <c r="CB335" s="43">
        <f t="shared" si="565"/>
        <v>5.6000000000000001E-2</v>
      </c>
      <c r="CC335" s="43">
        <f t="shared" si="566"/>
        <v>0</v>
      </c>
      <c r="CD335" s="45">
        <v>0</v>
      </c>
      <c r="CE335" s="43">
        <f t="shared" si="567"/>
        <v>0</v>
      </c>
      <c r="CF335" s="43" t="str">
        <f t="shared" si="568"/>
        <v>NA</v>
      </c>
      <c r="CG335" s="45">
        <v>0</v>
      </c>
    </row>
    <row r="336" spans="1:90" ht="18" customHeight="1">
      <c r="A336" s="260" t="s">
        <v>1826</v>
      </c>
      <c r="B336" s="260" t="s">
        <v>1827</v>
      </c>
      <c r="C336" s="260" t="s">
        <v>1828</v>
      </c>
      <c r="D336" s="260" t="s">
        <v>2062</v>
      </c>
      <c r="E336" s="260" t="s">
        <v>2097</v>
      </c>
      <c r="F336" s="260" t="s">
        <v>2105</v>
      </c>
      <c r="G336" s="260" t="s">
        <v>2106</v>
      </c>
      <c r="H336" s="260" t="s">
        <v>2107</v>
      </c>
      <c r="I336" s="260"/>
      <c r="J336" s="260"/>
      <c r="K336" s="260" t="s">
        <v>2108</v>
      </c>
      <c r="L336" s="260" t="s">
        <v>2109</v>
      </c>
      <c r="M336" s="260" t="s">
        <v>2110</v>
      </c>
      <c r="N336" s="260" t="s">
        <v>111</v>
      </c>
      <c r="O336" s="260" t="s">
        <v>112</v>
      </c>
      <c r="P336" s="10">
        <v>0</v>
      </c>
      <c r="Q336" s="11">
        <v>500</v>
      </c>
      <c r="R336" s="9">
        <f t="shared" si="555"/>
        <v>14</v>
      </c>
      <c r="S336" s="11" t="str">
        <f>VLOOKUP(K336,'1121 Ambiente'!$K$13:$AK$38,9,0)</f>
        <v xml:space="preserve">A través del convenio 094-2020 con CAR se han realizado visitas de verificación para el proceso de DIAGNÓSTICO, LÍNEA BASE Y SELECCIÓN DE MUNICIPIOS BENEFICIARIOS en 25 municipios de Granada, San Antonio del Tequendama, Arbeláez, Vergara, San Bernardo, Nocaima, Fusagasugá, Nimaima, La Peña, Caparrapí, Villapinzón, Pacho, Sesquilé, Bituima, Machetá, Guayabal de Síquima, Gachancipá, Sasaima y San Francisco.
</v>
      </c>
      <c r="T336" s="11">
        <v>41</v>
      </c>
      <c r="U336" s="11">
        <v>0</v>
      </c>
      <c r="V336" s="11">
        <v>0</v>
      </c>
      <c r="W336" s="11">
        <v>0</v>
      </c>
      <c r="X336" s="11">
        <v>0</v>
      </c>
      <c r="Y336" s="11">
        <v>0</v>
      </c>
      <c r="Z336" s="11">
        <v>0</v>
      </c>
      <c r="AA336" s="11">
        <v>0</v>
      </c>
      <c r="AB336" s="11"/>
      <c r="AC336" s="11">
        <v>0</v>
      </c>
      <c r="AD336" s="11">
        <v>315</v>
      </c>
      <c r="AE336" s="11">
        <v>0</v>
      </c>
      <c r="AF336" s="11">
        <f>VLOOKUP(K336,'1121 Ambiente'!$K$13:$AK$38,22,0)</f>
        <v>14</v>
      </c>
      <c r="AG336" s="11">
        <f>VLOOKUP(K336,'1121 Ambiente'!$K$13:$AK$38,23,0)</f>
        <v>0</v>
      </c>
      <c r="AH336" s="9">
        <f t="shared" si="556"/>
        <v>14</v>
      </c>
      <c r="AI336" s="9" t="str">
        <f>VLOOKUP(K336,'1121 Ambiente'!$K$13:$AK$38,25,0)</f>
        <v>14 familias beneficiadas con la construcción de estufas ecoeficientes</v>
      </c>
      <c r="AJ336" s="9" t="str">
        <f>VLOOKUP(K336,'1121 Ambiente'!$K$13:$AK$38,26,0)</f>
        <v>Se culminó la construcción de 14 estufas ecoeficientes en municipios de la jurisdicción del Guavio (Ubalá, Medina y Gachalá), a través del convenio 068-2020 CORPOGUAVIO, lo que contribuye a la reducción de emisión de gases de efecto invernadero.</v>
      </c>
      <c r="AK336" s="9">
        <f>VLOOKUP(K336,'1121 Ambiente'!$K$13:$AK$38,27,0)</f>
        <v>0</v>
      </c>
      <c r="AL336" s="11">
        <v>93</v>
      </c>
      <c r="AM336" s="11">
        <v>0</v>
      </c>
      <c r="AN336" s="11">
        <v>92</v>
      </c>
      <c r="AO336" s="11">
        <v>0</v>
      </c>
      <c r="AP336" s="11">
        <v>0</v>
      </c>
      <c r="AQ336" s="11">
        <v>0</v>
      </c>
      <c r="AR336" s="51">
        <v>200000000</v>
      </c>
      <c r="AS336" s="54">
        <v>0</v>
      </c>
      <c r="AT336" s="54">
        <f t="shared" si="569"/>
        <v>200000000</v>
      </c>
      <c r="AU336" s="51">
        <v>50000000</v>
      </c>
      <c r="AV336" s="89">
        <v>2611877149</v>
      </c>
      <c r="AY336" s="89">
        <v>9433324</v>
      </c>
      <c r="AZ336" s="42">
        <f t="shared" si="557"/>
        <v>2.8000000000000001E-2</v>
      </c>
      <c r="BA336" s="44">
        <v>0</v>
      </c>
      <c r="BB336" s="44" t="s">
        <v>115</v>
      </c>
      <c r="BC336" s="42">
        <f t="shared" si="558"/>
        <v>0.63</v>
      </c>
      <c r="BD336" s="42" cm="1">
        <f t="array" ref="BD336">_xlfn.IFS(AD336=0,"NA",AD336&gt;0,AH336/AD336)</f>
        <v>4.4444444444444446E-2</v>
      </c>
      <c r="BE336" s="42">
        <f t="shared" si="559"/>
        <v>0.186</v>
      </c>
      <c r="BF336" s="44">
        <v>0</v>
      </c>
      <c r="BG336" s="42">
        <f t="shared" si="560"/>
        <v>0.184</v>
      </c>
      <c r="BH336" s="44">
        <v>0</v>
      </c>
      <c r="BI336" s="42">
        <f t="shared" si="561"/>
        <v>0</v>
      </c>
      <c r="BJ336" s="44" t="s">
        <v>115</v>
      </c>
      <c r="BK336" s="42">
        <f t="shared" si="570"/>
        <v>2.8000000000000001E-2</v>
      </c>
      <c r="BL336" s="44" t="s">
        <v>115</v>
      </c>
      <c r="BM336" s="42" cm="1">
        <f t="array" ref="BM336">_xlfn.IFS(BD336="NA","NA",BD336&gt;100%,"100%",BD336&lt;100,BD336)</f>
        <v>4.4444444444444446E-2</v>
      </c>
      <c r="BN336" s="42" cm="1">
        <f t="array" ref="BN336">_xlfn.IFS(BF336="NA","NA",BF336&gt;100%,"100%",BF336&lt;100,BF336)</f>
        <v>0</v>
      </c>
      <c r="BO336" s="42" cm="1">
        <f t="array" ref="BO336">_xlfn.IFS(BH336="NA","NA",BH336&gt;100%,"100%",BH336&lt;100,BH336)</f>
        <v>0</v>
      </c>
      <c r="BP336" s="42" t="str" cm="1">
        <f t="array" ref="BP336">_xlfn.IFS(BJ336="NA","NA",BJ336&gt;100%,"100%",BJ336&lt;100,BJ336)</f>
        <v>NA</v>
      </c>
      <c r="BQ336" s="45">
        <v>0.224</v>
      </c>
      <c r="BR336" s="43">
        <f t="shared" si="571"/>
        <v>6.2720000000000007E-3</v>
      </c>
      <c r="BS336" s="45">
        <v>0</v>
      </c>
      <c r="BT336" s="45" t="s">
        <v>115</v>
      </c>
      <c r="BU336" s="45">
        <v>0</v>
      </c>
      <c r="BV336" s="43">
        <f t="shared" si="562"/>
        <v>0.14112</v>
      </c>
      <c r="BW336" s="43">
        <f t="shared" si="572"/>
        <v>6.2719999999999998E-3</v>
      </c>
      <c r="BX336" s="43">
        <f t="shared" si="573"/>
        <v>6.2720000000000007E-3</v>
      </c>
      <c r="BY336" s="43">
        <f t="shared" si="563"/>
        <v>4.1664E-2</v>
      </c>
      <c r="BZ336" s="43">
        <f t="shared" si="564"/>
        <v>0</v>
      </c>
      <c r="CA336" s="43">
        <f t="shared" si="574"/>
        <v>0</v>
      </c>
      <c r="CB336" s="43">
        <f t="shared" si="565"/>
        <v>4.1216000000000003E-2</v>
      </c>
      <c r="CC336" s="43">
        <f t="shared" si="566"/>
        <v>0</v>
      </c>
      <c r="CD336" s="45">
        <v>0</v>
      </c>
      <c r="CE336" s="43">
        <f t="shared" si="567"/>
        <v>0</v>
      </c>
      <c r="CF336" s="43" t="str">
        <f t="shared" si="568"/>
        <v>NA</v>
      </c>
      <c r="CG336" s="45">
        <v>0</v>
      </c>
    </row>
    <row r="337" spans="1:85" ht="18" customHeight="1">
      <c r="A337" s="260" t="s">
        <v>1826</v>
      </c>
      <c r="B337" s="260" t="s">
        <v>1827</v>
      </c>
      <c r="C337" s="260" t="s">
        <v>1828</v>
      </c>
      <c r="D337" s="260" t="s">
        <v>2062</v>
      </c>
      <c r="E337" s="260" t="s">
        <v>2097</v>
      </c>
      <c r="F337" s="260" t="s">
        <v>2105</v>
      </c>
      <c r="G337" s="260" t="s">
        <v>2106</v>
      </c>
      <c r="H337" s="260" t="s">
        <v>2111</v>
      </c>
      <c r="I337" s="260"/>
      <c r="J337" s="260"/>
      <c r="K337" s="260" t="s">
        <v>2112</v>
      </c>
      <c r="L337" s="260" t="s">
        <v>2113</v>
      </c>
      <c r="M337" s="260" t="s">
        <v>2114</v>
      </c>
      <c r="N337" s="260" t="s">
        <v>111</v>
      </c>
      <c r="O337" s="260" t="s">
        <v>112</v>
      </c>
      <c r="P337" s="10">
        <v>4</v>
      </c>
      <c r="Q337" s="11">
        <v>4</v>
      </c>
      <c r="R337" s="9">
        <f t="shared" si="555"/>
        <v>1</v>
      </c>
      <c r="S337" s="11" t="str">
        <f>VLOOKUP(K337,'1121 Ambiente'!$K$13:$AK$38,9,0)</f>
        <v xml:space="preserve">La Dirección de ecosistemas lidera un proyecto de fincas sostenibles (estructura de recolección de aguas, electrobomba, siembra de  árboles y Ecomil) con el cual se espera beneficiar 6 fincas (cacao, café y panela) en los municipios de Villeta, Nilo y Arbeláez, de las cuales se han entregado 4 (Villeta y Nilo). 
</v>
      </c>
      <c r="T337" s="11">
        <v>0.5</v>
      </c>
      <c r="U337" s="11">
        <v>0</v>
      </c>
      <c r="V337" s="11">
        <v>0.5</v>
      </c>
      <c r="W337" s="11">
        <v>0</v>
      </c>
      <c r="X337" s="11">
        <v>0.5</v>
      </c>
      <c r="Y337" s="11">
        <v>0</v>
      </c>
      <c r="Z337" s="11">
        <v>0.5</v>
      </c>
      <c r="AA337" s="11">
        <v>0</v>
      </c>
      <c r="AB337" s="11"/>
      <c r="AC337" s="11">
        <v>0</v>
      </c>
      <c r="AD337" s="11">
        <v>0.5</v>
      </c>
      <c r="AE337" s="11">
        <v>0</v>
      </c>
      <c r="AF337" s="11">
        <f>VLOOKUP(K337,'1121 Ambiente'!$K$13:$AK$38,22,0)</f>
        <v>0.5</v>
      </c>
      <c r="AG337" s="11">
        <f>VLOOKUP(K337,'1121 Ambiente'!$K$13:$AK$38,23,0)</f>
        <v>0</v>
      </c>
      <c r="AH337" s="9">
        <f t="shared" si="556"/>
        <v>0.5</v>
      </c>
      <c r="AI337" s="9" t="str">
        <f>VLOOKUP(K337,'1121 Ambiente'!$K$13:$AK$38,25,0)</f>
        <v>Se culminó proyecto de fincas sostenibles ganaderas, de café y cacao</v>
      </c>
      <c r="AJ337" s="9" t="str">
        <f>VLOOKUP(K337,'1121 Ambiente'!$K$13:$AK$38,26,0)</f>
        <v xml:space="preserve">Se terminó de ejecutar el Convenio Especial de Cooperación SA-CDCCO-075-2020 con FEDEGAN para el desarrollo de un modelo de Finca Ganadera Sostenible con baja Producción de Gases Efecto Invernadero - GEI en diez (10) municipios en la cuenca del Rio Bogotá y Alto Suarez (Chocontá, Villapinzón, Sesquilé, Suesca, Zipaquirá, Subachoque, Mosquera, Cucunubá, Ubaté y Sibate). Se beneficiaron 100 ganaderos y se entregaron 30.666 arboles y kits de apoyo a la producción a los ganaderos para implementar el modelo.
Se logro implementar  el proyecto de Fincas Sostenibles Agricolas y Adaptacion al clima de acuerdo al marco del plan regional de Cambio climatico en los municipios de Nilo, Villeta y Arbelaes. Se beneficiaron 2 familias en cada municipio con una inversion de $21.500.000 en el Municipio de Nilo con numero de  convenios  079-2020, En el Municipio de Villeta una inversion de $23.351.000 con numero de Convenio  080-2020 y  Arbelaes $20.400.000 con numero de Convenio 078-2020 . Estos 3 convenios ya finalizarón y se realizo la entrega final. </v>
      </c>
      <c r="AK337" s="9">
        <f>VLOOKUP(K337,'1121 Ambiente'!$K$13:$AK$38,27,0)</f>
        <v>0</v>
      </c>
      <c r="AL337" s="11">
        <v>2</v>
      </c>
      <c r="AM337" s="11">
        <v>0</v>
      </c>
      <c r="AN337" s="11">
        <v>1</v>
      </c>
      <c r="AO337" s="11">
        <v>0</v>
      </c>
      <c r="AP337" s="11">
        <v>0</v>
      </c>
      <c r="AQ337" s="11">
        <v>0</v>
      </c>
      <c r="AR337" s="51">
        <v>168000000</v>
      </c>
      <c r="AS337" s="54">
        <v>0</v>
      </c>
      <c r="AT337" s="54">
        <f t="shared" si="569"/>
        <v>168000000</v>
      </c>
      <c r="AU337" s="51">
        <v>168000000</v>
      </c>
      <c r="AV337" s="89">
        <v>100000000</v>
      </c>
      <c r="AY337" s="89">
        <v>0</v>
      </c>
      <c r="AZ337" s="42">
        <f t="shared" si="557"/>
        <v>0.25</v>
      </c>
      <c r="BA337" s="44">
        <v>0.125</v>
      </c>
      <c r="BB337" s="44">
        <v>1</v>
      </c>
      <c r="BC337" s="42">
        <f t="shared" si="558"/>
        <v>0.125</v>
      </c>
      <c r="BD337" s="42" cm="1">
        <f t="array" ref="BD337">_xlfn.IFS(AD337=0,"NA",AD337&gt;0,AH337/AD337)</f>
        <v>1</v>
      </c>
      <c r="BE337" s="42">
        <f t="shared" si="559"/>
        <v>0.5</v>
      </c>
      <c r="BF337" s="44">
        <v>0</v>
      </c>
      <c r="BG337" s="42">
        <f t="shared" si="560"/>
        <v>0.25</v>
      </c>
      <c r="BH337" s="44">
        <v>0</v>
      </c>
      <c r="BI337" s="42">
        <f t="shared" si="561"/>
        <v>0</v>
      </c>
      <c r="BJ337" s="44" t="s">
        <v>115</v>
      </c>
      <c r="BK337" s="42">
        <f t="shared" si="570"/>
        <v>0.25</v>
      </c>
      <c r="BL337" s="44">
        <v>1</v>
      </c>
      <c r="BM337" s="42" cm="1">
        <f t="array" ref="BM337">_xlfn.IFS(BD337="NA","NA",BD337&gt;100%,"100%",BD337&lt;100,BD337)</f>
        <v>1</v>
      </c>
      <c r="BN337" s="42" cm="1">
        <f t="array" ref="BN337">_xlfn.IFS(BF337="NA","NA",BF337&gt;100%,"100%",BF337&lt;100,BF337)</f>
        <v>0</v>
      </c>
      <c r="BO337" s="42" cm="1">
        <f t="array" ref="BO337">_xlfn.IFS(BH337="NA","NA",BH337&gt;100%,"100%",BH337&lt;100,BH337)</f>
        <v>0</v>
      </c>
      <c r="BP337" s="42" t="str" cm="1">
        <f t="array" ref="BP337">_xlfn.IFS(BJ337="NA","NA",BJ337&gt;100%,"100%",BJ337&lt;100,BJ337)</f>
        <v>NA</v>
      </c>
      <c r="BQ337" s="45">
        <v>0.224</v>
      </c>
      <c r="BR337" s="43">
        <f t="shared" si="571"/>
        <v>5.6000000000000001E-2</v>
      </c>
      <c r="BS337" s="45">
        <v>2.8000000000000001E-2</v>
      </c>
      <c r="BT337" s="45">
        <v>2.8000000000000001E-2</v>
      </c>
      <c r="BU337" s="45">
        <v>2.8000000000000001E-2</v>
      </c>
      <c r="BV337" s="43">
        <f t="shared" si="562"/>
        <v>2.8000000000000001E-2</v>
      </c>
      <c r="BW337" s="43">
        <f t="shared" si="572"/>
        <v>2.8000000000000001E-2</v>
      </c>
      <c r="BX337" s="43">
        <f t="shared" si="573"/>
        <v>2.8000000000000001E-2</v>
      </c>
      <c r="BY337" s="43">
        <f t="shared" si="563"/>
        <v>0.112</v>
      </c>
      <c r="BZ337" s="43">
        <f t="shared" si="564"/>
        <v>0</v>
      </c>
      <c r="CA337" s="43">
        <f t="shared" si="574"/>
        <v>0</v>
      </c>
      <c r="CB337" s="43">
        <f t="shared" si="565"/>
        <v>5.6000000000000001E-2</v>
      </c>
      <c r="CC337" s="43">
        <f t="shared" si="566"/>
        <v>0</v>
      </c>
      <c r="CD337" s="45">
        <v>0</v>
      </c>
      <c r="CE337" s="43">
        <f t="shared" si="567"/>
        <v>0</v>
      </c>
      <c r="CF337" s="43" t="str">
        <f t="shared" si="568"/>
        <v>NA</v>
      </c>
      <c r="CG337" s="45">
        <v>0</v>
      </c>
    </row>
    <row r="338" spans="1:85" ht="18" customHeight="1">
      <c r="A338" s="260" t="s">
        <v>1826</v>
      </c>
      <c r="B338" s="260" t="s">
        <v>1827</v>
      </c>
      <c r="C338" s="260" t="s">
        <v>1828</v>
      </c>
      <c r="D338" s="260" t="s">
        <v>2062</v>
      </c>
      <c r="E338" s="260" t="s">
        <v>2097</v>
      </c>
      <c r="F338" s="260" t="s">
        <v>2105</v>
      </c>
      <c r="G338" s="260" t="s">
        <v>2106</v>
      </c>
      <c r="H338" s="260" t="s">
        <v>2115</v>
      </c>
      <c r="I338" s="260"/>
      <c r="J338" s="260"/>
      <c r="K338" s="260" t="s">
        <v>2116</v>
      </c>
      <c r="L338" s="260" t="s">
        <v>2117</v>
      </c>
      <c r="M338" s="260" t="s">
        <v>2118</v>
      </c>
      <c r="N338" s="260" t="s">
        <v>111</v>
      </c>
      <c r="O338" s="260" t="s">
        <v>112</v>
      </c>
      <c r="P338" s="10">
        <v>0</v>
      </c>
      <c r="Q338" s="11">
        <v>100</v>
      </c>
      <c r="R338" s="9">
        <f t="shared" si="555"/>
        <v>6.4</v>
      </c>
      <c r="S338" s="11" t="str">
        <f>VLOOKUP(K338,'1121 Ambiente'!$K$13:$AK$38,9,0)</f>
        <v xml:space="preserve">Actualmente se avanza con la ejecución del convenio 076-2020 de Nilo para la reforestación de 6Ha afectadas por eventos. Para el cumplimiento total de la meta se implementará la  ESTRATEGIA ABEJAS CON LA CONSERVACIÓN que consiste en realizar restauración de los ecosistemas por medio de la polinización que ejercen las abejas, con la cual se busca la restauración de 94 hectáreas, y para lo cual se comprometerán los $200.000.000 disponibles.
climáticos, con un 40% de avance, correspondiente al reconocimiento del terreno y el inicio de la siembra de árboles.
</v>
      </c>
      <c r="T338" s="11">
        <v>8</v>
      </c>
      <c r="U338" s="11">
        <v>0</v>
      </c>
      <c r="V338" s="11">
        <v>8</v>
      </c>
      <c r="W338" s="11">
        <v>0</v>
      </c>
      <c r="X338" s="11">
        <v>0</v>
      </c>
      <c r="Y338" s="11">
        <v>0</v>
      </c>
      <c r="Z338" s="11">
        <v>0</v>
      </c>
      <c r="AA338" s="11">
        <v>0</v>
      </c>
      <c r="AB338" s="11"/>
      <c r="AC338" s="11">
        <v>0</v>
      </c>
      <c r="AD338" s="11">
        <v>31</v>
      </c>
      <c r="AE338" s="11">
        <v>0</v>
      </c>
      <c r="AF338" s="11">
        <f>VLOOKUP(K338,'1121 Ambiente'!$K$13:$AK$38,22,0)</f>
        <v>6.4</v>
      </c>
      <c r="AG338" s="11">
        <f>VLOOKUP(K338,'1121 Ambiente'!$K$13:$AK$38,23,0)</f>
        <v>0</v>
      </c>
      <c r="AH338" s="9">
        <f t="shared" si="556"/>
        <v>6.4</v>
      </c>
      <c r="AI338" s="9" t="str">
        <f>VLOOKUP(K338,'1121 Ambiente'!$K$13:$AK$38,25,0)</f>
        <v>6.4 Ha reforestadas</v>
      </c>
      <c r="AJ338" s="9" t="str">
        <f>VLOOKUP(K338,'1121 Ambiente'!$K$13:$AK$38,26,0)</f>
        <v xml:space="preserve">Se viene ejecutando el convenio SA-CDCVI-076-2020 con NILO, donde ya se sembraron 6.4 has y se estan haciendo los mantenimientos respectivos. Adicionalmente, se viene gestionanado un proyecto de reforestación pasiva por Apicultura en predios afectados por eventos climáticos en los municipios de NIlo y/o San Cayetano. </v>
      </c>
      <c r="AK338" s="9">
        <f>VLOOKUP(K338,'1121 Ambiente'!$K$13:$AK$38,27,0)</f>
        <v>0</v>
      </c>
      <c r="AL338" s="11">
        <v>25</v>
      </c>
      <c r="AM338" s="11">
        <v>0</v>
      </c>
      <c r="AN338" s="11">
        <v>36</v>
      </c>
      <c r="AO338" s="11">
        <v>0</v>
      </c>
      <c r="AP338" s="11">
        <v>0</v>
      </c>
      <c r="AQ338" s="11">
        <v>0</v>
      </c>
      <c r="AR338" s="51">
        <v>100000000</v>
      </c>
      <c r="AS338" s="54">
        <v>0</v>
      </c>
      <c r="AT338" s="54">
        <f t="shared" si="569"/>
        <v>100000000</v>
      </c>
      <c r="AU338" s="51">
        <v>100000000</v>
      </c>
      <c r="AV338" s="89">
        <v>0</v>
      </c>
      <c r="AY338" s="89">
        <v>0</v>
      </c>
      <c r="AZ338" s="42">
        <f t="shared" si="557"/>
        <v>6.4000000000000001E-2</v>
      </c>
      <c r="BA338" s="44">
        <v>0.08</v>
      </c>
      <c r="BB338" s="44">
        <v>0</v>
      </c>
      <c r="BC338" s="42">
        <f t="shared" si="558"/>
        <v>0.31</v>
      </c>
      <c r="BD338" s="42" cm="1">
        <f t="array" ref="BD338">_xlfn.IFS(AD338=0,"NA",AD338&gt;0,AH338/AD338)</f>
        <v>0.20645161290322581</v>
      </c>
      <c r="BE338" s="42">
        <f t="shared" si="559"/>
        <v>0.25</v>
      </c>
      <c r="BF338" s="44">
        <v>0</v>
      </c>
      <c r="BG338" s="42">
        <f t="shared" si="560"/>
        <v>0.36</v>
      </c>
      <c r="BH338" s="44">
        <v>0</v>
      </c>
      <c r="BI338" s="42">
        <f t="shared" si="561"/>
        <v>0</v>
      </c>
      <c r="BJ338" s="44" t="s">
        <v>115</v>
      </c>
      <c r="BK338" s="42">
        <f t="shared" si="570"/>
        <v>6.4000000000000001E-2</v>
      </c>
      <c r="BL338" s="44">
        <v>0</v>
      </c>
      <c r="BM338" s="42" cm="1">
        <f t="array" ref="BM338">_xlfn.IFS(BD338="NA","NA",BD338&gt;100%,"100%",BD338&lt;100,BD338)</f>
        <v>0.20645161290322581</v>
      </c>
      <c r="BN338" s="42" cm="1">
        <f t="array" ref="BN338">_xlfn.IFS(BF338="NA","NA",BF338&gt;100%,"100%",BF338&lt;100,BF338)</f>
        <v>0</v>
      </c>
      <c r="BO338" s="42" cm="1">
        <f t="array" ref="BO338">_xlfn.IFS(BH338="NA","NA",BH338&gt;100%,"100%",BH338&lt;100,BH338)</f>
        <v>0</v>
      </c>
      <c r="BP338" s="42" t="str" cm="1">
        <f t="array" ref="BP338">_xlfn.IFS(BJ338="NA","NA",BJ338&gt;100%,"100%",BJ338&lt;100,BJ338)</f>
        <v>NA</v>
      </c>
      <c r="BQ338" s="45">
        <v>0.224</v>
      </c>
      <c r="BR338" s="43">
        <f t="shared" si="571"/>
        <v>1.4336E-2</v>
      </c>
      <c r="BS338" s="45">
        <v>1.7899999999999999E-2</v>
      </c>
      <c r="BT338" s="45">
        <v>0</v>
      </c>
      <c r="BU338" s="45">
        <v>0</v>
      </c>
      <c r="BV338" s="43">
        <f t="shared" si="562"/>
        <v>6.9440000000000002E-2</v>
      </c>
      <c r="BW338" s="43">
        <f t="shared" si="572"/>
        <v>1.4336E-2</v>
      </c>
      <c r="BX338" s="43">
        <f t="shared" si="573"/>
        <v>1.4336E-2</v>
      </c>
      <c r="BY338" s="43">
        <f t="shared" si="563"/>
        <v>5.6000000000000008E-2</v>
      </c>
      <c r="BZ338" s="43">
        <f t="shared" si="564"/>
        <v>0</v>
      </c>
      <c r="CA338" s="43">
        <f t="shared" si="574"/>
        <v>0</v>
      </c>
      <c r="CB338" s="43">
        <f t="shared" si="565"/>
        <v>8.0640000000000003E-2</v>
      </c>
      <c r="CC338" s="43">
        <f t="shared" si="566"/>
        <v>0</v>
      </c>
      <c r="CD338" s="45">
        <v>0</v>
      </c>
      <c r="CE338" s="43">
        <f t="shared" si="567"/>
        <v>0</v>
      </c>
      <c r="CF338" s="43" t="str">
        <f t="shared" si="568"/>
        <v>NA</v>
      </c>
      <c r="CG338" s="45">
        <v>0</v>
      </c>
    </row>
    <row r="339" spans="1:85" ht="18" customHeight="1">
      <c r="A339" s="260" t="s">
        <v>1361</v>
      </c>
      <c r="B339" s="260" t="s">
        <v>1362</v>
      </c>
      <c r="C339" s="260" t="s">
        <v>1828</v>
      </c>
      <c r="D339" s="260" t="s">
        <v>2062</v>
      </c>
      <c r="E339" s="260" t="s">
        <v>2097</v>
      </c>
      <c r="F339" s="260" t="s">
        <v>2105</v>
      </c>
      <c r="G339" s="260" t="s">
        <v>2106</v>
      </c>
      <c r="H339" s="260" t="s">
        <v>2119</v>
      </c>
      <c r="I339" s="260"/>
      <c r="J339" s="260"/>
      <c r="K339" s="260" t="s">
        <v>2120</v>
      </c>
      <c r="L339" s="260" t="s">
        <v>2121</v>
      </c>
      <c r="M339" s="260" t="s">
        <v>2122</v>
      </c>
      <c r="N339" s="260" t="s">
        <v>111</v>
      </c>
      <c r="O339" s="260" t="s">
        <v>112</v>
      </c>
      <c r="P339" s="10">
        <v>59</v>
      </c>
      <c r="Q339" s="11">
        <v>50</v>
      </c>
      <c r="R339" s="9">
        <f t="shared" si="555"/>
        <v>0</v>
      </c>
      <c r="S339" s="11">
        <f>VLOOKUP(K339,'1132 Minas'!$K$13:$AK$20,9,0)</f>
        <v>0</v>
      </c>
      <c r="T339" s="11">
        <v>0</v>
      </c>
      <c r="U339" s="11">
        <v>0</v>
      </c>
      <c r="V339" s="11">
        <v>0</v>
      </c>
      <c r="W339" s="11">
        <v>0</v>
      </c>
      <c r="X339" s="11">
        <v>0</v>
      </c>
      <c r="Y339" s="11">
        <v>0</v>
      </c>
      <c r="Z339" s="11">
        <v>0</v>
      </c>
      <c r="AA339" s="11"/>
      <c r="AB339" s="11"/>
      <c r="AC339" s="11"/>
      <c r="AD339" s="11">
        <v>15</v>
      </c>
      <c r="AE339" s="11">
        <v>0</v>
      </c>
      <c r="AF339" s="11">
        <f>VLOOKUP(K339,'1132 Minas'!$K$13:$AK$20,22,0)</f>
        <v>0</v>
      </c>
      <c r="AG339" s="11">
        <f>VLOOKUP(K339,'1132 Minas'!$K$13:$AK$20,23,0)</f>
        <v>0</v>
      </c>
      <c r="AH339" s="9">
        <f t="shared" si="556"/>
        <v>0</v>
      </c>
      <c r="AI339" s="9">
        <f>VLOOKUP(K339,'1132 Minas'!$K$13:$AK$20,25,0)</f>
        <v>0</v>
      </c>
      <c r="AJ339" s="9">
        <f>VLOOKUP(K339,'1132 Minas'!$K$13:$AK$20,26,0)</f>
        <v>0</v>
      </c>
      <c r="AK339" s="9">
        <f>VLOOKUP(K339,'1132 Minas'!$K$13:$AK$20,27,0)</f>
        <v>0</v>
      </c>
      <c r="AL339" s="11">
        <v>15</v>
      </c>
      <c r="AM339" s="11">
        <v>0</v>
      </c>
      <c r="AN339" s="11">
        <v>20</v>
      </c>
      <c r="AO339" s="11">
        <v>0</v>
      </c>
      <c r="AP339" s="11">
        <v>0</v>
      </c>
      <c r="AQ339" s="11">
        <v>0</v>
      </c>
      <c r="AR339" s="51">
        <v>30000000</v>
      </c>
      <c r="AS339" s="54">
        <v>0</v>
      </c>
      <c r="AT339" s="54">
        <f t="shared" si="569"/>
        <v>30000000</v>
      </c>
      <c r="AU339" s="51">
        <v>28000000</v>
      </c>
      <c r="AV339" s="89">
        <v>150000000</v>
      </c>
      <c r="AY339" s="89">
        <v>57000000</v>
      </c>
      <c r="AZ339" s="42">
        <f t="shared" si="557"/>
        <v>0</v>
      </c>
      <c r="BA339" s="44">
        <v>0</v>
      </c>
      <c r="BB339" s="44" t="s">
        <v>115</v>
      </c>
      <c r="BC339" s="42">
        <f t="shared" si="558"/>
        <v>0.3</v>
      </c>
      <c r="BD339" s="42" cm="1">
        <f t="array" ref="BD339">_xlfn.IFS(AD339=0,"NA",AD339&gt;0,AH339/AD339)</f>
        <v>0</v>
      </c>
      <c r="BE339" s="42">
        <f t="shared" si="559"/>
        <v>0.3</v>
      </c>
      <c r="BF339" s="44">
        <v>0</v>
      </c>
      <c r="BG339" s="42">
        <f t="shared" si="560"/>
        <v>0.4</v>
      </c>
      <c r="BH339" s="44">
        <v>0</v>
      </c>
      <c r="BI339" s="42">
        <f t="shared" si="561"/>
        <v>0</v>
      </c>
      <c r="BJ339" s="44" t="s">
        <v>115</v>
      </c>
      <c r="BK339" s="42">
        <f t="shared" si="570"/>
        <v>0</v>
      </c>
      <c r="BL339" s="44" t="s">
        <v>115</v>
      </c>
      <c r="BM339" s="42" cm="1">
        <f t="array" ref="BM339">_xlfn.IFS(BD339="NA","NA",BD339&gt;100%,"100%",BD339&lt;100,BD339)</f>
        <v>0</v>
      </c>
      <c r="BN339" s="42" cm="1">
        <f t="array" ref="BN339">_xlfn.IFS(BF339="NA","NA",BF339&gt;100%,"100%",BF339&lt;100,BF339)</f>
        <v>0</v>
      </c>
      <c r="BO339" s="42" cm="1">
        <f t="array" ref="BO339">_xlfn.IFS(BH339="NA","NA",BH339&gt;100%,"100%",BH339&lt;100,BH339)</f>
        <v>0</v>
      </c>
      <c r="BP339" s="42" t="str" cm="1">
        <f t="array" ref="BP339">_xlfn.IFS(BJ339="NA","NA",BJ339&gt;100%,"100%",BJ339&lt;100,BJ339)</f>
        <v>NA</v>
      </c>
      <c r="BQ339" s="45">
        <v>0.224</v>
      </c>
      <c r="BR339" s="43">
        <f t="shared" si="571"/>
        <v>0</v>
      </c>
      <c r="BS339" s="45">
        <v>0</v>
      </c>
      <c r="BT339" s="45" t="s">
        <v>115</v>
      </c>
      <c r="BU339" s="45">
        <v>0</v>
      </c>
      <c r="BV339" s="43">
        <f t="shared" si="562"/>
        <v>6.7199999999999996E-2</v>
      </c>
      <c r="BW339" s="43">
        <f t="shared" si="572"/>
        <v>0</v>
      </c>
      <c r="BX339" s="43">
        <f t="shared" si="573"/>
        <v>0</v>
      </c>
      <c r="BY339" s="43">
        <f t="shared" si="563"/>
        <v>6.7199999999999996E-2</v>
      </c>
      <c r="BZ339" s="43">
        <f t="shared" si="564"/>
        <v>0</v>
      </c>
      <c r="CA339" s="43">
        <f t="shared" si="574"/>
        <v>0</v>
      </c>
      <c r="CB339" s="43">
        <f t="shared" si="565"/>
        <v>8.9600000000000013E-2</v>
      </c>
      <c r="CC339" s="43">
        <f t="shared" si="566"/>
        <v>0</v>
      </c>
      <c r="CD339" s="45">
        <v>0</v>
      </c>
      <c r="CE339" s="43">
        <f t="shared" si="567"/>
        <v>0</v>
      </c>
      <c r="CF339" s="43" t="str">
        <f t="shared" si="568"/>
        <v>NA</v>
      </c>
      <c r="CG339" s="45">
        <v>0</v>
      </c>
    </row>
    <row r="340" spans="1:85" ht="18" customHeight="1">
      <c r="A340" s="260" t="s">
        <v>1434</v>
      </c>
      <c r="B340" s="260" t="s">
        <v>1435</v>
      </c>
      <c r="C340" s="260" t="s">
        <v>1828</v>
      </c>
      <c r="D340" s="260" t="s">
        <v>2062</v>
      </c>
      <c r="E340" s="260" t="s">
        <v>2097</v>
      </c>
      <c r="F340" s="260" t="s">
        <v>2105</v>
      </c>
      <c r="G340" s="260" t="s">
        <v>2106</v>
      </c>
      <c r="H340" s="260" t="s">
        <v>2123</v>
      </c>
      <c r="I340" s="260"/>
      <c r="J340" s="260"/>
      <c r="K340" s="260" t="s">
        <v>2124</v>
      </c>
      <c r="L340" s="260" t="s">
        <v>2125</v>
      </c>
      <c r="M340" s="260" t="s">
        <v>2126</v>
      </c>
      <c r="N340" s="260" t="s">
        <v>111</v>
      </c>
      <c r="O340" s="260" t="s">
        <v>112</v>
      </c>
      <c r="P340" s="10">
        <v>150</v>
      </c>
      <c r="Q340" s="11">
        <v>120</v>
      </c>
      <c r="R340" s="9">
        <f t="shared" si="555"/>
        <v>52.480000000000004</v>
      </c>
      <c r="S340" s="11" t="str">
        <f>VLOOKUP(K340,'1128 TICS'!$K$13:$AK$27,9,0)</f>
        <v>Se firmó convenio con un gestor ambiental para el tratamiento adecuado de los RAEE y se han recolectado 35,448 TN</v>
      </c>
      <c r="T340" s="11">
        <v>5</v>
      </c>
      <c r="U340" s="11">
        <v>0</v>
      </c>
      <c r="V340" s="11">
        <v>5</v>
      </c>
      <c r="W340" s="11">
        <v>0</v>
      </c>
      <c r="X340" s="11">
        <v>5.0199999999999996</v>
      </c>
      <c r="Y340" s="11">
        <v>0</v>
      </c>
      <c r="Z340" s="11">
        <v>5.0199999999999996</v>
      </c>
      <c r="AA340" s="11" t="s">
        <v>2127</v>
      </c>
      <c r="AB340" s="11" t="s">
        <v>2128</v>
      </c>
      <c r="AC340" s="11">
        <v>0</v>
      </c>
      <c r="AD340" s="11">
        <v>40</v>
      </c>
      <c r="AE340" s="11">
        <v>0</v>
      </c>
      <c r="AF340" s="11">
        <f>VLOOKUP(K340,'1128 TICS'!$K$13:$AK$27,22,0)</f>
        <v>47.46</v>
      </c>
      <c r="AG340" s="11">
        <f>VLOOKUP(K340,'1128 TICS'!$K$13:$AK$27,23,0)</f>
        <v>0</v>
      </c>
      <c r="AH340" s="9">
        <f t="shared" si="556"/>
        <v>47.46</v>
      </c>
      <c r="AI340" s="9" t="str">
        <f>VLOOKUP(K340,'1128 TICS'!$K$13:$AK$27,25,0)</f>
        <v>47,46 Tn se han acumulado mediente brigadas de recolección de residuos de aparatos eléctricos y electrónicos RAEE en entidades del nivel central,  en Municipios y otras entidades públicas. " - 
 - 
-Se realizó la siembra de 600 árboles en el Municipio de Sibaté, 300 en Pacho y 300 más en San Antonio del Tequendama.</v>
      </c>
      <c r="AJ340" s="9" t="str">
        <f>VLOOKUP(K340,'1128 TICS'!$K$13:$AK$27,26,0)</f>
        <v>52,49 Tn se han acumulado mediente brigadas de recolección de residuos de aparatos eléctricos y electrónicos RAEE en entidades del nivel central,  en Municipios y otras entidades públicas. " - En 2020 se firmó convenio a $0, con el gestor ambiental para el tratamiento final de los RAEE, Aportan el transportede los residuos y 100 árboles por cada TN recolectada
 - Se realizó la siembra de 600 árboles en el Municipio de Sibaté, 300 en Pacho y 300 más en San Antonio del Tequendama.</v>
      </c>
      <c r="AK340" s="9">
        <f>VLOOKUP(K340,'1128 TICS'!$K$13:$AK$27,27,0)</f>
        <v>0</v>
      </c>
      <c r="AL340" s="11">
        <v>40</v>
      </c>
      <c r="AM340" s="11">
        <v>0</v>
      </c>
      <c r="AN340" s="11">
        <v>35</v>
      </c>
      <c r="AO340" s="11">
        <v>0</v>
      </c>
      <c r="AP340" s="11">
        <v>0</v>
      </c>
      <c r="AQ340" s="11">
        <v>0</v>
      </c>
      <c r="AR340" s="52"/>
      <c r="AS340" s="54">
        <v>0</v>
      </c>
      <c r="AT340" s="54">
        <f t="shared" si="569"/>
        <v>0</v>
      </c>
      <c r="AU340" s="52"/>
      <c r="AV340" s="89">
        <v>64000000</v>
      </c>
      <c r="AY340" s="89">
        <v>0</v>
      </c>
      <c r="AZ340" s="42">
        <f t="shared" si="557"/>
        <v>0.43733333333333335</v>
      </c>
      <c r="BA340" s="44">
        <v>4.1700000000000001E-2</v>
      </c>
      <c r="BB340" s="44">
        <v>1.004</v>
      </c>
      <c r="BC340" s="42">
        <f t="shared" si="558"/>
        <v>0.33333333333333331</v>
      </c>
      <c r="BD340" s="42" cm="1">
        <f t="array" ref="BD340">_xlfn.IFS(AD340=0,"NA",AD340&gt;0,AH340/AD340)</f>
        <v>1.1865000000000001</v>
      </c>
      <c r="BE340" s="42">
        <f t="shared" si="559"/>
        <v>0.33333333333333331</v>
      </c>
      <c r="BF340" s="44">
        <v>0</v>
      </c>
      <c r="BG340" s="42">
        <f t="shared" si="560"/>
        <v>0.29166666666666669</v>
      </c>
      <c r="BH340" s="44">
        <v>0</v>
      </c>
      <c r="BI340" s="42">
        <f t="shared" si="561"/>
        <v>0</v>
      </c>
      <c r="BJ340" s="44" t="s">
        <v>115</v>
      </c>
      <c r="BK340" s="42">
        <f t="shared" si="570"/>
        <v>0.43733333333333335</v>
      </c>
      <c r="BL340" s="44">
        <v>1</v>
      </c>
      <c r="BM340" s="42" t="str" cm="1">
        <f t="array" ref="BM340">_xlfn.IFS(BD340="NA","NA",BD340&gt;100%,"100%",BD340&lt;100,BD340)</f>
        <v>100%</v>
      </c>
      <c r="BN340" s="42" cm="1">
        <f t="array" ref="BN340">_xlfn.IFS(BF340="NA","NA",BF340&gt;100%,"100%",BF340&lt;100,BF340)</f>
        <v>0</v>
      </c>
      <c r="BO340" s="42" cm="1">
        <f t="array" ref="BO340">_xlfn.IFS(BH340="NA","NA",BH340&gt;100%,"100%",BH340&lt;100,BH340)</f>
        <v>0</v>
      </c>
      <c r="BP340" s="42" t="str" cm="1">
        <f t="array" ref="BP340">_xlfn.IFS(BJ340="NA","NA",BJ340&gt;100%,"100%",BJ340&lt;100,BJ340)</f>
        <v>NA</v>
      </c>
      <c r="BQ340" s="45">
        <v>0.224</v>
      </c>
      <c r="BR340" s="43">
        <f t="shared" si="571"/>
        <v>9.796266666666667E-2</v>
      </c>
      <c r="BS340" s="45">
        <v>9.2999999999999992E-3</v>
      </c>
      <c r="BT340" s="45">
        <v>9.2999999999999992E-3</v>
      </c>
      <c r="BU340" s="45">
        <v>9.4000000000000004E-3</v>
      </c>
      <c r="BV340" s="43">
        <f t="shared" si="562"/>
        <v>7.4666666666666673E-2</v>
      </c>
      <c r="BW340" s="43">
        <f t="shared" si="572"/>
        <v>7.4666666666666673E-2</v>
      </c>
      <c r="BX340" s="43">
        <f t="shared" si="573"/>
        <v>8.8562666666666665E-2</v>
      </c>
      <c r="BY340" s="43">
        <f t="shared" si="563"/>
        <v>7.4666666666666673E-2</v>
      </c>
      <c r="BZ340" s="43">
        <f t="shared" si="564"/>
        <v>0</v>
      </c>
      <c r="CA340" s="43">
        <f t="shared" si="574"/>
        <v>0</v>
      </c>
      <c r="CB340" s="43">
        <f t="shared" si="565"/>
        <v>6.5333333333333327E-2</v>
      </c>
      <c r="CC340" s="43">
        <f t="shared" si="566"/>
        <v>0</v>
      </c>
      <c r="CD340" s="45">
        <v>0</v>
      </c>
      <c r="CE340" s="43">
        <f t="shared" si="567"/>
        <v>0</v>
      </c>
      <c r="CF340" s="43" t="str">
        <f t="shared" si="568"/>
        <v>NA</v>
      </c>
      <c r="CG340" s="45">
        <v>0</v>
      </c>
    </row>
    <row r="341" spans="1:85" ht="18" customHeight="1">
      <c r="A341" s="260" t="s">
        <v>1302</v>
      </c>
      <c r="B341" s="260" t="s">
        <v>1303</v>
      </c>
      <c r="C341" s="260" t="s">
        <v>2129</v>
      </c>
      <c r="D341" s="260" t="s">
        <v>2130</v>
      </c>
      <c r="E341" s="260" t="s">
        <v>2131</v>
      </c>
      <c r="F341" s="260" t="s">
        <v>3013</v>
      </c>
      <c r="G341" s="260" t="s">
        <v>3014</v>
      </c>
      <c r="H341" s="260" t="s">
        <v>2134</v>
      </c>
      <c r="I341" s="260"/>
      <c r="J341" s="260"/>
      <c r="K341" s="260" t="s">
        <v>2135</v>
      </c>
      <c r="L341" s="260" t="s">
        <v>2136</v>
      </c>
      <c r="M341" s="260" t="s">
        <v>2137</v>
      </c>
      <c r="N341" s="260" t="s">
        <v>111</v>
      </c>
      <c r="O341" s="260" t="s">
        <v>112</v>
      </c>
      <c r="P341" s="10">
        <v>2709</v>
      </c>
      <c r="Q341" s="11">
        <v>3000</v>
      </c>
      <c r="R341" s="9">
        <f t="shared" si="555"/>
        <v>462</v>
      </c>
      <c r="S341" s="11" t="str">
        <f>VLOOKUP(K341,'1124 Agricultura'!$K$13:$AK$25,9,0)</f>
        <v xml:space="preserve">Se estiman 5 procesos que darán cumplimiento a la meta en esta vigencia los cuales abordaran toda la estrategia ZODAS en diferentes sistemas productivos. Estos procesos son: 
• Pesca Artesanal: Se generó el memorando de entendimiento con la AUNAP (Autoridad Nacional de Acuicultura y Pesca) con el fin de realizar repoblamientos ictiológico (siembra de alevinos). Se han realizado 5 repoblamientos de los 6 proyectados. Así mismo y dando cumplimiento a la estrategia ZODAS se han abordado los diferentes puntos de la estrategia así:
1.	Circuitos cortos de comercialización: Se han capacitado a los pescadores en la comercialización responsable 
2.	Fortalecimiento de la Asociatividad: Se dictó charlas y capacitaciones a los pescadores artesanales, brindándoles herramientas para su desarrollo intelectual y económico.
3.	Acompañamiento Técnico: Se dictó capacitaciones a los beneficiarios y se acompañó técnicamente a los mismos en temas como: Tallas optimas de los animales para su extracción, importancia en el cuidado del recurso hídrico y la sensibilización frente a la problemática en la amenaza actual de la pesca artesanal. Así mismo se han realizado 5 repoblamientos ictiológicos (siembra de alevinos) de los 6 proyectados en 6 municipios del departamento (Puerto Salgar, Guaduas, Ricaurte, Útica, Caparrapí y Yacopí) sembrando un total a la fecha de 1.693.557 especies de peces como Bocachico, Mojarrra Criolla, Dorada y Guabina, Pataló y Capaz en los ríos Negro, Negrito, Guaduero, Sumapaz,  Pagüey, Quebrada Picalá, Caño Corán, Río Terán, Río Pata y Río Cáceres. Como fortalecimiento a los pescadores se les suministro bienes y elementos para fortalecer este sistema productivo como Motor fuera de borda, canoa artesanal, atarraya de 3 puntos, chaleco salvavidas, botiquín de primeros auxilios, neveras insuladas, carrete de pesca nylon, bascula de 60 Kg, congelador horizontal 535 litros, bolsas plásticas, bandas de caucho por kilo, suministro de oxígeno gaseoso / repoblamiento y kit de eviscerado, cofias, peto, cuchillos y guantes. La entrega de los kits pesqueros se hizo a 9 municipios (Beltran, Chaguaní, Girardot, Guaduas, Nariño, Guataquí, Puerto Salgar, Ricaurte y San Juan de Rio Seco) beneficiando a 14 asociaciones con 429 asociados. Se capacitaron a los pescadores artesanales en temas ambientales, asociatividad, seguridad alimentaria, comercialización cosecha y venda a la fija. Se está creando la Federación de Pescadores Artesanales con el fin de garantizar mercados locales, municipales y departamentales.
4.	Agricultura Sostenible: Se les capacitó a los beneficiarios en entregar valor agregado al producto que venden a través de la limpieza del mismo brindando una mejor inocuidad del producto con la cadena de frio por medio de las neveras  insuladas. Se brindó énfasis en el cuidado del recurso hídrico como fuente de trabajo y sostenibilidad del sistema productivo.
5.	Acompañamiento Psicosocial: La Secretaría de Agricultura y Desarrollo Rural participa en el Comité Departamental para la Prevención  y Erradicación del Trabajo Infantil y dentro de su misionalidad de la secretaría está el mejoramiento de la calidad de vida de la población rural y en el trabajo con los pesqueros se detectó las malas prácticas y trabajos infantiles a temprana edad en la exposición agrícola, pecuaria y de pesca y es por eso que por medio del acompañamiento psicosocial se hizo un seguimiento y asesoramiento a los hijos de los pescadores capacitándolos en el tema “Guardianes de la Pesca” abordando la importancia de ser cuidadores  de los recursos hídricos  y de las especies que allí habitan, impartiendo también la importancia  de cumplir con las obligaciones escolares. Esta capacitación se impartió con el apoyo de la AUNAP y se les hizo entrega de material didáctico. 
• Trabajo con Mujeres Fundación Alpina: Se están beneficiando a 300 familias de 10 municipios donde ya se socializo el proyecto, se realizó todas las visitas de verificación técnica en los predios de los beneficiarios, se seleccionaron los lugares donde van a estar los centros de plantulación y siembra de setas los cuales ya se terminó el proceso de su construcción física, se realizó la fase de capacitación en gastronomía, en producción y temas agronómicos. Nos encontramos en la fase de dotación de maquinaria y equipos requerida. Ya se realizó las primeras ventas institucionales de productos en el edificio administrativo de Alpina donde se comercializaron 150 mercados todos de productos provenientes de las huertas de las familias beneficiarias vendidos a los empleados de Alpina en la sede de Sopó. 
AVANCE ALPINA: 300 FAMILIAS
• Trabajo con familias de cafeteros: Se estima atender 269 familias. Se han ejecutado 22 acopios de café pergamino seco (ya listo para moler) de los 30 programados los cuales se hicieron en Guaduas, Viotá (x2), Nilo (x3), Quipile, la Mesa, Medina (x2), San Juan de Rio seco, Guayabetal (x3), Vergara, Sasaima, Quipile, La Vega, Gacheta, Quetame, Fomeque, Manta con la participación de 68 productores y se ha acopiado un volumen promedio de 2.652 kg en cada jornada.  Así mismo se han hecho otros 5 acopios en la micro central de Gacheta, Gachalá, San Cayetano y Nilo (x2) de café cereza (de cómo se toma directo de la planta) donde han participado 86 productores y se han entregado 156 bultos de fertilizante Producafe como contraprestación a la venta de café cereza aportados por la Federación Nacional de Cafeteros.
Así mismo se han inscrito 30 productores cafeteros en el Concurso Nacional de Microlotes quienes han recibido 60 bultos de fertilizante producto de su participación.
Ya se hizo la compra de los 8  kit de maquinaria y 3 sistemas de cargue de café. Esta entrega se prevé realizar entre el 09 y 21 de diciembre.
Se realizó la caracterización de 269 familias pertenecientes a caficultores inscritos en las asociaciones.
Finalmente, una vez se realice la entrega de los kits de maquinaria y sistemas de cargue se planea adelantar las capacitaciones en los siguientes componentes:
•	Circuitos cortos de comercialización
•	Fortalecimiento a la asociatividad y emprendimiento
•	Acompañamiento técnico especializado de acuerdo a cada sistema productivo (Agricultura Sostenible)
•	Componente social (Acompañamiento psicosocial, trabajo infantil)
• Conpes Lechero: Se van atender 180 familias. El convenio comenzó la ejecución a partir del 28 de agosto. Frente a la estrategia se ha realizado:
1.	Circuitos Cortos de Comercialización y Mercados de Proximidad: la comercialización se ha llevado a cabo por medio de circuitos cortos de comercialización y mercados de proximidad, ya que la recolección del producto se realiza en finca o en acopio por lo tanto el fortalecimiento en este proyecto consiste en mejorar a través de los módulos de capacitación y gestión del conocimiento a 180 productores de organizaciones en los municipios de Anolaima, la Calera, Guatavita, Sesquilé, Fúquene y Zipaquirá, en cuanto a calidad de leche fortalecimiento empresarial buenas practicas ganaderas que permitan que el productor pueda ofrecer un mejor producto y así tener mayor capacidad de maniobrabilidad a la hora de acceder a los mercados que tienen en la zona.
2.	Fortalecimiento a la Asociatividad y Emprendimiento: Se realizó 2 capacitaciones y talleres de Marketing digital y talleres de plan de negocios donde se han beneficiado 180 asociados de las seis asociaciones de los municipios beneficiados de Conpes lácteo de Zipaquirá, Guatavita, Sesquilé, La Calera, Fúquene y Anolaima abordando los siguientes temas 
•	Conceptos básicos 
•	Transformación Digital
•	Canales digitales
•	Ecosistemas digitales 
•	Estrategias de comercialización 
•	Gestión empresarial
•	Economía solidaria
•	Importancia de la contabilidad y costos en la ruralidad 
•	Cultura del ahorro
3.	Acompañamiento Técnico Especializado: Los beneficiarios ha venido obteniendo un acompañamiento a través de un profesional del sector agropecuario más el acompañamiento de personal técnico en los diferentes temas que se desarrollan 
4.	Agricultura y Ganadería Sostenible: En el componente denominado transferencia de tecnología en nutrición uno de los ítem consiste en la entrega y siembra de 150 árboles más el aislamiento en los predios de cada uno de los 180 productores. Este sistema mejora la calidad de suelo, disminuye la emisión de gases efecto invernadero, protege las zonas de ronda y ofrece una alternativa nutricional para el ganado bovino. 
5.	Componente Social: Se diseñó un instrumento de caracterización socio organizativo y se implementó en las seis asociaciones capacitaciones y talleres lúdico-pedagógicos sobre habilidades blandas y asociativas a las 180 familias beneficiadas abordando los siguientes temas: 
•	Conceptos básicos
•	Liderazgo
•	Resolución de conflictos
•	Trabajo en equipo 
•	Comunicación asertiva 
• RAP-E Se beneficiaron 162 familias  con:
1.	Circuitos cortos de comercialización y mercados de proximidad: Se realizó una rueda de negocios en la secretaria de desarrollo económico en la plaza de artesanos el 23 de nov
2.	Fortalecimiento a la asociatividad y emprendimiento: Se desarrolló con el Operador Fundases  la metodología de las capacitaciones que se dictaron en los siguientes temas: (1)  Administrativos y  logísticos de las organizaciones, (2) Contabilidad y costos de producción (3) Diagnostico BPA de buenas prácticas agrícolas. 
3.	Acompañamiento técnico: Se les hizo una visita a los predios de los productores beneficiarios del convenio y se les realizo diagnóstico de BPA de acuerdo a cada sistema productivo
4.	Agricultura sostenible: Con el diagnostico de BPA se les practico y capacito sobre la agricultura sostenible haciendo énfasis en la conservación de los recursos naturales, agricultura limpia, capacitaciones en logística de reversa con revisión de desperdicios, manejo de fertilizantes e insumos.
5.	Componente social: Capacitación y acompañamiento con el programa ciudadanía alimentaria donde se enseña y sensibiliza sobre los procesos de producción de alimentación para todos los entornos garantizando una seguridad alimentaria
AVANCE: 162 familias
Como apoyo a los diferentes procesos de la Estrategia Zodas se han realizado entrega de Insumos y Semillas como reactivación económica a 9.405 productores de 70 municipios donde se beneficiaron con fertilizantes orgánicos y químicos, abonos orgánicos, enmiendas y semillas, los cuales ya están caracterizados de acuerdo a solicitudes de Asociaciones, Juntas de Acción Comunal y Alcaldías  buscando seguridad alimentaria  y la generación de excedentes. El contrato se prorrogo hasta el 20 de diciembre dado que se presentaron retrasos logísticos por parte de los beneficiarios al momento de la recogida de los insumos.
</v>
      </c>
      <c r="T341" s="11">
        <v>300</v>
      </c>
      <c r="U341" s="11">
        <v>0</v>
      </c>
      <c r="V341" s="11">
        <v>5</v>
      </c>
      <c r="W341" s="11">
        <v>0</v>
      </c>
      <c r="X341" s="11">
        <v>0</v>
      </c>
      <c r="Y341" s="11">
        <v>0</v>
      </c>
      <c r="Z341" s="11">
        <v>0</v>
      </c>
      <c r="AA341" s="11">
        <v>0</v>
      </c>
      <c r="AB341" s="11" t="s">
        <v>2138</v>
      </c>
      <c r="AC341" s="11">
        <v>0</v>
      </c>
      <c r="AD341" s="11">
        <v>1417</v>
      </c>
      <c r="AE341" s="11">
        <v>0</v>
      </c>
      <c r="AF341" s="11">
        <f>VLOOKUP(K341,'1124 Agricultura'!$K$13:$AK$25,22,0)</f>
        <v>462</v>
      </c>
      <c r="AG341" s="11">
        <f>VLOOKUP(K341,'1124 Agricultura'!$K$13:$AK$25,23,0)</f>
        <v>0</v>
      </c>
      <c r="AH341" s="9">
        <f t="shared" si="556"/>
        <v>462</v>
      </c>
      <c r="AI341" s="9" t="str">
        <f>VLOOKUP(K341,'1124 Agricultura'!$K$13:$AK$25,25,0)</f>
        <v>Familias Beneficiadas con Zonas de Desarrollo Agropecuario</v>
      </c>
      <c r="AJ341" s="9" t="str">
        <f>VLOOKUP(K341,'1124 Agricultura'!$K$13:$AK$25,26,0)</f>
        <v xml:space="preserve">Se estiman 5 procesos que darán cumplimiento a la meta en esta vigencia los cuales abordaran toda la estrategia ZODAS en diferentes sistemas productivos. Estos procesos son: 
• Pesca Artesanal: Se generó el memorando de entendimiento con la AUNAP (Autoridad Nacional de Acuicultura y Pesca) con el fin de realizar repoblamientos ictiológico (siembra de alevinos). Se han realizado 5 repoblamientos de los 6 proyectados. Así mismo y dando cumplimiento a la estrategia ZODAS se han abordado los diferentes puntos de la estrategia así:
1.	Circuitos cortos de comercialización: Se han capacitado a los pescadores en la comercialización responsable 
2.	Fortalecimiento de la Asociatividad: Se dictó charlas y capacitaciones a los pescadores artesanales, brindándoles herramientas para su desarrollo intelectual y económico.
3.	Acompañamiento Técnico: Se dictó capacitaciones a los beneficiarios y se acompañó técnicamente a los mismos en temas como: Tallas optimas de los animales para su extracción, importancia en el cuidado del recurso hídrico y la sensibilización frente a la problemática en la amenaza actual de la pesca artesanal. Así mismo se han realizado 5 repoblamientos ictiológicos (siembra de alevinos) de los 6 proyectados en 6 municipios del departamento (Puerto Salgar, Guaduas, Ricaurte, Útica, Caparrapí y Yacopí) sembrando un total a la fecha de 1.693.557 especies de peces como Bocachico, Mojarrra Criolla, Dorada y Guabina, Pataló y Capaz en los ríos Negro, Negrito, Guaduero, Sumapaz,  Pagüey, Quebrada Picalá, Caño Corán, Río Terán, Río Pata y Río Cáceres. Como fortalecimiento a los pescadores se les suministro bienes y elementos para fortalecer este sistema productivo como Motor fuera de borda, canoa artesanal, atarraya de 3 puntos, chaleco salvavidas, botiquín de primeros auxilios, neveras insuladas, carrete de pesca nylon, bascula de 60 Kg, congelador horizontal 535 litros, bolsas plásticas, bandas de caucho por kilo, suministro de oxígeno gaseoso / repoblamiento y kit de eviscerado, cofias, peto, cuchillos y guantes. La entrega de los kits pesqueros se hizo a 9 municipios (Beltran, Chaguaní, Girardot, Guaduas, Nariño, Guataquí, Puerto Salgar, Ricaurte y San Juan de Rio Seco) beneficiando a 14 asociaciones con 429 asociados. Se capacitaron a los pescadores artesanales en temas ambientales, asociatividad, seguridad alimentaria, comercialización cosecha y venda a la fija. Se está creando la Federación de Pescadores Artesanales con el fin de garantizar mercados locales, municipales y departamentales.
4.	Agricultura Sostenible: Se les capacitó a los beneficiarios en entregar valor agregado al producto que venden a través de la limpieza del mismo brindando una mejor inocuidad del producto con la cadena de frio por medio de las neveras  insuladas. Se brindó énfasis en el cuidado del recurso hídrico como fuente de trabajo y sostenibilidad del sistema productivo.
5.	Acompañamiento Psicosocial: La Secretaría de Agricultura y Desarrollo Rural participa en el Comité Departamental para la Prevención  y Erradicación del Trabajo Infantil y dentro de su misionalidad de la secretaría está el mejoramiento de la calidad de vida de la población rural y en el trabajo con los pesqueros se detectó las malas prácticas y trabajos infantiles a temprana edad en la exposición agrícola, pecuaria y de pesca y es por eso que por medio del acompañamiento psicosocial se hizo un seguimiento y asesoramiento a los hijos de los pescadores capacitándolos en el tema “Guardianes de la Pesca” abordando la importancia de ser cuidadores  de los recursos hídricos  y de las especies que allí habitan, impartiendo también la importancia  de cumplir con las obligaciones escolares. Esta capacitación se impartió con el apoyo de la AUNAP y se les hizo entrega de material didáctico. 
• Trabajo con Mujeres Fundación Alpina: Se están beneficiando a 300 familias de 10 municipios donde ya se socializo el proyecto, se realizó todas las visitas de verificación técnica en los predios de los beneficiarios, se seleccionaron los lugares donde van a estar los centros de plantulación y siembra de setas los cuales ya se terminó el proceso de su construcción física, se realizó la fase de capacitación en gastronomía, en producción y temas agronómicos. Nos encontramos en la fase de dotación de maquinaria y equipos requerida. Ya se realizó las primeras ventas institucionales de productos en el edificio administrativo de Alpina donde se comercializaron 150 mercados todos de productos provenientes de las huertas de las familias beneficiarias vendidos a los empleados de Alpina en la sede de Sopó. 
AVANCE ALPINA: 300 FAMILIAS
• Trabajo con familias de cafeteros: Se estima atender 269 familias. Se han ejecutado 22 acopios de café pergamino seco (ya listo para moler) de los 30 programados los cuales se hicieron en Guaduas, Viotá (x2), Nilo (x3), Quipile, la Mesa, Medina (x2), San Juan de Rio seco, Guayabetal (x3), Vergara, Sasaima, Quipile, La Vega, Gacheta, Quetame, Fomeque, Manta con la participación de 68 productores y se ha acopiado un volumen promedio de 2.652 kg en cada jornada.  Así mismo se han hecho otros 5 acopios en la micro central de Gacheta, Gachalá, San Cayetano y Nilo (x2) de café cereza (de cómo se toma directo de la planta) donde han participado 86 productores y se han entregado 156 bultos de fertilizante Producafe como contraprestación a la venta de café cereza aportados por la Federación Nacional de Cafeteros.
Así mismo se han inscrito 30 productores cafeteros en el Concurso Nacional de Microlotes quienes han recibido 60 bultos de fertilizante producto de su participación.
Ya se hizo la compra de los 8  kit de maquinaria y 3 sistemas de cargue de café. Esta entrega se prevé realizar entre el 09 y 21 de diciembre.
Se realizó la caracterización de 269 familias pertenecientes a caficultores inscritos en las asociaciones.
Finalmente, una vez se realice la entrega de los kits de maquinaria y sistemas de cargue se planea adelantar las capacitaciones en los siguientes componentes:
•	Circuitos cortos de comercialización
•	Fortalecimiento a la asociatividad y emprendimiento
•	Acompañamiento técnico especializado de acuerdo a cada sistema productivo (Agricultura Sostenible)
•	Componente social (Acompañamiento psicosocial, trabajo infantil)
• Conpes Lechero: Se van atender 180 familias. El convenio comenzó la ejecución a partir del 28 de agosto. Frente a la estrategia se ha realizado:
1.	Circuitos Cortos de Comercialización y Mercados de Proximidad: la comercialización se ha llevado a cabo por medio de circuitos cortos de comercialización y mercados de proximidad, ya que la recolección del producto se realiza en finca o en acopio por lo tanto el fortalecimiento en este proyecto consiste en mejorar a través de los módulos de capacitación y gestión del conocimiento a 180 productores de organizaciones en los municipios de Anolaima, la Calera, Guatavita, Sesquilé, Fúquene y Zipaquirá, en cuanto a calidad de leche fortalecimiento empresarial buenas practicas ganaderas que permitan que el productor pueda ofrecer un mejor producto y así tener mayor capacidad de maniobrabilidad a la hora de acceder a los mercados que tienen en la zona.
2.	Fortalecimiento a la Asociatividad y Emprendimiento: Se realizó 2 capacitaciones y talleres de Marketing digital y talleres de plan de negocios donde se han beneficiado 180 asociados de las seis asociaciones de los municipios beneficiados de Conpes lácteo de Zipaquirá, Guatavita, Sesquilé, La Calera, Fúquene y Anolaima abordando los siguientes temas 
•	Conceptos básicos 
•	Transformación Digital
•	Canales digitales
•	Ecosistemas digitales 
•	Estrategias de comercialización 
•	Gestión empresarial
•	Economía solidaria
•	Importancia de la contabilidad y costos en la ruralidad 
•	Cultura del ahorro
3.	Acompañamiento Técnico Especializado: Los beneficiarios ha venido obteniendo un acompañamiento a través de un profesional del sector agropecuario más el acompañamiento de personal técnico en los diferentes temas que se desarrollan 
4.	Agricultura y Ganadería Sostenible: En el componente denominado transferencia de tecnología en nutrición uno de los ítem consiste en la entrega y siembra de 150 árboles más el aislamiento en los predios de cada uno de los 180 productores. Este sistema mejora la calidad de suelo, disminuye la emisión de gases efecto invernadero, protege las zonas de ronda y ofrece una alternativa nutricional para el ganado bovino. 
5.	Componente Social: Se diseñó un instrumento de caracterización socio organizativo y se implementó en las seis asociaciones capacitaciones y talleres lúdico-pedagógicos sobre habilidades blandas y asociativas a las 180 familias beneficiadas abordando los siguientes temas: 
•	Conceptos básicos
•	Liderazgo
•	Resolución de conflictos
•	Trabajo en equipo 
•	Comunicación asertiva 
• RAP-E Se beneficiaron 162 familias  con:
1.	Circuitos cortos de comercialización y mercados de proximidad: Se realizó una rueda de negocios en la secretaria de desarrollo económico en la plaza de artesanos el 23 de nov
2.	Fortalecimiento a la asociatividad y emprendimiento: Se desarrolló con el Operador Fundases  la metodología de las capacitaciones que se dictaron en los siguientes temas: (1)  Administrativos y  logísticos de las organizaciones, (2) Contabilidad y costos de producción (3) Diagnostico BPA de buenas prácticas agrícolas. 
3.	Acompañamiento técnico: Se les hizo una visita a los predios de los productores beneficiarios del convenio y se les realizo diagnóstico de BPA de acuerdo a cada sistema productivo
4.	Agricultura sostenible: Con el diagnostico de BPA se les practico y capacito sobre la agricultura sostenible haciendo énfasis en la conservación de los recursos naturales, agricultura limpia, capacitaciones en logística de reversa con revisión de desperdicios, manejo de fertilizantes e insumos.
5.	Componente social: Capacitación y acompañamiento con el programa ciudadanía alimentaria donde se enseña y sensibiliza sobre los procesos de producción de alimentación para todos los entornos garantizando una seguridad alimentaria
AVANCE: 162 familias
Como apoyo a los diferentes procesos de la Estrategia Zodas se han realizado entrega de Insumos y Semillas como reactivación económica a 9.405 productores de 70 municipios donde se beneficiaron con fertilizantes orgánicos y químicos, abonos orgánicos, enmiendas y semillas, los cuales ya están caracterizados de acuerdo a solicitudes de Asociaciones, Juntas de Acción Comunal y Alcaldías  buscando seguridad alimentaria  y la generación de excedentes. El contrato se prorrogo hasta el 20 de diciembre dado que se presentaron retrasos logísticos por parte de los beneficiarios al momento de la recogida de los insumos.
</v>
      </c>
      <c r="AK341" s="9">
        <f>VLOOKUP(K341,'1124 Agricultura'!$K$13:$AK$25,27,0)</f>
        <v>0</v>
      </c>
      <c r="AL341" s="11">
        <v>1000</v>
      </c>
      <c r="AM341" s="11">
        <v>0</v>
      </c>
      <c r="AN341" s="11">
        <v>583</v>
      </c>
      <c r="AO341" s="11">
        <v>0</v>
      </c>
      <c r="AP341" s="11">
        <v>0</v>
      </c>
      <c r="AQ341" s="11">
        <v>0</v>
      </c>
      <c r="AR341" s="51">
        <v>40000000</v>
      </c>
      <c r="AS341" s="54">
        <v>0</v>
      </c>
      <c r="AT341" s="54">
        <f t="shared" si="569"/>
        <v>40000000</v>
      </c>
      <c r="AU341" s="51">
        <v>40000000</v>
      </c>
      <c r="AV341" s="89">
        <v>5162500000</v>
      </c>
      <c r="AY341" s="89">
        <v>560000000</v>
      </c>
      <c r="AZ341" s="42">
        <f t="shared" si="557"/>
        <v>0.154</v>
      </c>
      <c r="BA341" s="44">
        <v>1.6999999999999999E-3</v>
      </c>
      <c r="BB341" s="44">
        <v>0</v>
      </c>
      <c r="BC341" s="42">
        <f t="shared" si="558"/>
        <v>0.47233333333333333</v>
      </c>
      <c r="BD341" s="42" cm="1">
        <f t="array" ref="BD341">_xlfn.IFS(AD341=0,"NA",AD341&gt;0,AH341/AD341)</f>
        <v>0.32604093154551872</v>
      </c>
      <c r="BE341" s="42">
        <f t="shared" si="559"/>
        <v>0.33333333333333331</v>
      </c>
      <c r="BF341" s="44">
        <v>0</v>
      </c>
      <c r="BG341" s="42">
        <f t="shared" si="560"/>
        <v>0.19433333333333333</v>
      </c>
      <c r="BH341" s="44">
        <v>0</v>
      </c>
      <c r="BI341" s="42">
        <f t="shared" si="561"/>
        <v>0</v>
      </c>
      <c r="BJ341" s="44" t="s">
        <v>115</v>
      </c>
      <c r="BK341" s="42">
        <f t="shared" si="570"/>
        <v>0.154</v>
      </c>
      <c r="BL341" s="44">
        <v>0</v>
      </c>
      <c r="BM341" s="42" cm="1">
        <f t="array" ref="BM341">_xlfn.IFS(BD341="NA","NA",BD341&gt;100%,"100%",BD341&lt;100,BD341)</f>
        <v>0.32604093154551872</v>
      </c>
      <c r="BN341" s="42" cm="1">
        <f t="array" ref="BN341">_xlfn.IFS(BF341="NA","NA",BF341&gt;100%,"100%",BF341&lt;100,BF341)</f>
        <v>0</v>
      </c>
      <c r="BO341" s="42" cm="1">
        <f t="array" ref="BO341">_xlfn.IFS(BH341="NA","NA",BH341&gt;100%,"100%",BH341&lt;100,BH341)</f>
        <v>0</v>
      </c>
      <c r="BP341" s="42" t="str" cm="1">
        <f t="array" ref="BP341">_xlfn.IFS(BJ341="NA","NA",BJ341&gt;100%,"100%",BJ341&lt;100,BJ341)</f>
        <v>NA</v>
      </c>
      <c r="BQ341" s="45">
        <v>0.224</v>
      </c>
      <c r="BR341" s="43">
        <f t="shared" si="571"/>
        <v>3.4495999999999999E-2</v>
      </c>
      <c r="BS341" s="45">
        <v>4.0000000000000002E-4</v>
      </c>
      <c r="BT341" s="45">
        <v>0</v>
      </c>
      <c r="BU341" s="45">
        <v>0</v>
      </c>
      <c r="BV341" s="43">
        <f t="shared" si="562"/>
        <v>0.10580266666666667</v>
      </c>
      <c r="BW341" s="43">
        <f t="shared" si="572"/>
        <v>3.4496000000000006E-2</v>
      </c>
      <c r="BX341" s="43">
        <f t="shared" si="573"/>
        <v>3.4495999999999999E-2</v>
      </c>
      <c r="BY341" s="43">
        <f t="shared" si="563"/>
        <v>7.4666666666666673E-2</v>
      </c>
      <c r="BZ341" s="43">
        <f t="shared" si="564"/>
        <v>0</v>
      </c>
      <c r="CA341" s="43">
        <f t="shared" si="574"/>
        <v>0</v>
      </c>
      <c r="CB341" s="43">
        <f t="shared" si="565"/>
        <v>4.3530666666666669E-2</v>
      </c>
      <c r="CC341" s="43">
        <f t="shared" si="566"/>
        <v>0</v>
      </c>
      <c r="CD341" s="45">
        <v>0</v>
      </c>
      <c r="CE341" s="43">
        <f t="shared" si="567"/>
        <v>0</v>
      </c>
      <c r="CF341" s="43" t="str">
        <f t="shared" si="568"/>
        <v>NA</v>
      </c>
      <c r="CG341" s="45">
        <v>0</v>
      </c>
    </row>
    <row r="342" spans="1:85" ht="18" customHeight="1">
      <c r="A342" s="260" t="s">
        <v>1310</v>
      </c>
      <c r="B342" s="260" t="s">
        <v>1311</v>
      </c>
      <c r="C342" s="260" t="s">
        <v>2129</v>
      </c>
      <c r="D342" s="260" t="s">
        <v>2130</v>
      </c>
      <c r="E342" s="260" t="s">
        <v>2131</v>
      </c>
      <c r="F342" s="260" t="s">
        <v>3013</v>
      </c>
      <c r="G342" s="260" t="s">
        <v>3014</v>
      </c>
      <c r="H342" s="260" t="s">
        <v>2139</v>
      </c>
      <c r="I342" s="260"/>
      <c r="J342" s="260"/>
      <c r="K342" s="260" t="s">
        <v>2140</v>
      </c>
      <c r="L342" s="260" t="s">
        <v>2141</v>
      </c>
      <c r="M342" s="260" t="s">
        <v>2142</v>
      </c>
      <c r="N342" s="260" t="s">
        <v>111</v>
      </c>
      <c r="O342" s="260" t="s">
        <v>112</v>
      </c>
      <c r="P342" s="10">
        <v>0</v>
      </c>
      <c r="Q342" s="11">
        <v>4</v>
      </c>
      <c r="R342" s="9" t="e">
        <f t="shared" ca="1" si="555"/>
        <v>#N/A</v>
      </c>
      <c r="S342" s="11" t="e">
        <f ca="1">VLOOKUP(K342,'1120 Competitividad'!$K$13:$AK$51,9,0)</f>
        <v>#N/A</v>
      </c>
      <c r="T342" s="11">
        <v>0</v>
      </c>
      <c r="U342" s="11">
        <v>0</v>
      </c>
      <c r="V342" s="11">
        <v>0</v>
      </c>
      <c r="W342" s="11">
        <v>0</v>
      </c>
      <c r="X342" s="11">
        <v>0</v>
      </c>
      <c r="Y342" s="11">
        <v>0</v>
      </c>
      <c r="Z342" s="11">
        <v>0</v>
      </c>
      <c r="AA342" s="11"/>
      <c r="AB342" s="11"/>
      <c r="AC342" s="11"/>
      <c r="AD342" s="11">
        <v>2</v>
      </c>
      <c r="AE342" s="11">
        <v>0</v>
      </c>
      <c r="AF342" s="11" t="e">
        <f ca="1">VLOOKUP(K342,'1120 Competitividad'!$K$13:$AK$51,22,0)</f>
        <v>#N/A</v>
      </c>
      <c r="AG342" s="11" t="e">
        <f ca="1">VLOOKUP(K342,'1120 Competitividad'!$K$13:$AK$51,23,0)</f>
        <v>#N/A</v>
      </c>
      <c r="AH342" s="9" t="e">
        <f t="shared" ca="1" si="556"/>
        <v>#N/A</v>
      </c>
      <c r="AI342" s="9" t="e">
        <f ca="1">VLOOKUP(K342,'1120 Competitividad'!$K$13:$AK$51,25,0)</f>
        <v>#N/A</v>
      </c>
      <c r="AJ342" s="9" t="e">
        <f ca="1">VLOOKUP(K342,'1120 Competitividad'!$K$13:$AK$51,26,0)</f>
        <v>#N/A</v>
      </c>
      <c r="AK342" s="9" t="e">
        <f ca="1">VLOOKUP(K342,'1120 Competitividad'!$K$13:$AK$51,27,0)</f>
        <v>#N/A</v>
      </c>
      <c r="AL342" s="11">
        <v>2</v>
      </c>
      <c r="AM342" s="11">
        <v>0</v>
      </c>
      <c r="AN342" s="11">
        <v>0</v>
      </c>
      <c r="AO342" s="11">
        <v>0</v>
      </c>
      <c r="AP342" s="11">
        <v>0</v>
      </c>
      <c r="AQ342" s="11">
        <v>0</v>
      </c>
      <c r="AR342" s="52"/>
      <c r="AS342" s="54">
        <v>0</v>
      </c>
      <c r="AT342" s="54">
        <f t="shared" si="569"/>
        <v>0</v>
      </c>
      <c r="AU342" s="52"/>
      <c r="AV342" s="89">
        <v>1850500000</v>
      </c>
      <c r="AY342" s="89">
        <v>0</v>
      </c>
      <c r="AZ342" s="42" t="e">
        <f t="shared" ca="1" si="557"/>
        <v>#N/A</v>
      </c>
      <c r="BA342" s="44">
        <v>0</v>
      </c>
      <c r="BB342" s="44" t="s">
        <v>115</v>
      </c>
      <c r="BC342" s="42">
        <f t="shared" si="558"/>
        <v>0.5</v>
      </c>
      <c r="BD342" s="42" t="e" cm="1">
        <f t="array" aca="1" ref="BD342" ca="1">_xlfn.IFS(AD342=0,"NA",AD342&gt;0,AH342/AD342)</f>
        <v>#N/A</v>
      </c>
      <c r="BE342" s="42">
        <f t="shared" si="559"/>
        <v>0.5</v>
      </c>
      <c r="BF342" s="44">
        <v>0</v>
      </c>
      <c r="BG342" s="42">
        <f t="shared" si="560"/>
        <v>0</v>
      </c>
      <c r="BH342" s="44" t="s">
        <v>115</v>
      </c>
      <c r="BI342" s="42">
        <f t="shared" si="561"/>
        <v>0</v>
      </c>
      <c r="BJ342" s="44" t="s">
        <v>115</v>
      </c>
      <c r="BK342" s="42" t="e">
        <f t="shared" ca="1" si="570"/>
        <v>#N/A</v>
      </c>
      <c r="BL342" s="44" t="s">
        <v>115</v>
      </c>
      <c r="BM342" s="42" t="e" cm="1">
        <f t="array" aca="1" ref="BM342" ca="1">_xlfn.IFS(BD342="NA","NA",BD342&gt;100%,"100%",BD342&lt;100,BD342)</f>
        <v>#N/A</v>
      </c>
      <c r="BN342" s="42" cm="1">
        <f t="array" ref="BN342">_xlfn.IFS(BF342="NA","NA",BF342&gt;100%,"100%",BF342&lt;100,BF342)</f>
        <v>0</v>
      </c>
      <c r="BO342" s="42" t="str" cm="1">
        <f t="array" ref="BO342">_xlfn.IFS(BH342="NA","NA",BH342&gt;100%,"100%",BH342&lt;100,BH342)</f>
        <v>NA</v>
      </c>
      <c r="BP342" s="42" t="str" cm="1">
        <f t="array" ref="BP342">_xlfn.IFS(BJ342="NA","NA",BJ342&gt;100%,"100%",BJ342&lt;100,BJ342)</f>
        <v>NA</v>
      </c>
      <c r="BQ342" s="45">
        <v>0.224</v>
      </c>
      <c r="BR342" s="43" t="e">
        <f t="shared" ca="1" si="571"/>
        <v>#N/A</v>
      </c>
      <c r="BS342" s="45">
        <v>0</v>
      </c>
      <c r="BT342" s="45" t="s">
        <v>115</v>
      </c>
      <c r="BU342" s="45">
        <v>0</v>
      </c>
      <c r="BV342" s="43">
        <f t="shared" si="562"/>
        <v>0.112</v>
      </c>
      <c r="BW342" s="43" t="e">
        <f t="shared" ca="1" si="572"/>
        <v>#N/A</v>
      </c>
      <c r="BX342" s="43" t="e">
        <f t="shared" ca="1" si="573"/>
        <v>#N/A</v>
      </c>
      <c r="BY342" s="43">
        <f t="shared" si="563"/>
        <v>0.112</v>
      </c>
      <c r="BZ342" s="43">
        <f t="shared" si="564"/>
        <v>0</v>
      </c>
      <c r="CA342" s="43" t="e">
        <f t="shared" ca="1" si="574"/>
        <v>#N/A</v>
      </c>
      <c r="CB342" s="43">
        <f t="shared" si="565"/>
        <v>0</v>
      </c>
      <c r="CC342" s="43" t="str">
        <f t="shared" si="566"/>
        <v>NA</v>
      </c>
      <c r="CD342" s="45">
        <v>0</v>
      </c>
      <c r="CE342" s="43">
        <f t="shared" si="567"/>
        <v>0</v>
      </c>
      <c r="CF342" s="43" t="str">
        <f t="shared" si="568"/>
        <v>NA</v>
      </c>
      <c r="CG342" s="45">
        <v>0</v>
      </c>
    </row>
    <row r="343" spans="1:85" ht="18" customHeight="1">
      <c r="A343" s="260" t="s">
        <v>1310</v>
      </c>
      <c r="B343" s="260" t="s">
        <v>1311</v>
      </c>
      <c r="C343" s="260" t="s">
        <v>2129</v>
      </c>
      <c r="D343" s="260" t="s">
        <v>2130</v>
      </c>
      <c r="E343" s="260" t="s">
        <v>2131</v>
      </c>
      <c r="F343" s="260" t="s">
        <v>3013</v>
      </c>
      <c r="G343" s="260" t="s">
        <v>3014</v>
      </c>
      <c r="H343" s="260" t="s">
        <v>2143</v>
      </c>
      <c r="I343" s="260"/>
      <c r="J343" s="260"/>
      <c r="K343" s="260" t="s">
        <v>2144</v>
      </c>
      <c r="L343" s="260" t="s">
        <v>2145</v>
      </c>
      <c r="M343" s="260" t="s">
        <v>2146</v>
      </c>
      <c r="N343" s="260" t="s">
        <v>111</v>
      </c>
      <c r="O343" s="260" t="s">
        <v>112</v>
      </c>
      <c r="P343" s="10">
        <v>0</v>
      </c>
      <c r="Q343" s="11">
        <v>1</v>
      </c>
      <c r="R343" s="9">
        <f t="shared" ca="1" si="555"/>
        <v>0.15</v>
      </c>
      <c r="S343" s="11" t="str">
        <f ca="1">VLOOKUP(K343,'1120 Competitividad'!$K$13:$AK$51,9,0)</f>
        <v>ESTUDIO DE PREFACTIBILIDAD  DONDE SE IDENTIFICA LA SITUACIÓN  DEL SECTOR ,ESTUDIOS DE MERCADO, TÉCNICO, AMBIENTAL, ADMINISTRATIVO Y FINANCIERO  PARA EL DESARROLLO DE LA PLANTA DE ABONOS .</v>
      </c>
      <c r="T343" s="11">
        <v>0.25</v>
      </c>
      <c r="U343" s="11">
        <v>0</v>
      </c>
      <c r="V343" s="11">
        <v>0.25</v>
      </c>
      <c r="W343" s="11">
        <v>0</v>
      </c>
      <c r="X343" s="11">
        <v>0.15</v>
      </c>
      <c r="Y343" s="11">
        <v>0</v>
      </c>
      <c r="Z343" s="11">
        <v>0.15</v>
      </c>
      <c r="AA343" s="11">
        <v>0</v>
      </c>
      <c r="AB343" s="11" t="s">
        <v>2147</v>
      </c>
      <c r="AC343" s="11">
        <v>0</v>
      </c>
      <c r="AD343" s="11">
        <v>0.7</v>
      </c>
      <c r="AE343" s="11">
        <v>0</v>
      </c>
      <c r="AF343" s="11">
        <f ca="1">VLOOKUP(K343,'1120 Competitividad'!$K$13:$AK$51,22,0)</f>
        <v>0</v>
      </c>
      <c r="AG343" s="11">
        <f ca="1">VLOOKUP(K343,'1120 Competitividad'!$K$13:$AK$51,23,0)</f>
        <v>0</v>
      </c>
      <c r="AH343" s="9">
        <f t="shared" ca="1" si="556"/>
        <v>0</v>
      </c>
      <c r="AI343" s="9">
        <f ca="1">VLOOKUP(K343,'1120 Competitividad'!$K$13:$AK$51,25,0)</f>
        <v>0</v>
      </c>
      <c r="AJ343" s="9">
        <f ca="1">VLOOKUP(K343,'1120 Competitividad'!$K$13:$AK$51,26,0)</f>
        <v>0</v>
      </c>
      <c r="AK343" s="9">
        <f ca="1">VLOOKUP(K343,'1120 Competitividad'!$K$13:$AK$51,27,0)</f>
        <v>0</v>
      </c>
      <c r="AL343" s="11">
        <v>0.05</v>
      </c>
      <c r="AM343" s="11">
        <v>0</v>
      </c>
      <c r="AN343" s="11">
        <v>0</v>
      </c>
      <c r="AO343" s="11">
        <v>0</v>
      </c>
      <c r="AP343" s="11">
        <v>0</v>
      </c>
      <c r="AQ343" s="11">
        <v>0</v>
      </c>
      <c r="AR343" s="51">
        <v>600000000</v>
      </c>
      <c r="AS343" s="54">
        <v>0</v>
      </c>
      <c r="AT343" s="54">
        <f t="shared" si="569"/>
        <v>600000000</v>
      </c>
      <c r="AU343" s="51">
        <v>600000000</v>
      </c>
      <c r="AV343" s="89">
        <v>3244726700</v>
      </c>
      <c r="AY343" s="89">
        <v>0</v>
      </c>
      <c r="AZ343" s="42">
        <f t="shared" ca="1" si="557"/>
        <v>0.15</v>
      </c>
      <c r="BA343" s="44">
        <v>0.25</v>
      </c>
      <c r="BB343" s="44">
        <v>0.6</v>
      </c>
      <c r="BC343" s="42">
        <f t="shared" si="558"/>
        <v>0.7</v>
      </c>
      <c r="BD343" s="42" cm="1">
        <f t="array" aca="1" ref="BD343" ca="1">_xlfn.IFS(AD343=0,"NA",AD343&gt;0,AH343/AD343)</f>
        <v>0</v>
      </c>
      <c r="BE343" s="42">
        <f t="shared" si="559"/>
        <v>0.05</v>
      </c>
      <c r="BF343" s="44">
        <v>0</v>
      </c>
      <c r="BG343" s="42">
        <f t="shared" si="560"/>
        <v>0</v>
      </c>
      <c r="BH343" s="44" t="s">
        <v>115</v>
      </c>
      <c r="BI343" s="42">
        <f t="shared" si="561"/>
        <v>0</v>
      </c>
      <c r="BJ343" s="44" t="s">
        <v>115</v>
      </c>
      <c r="BK343" s="42">
        <f t="shared" ca="1" si="570"/>
        <v>0.15</v>
      </c>
      <c r="BL343" s="44">
        <v>0.6</v>
      </c>
      <c r="BM343" s="42" cm="1">
        <f t="array" aca="1" ref="BM343" ca="1">_xlfn.IFS(BD343="NA","NA",BD343&gt;100%,"100%",BD343&lt;100,BD343)</f>
        <v>0</v>
      </c>
      <c r="BN343" s="42" cm="1">
        <f t="array" ref="BN343">_xlfn.IFS(BF343="NA","NA",BF343&gt;100%,"100%",BF343&lt;100,BF343)</f>
        <v>0</v>
      </c>
      <c r="BO343" s="42" t="str" cm="1">
        <f t="array" ref="BO343">_xlfn.IFS(BH343="NA","NA",BH343&gt;100%,"100%",BH343&lt;100,BH343)</f>
        <v>NA</v>
      </c>
      <c r="BP343" s="42" t="str" cm="1">
        <f t="array" ref="BP343">_xlfn.IFS(BJ343="NA","NA",BJ343&gt;100%,"100%",BJ343&lt;100,BJ343)</f>
        <v>NA</v>
      </c>
      <c r="BQ343" s="45">
        <v>0.224</v>
      </c>
      <c r="BR343" s="43">
        <f t="shared" ca="1" si="571"/>
        <v>3.3599999999999998E-2</v>
      </c>
      <c r="BS343" s="45">
        <v>5.6000000000000001E-2</v>
      </c>
      <c r="BT343" s="45">
        <v>3.3599999999999998E-2</v>
      </c>
      <c r="BU343" s="45">
        <v>3.3599999999999998E-2</v>
      </c>
      <c r="BV343" s="43">
        <f t="shared" si="562"/>
        <v>0.15679999999999999</v>
      </c>
      <c r="BW343" s="43">
        <f t="shared" ca="1" si="572"/>
        <v>0</v>
      </c>
      <c r="BX343" s="43">
        <f t="shared" ca="1" si="573"/>
        <v>0</v>
      </c>
      <c r="BY343" s="43">
        <f t="shared" si="563"/>
        <v>1.1200000000000002E-2</v>
      </c>
      <c r="BZ343" s="43">
        <f t="shared" si="564"/>
        <v>0</v>
      </c>
      <c r="CA343" s="43">
        <f t="shared" ca="1" si="574"/>
        <v>0</v>
      </c>
      <c r="CB343" s="43">
        <f t="shared" si="565"/>
        <v>0</v>
      </c>
      <c r="CC343" s="43" t="str">
        <f t="shared" si="566"/>
        <v>NA</v>
      </c>
      <c r="CD343" s="45">
        <v>0</v>
      </c>
      <c r="CE343" s="43">
        <f t="shared" si="567"/>
        <v>0</v>
      </c>
      <c r="CF343" s="43" t="str">
        <f t="shared" si="568"/>
        <v>NA</v>
      </c>
      <c r="CG343" s="45">
        <v>0</v>
      </c>
    </row>
    <row r="344" spans="1:85" ht="18" customHeight="1">
      <c r="A344" s="260" t="s">
        <v>2148</v>
      </c>
      <c r="B344" s="260" t="s">
        <v>2149</v>
      </c>
      <c r="C344" s="260" t="s">
        <v>2129</v>
      </c>
      <c r="D344" s="260" t="s">
        <v>2130</v>
      </c>
      <c r="E344" s="260" t="s">
        <v>2131</v>
      </c>
      <c r="F344" s="260" t="s">
        <v>3013</v>
      </c>
      <c r="G344" s="260" t="s">
        <v>3014</v>
      </c>
      <c r="H344" s="260" t="s">
        <v>2150</v>
      </c>
      <c r="I344" s="260"/>
      <c r="J344" s="260"/>
      <c r="K344" s="260" t="s">
        <v>2151</v>
      </c>
      <c r="L344" s="260" t="s">
        <v>2152</v>
      </c>
      <c r="M344" s="260" t="s">
        <v>2153</v>
      </c>
      <c r="N344" s="260" t="s">
        <v>111</v>
      </c>
      <c r="O344" s="260" t="s">
        <v>112</v>
      </c>
      <c r="P344" s="10">
        <v>0</v>
      </c>
      <c r="Q344" s="11">
        <v>8</v>
      </c>
      <c r="R344" s="9">
        <f t="shared" si="555"/>
        <v>1.82</v>
      </c>
      <c r="S344" s="11" t="str">
        <f>VLOOKUP(K344,'1129 Integración'!$K$13:$AK$18,9,0)</f>
        <v xml:space="preserve">Se identificaron acciones que permitieron la articulación de esfuerzos para el desarrollo de iniciativas y proyectos de impacto regional. Así mismo, se efectuó un análisis de los programas y metas regionales dentro de los planes de desarrollo de los 46 municipios de la cuenca del río Bogotá y su relación con las metas de la línea estratégica Más Integración.  
Se acompañó el proceso de armonización de los planes de ordenamiento territorial de los 46 municipios de la cuenca del Río Bogotá, en el marco de la metodología acordada por las secretarías de planeación del Departamento y del Distrito; las principales temáticas que se definieron son: Estructura Ecológica Principal, POMCA, población y vivienda, espacio público, sistema de cuidado, servicios públicos, ciudad región, y movilidad y abastecimiento.
Se estructuró una base de proyectos con énfasis en movilidad y hábitat y espacio público. Además, producto de este trabajo se logró la financiación de la CAF con 450 mil euros para la estructuración de la red de ciclovías en torno al Regiotram de Occidente, iniciativa que se ha venido trabajando de la mano con la Empresa Férrea Regional, la Secretaría de Transporte y Movilidad de Cundinamarca y la Secretaría Distrital de Planeación para presentación del proyecto que fue aprobado por la CAF y la posterior elaboración de los términos de referencia para la contratación de los estudios.
En el Comité de Integración Territorial, CIT, se definió un plan de trabajo articulado con la agenda regional Bogotá-Cundinamarca, en el cual se identificaron iniciativas conjuntas entre los 28 municipios que hacen parte de este escenario.
</v>
      </c>
      <c r="T344" s="11">
        <v>0</v>
      </c>
      <c r="U344" s="11">
        <v>0</v>
      </c>
      <c r="V344" s="11">
        <v>0</v>
      </c>
      <c r="W344" s="11">
        <v>0</v>
      </c>
      <c r="X344" s="11">
        <v>0</v>
      </c>
      <c r="Y344" s="11">
        <v>0</v>
      </c>
      <c r="Z344" s="11">
        <v>0</v>
      </c>
      <c r="AA344" s="11">
        <v>0</v>
      </c>
      <c r="AB344" s="11" t="s">
        <v>2154</v>
      </c>
      <c r="AC344" s="11">
        <v>0</v>
      </c>
      <c r="AD344" s="11">
        <v>2</v>
      </c>
      <c r="AE344" s="11">
        <v>0</v>
      </c>
      <c r="AF344" s="11">
        <f>VLOOKUP(K344,'1129 Integración'!$K$13:$AK$18,22,0)</f>
        <v>1.82</v>
      </c>
      <c r="AG344" s="11">
        <f>VLOOKUP(K344,'1129 Integración'!$K$13:$AK$18,23,0)</f>
        <v>0</v>
      </c>
      <c r="AH344" s="9">
        <f t="shared" si="556"/>
        <v>1.82</v>
      </c>
      <c r="AI344" s="9">
        <f>VLOOKUP(K344,'1129 Integración'!$K$13:$AK$18,25,0)</f>
        <v>0</v>
      </c>
      <c r="AJ344" s="9" t="str">
        <f>VLOOKUP(K344,'1129 Integración'!$K$13:$AK$18,26,0)</f>
        <v xml:space="preserve">Dentro del alcance de acompañamiento de la Secretaría de Integración Regional a los proyectos de integración regional previstos tanto en el Plan de Desarrollo “Cundinamarca: Región que Progresa” y el Plan Distrital “Un Nuevo Contrato Social para el siglo XXI”, la entidad participó activamente en la definición del alcance de los convenios entre Bogotá y Cundinamarca sobre los temas de abastecimiento y cultura, así como en la organización de los eventos de lanzamiento de estos programas que se realizó el pasado 20 de marzo. 
Adicionalmente, la Secretaría de Integración ha participado en el proyecto de la Planta de Abonos, a cargo de la Secretaría de Competitividad, con la gestión de relacionamiento de la firma consultora que adelanta el estudio de prefactibilidad con entidades en Bogotá como la Secretaría de Hábitat y la UAESP y la relación con municipios como Chía y Cajicá para conocer proyectos de aprovechamiento de residuos. 
De otro lado, la Secretaría adelanta con las Empresas Públicas de Cundinamarca un trabajo conjunto con Bogotá para el aprovechamiento de la concesión del Sisga para aumentar el suministro de agua a municipios de Cundinamarca y con el Ministerio de Vivienda para el aseguramiento en la prestación del servicio de acueducto.
En relación con los proyectos regionales, se realizó seguimiento a 26 temas identificados
Se acompañó una reunión con la Secretaría de Planeación del municipio de Madrid y la Concesionaria Férrea de Occidente S.A.S. sobre avances del REGIOTRAM.
Se realizó una reunión virtual con la directora de Planificación, Gestión y Ejecución de proyectos de la RAP-E, Magda Paola Núñez, para la conformación de una mesa de seguimiento.
En reunión liderada por la Secretaria de Integración Regional, Patricia González, con el ICCU y la Secretaría de Movilidad, realizada el 22 abril, se  identificó el estado de obras de infraestructura vial de los corredores estratégicos del departamento. 
Las actividades de gestión, los avances y demás información detallada sobre los proyectos se consignan en el informe mensual de seguimiento de los proyectos.
  -	El día 13 de mayo se realizó una reunión con EPC a través de la Dirección de Seguimiento y Evaluación de Planeación de Cundinamarca, donde se socializó el estado actual de los proyectos que se encuentran en liderazgo de EPC y que acompaña la Secretaría de Integración Regional en la línea más integración.
-	Para las metas 361 y 362 Conectar a 68.000 nuevos usuarios el servicio de acueducto y alcantarillado en el municipio de Soacha, se solicitó a EAAB, el plan de incorporación de usuarios para este municipio y se solicitó información actualizada a la Dirección de Seguimiento y Evaluación de Planeación de Cundinamarca el reporte actualizado del primer trimestre 2021 respecto al cumplimiento de las metas. 
En desarrollo de las acciones orientadas a cooperar en la implementación de 8 proyectos regionales estratégicos, se elaboró un documento preliminar con la definición de los criterios de priorización para la selección de dichos  proyectos; así mismo, un documento “Metodología para la selección y priorización de proyectos estratégicos, regionales y de competitividad” con los lineamientos metodológicos para la aplicación de los criterios de priorización; las matrices con criterios de selección y priorización de proyectos, para poder evaluar los proyectos en términos estratégicos, regionales y de competitividad; y se diseñó y aplicó una encuesta de seguimiento a los proyectos preseleccionados en la entidad.
En relación con el seguimiento a los proyectos regionales que fueron identificados en la entidad, se adelantaron reuniones con diferentes entidades para el acompañamiento acordado.
</v>
      </c>
      <c r="AK344" s="9" t="str">
        <f>VLOOKUP(K344,'1129 Integración'!$K$13:$AK$18,27,0)</f>
        <v>Ninguna</v>
      </c>
      <c r="AL344" s="11">
        <v>4</v>
      </c>
      <c r="AM344" s="11">
        <v>0</v>
      </c>
      <c r="AN344" s="11">
        <v>2</v>
      </c>
      <c r="AO344" s="11">
        <v>0</v>
      </c>
      <c r="AP344" s="11">
        <v>0</v>
      </c>
      <c r="AQ344" s="11">
        <v>0</v>
      </c>
      <c r="AR344" s="51">
        <v>98001666</v>
      </c>
      <c r="AS344" s="54">
        <v>0</v>
      </c>
      <c r="AT344" s="54">
        <f t="shared" si="569"/>
        <v>98001666</v>
      </c>
      <c r="AU344" s="51">
        <v>95216666</v>
      </c>
      <c r="AV344" s="89">
        <v>349783244</v>
      </c>
      <c r="AY344" s="89">
        <v>288380000</v>
      </c>
      <c r="AZ344" s="42">
        <f t="shared" si="557"/>
        <v>0.22750000000000001</v>
      </c>
      <c r="BA344" s="44">
        <v>0</v>
      </c>
      <c r="BB344" s="44" t="s">
        <v>115</v>
      </c>
      <c r="BC344" s="42">
        <f t="shared" si="558"/>
        <v>0.25</v>
      </c>
      <c r="BD344" s="42" cm="1">
        <f t="array" ref="BD344">_xlfn.IFS(AD344=0,"NA",AD344&gt;0,AH344/AD344)</f>
        <v>0.91</v>
      </c>
      <c r="BE344" s="42">
        <f t="shared" si="559"/>
        <v>0.5</v>
      </c>
      <c r="BF344" s="44">
        <v>0</v>
      </c>
      <c r="BG344" s="42">
        <f t="shared" si="560"/>
        <v>0.25</v>
      </c>
      <c r="BH344" s="44">
        <v>0</v>
      </c>
      <c r="BI344" s="42">
        <f t="shared" si="561"/>
        <v>0</v>
      </c>
      <c r="BJ344" s="44" t="s">
        <v>115</v>
      </c>
      <c r="BK344" s="42">
        <f t="shared" si="570"/>
        <v>0.22750000000000001</v>
      </c>
      <c r="BL344" s="44" t="s">
        <v>115</v>
      </c>
      <c r="BM344" s="42" cm="1">
        <f t="array" ref="BM344">_xlfn.IFS(BD344="NA","NA",BD344&gt;100%,"100%",BD344&lt;100,BD344)</f>
        <v>0.91</v>
      </c>
      <c r="BN344" s="42" cm="1">
        <f t="array" ref="BN344">_xlfn.IFS(BF344="NA","NA",BF344&gt;100%,"100%",BF344&lt;100,BF344)</f>
        <v>0</v>
      </c>
      <c r="BO344" s="42" cm="1">
        <f t="array" ref="BO344">_xlfn.IFS(BH344="NA","NA",BH344&gt;100%,"100%",BH344&lt;100,BH344)</f>
        <v>0</v>
      </c>
      <c r="BP344" s="42" t="str" cm="1">
        <f t="array" ref="BP344">_xlfn.IFS(BJ344="NA","NA",BJ344&gt;100%,"100%",BJ344&lt;100,BJ344)</f>
        <v>NA</v>
      </c>
      <c r="BQ344" s="45">
        <v>0.224</v>
      </c>
      <c r="BR344" s="43">
        <f t="shared" si="571"/>
        <v>5.0960000000000005E-2</v>
      </c>
      <c r="BS344" s="45">
        <v>0</v>
      </c>
      <c r="BT344" s="45" t="s">
        <v>115</v>
      </c>
      <c r="BU344" s="45">
        <v>0</v>
      </c>
      <c r="BV344" s="43">
        <f t="shared" si="562"/>
        <v>5.6000000000000001E-2</v>
      </c>
      <c r="BW344" s="43">
        <f t="shared" si="572"/>
        <v>5.0960000000000005E-2</v>
      </c>
      <c r="BX344" s="43">
        <f t="shared" si="573"/>
        <v>5.0960000000000005E-2</v>
      </c>
      <c r="BY344" s="43">
        <f t="shared" si="563"/>
        <v>0.112</v>
      </c>
      <c r="BZ344" s="43">
        <f t="shared" si="564"/>
        <v>0</v>
      </c>
      <c r="CA344" s="43">
        <f t="shared" si="574"/>
        <v>0</v>
      </c>
      <c r="CB344" s="43">
        <f t="shared" si="565"/>
        <v>5.6000000000000001E-2</v>
      </c>
      <c r="CC344" s="43">
        <f t="shared" si="566"/>
        <v>0</v>
      </c>
      <c r="CD344" s="45">
        <v>0</v>
      </c>
      <c r="CE344" s="43">
        <f t="shared" si="567"/>
        <v>0</v>
      </c>
      <c r="CF344" s="43" t="str">
        <f t="shared" si="568"/>
        <v>NA</v>
      </c>
      <c r="CG344" s="45">
        <v>0</v>
      </c>
    </row>
    <row r="345" spans="1:85" ht="18" customHeight="1">
      <c r="A345" s="260" t="s">
        <v>221</v>
      </c>
      <c r="B345" s="260" t="s">
        <v>222</v>
      </c>
      <c r="C345" s="260" t="s">
        <v>2129</v>
      </c>
      <c r="D345" s="260" t="s">
        <v>2130</v>
      </c>
      <c r="E345" s="260" t="s">
        <v>2155</v>
      </c>
      <c r="F345" s="260" t="s">
        <v>2156</v>
      </c>
      <c r="G345" s="260" t="s">
        <v>2157</v>
      </c>
      <c r="H345" s="260" t="s">
        <v>2158</v>
      </c>
      <c r="I345" s="260"/>
      <c r="J345" s="260"/>
      <c r="K345" s="260" t="s">
        <v>2159</v>
      </c>
      <c r="L345" s="260" t="s">
        <v>2160</v>
      </c>
      <c r="M345" s="260" t="s">
        <v>2161</v>
      </c>
      <c r="N345" s="260" t="s">
        <v>111</v>
      </c>
      <c r="O345" s="260" t="s">
        <v>112</v>
      </c>
      <c r="P345" s="10">
        <v>0</v>
      </c>
      <c r="Q345" s="11">
        <v>1</v>
      </c>
      <c r="R345" s="9">
        <f t="shared" ca="1" si="555"/>
        <v>0</v>
      </c>
      <c r="S345" s="11">
        <f ca="1">VLOOKUP(K345,'1220 IDECUT'!$K$13:$AK$48,9,0)</f>
        <v>0</v>
      </c>
      <c r="T345" s="11">
        <v>0</v>
      </c>
      <c r="U345" s="11">
        <v>0</v>
      </c>
      <c r="V345" s="11">
        <v>0</v>
      </c>
      <c r="W345" s="11">
        <v>0</v>
      </c>
      <c r="X345" s="11">
        <v>0</v>
      </c>
      <c r="Y345" s="11">
        <v>0</v>
      </c>
      <c r="Z345" s="11">
        <v>0</v>
      </c>
      <c r="AA345" s="11"/>
      <c r="AB345" s="11"/>
      <c r="AC345" s="11"/>
      <c r="AD345" s="11">
        <v>0.15</v>
      </c>
      <c r="AE345" s="11">
        <v>0</v>
      </c>
      <c r="AF345" s="11">
        <f ca="1">VLOOKUP(K345,'1220 IDECUT'!$K$13:$AK$48,22,0)</f>
        <v>0</v>
      </c>
      <c r="AG345" s="11">
        <f ca="1">VLOOKUP(K345,'1220 IDECUT'!$K$13:$AK$48,23,0)</f>
        <v>0</v>
      </c>
      <c r="AH345" s="9">
        <f t="shared" ca="1" si="556"/>
        <v>0</v>
      </c>
      <c r="AI345" s="9">
        <f ca="1">VLOOKUP(K345,'1220 IDECUT'!$K$13:$AK$48,25,0)</f>
        <v>0</v>
      </c>
      <c r="AJ345" s="9">
        <f ca="1">VLOOKUP(K345,'1220 IDECUT'!$K$13:$AK$48,26,0)</f>
        <v>0</v>
      </c>
      <c r="AK345" s="9">
        <f ca="1">VLOOKUP(K345,'1220 IDECUT'!$K$13:$AK$48,27,0)</f>
        <v>0</v>
      </c>
      <c r="AL345" s="11">
        <v>0.35</v>
      </c>
      <c r="AM345" s="11">
        <v>0</v>
      </c>
      <c r="AN345" s="11">
        <v>0.5</v>
      </c>
      <c r="AO345" s="11">
        <v>0</v>
      </c>
      <c r="AP345" s="11">
        <v>0</v>
      </c>
      <c r="AQ345" s="11">
        <v>0</v>
      </c>
      <c r="AR345" s="52"/>
      <c r="AS345" s="54">
        <v>0</v>
      </c>
      <c r="AT345" s="54">
        <f t="shared" si="569"/>
        <v>0</v>
      </c>
      <c r="AU345" s="52"/>
      <c r="AV345" s="89">
        <v>300000000</v>
      </c>
      <c r="AY345" s="89"/>
      <c r="AZ345" s="42">
        <f t="shared" ca="1" si="557"/>
        <v>0</v>
      </c>
      <c r="BA345" s="44">
        <v>0</v>
      </c>
      <c r="BB345" s="44" t="s">
        <v>115</v>
      </c>
      <c r="BC345" s="42">
        <f t="shared" si="558"/>
        <v>0.15</v>
      </c>
      <c r="BD345" s="42" cm="1">
        <f t="array" aca="1" ref="BD345" ca="1">_xlfn.IFS(AD345=0,"NA",AD345&gt;0,AH345/AD345)</f>
        <v>0</v>
      </c>
      <c r="BE345" s="42">
        <f t="shared" si="559"/>
        <v>0.35</v>
      </c>
      <c r="BF345" s="44">
        <v>0</v>
      </c>
      <c r="BG345" s="42">
        <f t="shared" si="560"/>
        <v>0.5</v>
      </c>
      <c r="BH345" s="44">
        <v>0</v>
      </c>
      <c r="BI345" s="42">
        <f t="shared" si="561"/>
        <v>0</v>
      </c>
      <c r="BJ345" s="44" t="s">
        <v>115</v>
      </c>
      <c r="BK345" s="42">
        <f t="shared" ca="1" si="570"/>
        <v>0</v>
      </c>
      <c r="BL345" s="44" t="s">
        <v>115</v>
      </c>
      <c r="BM345" s="42" cm="1">
        <f t="array" aca="1" ref="BM345" ca="1">_xlfn.IFS(BD345="NA","NA",BD345&gt;100%,"100%",BD345&lt;100,BD345)</f>
        <v>0</v>
      </c>
      <c r="BN345" s="42" cm="1">
        <f t="array" ref="BN345">_xlfn.IFS(BF345="NA","NA",BF345&gt;100%,"100%",BF345&lt;100,BF345)</f>
        <v>0</v>
      </c>
      <c r="BO345" s="42" cm="1">
        <f t="array" ref="BO345">_xlfn.IFS(BH345="NA","NA",BH345&gt;100%,"100%",BH345&lt;100,BH345)</f>
        <v>0</v>
      </c>
      <c r="BP345" s="42" t="str" cm="1">
        <f t="array" ref="BP345">_xlfn.IFS(BJ345="NA","NA",BJ345&gt;100%,"100%",BJ345&lt;100,BJ345)</f>
        <v>NA</v>
      </c>
      <c r="BQ345" s="45">
        <v>0.224</v>
      </c>
      <c r="BR345" s="43">
        <f t="shared" ca="1" si="571"/>
        <v>0</v>
      </c>
      <c r="BS345" s="45">
        <v>0</v>
      </c>
      <c r="BT345" s="45" t="s">
        <v>115</v>
      </c>
      <c r="BU345" s="45">
        <v>0</v>
      </c>
      <c r="BV345" s="43">
        <f t="shared" si="562"/>
        <v>3.3599999999999998E-2</v>
      </c>
      <c r="BW345" s="43">
        <f t="shared" ca="1" si="572"/>
        <v>0</v>
      </c>
      <c r="BX345" s="43">
        <f t="shared" ca="1" si="573"/>
        <v>0</v>
      </c>
      <c r="BY345" s="43">
        <f t="shared" si="563"/>
        <v>7.8399999999999997E-2</v>
      </c>
      <c r="BZ345" s="43">
        <f t="shared" si="564"/>
        <v>0</v>
      </c>
      <c r="CA345" s="43">
        <f t="shared" ca="1" si="574"/>
        <v>0</v>
      </c>
      <c r="CB345" s="43">
        <f t="shared" si="565"/>
        <v>0.112</v>
      </c>
      <c r="CC345" s="43">
        <f t="shared" si="566"/>
        <v>0</v>
      </c>
      <c r="CD345" s="45">
        <v>0</v>
      </c>
      <c r="CE345" s="43">
        <f t="shared" si="567"/>
        <v>0</v>
      </c>
      <c r="CF345" s="43" t="str">
        <f t="shared" si="568"/>
        <v>NA</v>
      </c>
      <c r="CG345" s="45">
        <v>0</v>
      </c>
    </row>
    <row r="346" spans="1:85" ht="18" customHeight="1">
      <c r="A346" s="260" t="s">
        <v>221</v>
      </c>
      <c r="B346" s="260" t="s">
        <v>222</v>
      </c>
      <c r="C346" s="260" t="s">
        <v>2129</v>
      </c>
      <c r="D346" s="260" t="s">
        <v>2130</v>
      </c>
      <c r="E346" s="260" t="s">
        <v>2155</v>
      </c>
      <c r="F346" s="260" t="s">
        <v>2156</v>
      </c>
      <c r="G346" s="260" t="s">
        <v>2157</v>
      </c>
      <c r="H346" s="260" t="s">
        <v>2162</v>
      </c>
      <c r="I346" s="260"/>
      <c r="J346" s="260"/>
      <c r="K346" s="260" t="s">
        <v>2163</v>
      </c>
      <c r="L346" s="260" t="s">
        <v>2164</v>
      </c>
      <c r="M346" s="260" t="s">
        <v>2165</v>
      </c>
      <c r="N346" s="260" t="s">
        <v>111</v>
      </c>
      <c r="O346" s="260" t="s">
        <v>112</v>
      </c>
      <c r="P346" s="10">
        <v>0</v>
      </c>
      <c r="Q346" s="11">
        <v>7</v>
      </c>
      <c r="R346" s="9">
        <f t="shared" ca="1" si="555"/>
        <v>4</v>
      </c>
      <c r="S346" s="11" t="str">
        <f ca="1">VLOOKUP(K346,'1220 IDECUT'!$K$13:$AK$48,9,0)</f>
        <v>Durante el 2020 se apoyo para la reactivación económica y turística 3 atractivos turísticos catedral de sal de Zipaquirá,  termales el Zipa del municipio de Tabio y mina de sal de Nemocón con la adquisición de pasaportes de ingreso y pasadías,  los cuales permitirán el acceso de la población cundinamarquesa en condición de vulnerabilidad y adicionalmente, dar flujo de caja a estos sitios de interés con el fin de apoyar su sostenimiento (personal de operación, administración y logística). Durante el 2021 Se logro firmar convenios con seis (6) municipios de:  Ubaté
Chipaque
Facatativá
Guayabal De Síquima
Tibacuy 
Guayabetal con el fin de apoyarlos en la adecuación de un atractivo turístico del municipio.</v>
      </c>
      <c r="T346" s="11">
        <v>0</v>
      </c>
      <c r="U346" s="11">
        <v>0</v>
      </c>
      <c r="V346" s="11">
        <v>3</v>
      </c>
      <c r="W346" s="11">
        <v>0</v>
      </c>
      <c r="X346" s="11">
        <v>3</v>
      </c>
      <c r="Y346" s="11">
        <v>0</v>
      </c>
      <c r="Z346" s="11">
        <v>3</v>
      </c>
      <c r="AA346" s="11" t="e">
        <f ca="1">- Recursos económico apalancado en la Compra de entradas.</f>
        <v>#NAME?</v>
      </c>
      <c r="AB346" s="11" t="s">
        <v>2166</v>
      </c>
      <c r="AC346" s="11" t="e">
        <f ca="1">- Retrasos en trámites administrativos a causa de la emergencia.</f>
        <v>#NAME?</v>
      </c>
      <c r="AD346" s="11">
        <v>1</v>
      </c>
      <c r="AE346" s="11">
        <v>0</v>
      </c>
      <c r="AF346" s="11">
        <f ca="1">VLOOKUP(K346,'1220 IDECUT'!$K$13:$AK$48,22,0)</f>
        <v>1</v>
      </c>
      <c r="AG346" s="11">
        <f ca="1">VLOOKUP(K346,'1220 IDECUT'!$K$13:$AK$48,23,0)</f>
        <v>0</v>
      </c>
      <c r="AH346" s="9">
        <f t="shared" ca="1" si="556"/>
        <v>1</v>
      </c>
      <c r="AI346" s="9" t="str">
        <f ca="1">VLOOKUP(K346,'1220 IDECUT'!$K$13:$AK$48,25,0)</f>
        <v>Informe de caracterizacion</v>
      </c>
      <c r="AJ346" s="9" t="str">
        <f ca="1">VLOOKUP(K346,'1220 IDECUT'!$K$13:$AK$48,26,0)</f>
        <v>Se logro firmar convenios con seis (6) municipios de:  Ubaté
Chipaque
Facatativá
Guayabal De Síquima
Tibacuy 
Guayabetal con el fin de apoyarlos en la adecuación de un atractivo turístico del municipio.</v>
      </c>
      <c r="AK346" s="9">
        <f ca="1">VLOOKUP(K346,'1220 IDECUT'!$K$13:$AK$48,27,0)</f>
        <v>0</v>
      </c>
      <c r="AL346" s="11">
        <v>2</v>
      </c>
      <c r="AM346" s="11">
        <v>0</v>
      </c>
      <c r="AN346" s="11">
        <v>1</v>
      </c>
      <c r="AO346" s="11">
        <v>0</v>
      </c>
      <c r="AP346" s="11">
        <v>0</v>
      </c>
      <c r="AQ346" s="11">
        <v>0</v>
      </c>
      <c r="AR346" s="51">
        <v>1800000000</v>
      </c>
      <c r="AS346" s="54">
        <v>0</v>
      </c>
      <c r="AT346" s="54">
        <f t="shared" si="569"/>
        <v>1800000000</v>
      </c>
      <c r="AU346" s="51">
        <v>1800000000</v>
      </c>
      <c r="AV346" s="89">
        <v>250000000</v>
      </c>
      <c r="AY346" s="89"/>
      <c r="AZ346" s="42">
        <f t="shared" ca="1" si="557"/>
        <v>0.5714285714285714</v>
      </c>
      <c r="BA346" s="44">
        <v>0.42859999999999998</v>
      </c>
      <c r="BB346" s="44">
        <v>1</v>
      </c>
      <c r="BC346" s="42">
        <f t="shared" si="558"/>
        <v>0.14285714285714285</v>
      </c>
      <c r="BD346" s="42" cm="1">
        <f t="array" aca="1" ref="BD346" ca="1">_xlfn.IFS(AD346=0,"NA",AD346&gt;0,AH346/AD346)</f>
        <v>1</v>
      </c>
      <c r="BE346" s="42">
        <f t="shared" si="559"/>
        <v>0.2857142857142857</v>
      </c>
      <c r="BF346" s="44">
        <v>0</v>
      </c>
      <c r="BG346" s="42">
        <f t="shared" si="560"/>
        <v>0.14285714285714285</v>
      </c>
      <c r="BH346" s="44">
        <v>0</v>
      </c>
      <c r="BI346" s="42">
        <f t="shared" si="561"/>
        <v>0</v>
      </c>
      <c r="BJ346" s="44" t="s">
        <v>115</v>
      </c>
      <c r="BK346" s="42">
        <f t="shared" ca="1" si="570"/>
        <v>0.5714285714285714</v>
      </c>
      <c r="BL346" s="44">
        <v>1</v>
      </c>
      <c r="BM346" s="42" cm="1">
        <f t="array" aca="1" ref="BM346" ca="1">_xlfn.IFS(BD346="NA","NA",BD346&gt;100%,"100%",BD346&lt;100,BD346)</f>
        <v>1</v>
      </c>
      <c r="BN346" s="42" cm="1">
        <f t="array" ref="BN346">_xlfn.IFS(BF346="NA","NA",BF346&gt;100%,"100%",BF346&lt;100,BF346)</f>
        <v>0</v>
      </c>
      <c r="BO346" s="42" cm="1">
        <f t="array" ref="BO346">_xlfn.IFS(BH346="NA","NA",BH346&gt;100%,"100%",BH346&lt;100,BH346)</f>
        <v>0</v>
      </c>
      <c r="BP346" s="42" t="str" cm="1">
        <f t="array" ref="BP346">_xlfn.IFS(BJ346="NA","NA",BJ346&gt;100%,"100%",BJ346&lt;100,BJ346)</f>
        <v>NA</v>
      </c>
      <c r="BQ346" s="45">
        <v>0.224</v>
      </c>
      <c r="BR346" s="43">
        <f t="shared" ca="1" si="571"/>
        <v>0.128</v>
      </c>
      <c r="BS346" s="45">
        <v>9.6000000000000002E-2</v>
      </c>
      <c r="BT346" s="45">
        <v>9.6000000000000002E-2</v>
      </c>
      <c r="BU346" s="45">
        <v>9.6000000000000002E-2</v>
      </c>
      <c r="BV346" s="43">
        <f t="shared" si="562"/>
        <v>3.2000000000000001E-2</v>
      </c>
      <c r="BW346" s="43">
        <f t="shared" ca="1" si="572"/>
        <v>3.2000000000000001E-2</v>
      </c>
      <c r="BX346" s="43">
        <f t="shared" ca="1" si="573"/>
        <v>3.2000000000000001E-2</v>
      </c>
      <c r="BY346" s="43">
        <f t="shared" si="563"/>
        <v>6.4000000000000001E-2</v>
      </c>
      <c r="BZ346" s="43">
        <f t="shared" si="564"/>
        <v>0</v>
      </c>
      <c r="CA346" s="43">
        <f t="shared" ca="1" si="574"/>
        <v>0</v>
      </c>
      <c r="CB346" s="43">
        <f t="shared" si="565"/>
        <v>3.2000000000000001E-2</v>
      </c>
      <c r="CC346" s="43">
        <f t="shared" si="566"/>
        <v>0</v>
      </c>
      <c r="CD346" s="45">
        <v>0</v>
      </c>
      <c r="CE346" s="43">
        <f t="shared" si="567"/>
        <v>0</v>
      </c>
      <c r="CF346" s="43" t="str">
        <f t="shared" si="568"/>
        <v>NA</v>
      </c>
      <c r="CG346" s="45">
        <v>0</v>
      </c>
    </row>
    <row r="347" spans="1:85" ht="18" customHeight="1">
      <c r="A347" s="260" t="s">
        <v>221</v>
      </c>
      <c r="B347" s="260" t="s">
        <v>222</v>
      </c>
      <c r="C347" s="260" t="s">
        <v>2129</v>
      </c>
      <c r="D347" s="260" t="s">
        <v>2130</v>
      </c>
      <c r="E347" s="260" t="s">
        <v>2155</v>
      </c>
      <c r="F347" s="260" t="s">
        <v>2156</v>
      </c>
      <c r="G347" s="260" t="s">
        <v>2157</v>
      </c>
      <c r="H347" s="260" t="s">
        <v>2167</v>
      </c>
      <c r="I347" s="260"/>
      <c r="J347" s="260"/>
      <c r="K347" s="260" t="s">
        <v>2168</v>
      </c>
      <c r="L347" s="260" t="s">
        <v>2169</v>
      </c>
      <c r="M347" s="260" t="s">
        <v>2170</v>
      </c>
      <c r="N347" s="260" t="s">
        <v>111</v>
      </c>
      <c r="O347" s="260" t="s">
        <v>112</v>
      </c>
      <c r="P347" s="10">
        <v>5</v>
      </c>
      <c r="Q347" s="11">
        <v>20</v>
      </c>
      <c r="R347" s="9">
        <f t="shared" ca="1" si="555"/>
        <v>1</v>
      </c>
      <c r="S347" s="11" t="str">
        <f ca="1">VLOOKUP(K347,'1220 IDECUT'!$K$13:$AK$48,9,0)</f>
        <v>En el 2021 Se da inicio a  la implementación del proyecto de alojamientos rurales "Posadas Turísticas" con la  firma el contrato con la universidad Externado de Colombia para iniciar las capacitaciones dirigidas a los propietarios de las posadas turísticas beneficiadas en 2019 y 2021, los temas a tratar son:
1.       Ética de los negocios.
2.       Buenas prácticas de turismo.
3.       Gestión de alojamientos, de alimentos y bebidas.
4.       Etiqueta y protocolo.
5.       Calidad e inocuidad en los alimentos.
6.       Protocolos de bioseguridad.
7.       La cocina regional y preparación de platos.
8.       Control y costos de alojamiento, de alimentos y bebidas.
9.       Mercadeo y estrategias de marketing digital.
10.   Servicio al cliente.
11.   Primeros auxilios.
12.   Prevención y control de incendios.                            Con esta iniciativa se han beneficiado los municipios de: GACHANCIPA, GUAYABETAL, LA VEGA, SESQUILE, TENA, ANOLAIMA, UBALA, VENECIA, LA PEÑA.
1.Viotá        Posada viota extreme
2.La Vega     ​Portal de las cascadas
3.Gachancipá     Museo campesino
4.Sesquilé        Posada paraiso
5.Sesquilé        Posada Santana
6.Tena                ​El cielo</v>
      </c>
      <c r="T347" s="11">
        <v>0</v>
      </c>
      <c r="U347" s="11">
        <v>0</v>
      </c>
      <c r="V347" s="11">
        <v>0</v>
      </c>
      <c r="W347" s="11">
        <v>0</v>
      </c>
      <c r="X347" s="11">
        <v>0</v>
      </c>
      <c r="Y347" s="11">
        <v>0</v>
      </c>
      <c r="Z347" s="11">
        <v>0</v>
      </c>
      <c r="AA347" s="11"/>
      <c r="AB347" s="11"/>
      <c r="AC347" s="11"/>
      <c r="AD347" s="11">
        <v>7</v>
      </c>
      <c r="AE347" s="11">
        <v>0</v>
      </c>
      <c r="AF347" s="11">
        <f ca="1">VLOOKUP(K347,'1220 IDECUT'!$K$13:$AK$48,22,0)</f>
        <v>1</v>
      </c>
      <c r="AG347" s="11">
        <f ca="1">VLOOKUP(K347,'1220 IDECUT'!$K$13:$AK$48,23,0)</f>
        <v>0</v>
      </c>
      <c r="AH347" s="9">
        <f t="shared" ca="1" si="556"/>
        <v>1</v>
      </c>
      <c r="AI347" s="9" t="str">
        <f ca="1">VLOOKUP(K347,'1220 IDECUT'!$K$13:$AK$48,25,0)</f>
        <v>Formalizacion</v>
      </c>
      <c r="AJ347" s="9" t="str">
        <f ca="1">VLOOKUP(K347,'1220 IDECUT'!$K$13:$AK$48,26,0)</f>
        <v>En el 2021 Se da inicio a  la implementación del proyecto de alojamientos rurales "Posadas Turísticas" con la  firma el contrato con la universidad Externado de Colombia para iniciar las capacitaciones dirigidas a los propietarios de las posadas turísticas beneficiadas en 2019 y 2021, los temas a tratar son:
1.       Ética de los negocios.
2.       Buenas prácticas de turismo.
3.       Gestión de alojamientos, de alimentos y bebidas.
4.       Etiqueta y protocolo.
5.       Calidad e inocuidad en los alimentos.
6.       Protocolos de bioseguridad.
7.       La cocina regional y preparación de platos.
8.       Control y costos de alojamiento, de alimentos y bebidas.
9.       Mercadeo y estrategias de marketing digital.
10.   Servicio al cliente.
11.   Primeros auxilios.
12.   Prevención y control de incendios.                            Con esta iniciativa se han beneficiado los municipios de: GACHANCIPA, GUAYABETAL, LA VEGA, SESQUILE, TENA, ANOLAIMA, UBALA, VENECIA, LA PEÑA.
1.Viotá        Posada viota extreme
2.La Vega     ​Portal de las cascadas
3.Gachancipá     Museo campesino
4.Sesquilé        Posada paraiso
5.Sesquilé        Posada Santana
6.Tena                ​El cielo</v>
      </c>
      <c r="AK347" s="9">
        <f ca="1">VLOOKUP(K347,'1220 IDECUT'!$K$13:$AK$48,27,0)</f>
        <v>0</v>
      </c>
      <c r="AL347" s="11">
        <v>7</v>
      </c>
      <c r="AM347" s="11">
        <v>0</v>
      </c>
      <c r="AN347" s="11">
        <v>6</v>
      </c>
      <c r="AO347" s="11">
        <v>0</v>
      </c>
      <c r="AP347" s="11">
        <v>0</v>
      </c>
      <c r="AQ347" s="11">
        <v>0</v>
      </c>
      <c r="AR347" s="52"/>
      <c r="AS347" s="54">
        <v>0</v>
      </c>
      <c r="AT347" s="54">
        <f t="shared" si="569"/>
        <v>0</v>
      </c>
      <c r="AU347" s="52"/>
      <c r="AV347" s="89">
        <v>372000000</v>
      </c>
      <c r="AY347" s="89">
        <v>20000000</v>
      </c>
      <c r="AZ347" s="42">
        <f t="shared" ca="1" si="557"/>
        <v>0.05</v>
      </c>
      <c r="BA347" s="44">
        <v>0</v>
      </c>
      <c r="BB347" s="44" t="s">
        <v>115</v>
      </c>
      <c r="BC347" s="42">
        <f t="shared" si="558"/>
        <v>0.35</v>
      </c>
      <c r="BD347" s="42" cm="1">
        <f t="array" aca="1" ref="BD347" ca="1">_xlfn.IFS(AD347=0,"NA",AD347&gt;0,AH347/AD347)</f>
        <v>0.14285714285714285</v>
      </c>
      <c r="BE347" s="42">
        <f t="shared" si="559"/>
        <v>0.35</v>
      </c>
      <c r="BF347" s="44">
        <v>0</v>
      </c>
      <c r="BG347" s="42">
        <f t="shared" si="560"/>
        <v>0.3</v>
      </c>
      <c r="BH347" s="44">
        <v>0</v>
      </c>
      <c r="BI347" s="42">
        <f t="shared" si="561"/>
        <v>0</v>
      </c>
      <c r="BJ347" s="44" t="s">
        <v>115</v>
      </c>
      <c r="BK347" s="42">
        <f t="shared" ca="1" si="570"/>
        <v>0.05</v>
      </c>
      <c r="BL347" s="44" t="s">
        <v>115</v>
      </c>
      <c r="BM347" s="42" cm="1">
        <f t="array" aca="1" ref="BM347" ca="1">_xlfn.IFS(BD347="NA","NA",BD347&gt;100%,"100%",BD347&lt;100,BD347)</f>
        <v>0.14285714285714285</v>
      </c>
      <c r="BN347" s="42" cm="1">
        <f t="array" ref="BN347">_xlfn.IFS(BF347="NA","NA",BF347&gt;100%,"100%",BF347&lt;100,BF347)</f>
        <v>0</v>
      </c>
      <c r="BO347" s="42" cm="1">
        <f t="array" ref="BO347">_xlfn.IFS(BH347="NA","NA",BH347&gt;100%,"100%",BH347&lt;100,BH347)</f>
        <v>0</v>
      </c>
      <c r="BP347" s="42" t="str" cm="1">
        <f t="array" ref="BP347">_xlfn.IFS(BJ347="NA","NA",BJ347&gt;100%,"100%",BJ347&lt;100,BJ347)</f>
        <v>NA</v>
      </c>
      <c r="BQ347" s="45">
        <v>0.224</v>
      </c>
      <c r="BR347" s="43">
        <f t="shared" ca="1" si="571"/>
        <v>1.1200000000000002E-2</v>
      </c>
      <c r="BS347" s="45">
        <v>0</v>
      </c>
      <c r="BT347" s="45" t="s">
        <v>115</v>
      </c>
      <c r="BU347" s="45">
        <v>0</v>
      </c>
      <c r="BV347" s="43">
        <f t="shared" si="562"/>
        <v>7.8399999999999997E-2</v>
      </c>
      <c r="BW347" s="43">
        <f t="shared" ca="1" si="572"/>
        <v>1.1199999999999998E-2</v>
      </c>
      <c r="BX347" s="43">
        <f t="shared" ca="1" si="573"/>
        <v>1.1200000000000002E-2</v>
      </c>
      <c r="BY347" s="43">
        <f t="shared" si="563"/>
        <v>7.8399999999999997E-2</v>
      </c>
      <c r="BZ347" s="43">
        <f t="shared" si="564"/>
        <v>0</v>
      </c>
      <c r="CA347" s="43">
        <f t="shared" ca="1" si="574"/>
        <v>0</v>
      </c>
      <c r="CB347" s="43">
        <f t="shared" si="565"/>
        <v>6.720000000000001E-2</v>
      </c>
      <c r="CC347" s="43">
        <f t="shared" si="566"/>
        <v>0</v>
      </c>
      <c r="CD347" s="45">
        <v>0</v>
      </c>
      <c r="CE347" s="43">
        <f t="shared" si="567"/>
        <v>0</v>
      </c>
      <c r="CF347" s="43" t="str">
        <f t="shared" si="568"/>
        <v>NA</v>
      </c>
      <c r="CG347" s="45">
        <v>0</v>
      </c>
    </row>
    <row r="348" spans="1:85" ht="18" customHeight="1">
      <c r="A348" s="260" t="s">
        <v>221</v>
      </c>
      <c r="B348" s="260" t="s">
        <v>222</v>
      </c>
      <c r="C348" s="260" t="s">
        <v>2129</v>
      </c>
      <c r="D348" s="260" t="s">
        <v>2130</v>
      </c>
      <c r="E348" s="260" t="s">
        <v>2155</v>
      </c>
      <c r="F348" s="260" t="s">
        <v>2156</v>
      </c>
      <c r="G348" s="260" t="s">
        <v>2157</v>
      </c>
      <c r="H348" s="260" t="s">
        <v>2171</v>
      </c>
      <c r="I348" s="260"/>
      <c r="J348" s="260"/>
      <c r="K348" s="260" t="s">
        <v>2172</v>
      </c>
      <c r="L348" s="260" t="s">
        <v>3015</v>
      </c>
      <c r="M348" s="260" t="s">
        <v>3016</v>
      </c>
      <c r="N348" s="260" t="s">
        <v>111</v>
      </c>
      <c r="O348" s="260" t="s">
        <v>112</v>
      </c>
      <c r="P348" s="10">
        <v>0</v>
      </c>
      <c r="Q348" s="11">
        <v>5</v>
      </c>
      <c r="R348" s="9">
        <f t="shared" ca="1" si="555"/>
        <v>2</v>
      </c>
      <c r="S348" s="11" t="str">
        <f ca="1">VLOOKUP(K348,'1220 IDECUT'!$K$13:$AK$48,9,0)</f>
        <v>En 2020 se creó  un nuevo producto turístico alrededor de Biciturismo en la provincia de Gualivá, Subachoque,  El Rosal, y la provincia de Sumapaz; creación circuito turístico MTB Bogotá-Región, dos localidades de Bogotá y 15 municipios de Cundinamarca. Adicionalmente, se ha fortalecido el producto de aviturismo, por medio de capacitaciones y posicionamiento en el OCTOBER BIG del municipio de San Antonio del Tequendama como el mejor lugar a nivel nacional para avistamiento de aves. Reconocimiento de los atractivos turísticos que comprenden la ruta Leyenda el Dorado en articulación con el Instituto Distrital de Turismo - IDT.  Durante la vigencia 2021, se han realizado las siguientes estrategias para la implementación y fortalecimiento de los 3 productos turisticos de Biciturismo,Aviturismo, Ruta Leyenda el Dorado con el fin de beneficiar a las 116 municipios:*Sensibilización para que los conductores respeten a los Biciusuarios en la vía, incrementar el uso de la bicicleta y la actividad física, reactivación económica del sector en los Municipios participantes, a través de la estrategia Ciclovía por la Vida Interdepartamental.
*Descripción de cada una de las Rutas, basada en cada una de las fichas de caracterización obtenidas en las visitas de campo a los 65 municipios que conforman las cuatro Rutas que se definieron; la Ruta del agua, Ruta Dulce y Aventura, Ruta del Rio y el encanto y la Ruta del Origen Ancestral para entregar de una forma práctica esta información a turistas y visitantes para fortalecer los destinos e integrar toda la cadena de valor turístico en pro de su reactivación económica. 
*Se firmo contrato con Cotelco con el fin de realizar el 1er Encuentro de Glamping, con una asistencia de más de 50 propietarios de glamping y otras modalidades de alojamiento, representándose esta asistencia en un 80% de Bogotá y Cundinamarca; el 20% restante provenientes de: Costa Atlántica, Eje Cafetero, Antioquia, Meta, Casanare y Huila. Con el propósito de visibilizar al glamping como una nueva modalidad de alojamiento, dándole su reconocimiento al sector privado siendo identificados dentro del sector turístico, que cada día viene evolucionando y trayendo nuevas formas de hospedaje. La agenda académica se enmarcó en temas como el enfoque estratégico frente a las nuevas tendencias de viaje, nuevos canales de comercialización, casos exitosos de sostenibilidad, requisitos para la operación, seguridad industrial y prevención de riesgos, glamping como emprendimiento y la participación de cerca de 35 agencias de viajes durante cuatro horas en una rueda de negocios con los empresarios asistentes.
*La Subgerencia de turismo participo en el evento “turismo para un crecimiento inclusivo” el cual permitió discutir acerca de accesibilidad e inclusión para el sector turismo. 
*Se esta llevando a cabo proceso de formación para guías y operadores turísticos en biciturismo, esta capacitación esta dirigida a quienes realicen actividades de naturaleza como: ecoturismo, senderismo y turismo de aventura; Con el objetivo de fortalecer el turismo de naturaleza, particularmente el biciturismo. Una vez los participantes culminen el proceso de formación, podrán operar en el circuito Bici Bogotá Región, un sistema de rutas de biciturismo de 300 kilómetros, con altos estándares de diseño y señalización turística; en el que se puede disfrutar de riquezas paisajísticas, avistamiento de aves, cultura, gastronomía y mucha naturaleza. 
Se encuentra totalmente señalizada, en este momento estamos en la etapa de formación, con cursos dirigidos a (69) Operadores Turísticos en Biciturismo y curso en acompañamiento y uso de la Bicicleta a (140) Bici – Guías o Vigías. Se realizo el Encuentro de Directores de turismo con capacitaciones a cargo de ProColombia, Viceministerio de turismo, con una participación de 78 municipios.
*Se realizo el IV Encuentro de Puntos de Información Turística PIT con capacitaciones a cargo de la Policía de Turismo, Consejería Presidencial para la Participación de las Personas con Discapacidad para el turismo accesible y Viceministerio de turismo, sobre el programa de turismo responsable, turismo accesible, y legalización de operadores y prestadores de turismo, con una participación de 29 PIT.</v>
      </c>
      <c r="T348" s="11">
        <v>0.5</v>
      </c>
      <c r="U348" s="11">
        <v>0</v>
      </c>
      <c r="V348" s="11">
        <v>0.5</v>
      </c>
      <c r="W348" s="11">
        <v>0</v>
      </c>
      <c r="X348" s="11">
        <v>0.5</v>
      </c>
      <c r="Y348" s="11">
        <v>0</v>
      </c>
      <c r="Z348" s="11">
        <v>0.5</v>
      </c>
      <c r="AA348" s="11" t="s">
        <v>2175</v>
      </c>
      <c r="AB348" s="11" t="s">
        <v>2176</v>
      </c>
      <c r="AC348" s="11" t="s">
        <v>2177</v>
      </c>
      <c r="AD348" s="11">
        <v>1.5</v>
      </c>
      <c r="AE348" s="11">
        <v>0</v>
      </c>
      <c r="AF348" s="11">
        <f ca="1">VLOOKUP(K348,'1220 IDECUT'!$K$13:$AK$48,22,0)</f>
        <v>1.5</v>
      </c>
      <c r="AG348" s="11">
        <f ca="1">VLOOKUP(K348,'1220 IDECUT'!$K$13:$AK$48,23,0)</f>
        <v>0</v>
      </c>
      <c r="AH348" s="9">
        <f t="shared" ca="1" si="556"/>
        <v>1.5</v>
      </c>
      <c r="AI348" s="9" t="str">
        <f ca="1">VLOOKUP(K348,'1220 IDECUT'!$K$13:$AK$48,25,0)</f>
        <v>Producto</v>
      </c>
      <c r="AJ348" s="9" t="str">
        <f ca="1">VLOOKUP(K348,'1220 IDECUT'!$K$13:$AK$48,26,0)</f>
        <v>Se realizo el Encuentro de Directores de turismo con capacitaciones a cargo de ProColombia, Viceministerio de turismo, con una participación de 78 municipios.
*Se realizo el IV Encuentro de Puntos de Información Turística PIT con capacitaciones a cargo de la Policía de Turismo, Consejería Presidencial para la Participación de las Personas con Discapacidad para el turismo accesible y Viceministerio de turismo, sobre el programa de turismo responsable, turismo accesible, y legalización de operadores y prestadores de turismo, con una participación de 29 PIT.</v>
      </c>
      <c r="AK348" s="9">
        <f ca="1">VLOOKUP(K348,'1220 IDECUT'!$K$13:$AK$48,27,0)</f>
        <v>0</v>
      </c>
      <c r="AL348" s="11">
        <v>2</v>
      </c>
      <c r="AM348" s="11">
        <v>0</v>
      </c>
      <c r="AN348" s="11">
        <v>1</v>
      </c>
      <c r="AO348" s="11">
        <v>0</v>
      </c>
      <c r="AP348" s="11">
        <v>0</v>
      </c>
      <c r="AQ348" s="11">
        <v>0</v>
      </c>
      <c r="AR348" s="51">
        <v>649800000</v>
      </c>
      <c r="AS348" s="54">
        <v>50000000</v>
      </c>
      <c r="AT348" s="54">
        <f t="shared" si="569"/>
        <v>699800000</v>
      </c>
      <c r="AU348" s="51">
        <v>649800000</v>
      </c>
      <c r="AV348" s="89">
        <v>800000000</v>
      </c>
      <c r="AY348" s="89">
        <v>208500000</v>
      </c>
      <c r="AZ348" s="42">
        <f t="shared" ca="1" si="557"/>
        <v>0.4</v>
      </c>
      <c r="BA348" s="44">
        <v>0.1</v>
      </c>
      <c r="BB348" s="44">
        <v>1</v>
      </c>
      <c r="BC348" s="42">
        <f t="shared" si="558"/>
        <v>0.3</v>
      </c>
      <c r="BD348" s="42" cm="1">
        <f t="array" aca="1" ref="BD348" ca="1">_xlfn.IFS(AD348=0,"NA",AD348&gt;0,AH348/AD348)</f>
        <v>1</v>
      </c>
      <c r="BE348" s="42">
        <f t="shared" si="559"/>
        <v>0.4</v>
      </c>
      <c r="BF348" s="44">
        <v>0</v>
      </c>
      <c r="BG348" s="42">
        <f t="shared" si="560"/>
        <v>0.2</v>
      </c>
      <c r="BH348" s="44">
        <v>0</v>
      </c>
      <c r="BI348" s="42">
        <f t="shared" si="561"/>
        <v>0</v>
      </c>
      <c r="BJ348" s="44" t="s">
        <v>115</v>
      </c>
      <c r="BK348" s="42">
        <f t="shared" ca="1" si="570"/>
        <v>0.4</v>
      </c>
      <c r="BL348" s="44">
        <v>1</v>
      </c>
      <c r="BM348" s="42" cm="1">
        <f t="array" aca="1" ref="BM348" ca="1">_xlfn.IFS(BD348="NA","NA",BD348&gt;100%,"100%",BD348&lt;100,BD348)</f>
        <v>1</v>
      </c>
      <c r="BN348" s="42" cm="1">
        <f t="array" ref="BN348">_xlfn.IFS(BF348="NA","NA",BF348&gt;100%,"100%",BF348&lt;100,BF348)</f>
        <v>0</v>
      </c>
      <c r="BO348" s="42" cm="1">
        <f t="array" ref="BO348">_xlfn.IFS(BH348="NA","NA",BH348&gt;100%,"100%",BH348&lt;100,BH348)</f>
        <v>0</v>
      </c>
      <c r="BP348" s="42" t="str" cm="1">
        <f t="array" ref="BP348">_xlfn.IFS(BJ348="NA","NA",BJ348&gt;100%,"100%",BJ348&lt;100,BJ348)</f>
        <v>NA</v>
      </c>
      <c r="BQ348" s="45">
        <v>0.224</v>
      </c>
      <c r="BR348" s="43">
        <f t="shared" ca="1" si="571"/>
        <v>8.9600000000000013E-2</v>
      </c>
      <c r="BS348" s="45">
        <v>2.24E-2</v>
      </c>
      <c r="BT348" s="45">
        <v>2.24E-2</v>
      </c>
      <c r="BU348" s="45">
        <v>2.24E-2</v>
      </c>
      <c r="BV348" s="43">
        <f t="shared" si="562"/>
        <v>6.720000000000001E-2</v>
      </c>
      <c r="BW348" s="43">
        <f t="shared" ca="1" si="572"/>
        <v>6.720000000000001E-2</v>
      </c>
      <c r="BX348" s="43">
        <f t="shared" ca="1" si="573"/>
        <v>6.720000000000001E-2</v>
      </c>
      <c r="BY348" s="43">
        <f t="shared" si="563"/>
        <v>8.9599999999999999E-2</v>
      </c>
      <c r="BZ348" s="43">
        <f t="shared" si="564"/>
        <v>0</v>
      </c>
      <c r="CA348" s="43">
        <f t="shared" ca="1" si="574"/>
        <v>0</v>
      </c>
      <c r="CB348" s="43">
        <f t="shared" si="565"/>
        <v>4.48E-2</v>
      </c>
      <c r="CC348" s="43">
        <f t="shared" si="566"/>
        <v>0</v>
      </c>
      <c r="CD348" s="45">
        <v>0</v>
      </c>
      <c r="CE348" s="43">
        <f t="shared" si="567"/>
        <v>0</v>
      </c>
      <c r="CF348" s="43" t="str">
        <f t="shared" si="568"/>
        <v>NA</v>
      </c>
      <c r="CG348" s="45">
        <v>0</v>
      </c>
    </row>
    <row r="349" spans="1:85" ht="18" customHeight="1">
      <c r="A349" s="260" t="s">
        <v>221</v>
      </c>
      <c r="B349" s="260" t="s">
        <v>222</v>
      </c>
      <c r="C349" s="260" t="s">
        <v>2129</v>
      </c>
      <c r="D349" s="260" t="s">
        <v>2130</v>
      </c>
      <c r="E349" s="260" t="s">
        <v>2155</v>
      </c>
      <c r="F349" s="260" t="s">
        <v>2156</v>
      </c>
      <c r="G349" s="260" t="s">
        <v>2157</v>
      </c>
      <c r="H349" s="260" t="s">
        <v>2178</v>
      </c>
      <c r="I349" s="260"/>
      <c r="J349" s="260"/>
      <c r="K349" s="260" t="s">
        <v>2179</v>
      </c>
      <c r="L349" s="260" t="s">
        <v>2180</v>
      </c>
      <c r="M349" s="260" t="s">
        <v>2181</v>
      </c>
      <c r="N349" s="260" t="s">
        <v>111</v>
      </c>
      <c r="O349" s="260" t="s">
        <v>112</v>
      </c>
      <c r="P349" s="10">
        <v>0</v>
      </c>
      <c r="Q349" s="11">
        <v>100</v>
      </c>
      <c r="R349" s="9">
        <f t="shared" ca="1" si="555"/>
        <v>51</v>
      </c>
      <c r="S349" s="11" t="str">
        <f ca="1">VLOOKUP(K349,'1220 IDECUT'!$K$13:$AK$48,9,0)</f>
        <v>En 2021. En la legalización de empresarios turisticos, durante la vigencia 2021 se han realizado las siguientes actividades con los 116 municipios del Departamento:                                                              *Apoyo y asesoría a los empresarios turísticos de Cundinamarca, incentivándolos a certificarse con el fin de fidelizar un mayor número de turistas que ayuden a reactivar su economía y a su vez ayuden a promover el crecimiento y sostenibilidad en sus Municipios, de acuerdo con la labor encomendada por la Subgerencia de turismo.
*Contacto con los Prestadores que fueron apoyados para obtener su RNT, con el fin de invitarlos a capacitaciones organizadas por Procolombia-Idecut en Pro de brindarles nuevas herramientas para seguir en el proceso de reactivación del sector.
*A partir del seguimiento continuo a los prestadores informales, se logra que 50 de estos obtengan su registro nacional de turismo, cumpliendo de esta manera con la meta propuesta para la vigencia 2021 que era de 35 prestadores con RNT</v>
      </c>
      <c r="T349" s="11">
        <v>0</v>
      </c>
      <c r="U349" s="11">
        <v>0</v>
      </c>
      <c r="V349" s="11">
        <v>0</v>
      </c>
      <c r="W349" s="11">
        <v>0</v>
      </c>
      <c r="X349" s="11">
        <v>0</v>
      </c>
      <c r="Y349" s="11">
        <v>0</v>
      </c>
      <c r="Z349" s="11">
        <v>0</v>
      </c>
      <c r="AA349" s="11"/>
      <c r="AB349" s="11"/>
      <c r="AC349" s="11"/>
      <c r="AD349" s="11">
        <v>35</v>
      </c>
      <c r="AE349" s="11">
        <v>0</v>
      </c>
      <c r="AF349" s="11">
        <f ca="1">VLOOKUP(K349,'1220 IDECUT'!$K$13:$AK$48,22,0)</f>
        <v>51</v>
      </c>
      <c r="AG349" s="11">
        <f ca="1">VLOOKUP(K349,'1220 IDECUT'!$K$13:$AK$48,23,0)</f>
        <v>0</v>
      </c>
      <c r="AH349" s="9">
        <f t="shared" ca="1" si="556"/>
        <v>51</v>
      </c>
      <c r="AI349" s="9" t="str">
        <f ca="1">VLOOKUP(K349,'1220 IDECUT'!$K$13:$AK$48,25,0)</f>
        <v>Formalizacion</v>
      </c>
      <c r="AJ349" s="9" t="str">
        <f ca="1">VLOOKUP(K349,'1220 IDECUT'!$K$13:$AK$48,26,0)</f>
        <v>En la legalización de empresarios turisticos, durante la vigencia 2021 se han realizado las siguientes actividades con los 116 municipios del Departamento:                                                              *Apoyo y asesoría a los empresarios turísticos de Cundinamarca, incentivándolos a certificarse con el fin de fidelizar un mayor número de turistas que ayuden a reactivar su economía y a su vez ayuden a promover el crecimiento y sostenibilidad en sus Municipios, de acuerdo con la labor encomendada por la Subgerencia de turismo.
*Contacto con los Prestadores que fueron apoyados para obtener su RNT, con el fin de invitarlos a capacitaciones organizadas por Procolombia-Idecut en Pro de brindarles nuevas herramientas para seguir en el proceso de reactivación del sector.
*A partir del seguimiento continuo a los prestadores informales, se logra que 50 de estos obtengan su registro nacional de turismo, cumpliendo de esta manera con la meta propuesta para la vigencia 2021 que era de 35 prestadores con RNT</v>
      </c>
      <c r="AK349" s="9">
        <f ca="1">VLOOKUP(K349,'1220 IDECUT'!$K$13:$AK$48,27,0)</f>
        <v>0</v>
      </c>
      <c r="AL349" s="11">
        <v>35</v>
      </c>
      <c r="AM349" s="11">
        <v>0</v>
      </c>
      <c r="AN349" s="11">
        <v>30</v>
      </c>
      <c r="AO349" s="11">
        <v>0</v>
      </c>
      <c r="AP349" s="11">
        <v>0</v>
      </c>
      <c r="AQ349" s="11">
        <v>0</v>
      </c>
      <c r="AR349" s="52"/>
      <c r="AS349" s="54">
        <v>0</v>
      </c>
      <c r="AT349" s="54">
        <f t="shared" si="569"/>
        <v>0</v>
      </c>
      <c r="AU349" s="52"/>
      <c r="AV349" s="89">
        <v>66000000</v>
      </c>
      <c r="AY349" s="89">
        <v>26000000</v>
      </c>
      <c r="AZ349" s="42">
        <f t="shared" ca="1" si="557"/>
        <v>0.51</v>
      </c>
      <c r="BA349" s="44">
        <v>0</v>
      </c>
      <c r="BB349" s="44" t="s">
        <v>115</v>
      </c>
      <c r="BC349" s="42">
        <f t="shared" si="558"/>
        <v>0.35</v>
      </c>
      <c r="BD349" s="42" cm="1">
        <f t="array" aca="1" ref="BD349" ca="1">_xlfn.IFS(AD349=0,"NA",AD349&gt;0,AH349/AD349)</f>
        <v>1.4571428571428571</v>
      </c>
      <c r="BE349" s="42">
        <f t="shared" si="559"/>
        <v>0.35</v>
      </c>
      <c r="BF349" s="44">
        <v>0</v>
      </c>
      <c r="BG349" s="42">
        <f t="shared" si="560"/>
        <v>0.3</v>
      </c>
      <c r="BH349" s="44">
        <v>0</v>
      </c>
      <c r="BI349" s="42">
        <f t="shared" si="561"/>
        <v>0</v>
      </c>
      <c r="BJ349" s="44" t="s">
        <v>115</v>
      </c>
      <c r="BK349" s="42">
        <f t="shared" ca="1" si="570"/>
        <v>0.51</v>
      </c>
      <c r="BL349" s="44" t="s">
        <v>115</v>
      </c>
      <c r="BM349" s="42" t="str" cm="1">
        <f t="array" aca="1" ref="BM349" ca="1">_xlfn.IFS(BD349="NA","NA",BD349&gt;100%,"100%",BD349&lt;100,BD349)</f>
        <v>100%</v>
      </c>
      <c r="BN349" s="42" cm="1">
        <f t="array" ref="BN349">_xlfn.IFS(BF349="NA","NA",BF349&gt;100%,"100%",BF349&lt;100,BF349)</f>
        <v>0</v>
      </c>
      <c r="BO349" s="42" cm="1">
        <f t="array" ref="BO349">_xlfn.IFS(BH349="NA","NA",BH349&gt;100%,"100%",BH349&lt;100,BH349)</f>
        <v>0</v>
      </c>
      <c r="BP349" s="42" t="str" cm="1">
        <f t="array" ref="BP349">_xlfn.IFS(BJ349="NA","NA",BJ349&gt;100%,"100%",BJ349&lt;100,BJ349)</f>
        <v>NA</v>
      </c>
      <c r="BQ349" s="45">
        <v>0.224</v>
      </c>
      <c r="BR349" s="43">
        <f t="shared" ca="1" si="571"/>
        <v>0.11424000000000001</v>
      </c>
      <c r="BS349" s="45">
        <v>0</v>
      </c>
      <c r="BT349" s="45" t="s">
        <v>115</v>
      </c>
      <c r="BU349" s="45">
        <v>0</v>
      </c>
      <c r="BV349" s="43">
        <f t="shared" si="562"/>
        <v>7.8399999999999997E-2</v>
      </c>
      <c r="BW349" s="43">
        <f t="shared" ca="1" si="572"/>
        <v>7.8399999999999997E-2</v>
      </c>
      <c r="BX349" s="43">
        <f t="shared" ca="1" si="573"/>
        <v>0.11424000000000001</v>
      </c>
      <c r="BY349" s="43">
        <f t="shared" si="563"/>
        <v>7.8399999999999997E-2</v>
      </c>
      <c r="BZ349" s="43">
        <f t="shared" si="564"/>
        <v>0</v>
      </c>
      <c r="CA349" s="43">
        <f t="shared" ca="1" si="574"/>
        <v>0</v>
      </c>
      <c r="CB349" s="43">
        <f t="shared" si="565"/>
        <v>6.7199999999999996E-2</v>
      </c>
      <c r="CC349" s="43">
        <f t="shared" si="566"/>
        <v>0</v>
      </c>
      <c r="CD349" s="45">
        <v>0</v>
      </c>
      <c r="CE349" s="43">
        <f t="shared" si="567"/>
        <v>0</v>
      </c>
      <c r="CF349" s="43" t="str">
        <f t="shared" si="568"/>
        <v>NA</v>
      </c>
      <c r="CG349" s="45">
        <v>0</v>
      </c>
    </row>
    <row r="350" spans="1:85" ht="18" customHeight="1">
      <c r="A350" s="260" t="s">
        <v>221</v>
      </c>
      <c r="B350" s="260" t="s">
        <v>222</v>
      </c>
      <c r="C350" s="260" t="s">
        <v>2129</v>
      </c>
      <c r="D350" s="260" t="s">
        <v>2130</v>
      </c>
      <c r="E350" s="260" t="s">
        <v>2155</v>
      </c>
      <c r="F350" s="260" t="s">
        <v>2156</v>
      </c>
      <c r="G350" s="260" t="s">
        <v>2157</v>
      </c>
      <c r="H350" s="260" t="s">
        <v>2182</v>
      </c>
      <c r="I350" s="260"/>
      <c r="J350" s="260"/>
      <c r="K350" s="260" t="s">
        <v>2183</v>
      </c>
      <c r="L350" s="260" t="s">
        <v>2184</v>
      </c>
      <c r="M350" s="260" t="s">
        <v>2185</v>
      </c>
      <c r="N350" s="260" t="s">
        <v>111</v>
      </c>
      <c r="O350" s="260" t="s">
        <v>112</v>
      </c>
      <c r="P350" s="10">
        <v>0</v>
      </c>
      <c r="Q350" s="11">
        <v>3</v>
      </c>
      <c r="R350" s="9">
        <f t="shared" ca="1" si="555"/>
        <v>2</v>
      </c>
      <c r="S350" s="11" t="str">
        <f ca="1">VLOOKUP(K350,'1220 IDECUT'!$K$13:$AK$48,9,0)</f>
        <v>En 2021, Se firmó el convenio marco entre el Instituto Distrital De Turismo y El Instituto Departamental de Cultura y Turismo de Cundinamarca, para el desarrollo de acciones que propendan a impulsar el turismo sostenible, responsable, incluyente, inteligente y productivo en Bogotá y Cundinamarca.
*Se firmo memorando de entendimiento entre el Idecut y la Cámara de Comercio de Bogotá, como alianza estratégica para fortalecer gestión turística para que contribuya al desarrollo, la competitividad, el fortalecimiento y reactivación económica del sector turístico en provincias como Sabana Centro, Sumapaz, Almeidas, Guavio, Oriente y Ubaté</v>
      </c>
      <c r="T350" s="11">
        <v>0</v>
      </c>
      <c r="U350" s="11">
        <v>0</v>
      </c>
      <c r="V350" s="11">
        <v>0</v>
      </c>
      <c r="W350" s="11">
        <v>0</v>
      </c>
      <c r="X350" s="11">
        <v>0</v>
      </c>
      <c r="Y350" s="11">
        <v>0</v>
      </c>
      <c r="Z350" s="11">
        <v>0</v>
      </c>
      <c r="AA350" s="11"/>
      <c r="AB350" s="11"/>
      <c r="AC350" s="11"/>
      <c r="AD350" s="11">
        <v>1</v>
      </c>
      <c r="AE350" s="11">
        <v>0</v>
      </c>
      <c r="AF350" s="11">
        <f ca="1">VLOOKUP(K350,'1220 IDECUT'!$K$13:$AK$48,22,0)</f>
        <v>2</v>
      </c>
      <c r="AG350" s="11">
        <f ca="1">VLOOKUP(K350,'1220 IDECUT'!$K$13:$AK$48,23,0)</f>
        <v>0</v>
      </c>
      <c r="AH350" s="9">
        <f t="shared" ca="1" si="556"/>
        <v>2</v>
      </c>
      <c r="AI350" s="9" t="str">
        <f ca="1">VLOOKUP(K350,'1220 IDECUT'!$K$13:$AK$48,25,0)</f>
        <v>Ruta biciturismo</v>
      </c>
      <c r="AJ350" s="9" t="str">
        <f ca="1">VLOOKUP(K350,'1220 IDECUT'!$K$13:$AK$48,26,0)</f>
        <v>Se firmó el convenio marco entre el Instituto Distrital De Turismo y El Instituto Departamental de Cultura y Turismo de Cundinamarca, para el desarrollo de acciones que propendan a impulsar el turismo sostenible, responsable, incluyente, inteligente y productivo en Bogotá y Cundinamarca.
Se firmo memorando de entendimiento entre el Idecut y la Cámara de Comercio de Bogotá, como alianza estratégica para fortalecer gestión turística para que contribuya al desarrollo, la competitividad, el fortalecimiento y reactivación económica del sector turístico en provincias como Sabana Centro, Sumapaz, Almeidas, Guavio, Oriente y Ubaté</v>
      </c>
      <c r="AK350" s="9">
        <f ca="1">VLOOKUP(K350,'1220 IDECUT'!$K$13:$AK$48,27,0)</f>
        <v>0</v>
      </c>
      <c r="AL350" s="11">
        <v>1</v>
      </c>
      <c r="AM350" s="11">
        <v>0</v>
      </c>
      <c r="AN350" s="11">
        <v>1</v>
      </c>
      <c r="AO350" s="11">
        <v>0</v>
      </c>
      <c r="AP350" s="11">
        <v>0</v>
      </c>
      <c r="AQ350" s="11">
        <v>0</v>
      </c>
      <c r="AR350" s="52"/>
      <c r="AS350" s="54">
        <v>0</v>
      </c>
      <c r="AT350" s="54">
        <f t="shared" si="569"/>
        <v>0</v>
      </c>
      <c r="AU350" s="52"/>
      <c r="AV350" s="89">
        <v>36000000</v>
      </c>
      <c r="AY350" s="89">
        <v>6000000</v>
      </c>
      <c r="AZ350" s="42">
        <f t="shared" ca="1" si="557"/>
        <v>0.66666666666666663</v>
      </c>
      <c r="BA350" s="44">
        <v>0</v>
      </c>
      <c r="BB350" s="44" t="s">
        <v>115</v>
      </c>
      <c r="BC350" s="42">
        <f t="shared" si="558"/>
        <v>0.33333333333333331</v>
      </c>
      <c r="BD350" s="42" cm="1">
        <f t="array" aca="1" ref="BD350" ca="1">_xlfn.IFS(AD350=0,"NA",AD350&gt;0,AH350/AD350)</f>
        <v>2</v>
      </c>
      <c r="BE350" s="42">
        <f t="shared" si="559"/>
        <v>0.33333333333333331</v>
      </c>
      <c r="BF350" s="44">
        <v>0</v>
      </c>
      <c r="BG350" s="42">
        <f t="shared" si="560"/>
        <v>0.33333333333333331</v>
      </c>
      <c r="BH350" s="44">
        <v>0</v>
      </c>
      <c r="BI350" s="42">
        <f t="shared" si="561"/>
        <v>0</v>
      </c>
      <c r="BJ350" s="44" t="s">
        <v>115</v>
      </c>
      <c r="BK350" s="42">
        <f t="shared" ca="1" si="570"/>
        <v>0.66666666666666663</v>
      </c>
      <c r="BL350" s="44" t="s">
        <v>115</v>
      </c>
      <c r="BM350" s="42" t="str" cm="1">
        <f t="array" aca="1" ref="BM350" ca="1">_xlfn.IFS(BD350="NA","NA",BD350&gt;100%,"100%",BD350&lt;100,BD350)</f>
        <v>100%</v>
      </c>
      <c r="BN350" s="42" cm="1">
        <f t="array" ref="BN350">_xlfn.IFS(BF350="NA","NA",BF350&gt;100%,"100%",BF350&lt;100,BF350)</f>
        <v>0</v>
      </c>
      <c r="BO350" s="42" cm="1">
        <f t="array" ref="BO350">_xlfn.IFS(BH350="NA","NA",BH350&gt;100%,"100%",BH350&lt;100,BH350)</f>
        <v>0</v>
      </c>
      <c r="BP350" s="42" t="str" cm="1">
        <f t="array" ref="BP350">_xlfn.IFS(BJ350="NA","NA",BJ350&gt;100%,"100%",BJ350&lt;100,BJ350)</f>
        <v>NA</v>
      </c>
      <c r="BQ350" s="45">
        <v>0.224</v>
      </c>
      <c r="BR350" s="43">
        <f t="shared" ca="1" si="571"/>
        <v>0.14933333333333332</v>
      </c>
      <c r="BS350" s="45">
        <v>0</v>
      </c>
      <c r="BT350" s="45" t="s">
        <v>115</v>
      </c>
      <c r="BU350" s="45">
        <v>0</v>
      </c>
      <c r="BV350" s="43">
        <f t="shared" si="562"/>
        <v>7.4666666666666673E-2</v>
      </c>
      <c r="BW350" s="43">
        <f t="shared" ca="1" si="572"/>
        <v>7.4666666666666673E-2</v>
      </c>
      <c r="BX350" s="43">
        <f t="shared" ca="1" si="573"/>
        <v>0.14933333333333332</v>
      </c>
      <c r="BY350" s="43">
        <f t="shared" si="563"/>
        <v>7.4666666666666673E-2</v>
      </c>
      <c r="BZ350" s="43">
        <f t="shared" si="564"/>
        <v>0</v>
      </c>
      <c r="CA350" s="43">
        <f t="shared" ca="1" si="574"/>
        <v>0</v>
      </c>
      <c r="CB350" s="43">
        <f t="shared" si="565"/>
        <v>7.4666666666666673E-2</v>
      </c>
      <c r="CC350" s="43">
        <f t="shared" si="566"/>
        <v>0</v>
      </c>
      <c r="CD350" s="45">
        <v>0</v>
      </c>
      <c r="CE350" s="43">
        <f t="shared" si="567"/>
        <v>0</v>
      </c>
      <c r="CF350" s="43" t="str">
        <f t="shared" si="568"/>
        <v>NA</v>
      </c>
      <c r="CG350" s="45">
        <v>0</v>
      </c>
    </row>
    <row r="351" spans="1:85" ht="18" customHeight="1">
      <c r="A351" s="260" t="s">
        <v>221</v>
      </c>
      <c r="B351" s="260" t="s">
        <v>222</v>
      </c>
      <c r="C351" s="260" t="s">
        <v>2129</v>
      </c>
      <c r="D351" s="260" t="s">
        <v>2130</v>
      </c>
      <c r="E351" s="260" t="s">
        <v>2155</v>
      </c>
      <c r="F351" s="260" t="s">
        <v>2156</v>
      </c>
      <c r="G351" s="260" t="s">
        <v>2157</v>
      </c>
      <c r="H351" s="260" t="s">
        <v>2186</v>
      </c>
      <c r="I351" s="260"/>
      <c r="J351" s="260"/>
      <c r="K351" s="260" t="s">
        <v>2187</v>
      </c>
      <c r="L351" s="260" t="s">
        <v>2188</v>
      </c>
      <c r="M351" s="260" t="s">
        <v>2189</v>
      </c>
      <c r="N351" s="260" t="s">
        <v>111</v>
      </c>
      <c r="O351" s="260" t="s">
        <v>112</v>
      </c>
      <c r="P351" s="10">
        <v>15</v>
      </c>
      <c r="Q351" s="11">
        <v>20</v>
      </c>
      <c r="R351" s="9">
        <f t="shared" ca="1" si="555"/>
        <v>3</v>
      </c>
      <c r="S351" s="11" t="str">
        <f ca="1">VLOOKUP(K351,'1220 IDECUT'!$K$13:$AK$48,9,0)</f>
        <v>El IDECUT ha participado en dos eventos durante la vigencia 2021 de la tienda Kuna Mya en la Feria AgroExpo2021 evento que permite posicionar al departamento las artesanías que se ofrecen y también en la promoción turística de nuestros diferentes atractivos turísticos beneficiando a los 116 municipios del Departamento. Se participo en el Concurso Nacional de la Belleza con la Reina Departamental de Cundinamarca, evento que se llevo a cabo en la ciudad de Cartagena.</v>
      </c>
      <c r="T351" s="11">
        <v>0</v>
      </c>
      <c r="U351" s="11">
        <v>0</v>
      </c>
      <c r="V351" s="11">
        <v>0</v>
      </c>
      <c r="W351" s="11">
        <v>0</v>
      </c>
      <c r="X351" s="11">
        <v>0</v>
      </c>
      <c r="Y351" s="11">
        <v>0</v>
      </c>
      <c r="Z351" s="11">
        <v>0</v>
      </c>
      <c r="AA351" s="11"/>
      <c r="AB351" s="11"/>
      <c r="AC351" s="11"/>
      <c r="AD351" s="11">
        <v>6</v>
      </c>
      <c r="AE351" s="11">
        <v>0</v>
      </c>
      <c r="AF351" s="11">
        <f ca="1">VLOOKUP(K351,'1220 IDECUT'!$K$13:$AK$48,22,0)</f>
        <v>3</v>
      </c>
      <c r="AG351" s="11">
        <f ca="1">VLOOKUP(K351,'1220 IDECUT'!$K$13:$AK$48,23,0)</f>
        <v>0</v>
      </c>
      <c r="AH351" s="9">
        <f t="shared" ca="1" si="556"/>
        <v>3</v>
      </c>
      <c r="AI351" s="9" t="str">
        <f ca="1">VLOOKUP(K351,'1220 IDECUT'!$K$13:$AK$48,25,0)</f>
        <v>Convocatoria</v>
      </c>
      <c r="AJ351" s="9" t="str">
        <f ca="1">VLOOKUP(K351,'1220 IDECUT'!$K$13:$AK$48,26,0)</f>
        <v>Se participo en el Concurso Nacional de la Belleza con la Reina Departamental de Cundinamarca, evento que se llevo a cabo en la ciudad de Cartagena.</v>
      </c>
      <c r="AK351" s="9">
        <f ca="1">VLOOKUP(K351,'1220 IDECUT'!$K$13:$AK$48,27,0)</f>
        <v>0</v>
      </c>
      <c r="AL351" s="11">
        <v>7</v>
      </c>
      <c r="AM351" s="11">
        <v>0</v>
      </c>
      <c r="AN351" s="11">
        <v>7</v>
      </c>
      <c r="AO351" s="11">
        <v>0</v>
      </c>
      <c r="AP351" s="11">
        <v>0</v>
      </c>
      <c r="AQ351" s="11">
        <v>0</v>
      </c>
      <c r="AR351" s="52"/>
      <c r="AS351" s="54">
        <v>0</v>
      </c>
      <c r="AT351" s="54">
        <f t="shared" si="569"/>
        <v>0</v>
      </c>
      <c r="AU351" s="52"/>
      <c r="AV351" s="89">
        <v>330000000</v>
      </c>
      <c r="AY351" s="89">
        <v>0</v>
      </c>
      <c r="AZ351" s="42">
        <f t="shared" ca="1" si="557"/>
        <v>0.15</v>
      </c>
      <c r="BA351" s="44">
        <v>0</v>
      </c>
      <c r="BB351" s="44" t="s">
        <v>115</v>
      </c>
      <c r="BC351" s="42">
        <f t="shared" si="558"/>
        <v>0.3</v>
      </c>
      <c r="BD351" s="42" cm="1">
        <f t="array" aca="1" ref="BD351" ca="1">_xlfn.IFS(AD351=0,"NA",AD351&gt;0,AH351/AD351)</f>
        <v>0.5</v>
      </c>
      <c r="BE351" s="42">
        <f t="shared" si="559"/>
        <v>0.35</v>
      </c>
      <c r="BF351" s="44">
        <v>0</v>
      </c>
      <c r="BG351" s="42">
        <f t="shared" si="560"/>
        <v>0.35</v>
      </c>
      <c r="BH351" s="44">
        <v>0</v>
      </c>
      <c r="BI351" s="42">
        <f t="shared" si="561"/>
        <v>0</v>
      </c>
      <c r="BJ351" s="44" t="s">
        <v>115</v>
      </c>
      <c r="BK351" s="42">
        <f t="shared" ca="1" si="570"/>
        <v>0.15</v>
      </c>
      <c r="BL351" s="44" t="s">
        <v>115</v>
      </c>
      <c r="BM351" s="42" cm="1">
        <f t="array" aca="1" ref="BM351" ca="1">_xlfn.IFS(BD351="NA","NA",BD351&gt;100%,"100%",BD351&lt;100,BD351)</f>
        <v>0.5</v>
      </c>
      <c r="BN351" s="42" cm="1">
        <f t="array" ref="BN351">_xlfn.IFS(BF351="NA","NA",BF351&gt;100%,"100%",BF351&lt;100,BF351)</f>
        <v>0</v>
      </c>
      <c r="BO351" s="42" cm="1">
        <f t="array" ref="BO351">_xlfn.IFS(BH351="NA","NA",BH351&gt;100%,"100%",BH351&lt;100,BH351)</f>
        <v>0</v>
      </c>
      <c r="BP351" s="42" t="str" cm="1">
        <f t="array" ref="BP351">_xlfn.IFS(BJ351="NA","NA",BJ351&gt;100%,"100%",BJ351&lt;100,BJ351)</f>
        <v>NA</v>
      </c>
      <c r="BQ351" s="45">
        <v>0.224</v>
      </c>
      <c r="BR351" s="43">
        <f t="shared" ca="1" si="571"/>
        <v>3.3599999999999998E-2</v>
      </c>
      <c r="BS351" s="45">
        <v>0</v>
      </c>
      <c r="BT351" s="45" t="s">
        <v>115</v>
      </c>
      <c r="BU351" s="45">
        <v>0</v>
      </c>
      <c r="BV351" s="43">
        <f t="shared" si="562"/>
        <v>6.720000000000001E-2</v>
      </c>
      <c r="BW351" s="43">
        <f t="shared" ca="1" si="572"/>
        <v>3.3600000000000005E-2</v>
      </c>
      <c r="BX351" s="43">
        <f t="shared" ca="1" si="573"/>
        <v>3.3599999999999998E-2</v>
      </c>
      <c r="BY351" s="43">
        <f t="shared" si="563"/>
        <v>7.8399999999999997E-2</v>
      </c>
      <c r="BZ351" s="43">
        <f t="shared" si="564"/>
        <v>0</v>
      </c>
      <c r="CA351" s="43">
        <f t="shared" ca="1" si="574"/>
        <v>0</v>
      </c>
      <c r="CB351" s="43">
        <f t="shared" si="565"/>
        <v>7.8399999999999997E-2</v>
      </c>
      <c r="CC351" s="43">
        <f t="shared" si="566"/>
        <v>0</v>
      </c>
      <c r="CD351" s="45">
        <v>0</v>
      </c>
      <c r="CE351" s="43">
        <f t="shared" si="567"/>
        <v>0</v>
      </c>
      <c r="CF351" s="43" t="str">
        <f t="shared" si="568"/>
        <v>NA</v>
      </c>
      <c r="CG351" s="45">
        <v>0</v>
      </c>
    </row>
    <row r="352" spans="1:85" ht="18" customHeight="1">
      <c r="A352" s="260" t="s">
        <v>221</v>
      </c>
      <c r="B352" s="260" t="s">
        <v>222</v>
      </c>
      <c r="C352" s="260" t="s">
        <v>2129</v>
      </c>
      <c r="D352" s="260" t="s">
        <v>2130</v>
      </c>
      <c r="E352" s="260" t="s">
        <v>2155</v>
      </c>
      <c r="F352" s="260" t="s">
        <v>2156</v>
      </c>
      <c r="G352" s="260" t="s">
        <v>2157</v>
      </c>
      <c r="H352" s="260" t="s">
        <v>2190</v>
      </c>
      <c r="I352" s="260"/>
      <c r="J352" s="260"/>
      <c r="K352" s="260" t="s">
        <v>2191</v>
      </c>
      <c r="L352" s="260" t="s">
        <v>2192</v>
      </c>
      <c r="M352" s="260" t="s">
        <v>2193</v>
      </c>
      <c r="N352" s="260" t="s">
        <v>111</v>
      </c>
      <c r="O352" s="260" t="s">
        <v>112</v>
      </c>
      <c r="P352" s="10">
        <v>0</v>
      </c>
      <c r="Q352" s="11">
        <v>4</v>
      </c>
      <c r="R352" s="9">
        <f t="shared" ca="1" si="555"/>
        <v>1.5</v>
      </c>
      <c r="S352" s="11" t="str">
        <f ca="1">VLOOKUP(K352,'1220 IDECUT'!$K$13:$AK$48,9,0)</f>
        <v>En 2020 se realizaron actividades de promoción de potencial turístico del departamento de Cundinamarca a través de medios de comunicación (virtuales, televisión, radio), aportando y apoyando la reactivación del sector turístico, con el cual se evidencia un incremento en la llegada de visitantes y turistas a los diferentes atractivos y destinos turísticos del departamento. En lo corrido de la vigencia 2021, se han realizado estrategias de promoción, comunicación y marketing turístico implementadas que benefician a los 116 municiíos del departamento con las siguientes actividades:                                            *Revisión de la Guía, contactando otros Prestadores de servicios Turísticos y los recomendados por la Gerente, que cumplen con los requisitos exigidos. Contacto con los PST con el fin de solicitar, tras el envío de una carta, la autorización del Uso de Datos publicados en la Guía.
*Reunión virtual con los encargados de Turismo de Sabana Centro, Sabana Occidente y Almeidas para recibir sugerencias y aportes para completar información de los datos que se encuentran en la Guía Turística del Departamento con el fin de entregar datos reales a los turistas y visitantes locales, nacionales e internacionales que puedan contribuir a la reactivación económica del sector Turístico.
*Se ha logrado generar reconocimiento del departamento y los diferentes atractivos que componen cada una de las rutas, en las personas que han participado de los Fam trip.
*Se continua todos los viernes realizando el programa radial De Tour por Cundinamarca, hablando de diferentes temas en torno a la cultura y el turismo del departamento.
*Capacitación a los empresarios de como generar los códigos QR para poder tener sus portafolios y tarjetas de presentación de manera digital y pódelas entregar a sus posibles clientes minimizando el riesgo de posibles contagios.
*Los viernes se esta llevando a cabo el programa Dorado Radio donde se promociona los atractivos, destinos, operadores, prestadores de servicio turístico.
*El departamento se ha ido reactivando en el sector turismo y esto se ve reflejado en el aumento de estadísticas reportado por los Puntos de Información Turística PIT, para el segundo semestre se recibieron 10.362 turistas.
*Se dio capacitación a los informadores de la red nacional y red departamental para el funcionamiento de los puntos de información de turismo, como deben diligenciar el informe de actividades, reportar actividades que desarrollan en sus puntos para subir a redes sociales, fotografías de los puntos de información, y dar a conocer las capacitaciones que se deben dar en el segundo semestre.
*• Se dio apertura a la tienda Cundinamarca “Kuna Mya” en la ciudad de Bogotá el mágico espacio que recopila todos los encantos, tradiciones, sabores y saberes de nuestra Cundinamarca; contando con una línea artesanal que hace parte del esfuerzo de capacitación y de apoyo a 104 artesanos, Otro de los grandes atractivos de la tienda es que tiene la primera guía de turismo de Cundinamarca la cual ofrece los sitios turísticos por pisos térmicos que tiene el departamento. En el segundo piso los visitantes podrán, a través de una pantalla interactiva, conocer los 26 sitios imperdibles en Cundinamarca, los planes y prestadores de servicio turísticos con registro nacional de turismo. De igual forma podrán conocer los lugares más representativos de los 116 municipios.</v>
      </c>
      <c r="T352" s="11">
        <v>0.5</v>
      </c>
      <c r="U352" s="11">
        <v>0</v>
      </c>
      <c r="V352" s="11">
        <v>0.5</v>
      </c>
      <c r="W352" s="11">
        <v>0</v>
      </c>
      <c r="X352" s="11">
        <v>0.5</v>
      </c>
      <c r="Y352" s="11">
        <v>0</v>
      </c>
      <c r="Z352" s="11">
        <v>0.5</v>
      </c>
      <c r="AA352" s="11" t="s">
        <v>2194</v>
      </c>
      <c r="AB352" s="11" t="s">
        <v>2195</v>
      </c>
      <c r="AC352" s="11" t="s">
        <v>2196</v>
      </c>
      <c r="AD352" s="11">
        <v>1.5</v>
      </c>
      <c r="AE352" s="11">
        <v>0</v>
      </c>
      <c r="AF352" s="11">
        <f ca="1">VLOOKUP(K352,'1220 IDECUT'!$K$13:$AK$48,22,0)</f>
        <v>1</v>
      </c>
      <c r="AG352" s="11">
        <f ca="1">VLOOKUP(K352,'1220 IDECUT'!$K$13:$AK$48,23,0)</f>
        <v>0</v>
      </c>
      <c r="AH352" s="9">
        <f t="shared" ca="1" si="556"/>
        <v>1</v>
      </c>
      <c r="AI352" s="9" t="str">
        <f ca="1">VLOOKUP(K352,'1220 IDECUT'!$K$13:$AK$48,25,0)</f>
        <v>Acompañamiento</v>
      </c>
      <c r="AJ352" s="9" t="str">
        <f ca="1">VLOOKUP(K352,'1220 IDECUT'!$K$13:$AK$48,26,0)</f>
        <v>En lo corrido de la vigencia 2021, se han realizado estrategias de promoción, comunicación y marketing turístico implementadas que benefician a los 116 municiíos del departamento con las siguientes actividades:                                            *Revisión de la Guía, contactando otros Prestadores de servicios Turísticos y los recomendados por la Gerente, que cumplen con los requisitos exigidos. Contacto con los PST con el fin de solicitar, tras el envío de una carta, la autorización del Uso de Datos publicados en la Guía.
*Reunión virtual con los encargados de Turismo de Sabana Centro, Sabana Occidente y Almeidas para recibir sugerencias y aportes para completar información de los datos que se encuentran en la Guía Turística del Departamento con el fin de entregar datos reales a los turistas y visitantes locales, nacionales e internacionales que puedan contribuir a la reactivación económica del sector Turístico.
*Se ha logrado generar reconocimiento del departamento y los diferentes atractivos que componen cada una de las rutas, en las personas que han participado de los Fam trip.
*Se continua todos los viernes realizando el programa radial De Tour por Cundinamarca, hablando de diferentes temas en torno a la cultura y el turismo del departamento.
*Capacitación a los empresarios de como generar los códigos QR para poder tener sus portafolios y tarjetas de presentación de manera digital y pódelas entregar a sus posibles clientes minimizando el riesgo de posibles contagios.
*Los viernes se esta llevando a cabo el programa Dorado Radio donde se promociona los atractivos, destinos, operadores, prestadores de servicio turístico.
*El departamento se ha ido reactivando en el sector turismo y esto se ve reflejado en el aumento de estadísticas reportado por los Puntos de Información Turística PIT, para el segundo semestre se recibieron 10.362 turistas.
*Se dio capacitación a los informadores de la red nacional y red departamental para el funcionamiento de los puntos de información de turismo, como deben diligenciar el informe de actividades, reportar actividades que desarrollan en sus puntos para subir a redes sociales, fotografías de los puntos de información, y dar a conocer las capacitaciones que se deben dar en el segundo semestre.
*• Se dio apertura a la tienda Cundinamarca “Kuna Mya” en la ciudad de Bogotá el mágico espacio que recopila todos los encantos, tradiciones, sabores y saberes de nuestra Cundinamarca; contando con una línea artesanal que hace parte del esfuerzo de capacitación y de apoyo a 104 artesanos, Otro de los grandes atractivos de la tienda es que tiene la primera guía de turismo de Cundinamarca la cual ofrece los sitios turísticos por pisos térmicos que tiene el departamento. En el segundo piso los visitantes podrán, a través de una pantalla interactiva, conocer los 26 sitios imperdibles en Cundinamarca, los planes y prestadores de servicio turísticos con registro nacional de turismo. De igual forma podrán conocer los lugares más representativos de los 116 municipios.</v>
      </c>
      <c r="AK352" s="9">
        <f ca="1">VLOOKUP(K352,'1220 IDECUT'!$K$13:$AK$48,27,0)</f>
        <v>0</v>
      </c>
      <c r="AL352" s="11">
        <v>1</v>
      </c>
      <c r="AM352" s="11">
        <v>0</v>
      </c>
      <c r="AN352" s="11">
        <v>1</v>
      </c>
      <c r="AO352" s="11">
        <v>0</v>
      </c>
      <c r="AP352" s="11">
        <v>0</v>
      </c>
      <c r="AQ352" s="11">
        <v>0</v>
      </c>
      <c r="AR352" s="51">
        <v>240000000</v>
      </c>
      <c r="AS352" s="54">
        <v>30200000</v>
      </c>
      <c r="AT352" s="54">
        <f t="shared" si="569"/>
        <v>270200000</v>
      </c>
      <c r="AU352" s="51">
        <v>240000000</v>
      </c>
      <c r="AV352" s="89">
        <v>300000000</v>
      </c>
      <c r="AY352" s="89">
        <v>44400000</v>
      </c>
      <c r="AZ352" s="42">
        <f t="shared" ca="1" si="557"/>
        <v>0.375</v>
      </c>
      <c r="BA352" s="44">
        <v>0.125</v>
      </c>
      <c r="BB352" s="44">
        <v>1</v>
      </c>
      <c r="BC352" s="42">
        <f t="shared" si="558"/>
        <v>0.375</v>
      </c>
      <c r="BD352" s="42" cm="1">
        <f t="array" aca="1" ref="BD352" ca="1">_xlfn.IFS(AD352=0,"NA",AD352&gt;0,AH352/AD352)</f>
        <v>0.66666666666666663</v>
      </c>
      <c r="BE352" s="42">
        <f t="shared" si="559"/>
        <v>0.25</v>
      </c>
      <c r="BF352" s="44">
        <v>0</v>
      </c>
      <c r="BG352" s="42">
        <f t="shared" si="560"/>
        <v>0.25</v>
      </c>
      <c r="BH352" s="44">
        <v>0</v>
      </c>
      <c r="BI352" s="42">
        <f t="shared" si="561"/>
        <v>0</v>
      </c>
      <c r="BJ352" s="44" t="s">
        <v>115</v>
      </c>
      <c r="BK352" s="42">
        <f t="shared" ca="1" si="570"/>
        <v>0.375</v>
      </c>
      <c r="BL352" s="44">
        <v>1</v>
      </c>
      <c r="BM352" s="42" cm="1">
        <f t="array" aca="1" ref="BM352" ca="1">_xlfn.IFS(BD352="NA","NA",BD352&gt;100%,"100%",BD352&lt;100,BD352)</f>
        <v>0.66666666666666663</v>
      </c>
      <c r="BN352" s="42" cm="1">
        <f t="array" ref="BN352">_xlfn.IFS(BF352="NA","NA",BF352&gt;100%,"100%",BF352&lt;100,BF352)</f>
        <v>0</v>
      </c>
      <c r="BO352" s="42" cm="1">
        <f t="array" ref="BO352">_xlfn.IFS(BH352="NA","NA",BH352&gt;100%,"100%",BH352&lt;100,BH352)</f>
        <v>0</v>
      </c>
      <c r="BP352" s="42" t="str" cm="1">
        <f t="array" ref="BP352">_xlfn.IFS(BJ352="NA","NA",BJ352&gt;100%,"100%",BJ352&lt;100,BJ352)</f>
        <v>NA</v>
      </c>
      <c r="BQ352" s="45">
        <v>0.224</v>
      </c>
      <c r="BR352" s="43">
        <f t="shared" ca="1" si="571"/>
        <v>8.4000000000000005E-2</v>
      </c>
      <c r="BS352" s="45">
        <v>2.8000000000000001E-2</v>
      </c>
      <c r="BT352" s="45">
        <v>2.8000000000000001E-2</v>
      </c>
      <c r="BU352" s="45">
        <v>2.8000000000000001E-2</v>
      </c>
      <c r="BV352" s="43">
        <f t="shared" si="562"/>
        <v>8.4000000000000005E-2</v>
      </c>
      <c r="BW352" s="43">
        <f t="shared" ca="1" si="572"/>
        <v>5.6000000000000001E-2</v>
      </c>
      <c r="BX352" s="43">
        <f t="shared" ca="1" si="573"/>
        <v>5.6000000000000008E-2</v>
      </c>
      <c r="BY352" s="43">
        <f t="shared" si="563"/>
        <v>5.6000000000000001E-2</v>
      </c>
      <c r="BZ352" s="43">
        <f t="shared" si="564"/>
        <v>0</v>
      </c>
      <c r="CA352" s="43">
        <f t="shared" ca="1" si="574"/>
        <v>0</v>
      </c>
      <c r="CB352" s="43">
        <f t="shared" si="565"/>
        <v>5.6000000000000001E-2</v>
      </c>
      <c r="CC352" s="43">
        <f t="shared" si="566"/>
        <v>0</v>
      </c>
      <c r="CD352" s="45">
        <v>0</v>
      </c>
      <c r="CE352" s="43">
        <f t="shared" si="567"/>
        <v>0</v>
      </c>
      <c r="CF352" s="43" t="str">
        <f t="shared" si="568"/>
        <v>NA</v>
      </c>
      <c r="CG352" s="45">
        <v>0</v>
      </c>
    </row>
    <row r="353" spans="1:90" ht="30.75" customHeight="1">
      <c r="A353" s="260" t="s">
        <v>1387</v>
      </c>
      <c r="B353" s="260" t="s">
        <v>1388</v>
      </c>
      <c r="C353" s="260" t="s">
        <v>2129</v>
      </c>
      <c r="D353" s="260" t="s">
        <v>2197</v>
      </c>
      <c r="E353" s="260" t="s">
        <v>2198</v>
      </c>
      <c r="F353" s="260" t="s">
        <v>3017</v>
      </c>
      <c r="G353" s="260" t="s">
        <v>3018</v>
      </c>
      <c r="H353" s="260" t="s">
        <v>2201</v>
      </c>
      <c r="I353" s="260"/>
      <c r="J353" s="260"/>
      <c r="K353" s="260" t="s">
        <v>2202</v>
      </c>
      <c r="L353" s="12" t="s">
        <v>2203</v>
      </c>
      <c r="M353" s="260" t="s">
        <v>2204</v>
      </c>
      <c r="N353" s="260" t="s">
        <v>111</v>
      </c>
      <c r="O353" s="260" t="s">
        <v>112</v>
      </c>
      <c r="P353" s="10">
        <v>0</v>
      </c>
      <c r="Q353" s="11">
        <v>1</v>
      </c>
      <c r="R353" s="9">
        <f t="shared" si="555"/>
        <v>0.43889999999999996</v>
      </c>
      <c r="S353" s="11">
        <f>VLOOKUP(K353,'1285 EPC'!$K$13:$AK$35,9,0)</f>
        <v>0</v>
      </c>
      <c r="T353" s="11">
        <v>0.25</v>
      </c>
      <c r="U353" s="11">
        <v>0</v>
      </c>
      <c r="V353" s="11">
        <v>0.121</v>
      </c>
      <c r="W353" s="11">
        <v>0</v>
      </c>
      <c r="X353" s="11">
        <v>0.12</v>
      </c>
      <c r="Y353" s="11">
        <v>0</v>
      </c>
      <c r="Z353" s="11">
        <v>0.12</v>
      </c>
      <c r="AA353" s="11" t="s">
        <v>2205</v>
      </c>
      <c r="AB353" s="11" t="s">
        <v>2206</v>
      </c>
      <c r="AC353" s="11">
        <v>0</v>
      </c>
      <c r="AD353" s="11">
        <v>0.64800000000000002</v>
      </c>
      <c r="AE353" s="11">
        <v>0</v>
      </c>
      <c r="AF353" s="11">
        <f>VLOOKUP(K353,'1285 EPC'!$K$13:$AK$35,22,0)</f>
        <v>0.31889999999999996</v>
      </c>
      <c r="AG353" s="11" t="str">
        <f>VLOOKUP(K353,'1285 EPC'!$K$13:$AK$35,23,0)</f>
        <v> </v>
      </c>
      <c r="AH353" s="9">
        <f t="shared" si="556"/>
        <v>0.31889999999999996</v>
      </c>
      <c r="AI353" s="9" t="str">
        <f>VLOOKUP(K353,'1285 EPC'!$K$13:$AK$35,25,0)</f>
        <v>Avance en la construcción de la Estación Elevadora</v>
      </c>
      <c r="AJ353" s="9" t="str">
        <f>VLOOKUP(K353,'1285 EPC'!$K$13:$AK$35,26,0)</f>
        <v>Avance acumulado a octubre de 2021 del 43,91% que corresponde al porcentaje de ejecución del componente de construcción, teniendo un acumulado, en el mes anterior de 31,72% y un ejecutado en el mes de septiembre de 2021 de 2,19%.
Adecuación sitio del proyecto 100%, adecuación vías de acceso y paisajismo 57,7%, pozo de bombeo 46,8%, pozo de cribado 64,2% obras conexas 22,6%.</v>
      </c>
      <c r="AK353" s="9" t="str">
        <f>VLOOKUP(K353,'1285 EPC'!$K$13:$AK$35,27,0)</f>
        <v xml:space="preserve"> se tiene un retraso en la ejecución de la obra por permisos ambientales y prediales </v>
      </c>
      <c r="AL353" s="11">
        <v>0.23</v>
      </c>
      <c r="AM353" s="11">
        <v>0</v>
      </c>
      <c r="AN353" s="11">
        <v>0</v>
      </c>
      <c r="AO353" s="11">
        <v>0</v>
      </c>
      <c r="AP353" s="11">
        <v>0</v>
      </c>
      <c r="AQ353" s="11">
        <v>0</v>
      </c>
      <c r="AR353" s="52"/>
      <c r="AS353" s="54">
        <v>372003800000</v>
      </c>
      <c r="AT353" s="54">
        <f t="shared" si="569"/>
        <v>372003800000</v>
      </c>
      <c r="AU353" s="52"/>
      <c r="AV353" s="89">
        <v>0</v>
      </c>
      <c r="AY353" s="89">
        <v>0</v>
      </c>
      <c r="AZ353" s="42">
        <f t="shared" si="557"/>
        <v>0.43889999999999996</v>
      </c>
      <c r="BA353" s="44">
        <v>0.121</v>
      </c>
      <c r="BB353" s="44">
        <v>0.99170000000000003</v>
      </c>
      <c r="BC353" s="42">
        <f t="shared" si="558"/>
        <v>0.64800000000000002</v>
      </c>
      <c r="BD353" s="42" cm="1">
        <f t="array" ref="BD353">_xlfn.IFS(AD353=0,"NA",AD353&gt;0,AH353/AD353)</f>
        <v>0.49212962962962953</v>
      </c>
      <c r="BE353" s="42">
        <f t="shared" si="559"/>
        <v>0.23</v>
      </c>
      <c r="BF353" s="44">
        <v>0</v>
      </c>
      <c r="BG353" s="42">
        <f t="shared" si="560"/>
        <v>0</v>
      </c>
      <c r="BH353" s="44" t="s">
        <v>115</v>
      </c>
      <c r="BI353" s="42">
        <f t="shared" si="561"/>
        <v>0</v>
      </c>
      <c r="BJ353" s="44" t="s">
        <v>115</v>
      </c>
      <c r="BK353" s="42">
        <f t="shared" si="570"/>
        <v>0.43889999999999996</v>
      </c>
      <c r="BL353" s="44">
        <v>0.99170000000000003</v>
      </c>
      <c r="BM353" s="42" cm="1">
        <f t="array" ref="BM353">_xlfn.IFS(BD353="NA","NA",BD353&gt;100%,"100%",BD353&lt;100,BD353)</f>
        <v>0.49212962962962953</v>
      </c>
      <c r="BN353" s="42" cm="1">
        <f t="array" ref="BN353">_xlfn.IFS(BF353="NA","NA",BF353&gt;100%,"100%",BF353&lt;100,BF353)</f>
        <v>0</v>
      </c>
      <c r="BO353" s="42" t="str" cm="1">
        <f t="array" ref="BO353">_xlfn.IFS(BH353="NA","NA",BH353&gt;100%,"100%",BH353&lt;100,BH353)</f>
        <v>NA</v>
      </c>
      <c r="BP353" s="42" t="str" cm="1">
        <f t="array" ref="BP353">_xlfn.IFS(BJ353="NA","NA",BJ353&gt;100%,"100%",BJ353&lt;100,BJ353)</f>
        <v>NA</v>
      </c>
      <c r="BQ353" s="45">
        <v>0.224</v>
      </c>
      <c r="BR353" s="43">
        <f t="shared" si="571"/>
        <v>9.8313599999999987E-2</v>
      </c>
      <c r="BS353" s="45">
        <v>2.7099999999999999E-2</v>
      </c>
      <c r="BT353" s="45">
        <v>2.69E-2</v>
      </c>
      <c r="BU353" s="45">
        <v>2.69E-2</v>
      </c>
      <c r="BV353" s="43">
        <f t="shared" si="562"/>
        <v>0.145152</v>
      </c>
      <c r="BW353" s="43">
        <f t="shared" si="572"/>
        <v>7.1433599999999986E-2</v>
      </c>
      <c r="BX353" s="43">
        <f t="shared" si="573"/>
        <v>7.1413599999999994E-2</v>
      </c>
      <c r="BY353" s="43">
        <f t="shared" si="563"/>
        <v>5.1520000000000003E-2</v>
      </c>
      <c r="BZ353" s="43">
        <f t="shared" si="564"/>
        <v>0</v>
      </c>
      <c r="CA353" s="43">
        <f t="shared" si="574"/>
        <v>0</v>
      </c>
      <c r="CB353" s="43">
        <f t="shared" si="565"/>
        <v>0</v>
      </c>
      <c r="CC353" s="43" t="str">
        <f t="shared" si="566"/>
        <v>NA</v>
      </c>
      <c r="CD353" s="45">
        <v>0</v>
      </c>
      <c r="CE353" s="43">
        <f t="shared" si="567"/>
        <v>0</v>
      </c>
      <c r="CF353" s="43" t="str">
        <f t="shared" si="568"/>
        <v>NA</v>
      </c>
      <c r="CG353" s="45">
        <v>0</v>
      </c>
    </row>
    <row r="354" spans="1:90" ht="18" customHeight="1">
      <c r="A354" s="260" t="s">
        <v>1826</v>
      </c>
      <c r="B354" s="260" t="s">
        <v>1827</v>
      </c>
      <c r="C354" s="260" t="s">
        <v>2129</v>
      </c>
      <c r="D354" s="260" t="s">
        <v>2197</v>
      </c>
      <c r="E354" s="260" t="s">
        <v>2198</v>
      </c>
      <c r="F354" s="260" t="s">
        <v>3017</v>
      </c>
      <c r="G354" s="260" t="s">
        <v>3018</v>
      </c>
      <c r="H354" s="260" t="s">
        <v>2207</v>
      </c>
      <c r="I354" s="260"/>
      <c r="J354" s="260"/>
      <c r="K354" s="260" t="s">
        <v>2208</v>
      </c>
      <c r="L354" s="260" t="s">
        <v>2209</v>
      </c>
      <c r="M354" s="260" t="s">
        <v>2210</v>
      </c>
      <c r="N354" s="260" t="s">
        <v>111</v>
      </c>
      <c r="O354" s="260" t="s">
        <v>112</v>
      </c>
      <c r="P354" s="10">
        <v>1</v>
      </c>
      <c r="Q354" s="11">
        <v>1</v>
      </c>
      <c r="R354" s="9">
        <f t="shared" si="555"/>
        <v>0.5</v>
      </c>
      <c r="S354" s="11" t="str">
        <f>VLOOKUP(K354,'1121 Ambiente'!$K$13:$AK$38,9,0)</f>
        <v>Se realizó el primer pago por valor de $8.191.000 el 10/07/2021 mediante orden de pago No. 3300003709.
Se realizo el segundo pago por valor de $8.437.000.000 el 16/07/2021 mediante orden de pago No. 3300027096</v>
      </c>
      <c r="T354" s="11">
        <v>0.25</v>
      </c>
      <c r="U354" s="11">
        <v>0</v>
      </c>
      <c r="V354" s="11">
        <v>0.25</v>
      </c>
      <c r="W354" s="11">
        <v>0</v>
      </c>
      <c r="X354" s="11">
        <v>0</v>
      </c>
      <c r="Y354" s="11">
        <v>0</v>
      </c>
      <c r="Z354" s="11">
        <v>0</v>
      </c>
      <c r="AA354" s="11"/>
      <c r="AB354" s="11"/>
      <c r="AC354" s="11"/>
      <c r="AD354" s="11">
        <v>0.25</v>
      </c>
      <c r="AE354" s="11">
        <v>0</v>
      </c>
      <c r="AF354" s="11">
        <f>VLOOKUP(K354,'1121 Ambiente'!$K$13:$AK$38,22,0)</f>
        <v>0.5</v>
      </c>
      <c r="AG354" s="11">
        <f>VLOOKUP(K354,'1121 Ambiente'!$K$13:$AK$38,23,0)</f>
        <v>0</v>
      </c>
      <c r="AH354" s="9">
        <f t="shared" si="556"/>
        <v>0.5</v>
      </c>
      <c r="AI354" s="9" t="str">
        <f>VLOOKUP(K354,'1121 Ambiente'!$K$13:$AK$38,25,0)</f>
        <v>Segundo pago PTAR canoas</v>
      </c>
      <c r="AJ354" s="9" t="str">
        <f>VLOOKUP(K354,'1121 Ambiente'!$K$13:$AK$38,26,0)</f>
        <v>Se realizo el segundo pago por valor de $8.437.000.000 el 16/07/2021 mediante orden de pago No. 3300027096.</v>
      </c>
      <c r="AK354" s="9" t="str">
        <f>VLOOKUP(K354,'1121 Ambiente'!$K$13:$AK$38,27,0)</f>
        <v xml:space="preserve">Durante los acontecimientos del paro nacional los temas de movilización y traslado fueron complicados lo que obligo a retrasar y aplazar visitas </v>
      </c>
      <c r="AL354" s="11">
        <v>0.25</v>
      </c>
      <c r="AM354" s="11">
        <v>0</v>
      </c>
      <c r="AN354" s="11">
        <v>0.25</v>
      </c>
      <c r="AO354" s="11">
        <v>0</v>
      </c>
      <c r="AP354" s="11">
        <v>0</v>
      </c>
      <c r="AQ354" s="11">
        <v>0</v>
      </c>
      <c r="AR354" s="52"/>
      <c r="AS354" s="54">
        <v>0</v>
      </c>
      <c r="AT354" s="54">
        <f t="shared" si="569"/>
        <v>0</v>
      </c>
      <c r="AU354" s="52"/>
      <c r="AV354" s="89">
        <v>8437000000</v>
      </c>
      <c r="AY354" s="89">
        <v>0</v>
      </c>
      <c r="AZ354" s="42">
        <f t="shared" si="557"/>
        <v>0.5</v>
      </c>
      <c r="BA354" s="44">
        <v>0.25</v>
      </c>
      <c r="BB354" s="44">
        <v>0</v>
      </c>
      <c r="BC354" s="42">
        <f t="shared" si="558"/>
        <v>0.25</v>
      </c>
      <c r="BD354" s="42" cm="1">
        <f t="array" ref="BD354">_xlfn.IFS(AD354=0,"NA",AD354&gt;0,AH354/AD354)</f>
        <v>2</v>
      </c>
      <c r="BE354" s="42">
        <f t="shared" si="559"/>
        <v>0.25</v>
      </c>
      <c r="BF354" s="44">
        <v>0</v>
      </c>
      <c r="BG354" s="42">
        <f t="shared" si="560"/>
        <v>0.25</v>
      </c>
      <c r="BH354" s="44">
        <v>0</v>
      </c>
      <c r="BI354" s="42">
        <f t="shared" si="561"/>
        <v>0</v>
      </c>
      <c r="BJ354" s="44" t="s">
        <v>115</v>
      </c>
      <c r="BK354" s="42">
        <f t="shared" si="570"/>
        <v>0.5</v>
      </c>
      <c r="BL354" s="44">
        <v>0</v>
      </c>
      <c r="BM354" s="42" t="str" cm="1">
        <f t="array" ref="BM354">_xlfn.IFS(BD354="NA","NA",BD354&gt;100%,"100%",BD354&lt;100,BD354)</f>
        <v>100%</v>
      </c>
      <c r="BN354" s="42" cm="1">
        <f t="array" ref="BN354">_xlfn.IFS(BF354="NA","NA",BF354&gt;100%,"100%",BF354&lt;100,BF354)</f>
        <v>0</v>
      </c>
      <c r="BO354" s="42" cm="1">
        <f t="array" ref="BO354">_xlfn.IFS(BH354="NA","NA",BH354&gt;100%,"100%",BH354&lt;100,BH354)</f>
        <v>0</v>
      </c>
      <c r="BP354" s="42" t="str" cm="1">
        <f t="array" ref="BP354">_xlfn.IFS(BJ354="NA","NA",BJ354&gt;100%,"100%",BJ354&lt;100,BJ354)</f>
        <v>NA</v>
      </c>
      <c r="BQ354" s="45">
        <v>0.224</v>
      </c>
      <c r="BR354" s="43">
        <f t="shared" si="571"/>
        <v>0.112</v>
      </c>
      <c r="BS354" s="45">
        <v>5.6000000000000001E-2</v>
      </c>
      <c r="BT354" s="45">
        <v>0</v>
      </c>
      <c r="BU354" s="45">
        <v>0</v>
      </c>
      <c r="BV354" s="43">
        <f t="shared" si="562"/>
        <v>5.6000000000000001E-2</v>
      </c>
      <c r="BW354" s="43">
        <f t="shared" si="572"/>
        <v>5.6000000000000001E-2</v>
      </c>
      <c r="BX354" s="43">
        <f t="shared" si="573"/>
        <v>0.112</v>
      </c>
      <c r="BY354" s="43">
        <f t="shared" si="563"/>
        <v>5.6000000000000001E-2</v>
      </c>
      <c r="BZ354" s="43">
        <f t="shared" si="564"/>
        <v>0</v>
      </c>
      <c r="CA354" s="43">
        <f t="shared" si="574"/>
        <v>0</v>
      </c>
      <c r="CB354" s="43">
        <f t="shared" si="565"/>
        <v>5.6000000000000001E-2</v>
      </c>
      <c r="CC354" s="43">
        <f t="shared" si="566"/>
        <v>0</v>
      </c>
      <c r="CD354" s="45">
        <v>0</v>
      </c>
      <c r="CE354" s="43">
        <f t="shared" si="567"/>
        <v>0</v>
      </c>
      <c r="CF354" s="43" t="str">
        <f t="shared" si="568"/>
        <v>NA</v>
      </c>
      <c r="CG354" s="45">
        <v>0</v>
      </c>
    </row>
    <row r="355" spans="1:90" ht="18" customHeight="1">
      <c r="A355" s="260" t="s">
        <v>1826</v>
      </c>
      <c r="B355" s="260" t="s">
        <v>1827</v>
      </c>
      <c r="C355" s="260" t="s">
        <v>2129</v>
      </c>
      <c r="D355" s="260" t="s">
        <v>2197</v>
      </c>
      <c r="E355" s="260" t="s">
        <v>2198</v>
      </c>
      <c r="F355" s="260" t="s">
        <v>3017</v>
      </c>
      <c r="G355" s="260" t="s">
        <v>3018</v>
      </c>
      <c r="H355" s="260" t="s">
        <v>2211</v>
      </c>
      <c r="I355" s="260"/>
      <c r="J355" s="260"/>
      <c r="K355" s="260" t="s">
        <v>2212</v>
      </c>
      <c r="L355" s="260" t="s">
        <v>2213</v>
      </c>
      <c r="M355" s="260" t="s">
        <v>2214</v>
      </c>
      <c r="N355" s="260" t="s">
        <v>111</v>
      </c>
      <c r="O355" s="260" t="s">
        <v>112</v>
      </c>
      <c r="P355" s="10">
        <v>0</v>
      </c>
      <c r="Q355" s="11">
        <v>1</v>
      </c>
      <c r="R355" s="9">
        <f t="shared" si="555"/>
        <v>1</v>
      </c>
      <c r="S355" s="11" t="str">
        <f>VLOOKUP(K355,'1121 Ambiente'!$K$13:$AK$38,9,0)</f>
        <v xml:space="preserve">A través del convenio 067-2020 suscrito con PNUD se desarrolló el primer taller de experiencia en la gestión del Recurso hídrico en el cual se vinculan los municipios de la cuenca del Río Bogotá y el municipio de Fomeque, y actualmente se encuentra en etapa de análisis de información recopilada en el taller, proyectando la socialización de la misma (detección de 3 posibles instrumentos que están siendo analizados y valorados por la entidad.
</v>
      </c>
      <c r="T355" s="11">
        <v>0.6</v>
      </c>
      <c r="U355" s="11">
        <v>0</v>
      </c>
      <c r="V355" s="11">
        <v>0.6</v>
      </c>
      <c r="W355" s="11">
        <v>0</v>
      </c>
      <c r="X355" s="11">
        <v>0.2</v>
      </c>
      <c r="Y355" s="11">
        <v>0</v>
      </c>
      <c r="Z355" s="11">
        <v>0.2</v>
      </c>
      <c r="AA355" s="11">
        <v>0</v>
      </c>
      <c r="AB355" s="11" t="s">
        <v>2215</v>
      </c>
      <c r="AC355" s="11">
        <v>0</v>
      </c>
      <c r="AD355" s="11">
        <v>0.4</v>
      </c>
      <c r="AE355" s="11">
        <v>0</v>
      </c>
      <c r="AF355" s="11">
        <f>VLOOKUP(K355,'1121 Ambiente'!$K$13:$AK$38,22,0)</f>
        <v>0.8</v>
      </c>
      <c r="AG355" s="11">
        <f>VLOOKUP(K355,'1121 Ambiente'!$K$13:$AK$38,23,0)</f>
        <v>0</v>
      </c>
      <c r="AH355" s="9">
        <f t="shared" si="556"/>
        <v>0.8</v>
      </c>
      <c r="AI355" s="9" t="str">
        <f>VLOOKUP(K355,'1121 Ambiente'!$K$13:$AK$38,25,0)</f>
        <v>Entrega documento previo  para la creacion del instrumento de articulacion de la Inversion</v>
      </c>
      <c r="AJ355" s="9" t="str">
        <f>VLOOKUP(K355,'1121 Ambiente'!$K$13:$AK$38,26,0)</f>
        <v xml:space="preserve">Se recibe por parte del Programa de las Naciones Unidad PNUD el docuemnto que contiene el analisis y estrategias para la creacion del instrumento de articulacion de la Inversion. Como parte de las acciones desarrolladas se concerta con Bogotá una reunion en la que se acuerda la financiacion conjunta de una concenio con BIOCUENCA para el desarrollo del programa de Pago por servicios Ambientales con recursos de Bogotá invertidos en areas de abastecimiento. </v>
      </c>
      <c r="AK355" s="9">
        <f>VLOOKUP(K355,'1121 Ambiente'!$K$13:$AK$38,27,0)</f>
        <v>0</v>
      </c>
      <c r="AL355" s="11">
        <v>0</v>
      </c>
      <c r="AM355" s="11">
        <v>0</v>
      </c>
      <c r="AN355" s="11">
        <v>0</v>
      </c>
      <c r="AO355" s="11">
        <v>0</v>
      </c>
      <c r="AP355" s="11">
        <v>0</v>
      </c>
      <c r="AQ355" s="11">
        <v>0</v>
      </c>
      <c r="AR355" s="51">
        <v>60000000</v>
      </c>
      <c r="AS355" s="54">
        <v>0</v>
      </c>
      <c r="AT355" s="54">
        <f t="shared" si="569"/>
        <v>60000000</v>
      </c>
      <c r="AU355" s="51">
        <v>60000000</v>
      </c>
      <c r="AV355" s="89">
        <v>40000000</v>
      </c>
      <c r="AY355" s="89">
        <v>0</v>
      </c>
      <c r="AZ355" s="42">
        <f t="shared" si="557"/>
        <v>1</v>
      </c>
      <c r="BA355" s="44">
        <v>0.6</v>
      </c>
      <c r="BB355" s="44">
        <v>0.33329999999999999</v>
      </c>
      <c r="BC355" s="42">
        <f t="shared" si="558"/>
        <v>0.4</v>
      </c>
      <c r="BD355" s="42" cm="1">
        <f t="array" ref="BD355">_xlfn.IFS(AD355=0,"NA",AD355&gt;0,AH355/AD355)</f>
        <v>2</v>
      </c>
      <c r="BE355" s="42">
        <f t="shared" si="559"/>
        <v>0</v>
      </c>
      <c r="BF355" s="44" t="s">
        <v>115</v>
      </c>
      <c r="BG355" s="42">
        <f t="shared" si="560"/>
        <v>0</v>
      </c>
      <c r="BH355" s="44" t="s">
        <v>115</v>
      </c>
      <c r="BI355" s="42">
        <f t="shared" si="561"/>
        <v>0</v>
      </c>
      <c r="BJ355" s="44" t="s">
        <v>115</v>
      </c>
      <c r="BK355" s="42">
        <f t="shared" si="570"/>
        <v>1</v>
      </c>
      <c r="BL355" s="44">
        <v>0.33329999999999999</v>
      </c>
      <c r="BM355" s="42" t="str" cm="1">
        <f t="array" ref="BM355">_xlfn.IFS(BD355="NA","NA",BD355&gt;100%,"100%",BD355&lt;100,BD355)</f>
        <v>100%</v>
      </c>
      <c r="BN355" s="42" t="str" cm="1">
        <f t="array" ref="BN355">_xlfn.IFS(BF355="NA","NA",BF355&gt;100%,"100%",BF355&lt;100,BF355)</f>
        <v>NA</v>
      </c>
      <c r="BO355" s="42" t="str" cm="1">
        <f t="array" ref="BO355">_xlfn.IFS(BH355="NA","NA",BH355&gt;100%,"100%",BH355&lt;100,BH355)</f>
        <v>NA</v>
      </c>
      <c r="BP355" s="42" t="str" cm="1">
        <f t="array" ref="BP355">_xlfn.IFS(BJ355="NA","NA",BJ355&gt;100%,"100%",BJ355&lt;100,BJ355)</f>
        <v>NA</v>
      </c>
      <c r="BQ355" s="45">
        <v>0.224</v>
      </c>
      <c r="BR355" s="43">
        <f t="shared" si="571"/>
        <v>0.224</v>
      </c>
      <c r="BS355" s="45">
        <v>0.13439999999999999</v>
      </c>
      <c r="BT355" s="45">
        <v>4.48E-2</v>
      </c>
      <c r="BU355" s="45">
        <v>4.48E-2</v>
      </c>
      <c r="BV355" s="43">
        <f t="shared" si="562"/>
        <v>8.9600000000000013E-2</v>
      </c>
      <c r="BW355" s="43">
        <f t="shared" si="572"/>
        <v>8.9600000000000013E-2</v>
      </c>
      <c r="BX355" s="43">
        <f t="shared" si="573"/>
        <v>0.1792</v>
      </c>
      <c r="BY355" s="43">
        <f t="shared" si="563"/>
        <v>0</v>
      </c>
      <c r="BZ355" s="43" t="str">
        <f t="shared" si="564"/>
        <v>NA</v>
      </c>
      <c r="CA355" s="43">
        <f t="shared" si="574"/>
        <v>0</v>
      </c>
      <c r="CB355" s="43">
        <f t="shared" si="565"/>
        <v>0</v>
      </c>
      <c r="CC355" s="43" t="str">
        <f t="shared" si="566"/>
        <v>NA</v>
      </c>
      <c r="CD355" s="45">
        <v>0</v>
      </c>
      <c r="CE355" s="43">
        <f t="shared" si="567"/>
        <v>0</v>
      </c>
      <c r="CF355" s="43" t="str">
        <f t="shared" si="568"/>
        <v>NA</v>
      </c>
      <c r="CG355" s="45">
        <v>0</v>
      </c>
    </row>
    <row r="356" spans="1:90" ht="18" customHeight="1">
      <c r="A356" s="260" t="s">
        <v>1826</v>
      </c>
      <c r="B356" s="260" t="s">
        <v>1827</v>
      </c>
      <c r="C356" s="260" t="s">
        <v>2129</v>
      </c>
      <c r="D356" s="260" t="s">
        <v>2197</v>
      </c>
      <c r="E356" s="260" t="s">
        <v>2198</v>
      </c>
      <c r="F356" s="260" t="s">
        <v>3017</v>
      </c>
      <c r="G356" s="260" t="s">
        <v>3018</v>
      </c>
      <c r="H356" s="260" t="s">
        <v>2216</v>
      </c>
      <c r="I356" s="260"/>
      <c r="J356" s="260"/>
      <c r="K356" s="260" t="s">
        <v>2217</v>
      </c>
      <c r="L356" s="260" t="s">
        <v>2218</v>
      </c>
      <c r="M356" s="260" t="s">
        <v>2219</v>
      </c>
      <c r="N356" s="260" t="s">
        <v>111</v>
      </c>
      <c r="O356" s="260" t="s">
        <v>112</v>
      </c>
      <c r="P356" s="10">
        <v>0</v>
      </c>
      <c r="Q356" s="11">
        <v>1</v>
      </c>
      <c r="R356" s="9">
        <f t="shared" si="555"/>
        <v>0.7</v>
      </c>
      <c r="S356" s="11" t="str">
        <f>VLOOKUP(K356,'1121 Ambiente'!$K$13:$AK$38,9,0)</f>
        <v xml:space="preserve">A 2021 se tiene un avance del 34% que corresponde a la adjudicación del contrato derivado del convenio 082-2020 de Villapinzón (10%), la entrega de informes de los dos componentes a corte julio 2021 (7%) y visitas al municipio para la revisión de los avances de obra de la adecuación del Centro Tecnológico (6%); respecto al convenio SA-CDCVI-095-2020 Balsillas se avanzó con el trámite de los permisos ambientales (Solicitud y visitas 6%) y la obtención de los permisos de ambientales (5%), se adelanta proceso de licitación de obra, el cual ya se encuentra adjudicado, y el proceso de concurso de merito para la contratación de la Interventoría.
</v>
      </c>
      <c r="T356" s="11">
        <v>0.25</v>
      </c>
      <c r="U356" s="11">
        <v>0</v>
      </c>
      <c r="V356" s="11">
        <v>0.25</v>
      </c>
      <c r="W356" s="11">
        <v>0</v>
      </c>
      <c r="X356" s="11">
        <v>0.25</v>
      </c>
      <c r="Y356" s="11">
        <v>0</v>
      </c>
      <c r="Z356" s="11">
        <v>0.25</v>
      </c>
      <c r="AA356" s="11">
        <v>0</v>
      </c>
      <c r="AB356" s="11"/>
      <c r="AC356" s="11">
        <v>0</v>
      </c>
      <c r="AD356" s="11">
        <v>0.5</v>
      </c>
      <c r="AE356" s="11">
        <v>0</v>
      </c>
      <c r="AF356" s="11">
        <f>VLOOKUP(K356,'1121 Ambiente'!$K$13:$AK$38,22,0)</f>
        <v>0.45</v>
      </c>
      <c r="AG356" s="11">
        <f>VLOOKUP(K356,'1121 Ambiente'!$K$13:$AK$38,23,0)</f>
        <v>0</v>
      </c>
      <c r="AH356" s="9">
        <f t="shared" si="556"/>
        <v>0.45</v>
      </c>
      <c r="AI356" s="9">
        <f>VLOOKUP(K356,'1121 Ambiente'!$K$13:$AK$38,25,0)</f>
        <v>0</v>
      </c>
      <c r="AJ356" s="9" t="str">
        <f>VLOOKUP(K356,'1121 Ambiente'!$K$13:$AK$38,26,0)</f>
        <v>Respecto al convenio 082 de Villapinzón, se presenta un avance porcentual de las obras del  72% teniendo en cuenta que se han ejecutado 30 ítems de los 42 que se tienen plasmados en el componente del convenio, se espera que el contratista Urbaring S.A.S finalice con la ejecución de los ítems la semana del 5 al 10 de diciembre.
Respecto al convenio 095-2020 Balsillas, se frimó acta de inicio el pasado 08 de noviembre para iniciar la ejecución de la obra y actividades de interventoria.</v>
      </c>
      <c r="AK356" s="9" t="str">
        <f>VLOOKUP(K356,'1121 Ambiente'!$K$13:$AK$38,27,0)</f>
        <v>Demora en procesos de contratación</v>
      </c>
      <c r="AL356" s="11">
        <v>0.25</v>
      </c>
      <c r="AM356" s="11">
        <v>0</v>
      </c>
      <c r="AN356" s="11">
        <v>0</v>
      </c>
      <c r="AO356" s="11">
        <v>0</v>
      </c>
      <c r="AP356" s="11">
        <v>0</v>
      </c>
      <c r="AQ356" s="11">
        <v>0</v>
      </c>
      <c r="AR356" s="51">
        <v>150461981</v>
      </c>
      <c r="AS356" s="54">
        <v>0</v>
      </c>
      <c r="AT356" s="54">
        <f t="shared" si="569"/>
        <v>150461981</v>
      </c>
      <c r="AU356" s="51">
        <v>150461981</v>
      </c>
      <c r="AV356" s="89">
        <v>7187286040</v>
      </c>
      <c r="AY356" s="89">
        <v>0</v>
      </c>
      <c r="AZ356" s="42">
        <f t="shared" si="557"/>
        <v>0.7</v>
      </c>
      <c r="BA356" s="44">
        <v>0.25</v>
      </c>
      <c r="BB356" s="44">
        <v>1</v>
      </c>
      <c r="BC356" s="42">
        <f t="shared" si="558"/>
        <v>0.5</v>
      </c>
      <c r="BD356" s="42" cm="1">
        <f t="array" ref="BD356">_xlfn.IFS(AD356=0,"NA",AD356&gt;0,AH356/AD356)</f>
        <v>0.9</v>
      </c>
      <c r="BE356" s="42">
        <f t="shared" si="559"/>
        <v>0.25</v>
      </c>
      <c r="BF356" s="44">
        <v>0</v>
      </c>
      <c r="BG356" s="42">
        <f t="shared" si="560"/>
        <v>0</v>
      </c>
      <c r="BH356" s="44" t="s">
        <v>115</v>
      </c>
      <c r="BI356" s="42">
        <f t="shared" si="561"/>
        <v>0</v>
      </c>
      <c r="BJ356" s="44" t="s">
        <v>115</v>
      </c>
      <c r="BK356" s="42">
        <f t="shared" si="570"/>
        <v>0.7</v>
      </c>
      <c r="BL356" s="44">
        <v>1</v>
      </c>
      <c r="BM356" s="42" cm="1">
        <f t="array" ref="BM356">_xlfn.IFS(BD356="NA","NA",BD356&gt;100%,"100%",BD356&lt;100,BD356)</f>
        <v>0.9</v>
      </c>
      <c r="BN356" s="42" cm="1">
        <f t="array" ref="BN356">_xlfn.IFS(BF356="NA","NA",BF356&gt;100%,"100%",BF356&lt;100,BF356)</f>
        <v>0</v>
      </c>
      <c r="BO356" s="42" t="str" cm="1">
        <f t="array" ref="BO356">_xlfn.IFS(BH356="NA","NA",BH356&gt;100%,"100%",BH356&lt;100,BH356)</f>
        <v>NA</v>
      </c>
      <c r="BP356" s="42" t="str" cm="1">
        <f t="array" ref="BP356">_xlfn.IFS(BJ356="NA","NA",BJ356&gt;100%,"100%",BJ356&lt;100,BJ356)</f>
        <v>NA</v>
      </c>
      <c r="BQ356" s="45">
        <v>0.224</v>
      </c>
      <c r="BR356" s="43">
        <f t="shared" si="571"/>
        <v>0.15679999999999999</v>
      </c>
      <c r="BS356" s="45">
        <v>5.6000000000000001E-2</v>
      </c>
      <c r="BT356" s="45">
        <v>5.6000000000000001E-2</v>
      </c>
      <c r="BU356" s="45">
        <v>5.6000000000000001E-2</v>
      </c>
      <c r="BV356" s="43">
        <f t="shared" si="562"/>
        <v>0.112</v>
      </c>
      <c r="BW356" s="43">
        <f t="shared" si="572"/>
        <v>0.1008</v>
      </c>
      <c r="BX356" s="43">
        <f t="shared" si="573"/>
        <v>0.1008</v>
      </c>
      <c r="BY356" s="43">
        <f t="shared" si="563"/>
        <v>5.6000000000000001E-2</v>
      </c>
      <c r="BZ356" s="43">
        <f t="shared" si="564"/>
        <v>0</v>
      </c>
      <c r="CA356" s="43">
        <f t="shared" si="574"/>
        <v>0</v>
      </c>
      <c r="CB356" s="43">
        <f t="shared" si="565"/>
        <v>0</v>
      </c>
      <c r="CC356" s="43" t="str">
        <f t="shared" si="566"/>
        <v>NA</v>
      </c>
      <c r="CD356" s="45">
        <v>0</v>
      </c>
      <c r="CE356" s="43">
        <f t="shared" si="567"/>
        <v>0</v>
      </c>
      <c r="CF356" s="43" t="str">
        <f t="shared" si="568"/>
        <v>NA</v>
      </c>
      <c r="CG356" s="45">
        <v>0</v>
      </c>
    </row>
    <row r="357" spans="1:90" ht="18" customHeight="1">
      <c r="A357" s="260" t="s">
        <v>1826</v>
      </c>
      <c r="B357" s="260" t="s">
        <v>1827</v>
      </c>
      <c r="C357" s="260" t="s">
        <v>2129</v>
      </c>
      <c r="D357" s="260" t="s">
        <v>2197</v>
      </c>
      <c r="E357" s="260" t="s">
        <v>2220</v>
      </c>
      <c r="F357" s="260" t="s">
        <v>2221</v>
      </c>
      <c r="G357" s="260" t="s">
        <v>2222</v>
      </c>
      <c r="H357" s="260" t="s">
        <v>2223</v>
      </c>
      <c r="I357" s="260"/>
      <c r="J357" s="260"/>
      <c r="K357" s="260" t="s">
        <v>2224</v>
      </c>
      <c r="L357" s="260" t="s">
        <v>2225</v>
      </c>
      <c r="M357" s="260" t="s">
        <v>2226</v>
      </c>
      <c r="N357" s="260" t="s">
        <v>111</v>
      </c>
      <c r="O357" s="260" t="s">
        <v>112</v>
      </c>
      <c r="P357" s="10">
        <v>0</v>
      </c>
      <c r="Q357" s="11">
        <v>1</v>
      </c>
      <c r="R357" s="9">
        <f t="shared" si="555"/>
        <v>0.60000000000000009</v>
      </c>
      <c r="S357" s="11" t="str">
        <f>VLOOKUP(K357,'1121 Ambiente'!$K$13:$AK$38,9,0)</f>
        <v xml:space="preserve">Se realizó el componente de diagnostico de la Política Publica y se desarrollaron los talleres con comunidades obteniendo el diagnostico situacional de la problemática, para la implementación del DOCUMENTO PLAN DE ACCIÓN DE CRISIS CLIMÁTICA.
</v>
      </c>
      <c r="T357" s="11">
        <v>0.2</v>
      </c>
      <c r="U357" s="11">
        <v>0</v>
      </c>
      <c r="V357" s="11">
        <v>0.2</v>
      </c>
      <c r="W357" s="11">
        <v>0</v>
      </c>
      <c r="X357" s="11">
        <v>0.2</v>
      </c>
      <c r="Y357" s="11">
        <v>0</v>
      </c>
      <c r="Z357" s="11">
        <v>0.2</v>
      </c>
      <c r="AA357" s="11">
        <v>0</v>
      </c>
      <c r="AB357" s="11" t="s">
        <v>2227</v>
      </c>
      <c r="AC357" s="11">
        <v>0</v>
      </c>
      <c r="AD357" s="11">
        <v>0.4</v>
      </c>
      <c r="AE357" s="11">
        <v>0</v>
      </c>
      <c r="AF357" s="11">
        <f>VLOOKUP(K357,'1121 Ambiente'!$K$13:$AK$38,22,0)</f>
        <v>0.4</v>
      </c>
      <c r="AG357" s="11">
        <f>VLOOKUP(K357,'1121 Ambiente'!$K$13:$AK$38,23,0)</f>
        <v>0</v>
      </c>
      <c r="AH357" s="9">
        <f t="shared" si="556"/>
        <v>0.4</v>
      </c>
      <c r="AI357" s="9" t="str">
        <f>VLOOKUP(K357,'1121 Ambiente'!$K$13:$AK$38,25,0)</f>
        <v>Componente diagnostico de la politica pública</v>
      </c>
      <c r="AJ357" s="9" t="str">
        <f>VLOOKUP(K357,'1121 Ambiente'!$K$13:$AK$38,26,0)</f>
        <v xml:space="preserve">Se realiza el componente diagnostico de la Politica Publica, se desarrollan los talleres con comunidades y sectores  obteniendo el diagnostico situacional de la problemática , se analiza frente al conopcimiento y avance de  los programas y proyectos  contenidos en el Plan Regional de Cambio Climatcio, Se realiza el 19 de Agosto presentaciopn de avances y el instrumento de  financiacion ante el area juridica y la Secretaria de Planeacion. </v>
      </c>
      <c r="AK357" s="9" t="str">
        <f>VLOOKUP(K357,'1121 Ambiente'!$K$13:$AK$38,27,0)</f>
        <v xml:space="preserve"> </v>
      </c>
      <c r="AL357" s="11">
        <v>0.4</v>
      </c>
      <c r="AM357" s="11">
        <v>0</v>
      </c>
      <c r="AN357" s="11">
        <v>0</v>
      </c>
      <c r="AO357" s="11">
        <v>0</v>
      </c>
      <c r="AP357" s="11">
        <v>0</v>
      </c>
      <c r="AQ357" s="11">
        <v>0</v>
      </c>
      <c r="AR357" s="51">
        <v>144000000</v>
      </c>
      <c r="AS357" s="54">
        <v>0</v>
      </c>
      <c r="AT357" s="54">
        <f t="shared" si="569"/>
        <v>144000000</v>
      </c>
      <c r="AU357" s="51">
        <v>144000000</v>
      </c>
      <c r="AV357" s="89">
        <v>100000000</v>
      </c>
      <c r="AY357" s="89">
        <v>0</v>
      </c>
      <c r="AZ357" s="42">
        <f t="shared" si="557"/>
        <v>0.60000000000000009</v>
      </c>
      <c r="BA357" s="44">
        <v>0.2</v>
      </c>
      <c r="BB357" s="44">
        <v>1</v>
      </c>
      <c r="BC357" s="42">
        <f t="shared" si="558"/>
        <v>0.4</v>
      </c>
      <c r="BD357" s="42" cm="1">
        <f t="array" ref="BD357">_xlfn.IFS(AD357=0,"NA",AD357&gt;0,AH357/AD357)</f>
        <v>1</v>
      </c>
      <c r="BE357" s="42">
        <f t="shared" si="559"/>
        <v>0.4</v>
      </c>
      <c r="BF357" s="44">
        <v>0</v>
      </c>
      <c r="BG357" s="42">
        <f t="shared" si="560"/>
        <v>0</v>
      </c>
      <c r="BH357" s="44" t="s">
        <v>115</v>
      </c>
      <c r="BI357" s="42">
        <f t="shared" si="561"/>
        <v>0</v>
      </c>
      <c r="BJ357" s="44" t="s">
        <v>115</v>
      </c>
      <c r="BK357" s="42">
        <f t="shared" si="570"/>
        <v>0.60000000000000009</v>
      </c>
      <c r="BL357" s="44">
        <v>1</v>
      </c>
      <c r="BM357" s="42" cm="1">
        <f t="array" ref="BM357">_xlfn.IFS(BD357="NA","NA",BD357&gt;100%,"100%",BD357&lt;100,BD357)</f>
        <v>1</v>
      </c>
      <c r="BN357" s="42" cm="1">
        <f t="array" ref="BN357">_xlfn.IFS(BF357="NA","NA",BF357&gt;100%,"100%",BF357&lt;100,BF357)</f>
        <v>0</v>
      </c>
      <c r="BO357" s="42" t="str" cm="1">
        <f t="array" ref="BO357">_xlfn.IFS(BH357="NA","NA",BH357&gt;100%,"100%",BH357&lt;100,BH357)</f>
        <v>NA</v>
      </c>
      <c r="BP357" s="42" t="str" cm="1">
        <f t="array" ref="BP357">_xlfn.IFS(BJ357="NA","NA",BJ357&gt;100%,"100%",BJ357&lt;100,BJ357)</f>
        <v>NA</v>
      </c>
      <c r="BQ357" s="45">
        <v>0.224</v>
      </c>
      <c r="BR357" s="43">
        <f t="shared" si="571"/>
        <v>0.13440000000000002</v>
      </c>
      <c r="BS357" s="45">
        <v>4.48E-2</v>
      </c>
      <c r="BT357" s="45">
        <v>4.48E-2</v>
      </c>
      <c r="BU357" s="45">
        <v>4.48E-2</v>
      </c>
      <c r="BV357" s="43">
        <f t="shared" si="562"/>
        <v>8.9600000000000013E-2</v>
      </c>
      <c r="BW357" s="43">
        <f t="shared" si="572"/>
        <v>8.9600000000000013E-2</v>
      </c>
      <c r="BX357" s="43">
        <f t="shared" si="573"/>
        <v>8.9600000000000013E-2</v>
      </c>
      <c r="BY357" s="43">
        <f t="shared" si="563"/>
        <v>8.9600000000000013E-2</v>
      </c>
      <c r="BZ357" s="43">
        <f t="shared" si="564"/>
        <v>0</v>
      </c>
      <c r="CA357" s="43">
        <f t="shared" si="574"/>
        <v>0</v>
      </c>
      <c r="CB357" s="43">
        <f t="shared" si="565"/>
        <v>0</v>
      </c>
      <c r="CC357" s="43" t="str">
        <f t="shared" si="566"/>
        <v>NA</v>
      </c>
      <c r="CD357" s="45">
        <v>0</v>
      </c>
      <c r="CE357" s="43">
        <f t="shared" si="567"/>
        <v>0</v>
      </c>
      <c r="CF357" s="43" t="str">
        <f t="shared" si="568"/>
        <v>NA</v>
      </c>
      <c r="CG357" s="45">
        <v>0</v>
      </c>
    </row>
    <row r="358" spans="1:90" ht="18" customHeight="1">
      <c r="A358" s="260" t="s">
        <v>1826</v>
      </c>
      <c r="B358" s="260" t="s">
        <v>1827</v>
      </c>
      <c r="C358" s="260" t="s">
        <v>2129</v>
      </c>
      <c r="D358" s="260" t="s">
        <v>2197</v>
      </c>
      <c r="E358" s="260" t="s">
        <v>2220</v>
      </c>
      <c r="F358" s="260" t="s">
        <v>2221</v>
      </c>
      <c r="G358" s="260" t="s">
        <v>2222</v>
      </c>
      <c r="H358" s="260" t="s">
        <v>2228</v>
      </c>
      <c r="I358" s="260"/>
      <c r="J358" s="260"/>
      <c r="K358" s="260" t="s">
        <v>2229</v>
      </c>
      <c r="L358" s="260" t="s">
        <v>2230</v>
      </c>
      <c r="M358" s="260" t="s">
        <v>2231</v>
      </c>
      <c r="N358" s="260" t="s">
        <v>111</v>
      </c>
      <c r="O358" s="260" t="s">
        <v>112</v>
      </c>
      <c r="P358" s="10">
        <v>0</v>
      </c>
      <c r="Q358" s="11">
        <v>1</v>
      </c>
      <c r="R358" s="9">
        <f t="shared" si="555"/>
        <v>0.3</v>
      </c>
      <c r="S358" s="11" t="str">
        <f>VLOOKUP(K358,'1121 Ambiente'!$K$13:$AK$38,9,0)</f>
        <v xml:space="preserve">Se han desarrollado actividades para el cumplimiento de la meta, correspondientes a la Información recopilada en documento de diagnóstico y al Informe con análisis de la información- Diagnostico del Estado de la Calidad del Aire - en relación a las mediciones PM!= y PM2.5 - en el Departamento de Cundinamarca.
</v>
      </c>
      <c r="T358" s="11">
        <v>0</v>
      </c>
      <c r="U358" s="11">
        <v>0</v>
      </c>
      <c r="V358" s="11">
        <v>0</v>
      </c>
      <c r="W358" s="11">
        <v>0</v>
      </c>
      <c r="X358" s="11">
        <v>0</v>
      </c>
      <c r="Y358" s="11">
        <v>0</v>
      </c>
      <c r="Z358" s="11">
        <v>0</v>
      </c>
      <c r="AA358" s="11"/>
      <c r="AB358" s="11"/>
      <c r="AC358" s="11"/>
      <c r="AD358" s="11">
        <v>0.6</v>
      </c>
      <c r="AE358" s="11">
        <v>0</v>
      </c>
      <c r="AF358" s="11">
        <f>VLOOKUP(K358,'1121 Ambiente'!$K$13:$AK$38,22,0)</f>
        <v>0.3</v>
      </c>
      <c r="AG358" s="11">
        <f>VLOOKUP(K358,'1121 Ambiente'!$K$13:$AK$38,23,0)</f>
        <v>0</v>
      </c>
      <c r="AH358" s="9">
        <f t="shared" si="556"/>
        <v>0.3</v>
      </c>
      <c r="AI358" s="9">
        <f>VLOOKUP(K358,'1121 Ambiente'!$K$13:$AK$38,25,0)</f>
        <v>0</v>
      </c>
      <c r="AJ358" s="9" t="str">
        <f>VLOOKUP(K358,'1121 Ambiente'!$K$13:$AK$38,26,0)</f>
        <v>Se adelantan estudios previos, para la implementación de la estrategia de aire, objeto: "Aunar esfuerzos técnicos, financieros y administrativos, entre la Secretaría del Ambiente del Departamento de Cundinamarca y Corporación Makaia, para Implementar una estrategia tendiente a mejorar la calidad del aire, a través de la puesta en marcha de una red comunitaria de calidad del aire en Municipios priorizados del Departamento, en el marco de Bogotá – Región."</v>
      </c>
      <c r="AK358" s="9">
        <f>VLOOKUP(K358,'1121 Ambiente'!$K$13:$AK$38,27,0)</f>
        <v>0</v>
      </c>
      <c r="AL358" s="11">
        <v>0</v>
      </c>
      <c r="AM358" s="11">
        <v>0</v>
      </c>
      <c r="AN358" s="11">
        <v>0.4</v>
      </c>
      <c r="AO358" s="11">
        <v>0</v>
      </c>
      <c r="AP358" s="11">
        <v>0</v>
      </c>
      <c r="AQ358" s="11">
        <v>0</v>
      </c>
      <c r="AR358" s="52"/>
      <c r="AS358" s="54">
        <v>0</v>
      </c>
      <c r="AT358" s="54">
        <f t="shared" si="569"/>
        <v>0</v>
      </c>
      <c r="AU358" s="52"/>
      <c r="AV358" s="89">
        <v>0</v>
      </c>
      <c r="AY358" s="89">
        <v>0</v>
      </c>
      <c r="AZ358" s="42">
        <f t="shared" si="557"/>
        <v>0.3</v>
      </c>
      <c r="BA358" s="44">
        <v>0</v>
      </c>
      <c r="BB358" s="44" t="s">
        <v>115</v>
      </c>
      <c r="BC358" s="42">
        <f t="shared" si="558"/>
        <v>0.6</v>
      </c>
      <c r="BD358" s="42" cm="1">
        <f t="array" ref="BD358">_xlfn.IFS(AD358=0,"NA",AD358&gt;0,AH358/AD358)</f>
        <v>0.5</v>
      </c>
      <c r="BE358" s="42">
        <f t="shared" si="559"/>
        <v>0</v>
      </c>
      <c r="BF358" s="44" t="s">
        <v>115</v>
      </c>
      <c r="BG358" s="42">
        <f t="shared" si="560"/>
        <v>0.4</v>
      </c>
      <c r="BH358" s="44">
        <v>0</v>
      </c>
      <c r="BI358" s="42">
        <f t="shared" si="561"/>
        <v>0</v>
      </c>
      <c r="BJ358" s="44" t="s">
        <v>115</v>
      </c>
      <c r="BK358" s="42">
        <f t="shared" si="570"/>
        <v>0.3</v>
      </c>
      <c r="BL358" s="44" t="s">
        <v>115</v>
      </c>
      <c r="BM358" s="42" cm="1">
        <f t="array" ref="BM358">_xlfn.IFS(BD358="NA","NA",BD358&gt;100%,"100%",BD358&lt;100,BD358)</f>
        <v>0.5</v>
      </c>
      <c r="BN358" s="42" t="str" cm="1">
        <f t="array" ref="BN358">_xlfn.IFS(BF358="NA","NA",BF358&gt;100%,"100%",BF358&lt;100,BF358)</f>
        <v>NA</v>
      </c>
      <c r="BO358" s="42" cm="1">
        <f t="array" ref="BO358">_xlfn.IFS(BH358="NA","NA",BH358&gt;100%,"100%",BH358&lt;100,BH358)</f>
        <v>0</v>
      </c>
      <c r="BP358" s="42" t="str" cm="1">
        <f t="array" ref="BP358">_xlfn.IFS(BJ358="NA","NA",BJ358&gt;100%,"100%",BJ358&lt;100,BJ358)</f>
        <v>NA</v>
      </c>
      <c r="BQ358" s="45">
        <v>0.224</v>
      </c>
      <c r="BR358" s="43">
        <f t="shared" si="571"/>
        <v>6.7199999999999996E-2</v>
      </c>
      <c r="BS358" s="45">
        <v>0</v>
      </c>
      <c r="BT358" s="45" t="s">
        <v>115</v>
      </c>
      <c r="BU358" s="45">
        <v>0</v>
      </c>
      <c r="BV358" s="43">
        <f t="shared" si="562"/>
        <v>0.13439999999999999</v>
      </c>
      <c r="BW358" s="43">
        <f t="shared" si="572"/>
        <v>6.7199999999999996E-2</v>
      </c>
      <c r="BX358" s="43">
        <f t="shared" si="573"/>
        <v>6.7199999999999996E-2</v>
      </c>
      <c r="BY358" s="43">
        <f t="shared" si="563"/>
        <v>0</v>
      </c>
      <c r="BZ358" s="43" t="str">
        <f t="shared" si="564"/>
        <v>NA</v>
      </c>
      <c r="CA358" s="43">
        <f t="shared" si="574"/>
        <v>0</v>
      </c>
      <c r="CB358" s="43">
        <f t="shared" si="565"/>
        <v>8.9600000000000013E-2</v>
      </c>
      <c r="CC358" s="43">
        <f t="shared" si="566"/>
        <v>0</v>
      </c>
      <c r="CD358" s="45">
        <v>0</v>
      </c>
      <c r="CE358" s="43">
        <f t="shared" si="567"/>
        <v>0</v>
      </c>
      <c r="CF358" s="43" t="str">
        <f t="shared" si="568"/>
        <v>NA</v>
      </c>
      <c r="CG358" s="45">
        <v>0</v>
      </c>
    </row>
    <row r="359" spans="1:90" ht="18" customHeight="1">
      <c r="A359" s="260" t="s">
        <v>428</v>
      </c>
      <c r="B359" s="260" t="s">
        <v>429</v>
      </c>
      <c r="C359" s="260" t="s">
        <v>2129</v>
      </c>
      <c r="D359" s="260" t="s">
        <v>2232</v>
      </c>
      <c r="E359" s="260" t="s">
        <v>2233</v>
      </c>
      <c r="F359" s="260" t="s">
        <v>2234</v>
      </c>
      <c r="G359" s="260" t="s">
        <v>2235</v>
      </c>
      <c r="H359" s="260" t="s">
        <v>2236</v>
      </c>
      <c r="I359" s="260"/>
      <c r="J359" s="260"/>
      <c r="K359" s="260" t="s">
        <v>2237</v>
      </c>
      <c r="L359" s="260" t="s">
        <v>2238</v>
      </c>
      <c r="M359" s="260" t="s">
        <v>2239</v>
      </c>
      <c r="N359" s="260" t="s">
        <v>111</v>
      </c>
      <c r="O359" s="260" t="s">
        <v>112</v>
      </c>
      <c r="P359" s="10">
        <v>0</v>
      </c>
      <c r="Q359" s="11">
        <v>10</v>
      </c>
      <c r="R359" s="9">
        <f t="shared" si="555"/>
        <v>2</v>
      </c>
      <c r="S359" s="11" t="str">
        <f>VLOOKUP(K359,'1223 ICCU'!$K$13:$AK$25,9,0)</f>
        <v>Durante el cuatrenio se han intervenido 5 conexiones viales, correspondientes a ACCENORTE II – “Ampliación autopista norte y carrera Séptima”, la Vía el Codito - Serrezuela, que corresponda la conexión La Calera – Bogotá, Cota -Bogotá, Alo Sur, que contribuyen a la competitividad, al crecimiento económico y al desarrollo social de la ciudad-región.</v>
      </c>
      <c r="T359" s="11">
        <v>2</v>
      </c>
      <c r="U359" s="11">
        <v>0</v>
      </c>
      <c r="V359" s="11">
        <v>2</v>
      </c>
      <c r="W359" s="11">
        <v>0</v>
      </c>
      <c r="X359" s="11">
        <v>2</v>
      </c>
      <c r="Y359" s="11">
        <v>0</v>
      </c>
      <c r="Z359" s="11">
        <v>2</v>
      </c>
      <c r="AA359" s="11">
        <v>0</v>
      </c>
      <c r="AB359" s="11"/>
      <c r="AC359" s="11">
        <v>0</v>
      </c>
      <c r="AD359" s="11">
        <v>3</v>
      </c>
      <c r="AE359" s="11">
        <v>0</v>
      </c>
      <c r="AF359" s="99">
        <v>0</v>
      </c>
      <c r="AG359" s="11" t="str">
        <f>VLOOKUP(K359,'1223 ICCU'!$K$13:$AK$25,23,0)</f>
        <v> </v>
      </c>
      <c r="AH359" s="9">
        <f t="shared" si="556"/>
        <v>0</v>
      </c>
      <c r="AI359" s="9" t="str">
        <f>VLOOKUP(K359,'1223 ICCU'!$K$13:$AK$25,25,0)</f>
        <v>3 conexiones viales Ciudad - Región.</v>
      </c>
      <c r="AJ359" s="9" t="str">
        <f>VLOOKUP(K359,'1223 ICCU'!$K$13:$AK$25,26,0)</f>
        <v>En la vigencia 2021, se han intervenido 3 conexiones viales, correspondientes a Interconexión Cota - Bogota, Alo Sur y La Calera - El Codito, que contribuyen a la competitividad, al crecimiento económico y al desarrollo social de la ciudad-región.</v>
      </c>
      <c r="AK359" s="9" t="str">
        <f>VLOOKUP(K359,'1223 ICCU'!$K$13:$AK$25,27,0)</f>
        <v> </v>
      </c>
      <c r="AL359" s="11">
        <v>2</v>
      </c>
      <c r="AM359" s="11">
        <v>0</v>
      </c>
      <c r="AN359" s="11">
        <v>3</v>
      </c>
      <c r="AO359" s="11">
        <v>0</v>
      </c>
      <c r="AP359" s="11">
        <v>0</v>
      </c>
      <c r="AQ359" s="11">
        <v>0</v>
      </c>
      <c r="AR359" s="52"/>
      <c r="AS359" s="54">
        <v>42033333</v>
      </c>
      <c r="AT359" s="54">
        <f t="shared" si="569"/>
        <v>42033333</v>
      </c>
      <c r="AU359" s="52"/>
      <c r="AV359" s="89">
        <v>0</v>
      </c>
      <c r="AY359" s="89">
        <v>0</v>
      </c>
      <c r="AZ359" s="42">
        <f t="shared" si="557"/>
        <v>0.2</v>
      </c>
      <c r="BA359" s="44">
        <v>0.2</v>
      </c>
      <c r="BB359" s="44">
        <v>1</v>
      </c>
      <c r="BC359" s="42">
        <f t="shared" si="558"/>
        <v>0.3</v>
      </c>
      <c r="BD359" s="42" cm="1">
        <f t="array" ref="BD359">_xlfn.IFS(AD359=0,"NA",AD359&gt;0,AH359/AD359)</f>
        <v>0</v>
      </c>
      <c r="BE359" s="42">
        <f t="shared" si="559"/>
        <v>0.2</v>
      </c>
      <c r="BF359" s="44">
        <v>0</v>
      </c>
      <c r="BG359" s="42">
        <f t="shared" si="560"/>
        <v>0.3</v>
      </c>
      <c r="BH359" s="44">
        <v>0</v>
      </c>
      <c r="BI359" s="42">
        <f t="shared" si="561"/>
        <v>0</v>
      </c>
      <c r="BJ359" s="44" t="s">
        <v>115</v>
      </c>
      <c r="BK359" s="42">
        <f t="shared" si="570"/>
        <v>0.2</v>
      </c>
      <c r="BL359" s="44">
        <v>1</v>
      </c>
      <c r="BM359" s="42" cm="1">
        <f t="array" ref="BM359">_xlfn.IFS(BD359="NA","NA",BD359&gt;100%,"100%",BD359&lt;100,BD359)</f>
        <v>0</v>
      </c>
      <c r="BN359" s="42" cm="1">
        <f t="array" ref="BN359">_xlfn.IFS(BF359="NA","NA",BF359&gt;100%,"100%",BF359&lt;100,BF359)</f>
        <v>0</v>
      </c>
      <c r="BO359" s="42" cm="1">
        <f t="array" ref="BO359">_xlfn.IFS(BH359="NA","NA",BH359&gt;100%,"100%",BH359&lt;100,BH359)</f>
        <v>0</v>
      </c>
      <c r="BP359" s="42" t="str" cm="1">
        <f t="array" ref="BP359">_xlfn.IFS(BJ359="NA","NA",BJ359&gt;100%,"100%",BJ359&lt;100,BJ359)</f>
        <v>NA</v>
      </c>
      <c r="BQ359" s="45">
        <v>0.224</v>
      </c>
      <c r="BR359" s="43">
        <f t="shared" si="571"/>
        <v>4.4800000000000006E-2</v>
      </c>
      <c r="BS359" s="45">
        <v>4.48E-2</v>
      </c>
      <c r="BT359" s="45">
        <v>4.48E-2</v>
      </c>
      <c r="BU359" s="45">
        <v>4.48E-2</v>
      </c>
      <c r="BV359" s="43">
        <f t="shared" si="562"/>
        <v>6.720000000000001E-2</v>
      </c>
      <c r="BW359" s="43">
        <f t="shared" si="572"/>
        <v>0</v>
      </c>
      <c r="BX359" s="43">
        <f t="shared" si="573"/>
        <v>0</v>
      </c>
      <c r="BY359" s="43">
        <f t="shared" si="563"/>
        <v>4.48E-2</v>
      </c>
      <c r="BZ359" s="43">
        <f t="shared" si="564"/>
        <v>0</v>
      </c>
      <c r="CA359" s="43">
        <f t="shared" si="574"/>
        <v>6.9388939039072284E-18</v>
      </c>
      <c r="CB359" s="43">
        <f t="shared" si="565"/>
        <v>6.720000000000001E-2</v>
      </c>
      <c r="CC359" s="43">
        <f t="shared" si="566"/>
        <v>0</v>
      </c>
      <c r="CD359" s="45">
        <v>0</v>
      </c>
      <c r="CE359" s="43">
        <f t="shared" si="567"/>
        <v>0</v>
      </c>
      <c r="CF359" s="43" t="str">
        <f t="shared" si="568"/>
        <v>NA</v>
      </c>
      <c r="CG359" s="45">
        <v>0</v>
      </c>
    </row>
    <row r="360" spans="1:90" s="16" customFormat="1" ht="18" customHeight="1">
      <c r="A360" s="13" t="s">
        <v>388</v>
      </c>
      <c r="B360" s="13" t="s">
        <v>389</v>
      </c>
      <c r="C360" s="13" t="s">
        <v>2129</v>
      </c>
      <c r="D360" s="13" t="s">
        <v>2232</v>
      </c>
      <c r="E360" s="13" t="s">
        <v>2233</v>
      </c>
      <c r="F360" s="13" t="s">
        <v>2234</v>
      </c>
      <c r="G360" s="13" t="s">
        <v>2235</v>
      </c>
      <c r="H360" s="13" t="s">
        <v>2240</v>
      </c>
      <c r="I360" s="13"/>
      <c r="J360" s="13"/>
      <c r="K360" s="13" t="s">
        <v>2241</v>
      </c>
      <c r="L360" s="13" t="s">
        <v>2242</v>
      </c>
      <c r="M360" s="13" t="s">
        <v>2243</v>
      </c>
      <c r="N360" s="13" t="s">
        <v>111</v>
      </c>
      <c r="O360" s="13" t="s">
        <v>112</v>
      </c>
      <c r="P360" s="14">
        <v>0</v>
      </c>
      <c r="Q360" s="15">
        <v>1</v>
      </c>
      <c r="R360" s="9">
        <f t="shared" si="555"/>
        <v>0.36000000000000004</v>
      </c>
      <c r="S360" s="11">
        <f>VLOOKUP(K360,'1123 Transporte'!$K$13:$AK$23,9,0)</f>
        <v>0</v>
      </c>
      <c r="T360" s="11">
        <v>0.08</v>
      </c>
      <c r="U360" s="11">
        <v>0</v>
      </c>
      <c r="V360" s="11">
        <v>0.08</v>
      </c>
      <c r="W360" s="11">
        <v>0</v>
      </c>
      <c r="X360" s="11">
        <v>0.08</v>
      </c>
      <c r="Y360" s="11">
        <v>0</v>
      </c>
      <c r="Z360" s="11">
        <v>0.08</v>
      </c>
      <c r="AA360" s="11" t="s">
        <v>2244</v>
      </c>
      <c r="AB360" s="11" t="s">
        <v>2245</v>
      </c>
      <c r="AC360" s="11">
        <v>0</v>
      </c>
      <c r="AD360" s="11">
        <v>0.3</v>
      </c>
      <c r="AE360" s="11">
        <v>0</v>
      </c>
      <c r="AF360" s="11">
        <f>VLOOKUP(K360,'1123 Transporte'!$K$13:$AK$23,22,0)</f>
        <v>0.28000000000000003</v>
      </c>
      <c r="AG360" s="11">
        <f>VLOOKUP(K360,'1123 Transporte'!$K$13:$AK$23,23,0)</f>
        <v>0</v>
      </c>
      <c r="AH360" s="9">
        <f t="shared" si="556"/>
        <v>0.28000000000000003</v>
      </c>
      <c r="AI360" s="9" t="str">
        <f>VLOOKUP(K360,'1123 Transporte'!$K$13:$AK$23,25,0)</f>
        <v>Regiotram de Occidente construido
1. Como parte del avance del proyecto la Empresa Férrea Regional adjudicó el contrato de interventoría de la construcción de esta obra por valor de $71.402 millones, el consorcio está conformado por las firmas Ayesa Ingeniería y Arquitectura (sucursal Colombia); Consultoría en Ingeniería Integral y C &amp; M Consultores INFORME TRIMESTRAL DEL 01 DE ENERO DE 2021 AL 31 DE MARZO DE 2021 El estado actual del contrato es VIGENTE 
 Plan pago Total 2021 = 20.560.422.348 
 Marzo 1.598.000.000 
 Mayo 5.140.000.000 
 Junio 5.140.000.000 
 Octubre 5.740.422.348 
 Diciembre 2.942.000.000
2. APORTE FINANCIEROS - CONVENIO SUBVENCIÓN
Junio - julio: $1.685.714.286
Agosto: $842.857.143
Septiembre: $842-857.143
Octubre: $842.857.143
Noviembre: $842.857.143
Diciembre:$842.857.143</v>
      </c>
      <c r="AJ360" s="9" t="str">
        <f>VLOOKUP(K360,'1123 Transporte'!$K$13:$AK$23,26,0)</f>
        <v xml:space="preserve">META 349
 Como punto principal a tratar en el Comité Fiduciario, la gerente de la Empresa Férrea Jeimmy Villamil, da inicio informando que la Empresa Férrea frente al proyecto Regiotram de Occidente, tiene entre sus responsabilidades lograr la financiación del proyecto a través de los mecanismos financieros que existan, verificando las mejores condiciones de financiación del mercado, así como gestionar oportunamente las vigencias futuras que se tienen comprometidas para atender el contrato de concesión. Para este propósito la Empresa Férrea contrató a la firma corredores Davivienda a fin de analizar las posibles alternativas de financiación del proyecto, básicamente con una operación de crédito como la titularización.
-	Se presenta un cuadro donde se expone la necesidad de la financiación, con respecto a la programación de las vigencias futuras las cuales se concentran entre el año 2024 al 2028.
La Empresas Férrea informa que se ejecutará el Capex del proyecto entre el año 2020 al 2024, por lo anterior se considera que el perfil temporal de las vigencias futuras no coincide con las necesidades de ejecución de Capex del proyecto, por lo anterior la Empresa Férrea requiere un instrumento de deuda que les permitan anticipar las vigencias futuras del convenio de cofinanciación, por lo que se evaluó dos (02) alternativas de financiación.
La primera alternativa con relación a una financiación en el mercado intermediario y la segunda con respecto a un endeudamiento a través del mercado de capitales de Colombia.
-	Se informa a los asistentes que está bastante adelantada la minuta del contrato de Patrimonio Autónomo en dónde se han tenido mesas de trabajo con el Ministerio de Hacienda y con el Ministerio de transporte en donde ya quedan muy pocos puntos por cerrar.
La junta directiva de la Empresa Férrea autorizó la adquisición del endeudamiento vía emisión y colocación de títulos en el mercado de valores con cargo al convenio de cofinanciación, actualmente se encuentra en trámite el concepto favorable ante la Secretaría de Planeación del Departamento de Cundinamarca y se espera hacia finales de febrero de 2021 contar con una serie de pasos para solicitarle al Señor Gobernador la resolución que autoriza este tipo de transacciones en el mercado, así como la revisión del reglamento a la junta directiva.
META 349 AVANCE MES DE MAYO
REGIOTRAM
LA EMPRESA FERREA REGIONAL S.A.S, con NIT 900.403.616-1 por valor total de NUEVE MIL MILLONES DE PESOS M/CTE ($9.000.000.000), los cuales serán desembolsados en NUEVE (9) pagos así: el primero por valor de TRES MIL MILLONES DE PESOS MCT ($3.000.000.000) pagaderos en el mes de mayo de 2021 y los OCHO(8) restantes por valor de SETECIENTOS CINCUENTA MILLONES DE PESOS MTCE ( $ 750.000.000) mes vencido, por concepto de subvención -Pago para el mes Septiembre convenio No 086 de 2017 del proyecto Regiotram de Occidente 
Meta 349
Avances mes de junio 30 
El Departamento no recibirá los rendimientos hasta que se amortice la pérdida que se tuvo en el primer trimestre del año.
FiduBogotá está reportando los movimientos de las inversiones.
Una vez se cuente con los resultados del cierre del segundo trimestre, se procederá al próximo comité fiduciario.
Se realizó pago de subvención del ente gestor correspondiente al mes de Junio, por un valor de $ 750.000.000.
AVANCE MES DE JULIO 30 Dando continuidad con el proceso y teniendo en cuenta la situación de pandemia para finales del mes de agosto llegaron al país procedente de China el equipo técnico de la empresa Civil Engineering Construction Corporation (Contratistas), realizando el debido aislamiento preventivo de los 14 días iniciando labores en el mes de septiembre.
Para el mes de octubre se realiza el Comité Fiduciario No. 11 en donde la Fiduciaria de Bogotá  presenta los rendimientos de los aportes que a la fecha ha realizados el Departamento. En este comité solicitaron al Departamento el desembolso que quedo pactado en el encargo fiduciario, en el cual el Departamento dice haber solicitado documentos a la empresa férrea y que pronto los suministren se realizará el desembolso.  
Avance mes de agosto
Según comentario por parte de la interventoría el consultor  cumplió con los 10 productos, sin embargo a partir de la decisión de la alternativa subterránea se identificó que desde el producto 3 varios aspectos  se deben adicionar o modificar. 
Teniendo en cuenta lo anterior se genera un Otrosí con un costo elevado que deberá ser estudiada y analizada por parte del comité técnico.   
Anexamos cuadro comparativo con valores 
Avance mes de Septiembre
la EFR SAS presenta el Plan Operativo Anual POA de inversiones la programación entre mayo de 2021 a diciembre de 2021 y lo ejecutado y proyectado entre el 2018 al 2029, informa que de acuerdo a la caja disponible no se hace necesario la titularización para este año.
Avance  mes de octubre de 2021 
se tenía previsto el desembolso de $33.075.935.621 por parte de la Secrettaría de Transporte y Movilidad del Departamento, sin embargo, dados algunos ajustes requeridos en relación al IPC por parte de la Secretaría de Hacienda no se ha podido efectuar este pago. 
Con respecto a los recursos de subvención para el mantenimiento del proyecto, el Departamento se encuentra al día con el pago de dichos aportes.
AVANCES MES DE NOVIEMBRE 
AVANCES DE EJECUCIÓN 
El concesionario Férreo de Occidente radicó la entrega de los Estudios y Diseños del Proyecto Regiotram de Occidente, el 24 de junio 2021, los cuales son objeto de revisión por parte de la interventoría.
Con el INVIAS, ANI, Distrito Capital, IDU, se ha gestionado la articulación del proyecto en sus diferentes componentes (corredor férreo, taller ANI, estudios de tránsito, estaciones elevadas)
Gestionado y socializado con las alcaldías de Facatativá, Madrid, Mosquera y Funza la implantación del proyecto sobre el corredor férreo y los planes de manejo de tráfico y licenciamiento ambiental.
La Concesionaria Férrea de Occidente ha radicado ante la ANLA el estudio de impacto ambiental, para la obtención del licenciamiento ambiental. 
La Empresa Férrea a través de la Empresa Inmobiliaria, viene adelantando el levantamiento de insumos técnico-prediales (levantamiento topográfico, fichas prediales, avalúos comerciales), acorde con las obligaciones contractuales del contrato de concesión del 01-2019.
</v>
      </c>
      <c r="AK360" s="9">
        <f>VLOOKUP(K360,'1123 Transporte'!$K$13:$AK$23,27,0)</f>
        <v>0</v>
      </c>
      <c r="AL360" s="11">
        <v>0.3</v>
      </c>
      <c r="AM360" s="11">
        <v>0</v>
      </c>
      <c r="AN360" s="11">
        <v>0.32</v>
      </c>
      <c r="AO360" s="11">
        <v>0</v>
      </c>
      <c r="AP360" s="15">
        <v>0</v>
      </c>
      <c r="AQ360" s="15">
        <v>0</v>
      </c>
      <c r="AR360" s="51">
        <v>18972206777</v>
      </c>
      <c r="AS360" s="54">
        <v>0</v>
      </c>
      <c r="AT360" s="54">
        <f t="shared" si="569"/>
        <v>18972206777</v>
      </c>
      <c r="AU360" s="51">
        <v>18972206777</v>
      </c>
      <c r="AV360" s="90">
        <v>32948000000</v>
      </c>
      <c r="AY360" s="89">
        <v>0</v>
      </c>
      <c r="AZ360" s="42">
        <f t="shared" si="557"/>
        <v>0.36000000000000004</v>
      </c>
      <c r="BA360" s="44">
        <v>0.08</v>
      </c>
      <c r="BB360" s="44">
        <v>1</v>
      </c>
      <c r="BC360" s="42">
        <f t="shared" si="558"/>
        <v>0.3</v>
      </c>
      <c r="BD360" s="42" cm="1">
        <f t="array" ref="BD360">_xlfn.IFS(AD360=0,"NA",AD360&gt;0,AH360/AD360)</f>
        <v>0.93333333333333346</v>
      </c>
      <c r="BE360" s="42">
        <f t="shared" si="559"/>
        <v>0.3</v>
      </c>
      <c r="BF360" s="44">
        <v>0</v>
      </c>
      <c r="BG360" s="42">
        <f t="shared" si="560"/>
        <v>0.32</v>
      </c>
      <c r="BH360" s="44">
        <v>0</v>
      </c>
      <c r="BI360" s="42">
        <f t="shared" si="561"/>
        <v>0</v>
      </c>
      <c r="BJ360" s="44" t="s">
        <v>115</v>
      </c>
      <c r="BK360" s="42">
        <f t="shared" si="570"/>
        <v>0.36000000000000004</v>
      </c>
      <c r="BL360" s="44">
        <v>1</v>
      </c>
      <c r="BM360" s="42" cm="1">
        <f t="array" ref="BM360">_xlfn.IFS(BD360="NA","NA",BD360&gt;100%,"100%",BD360&lt;100,BD360)</f>
        <v>0.93333333333333346</v>
      </c>
      <c r="BN360" s="42" cm="1">
        <f t="array" ref="BN360">_xlfn.IFS(BF360="NA","NA",BF360&gt;100%,"100%",BF360&lt;100,BF360)</f>
        <v>0</v>
      </c>
      <c r="BO360" s="42" cm="1">
        <f t="array" ref="BO360">_xlfn.IFS(BH360="NA","NA",BH360&gt;100%,"100%",BH360&lt;100,BH360)</f>
        <v>0</v>
      </c>
      <c r="BP360" s="42" t="str" cm="1">
        <f t="array" ref="BP360">_xlfn.IFS(BJ360="NA","NA",BJ360&gt;100%,"100%",BJ360&lt;100,BJ360)</f>
        <v>NA</v>
      </c>
      <c r="BQ360" s="45">
        <v>0.224</v>
      </c>
      <c r="BR360" s="43">
        <f t="shared" si="571"/>
        <v>8.0640000000000017E-2</v>
      </c>
      <c r="BS360" s="45">
        <v>1.7899999999999999E-2</v>
      </c>
      <c r="BT360" s="45">
        <v>1.7899999999999999E-2</v>
      </c>
      <c r="BU360" s="45">
        <v>1.7899999999999999E-2</v>
      </c>
      <c r="BV360" s="43">
        <f t="shared" si="562"/>
        <v>6.7199999999999996E-2</v>
      </c>
      <c r="BW360" s="43">
        <f t="shared" si="572"/>
        <v>6.2719999999999998E-2</v>
      </c>
      <c r="BX360" s="43">
        <f t="shared" si="573"/>
        <v>6.2740000000000018E-2</v>
      </c>
      <c r="BY360" s="43">
        <f t="shared" si="563"/>
        <v>6.7199999999999996E-2</v>
      </c>
      <c r="BZ360" s="43">
        <f t="shared" si="564"/>
        <v>0</v>
      </c>
      <c r="CA360" s="43">
        <f t="shared" si="574"/>
        <v>0</v>
      </c>
      <c r="CB360" s="43">
        <f t="shared" si="565"/>
        <v>7.1680000000000008E-2</v>
      </c>
      <c r="CC360" s="43">
        <f t="shared" si="566"/>
        <v>0</v>
      </c>
      <c r="CD360" s="45">
        <v>0</v>
      </c>
      <c r="CE360" s="43">
        <f t="shared" si="567"/>
        <v>0</v>
      </c>
      <c r="CF360" s="43" t="str">
        <f t="shared" si="568"/>
        <v>NA</v>
      </c>
      <c r="CG360" s="45">
        <v>0</v>
      </c>
    </row>
    <row r="361" spans="1:90" s="16" customFormat="1" ht="18" customHeight="1">
      <c r="A361" s="13" t="s">
        <v>388</v>
      </c>
      <c r="B361" s="13" t="s">
        <v>389</v>
      </c>
      <c r="C361" s="13" t="s">
        <v>2129</v>
      </c>
      <c r="D361" s="13" t="s">
        <v>2232</v>
      </c>
      <c r="E361" s="13" t="s">
        <v>2233</v>
      </c>
      <c r="F361" s="13" t="s">
        <v>2234</v>
      </c>
      <c r="G361" s="13" t="s">
        <v>2235</v>
      </c>
      <c r="H361" s="13" t="s">
        <v>2246</v>
      </c>
      <c r="I361" s="13"/>
      <c r="J361" s="13"/>
      <c r="K361" s="13" t="s">
        <v>2247</v>
      </c>
      <c r="L361" s="13" t="s">
        <v>2248</v>
      </c>
      <c r="M361" s="13" t="s">
        <v>2249</v>
      </c>
      <c r="N361" s="13" t="s">
        <v>111</v>
      </c>
      <c r="O361" s="13" t="s">
        <v>112</v>
      </c>
      <c r="P361" s="14">
        <v>0</v>
      </c>
      <c r="Q361" s="15">
        <v>1</v>
      </c>
      <c r="R361" s="9">
        <f t="shared" si="555"/>
        <v>0.37</v>
      </c>
      <c r="S361" s="11">
        <f>VLOOKUP(K361,'1123 Transporte'!$K$13:$AK$23,9,0)</f>
        <v>0</v>
      </c>
      <c r="T361" s="11">
        <v>0.06</v>
      </c>
      <c r="U361" s="11">
        <v>0</v>
      </c>
      <c r="V361" s="11">
        <v>0.06</v>
      </c>
      <c r="W361" s="11">
        <v>0</v>
      </c>
      <c r="X361" s="11">
        <v>0.09</v>
      </c>
      <c r="Y361" s="11">
        <v>0</v>
      </c>
      <c r="Z361" s="11">
        <v>0.09</v>
      </c>
      <c r="AA361" s="11" t="s">
        <v>2250</v>
      </c>
      <c r="AB361" s="11" t="s">
        <v>2251</v>
      </c>
      <c r="AC361" s="11">
        <v>0</v>
      </c>
      <c r="AD361" s="11">
        <v>0.3</v>
      </c>
      <c r="AE361" s="11">
        <v>0</v>
      </c>
      <c r="AF361" s="11">
        <f>VLOOKUP(K361,'1123 Transporte'!$K$13:$AK$23,22,0)</f>
        <v>0.28000000000000003</v>
      </c>
      <c r="AG361" s="11">
        <f>VLOOKUP(K361,'1123 Transporte'!$K$13:$AK$23,23,0)</f>
        <v>0</v>
      </c>
      <c r="AH361" s="9">
        <f t="shared" si="556"/>
        <v>0.28000000000000003</v>
      </c>
      <c r="AI361" s="9" t="str">
        <f>VLOOKUP(K361,'1123 Transporte'!$K$13:$AK$23,25,0)</f>
        <v xml:space="preserve">Extensión de la troncal NQS del SITM a Soacha fases II y III construida
 En Etapa de Preconstrucción (12 meses):
-Presentación de Estudios y Diseños.
-Movilización de Equipos y Preparación de los Frentes de Trabajo.
-Permisos, Licencias y Autorizaciones Ambientales.
-Plan de Manejo de Tráfico, Señalización y Desvíos.
-Convenios de Servicios Públicos.
-Cronograma de Obras.
</v>
      </c>
      <c r="AJ361" s="9" t="str">
        <f>VLOOKUP(K361,'1123 Transporte'!$K$13:$AK$23,26,0)</f>
        <v xml:space="preserve">META 350
1. Etapa de Pre-construcción (12 meses) :                                                                                                                                                                                           - Estudios y diseños, preparación de los frentes de trabajo, plan de manejo de tráfico y señalización, convenios de servicios públicos y cronograma de obras. AVANCE MES DE ABRIL 1. Etapa de Pre-construcción (12 meses) :                                                                                                                                                                                           - Estudios y diseños, preparación de los frentes de trabajo, plan de manejo de tráfico y señalización, convenios de servicios públicos y cronograma de obras.
- Elaboración del plan de manejo ambiental PMA, programa de implementación del plan de manejo ambiental PIPMA y gestión de permisos ambientales.                                                                                                                                                                             - Actividades de divulgación de información por las partes interesadas.                                                                                                                                                            - Adquisición de predios                                                                                                                                                                                                                                                                
2. Aportes financieros - Convenio Subvención                
Junio - Julio: 1.142.857.142                                                                                                                                                                                                                            Agosto:            571.428.571                                                                                                                                                                                                                                      Septiembre:     571.428.571                                                                                                                                                                                                                                         Octubre:           571.428.571                                                                                                                                                                                                                                          Noviembre:      571.428.571                                                                                                                                                                                                                                     Diciembre:       571.428.571
META 350  AVANCE MES DE MAYO 
TRANSMILENIO SOACHA
Municipio de Soacha fase II y III”, se encuentra procedente acceder a la solicitud y en y en consecuencia ordenar el giro de los recursos por concepto de subvención, a la Empresa Férrea Regional S.A.S., por valor de NUEVE MIL MILLONES DE PESOS MCTE ($ 9.000.000.000) los cuales serán entregados en nueve 09), con destino a garantizar que la Empresa Férrea Regional S.A.S funcione en forma adecuada, en torno a la ejecución de los proyectos “Regiotram de Occidente” y “Extensión de la troncal NQS del sistema Transmilenio al Municipio de Soacha fase II y III” Que para el fin anterior, se cuenta con los certificados de disponibilidad presupuestal Nos. 7100013105 del 30 de abril de 2021, por valor de DOS MIL MILLONES CUATROCIENTOS SETENTA Y CINCO MIL PESOS MCTE (2.475.000.000) - Pago para el mes Noviembre convenio No.088 de 2017 del proyecto de Transmilenio Soacha Fase I y II 
AVANCE MES DE JULIO 30
 Rendimientos fiduciaria Informe Fiduciario (01 de Junio de 2021 a 30 de Junio de 2021):
Bienes Fideicomitidos – Fuentes y Usos.
El Encargo Fiduciario tiene como fuentes de ingreso y sus usos:
Los recursos que se administrarán en el encargo fiduciario corresponden a los aportes de la Nación, a los aportes del Departamento de Cundinamarca y a los aportes del Municipio de Soacha que corresponden a la suma de OCHOCIENTOS CINCUENTA Y NUEVE MIL DOSCIENTOS VEINTIOCHO MILLONES TRESCIENTOS OCHO MIL QUINIENTOS OCHENTA Y UN PESOS M/CTE ($859.228.308.581)
Aportes Nación: $791.954.044.179
Aportes Departamento de Cundinamarca: $199.583.033.763
Aportes Municipio de Soacha: $60.859.127.453
Avance mes de agosto 
Procedimiento contable y compensación de desvalorizaciones FIC:
 En el evento en que se presenten desvalorizaciones por rentabilidades negativas de los FIC, se llevará en el Balance, un registro contable y de control a través de una cuenta por cobrar a nombre del Municipio y/o Departamento, en la cual se indique el saldo pendiente por compensar.
La cuenta por cobrar a cada uno de los cofinanciadores, producto de las desvalorizaciones de los FICS, será compensada con los rendimientos futuros positivos que renten las inversiones de los aportes de vigencias futuras del Municipio y/o Departamento.
Avance mes de Septiembre
Estado predial del proyecto:
La EFR presenta el estado predial del proyecto. Durante la etapa de pre-construcción, el mayor uso de recursos para el proyecto corresponde a la adquisición predial y compensaciones sociales
Avances mes de Octubre 
Para el mes de noviembre de 2021 se tiene previsto el desembolso de $20.560.422.348 por parte de la Secretaría de Transporte y Movilidad del Departamento, dando cumplimiento a lo pactado en el convenio.
Con respecto a los recursos de subvención para el mantenimiento del proyecto, el Departamento se encuentra al día con el pago de dichos aportes, estando pendientes dos pagos de la siguiente forma:
Noviembre: $ 750.000.000
Diciembre: $1.500.000.000
Se realizó el seguimiento través del Comité Fiduciario convocado por Fidubogotá a la ejecución de los recursos desembolsados al encargo fiduciario durane la vigencia.
AVANCES  MES DE NOVIEMBRE 
Gestión Predial.  
Teniendo en cuenta que la ejecución e implantación del proyecto de la extensión de Transmilenio fase II y III requerían de la adquisición predial, la Empresa Férrea a través de la Empresa Inmobiliaria de Cundinamarca, adelantó un proceso de gestión social y predial, sobre la autopista Sur a lo largo de 4Km. Lo anterior, permitió ofertar 283 predios, consolidando un proceso con responsabilidad social (Res. 1023 de 2017), lo cual se refleja en el porcentaje de entrega de predios a través del mecanismo de enajenación voluntaria.
Es importante mencionar, que para la ejecución de las obras de Patio portal del Sistema Transmilenio, el Municipio de Soacha entregó como aporte en especie, el predio denominado el Vínculo.
</v>
      </c>
      <c r="AK361" s="9">
        <f>VLOOKUP(K361,'1123 Transporte'!$K$13:$AK$23,27,0)</f>
        <v>0</v>
      </c>
      <c r="AL361" s="11">
        <v>0.3</v>
      </c>
      <c r="AM361" s="11">
        <v>0</v>
      </c>
      <c r="AN361" s="11">
        <v>0.34</v>
      </c>
      <c r="AO361" s="11">
        <v>0</v>
      </c>
      <c r="AP361" s="15">
        <v>0</v>
      </c>
      <c r="AQ361" s="15">
        <v>0</v>
      </c>
      <c r="AR361" s="51">
        <v>19961575096</v>
      </c>
      <c r="AS361" s="54">
        <v>0</v>
      </c>
      <c r="AT361" s="54">
        <f t="shared" si="569"/>
        <v>19961575096</v>
      </c>
      <c r="AU361" s="51">
        <v>19961575096</v>
      </c>
      <c r="AV361" s="90">
        <v>20560422348</v>
      </c>
      <c r="AY361" s="89">
        <v>0</v>
      </c>
      <c r="AZ361" s="42">
        <f t="shared" si="557"/>
        <v>0.37</v>
      </c>
      <c r="BA361" s="44">
        <v>0.06</v>
      </c>
      <c r="BB361" s="44">
        <v>1.5</v>
      </c>
      <c r="BC361" s="42">
        <f t="shared" si="558"/>
        <v>0.3</v>
      </c>
      <c r="BD361" s="42" cm="1">
        <f t="array" ref="BD361">_xlfn.IFS(AD361=0,"NA",AD361&gt;0,AH361/AD361)</f>
        <v>0.93333333333333346</v>
      </c>
      <c r="BE361" s="42">
        <f t="shared" si="559"/>
        <v>0.3</v>
      </c>
      <c r="BF361" s="44">
        <v>0</v>
      </c>
      <c r="BG361" s="42">
        <f t="shared" si="560"/>
        <v>0.34</v>
      </c>
      <c r="BH361" s="44">
        <v>0</v>
      </c>
      <c r="BI361" s="42">
        <f t="shared" si="561"/>
        <v>0</v>
      </c>
      <c r="BJ361" s="44" t="s">
        <v>115</v>
      </c>
      <c r="BK361" s="42">
        <f t="shared" si="570"/>
        <v>0.37</v>
      </c>
      <c r="BL361" s="44">
        <v>1</v>
      </c>
      <c r="BM361" s="42" cm="1">
        <f t="array" ref="BM361">_xlfn.IFS(BD361="NA","NA",BD361&gt;100%,"100%",BD361&lt;100,BD361)</f>
        <v>0.93333333333333346</v>
      </c>
      <c r="BN361" s="42" cm="1">
        <f t="array" ref="BN361">_xlfn.IFS(BF361="NA","NA",BF361&gt;100%,"100%",BF361&lt;100,BF361)</f>
        <v>0</v>
      </c>
      <c r="BO361" s="42" cm="1">
        <f t="array" ref="BO361">_xlfn.IFS(BH361="NA","NA",BH361&gt;100%,"100%",BH361&lt;100,BH361)</f>
        <v>0</v>
      </c>
      <c r="BP361" s="42" t="str" cm="1">
        <f t="array" ref="BP361">_xlfn.IFS(BJ361="NA","NA",BJ361&gt;100%,"100%",BJ361&lt;100,BJ361)</f>
        <v>NA</v>
      </c>
      <c r="BQ361" s="45">
        <v>0.224</v>
      </c>
      <c r="BR361" s="43">
        <f t="shared" si="571"/>
        <v>8.2879999999999995E-2</v>
      </c>
      <c r="BS361" s="45">
        <v>1.34E-2</v>
      </c>
      <c r="BT361" s="45">
        <v>1.34E-2</v>
      </c>
      <c r="BU361" s="45">
        <v>2.0199999999999999E-2</v>
      </c>
      <c r="BV361" s="43">
        <f t="shared" si="562"/>
        <v>6.7199999999999996E-2</v>
      </c>
      <c r="BW361" s="43">
        <f t="shared" si="572"/>
        <v>6.2719999999999998E-2</v>
      </c>
      <c r="BX361" s="43">
        <f t="shared" si="573"/>
        <v>6.268E-2</v>
      </c>
      <c r="BY361" s="43">
        <f t="shared" si="563"/>
        <v>6.7199999999999996E-2</v>
      </c>
      <c r="BZ361" s="43">
        <f t="shared" si="564"/>
        <v>0</v>
      </c>
      <c r="CA361" s="43">
        <f t="shared" si="574"/>
        <v>0</v>
      </c>
      <c r="CB361" s="43">
        <f t="shared" si="565"/>
        <v>7.6160000000000005E-2</v>
      </c>
      <c r="CC361" s="43">
        <f t="shared" si="566"/>
        <v>0</v>
      </c>
      <c r="CD361" s="45">
        <v>0</v>
      </c>
      <c r="CE361" s="43">
        <f t="shared" si="567"/>
        <v>0</v>
      </c>
      <c r="CF361" s="43" t="str">
        <f t="shared" si="568"/>
        <v>NA</v>
      </c>
      <c r="CG361" s="45">
        <v>0</v>
      </c>
    </row>
    <row r="362" spans="1:90" s="16" customFormat="1" ht="18" customHeight="1">
      <c r="A362" s="13" t="s">
        <v>388</v>
      </c>
      <c r="B362" s="13" t="s">
        <v>389</v>
      </c>
      <c r="C362" s="13" t="s">
        <v>2129</v>
      </c>
      <c r="D362" s="13" t="s">
        <v>2232</v>
      </c>
      <c r="E362" s="13" t="s">
        <v>2233</v>
      </c>
      <c r="F362" s="13" t="s">
        <v>2234</v>
      </c>
      <c r="G362" s="13" t="s">
        <v>2235</v>
      </c>
      <c r="H362" s="13" t="s">
        <v>2252</v>
      </c>
      <c r="I362" s="13"/>
      <c r="J362" s="13"/>
      <c r="K362" s="13" t="s">
        <v>2253</v>
      </c>
      <c r="L362" s="13" t="s">
        <v>2254</v>
      </c>
      <c r="M362" s="13" t="s">
        <v>2255</v>
      </c>
      <c r="N362" s="13" t="s">
        <v>111</v>
      </c>
      <c r="O362" s="13" t="s">
        <v>112</v>
      </c>
      <c r="P362" s="14">
        <v>0</v>
      </c>
      <c r="Q362" s="15">
        <v>1</v>
      </c>
      <c r="R362" s="9">
        <f t="shared" si="555"/>
        <v>0.17</v>
      </c>
      <c r="S362" s="11">
        <f>VLOOKUP(K362,'1123 Transporte'!$K$13:$AK$23,9,0)</f>
        <v>0</v>
      </c>
      <c r="T362" s="11">
        <v>0.05</v>
      </c>
      <c r="U362" s="11">
        <v>0</v>
      </c>
      <c r="V362" s="11">
        <v>0</v>
      </c>
      <c r="W362" s="11">
        <v>0</v>
      </c>
      <c r="X362" s="11">
        <v>0</v>
      </c>
      <c r="Y362" s="11">
        <v>0</v>
      </c>
      <c r="Z362" s="11">
        <v>0</v>
      </c>
      <c r="AA362" s="11"/>
      <c r="AB362" s="11"/>
      <c r="AC362" s="11"/>
      <c r="AD362" s="11">
        <v>0.25</v>
      </c>
      <c r="AE362" s="11">
        <v>0</v>
      </c>
      <c r="AF362" s="11">
        <f>VLOOKUP(K362,'1123 Transporte'!$K$13:$AK$23,22,0)</f>
        <v>0.17</v>
      </c>
      <c r="AG362" s="11">
        <f>VLOOKUP(K362,'1123 Transporte'!$K$13:$AK$23,23,0)</f>
        <v>0</v>
      </c>
      <c r="AH362" s="9">
        <f t="shared" si="556"/>
        <v>0.17</v>
      </c>
      <c r="AI362" s="9" t="str">
        <f>VLOOKUP(K362,'1123 Transporte'!$K$13:$AK$23,25,0)</f>
        <v>Proyecto estructurado
Fase previa con cronograma para desembolso de los recursos al Contratista</v>
      </c>
      <c r="AJ362" s="9" t="str">
        <f>VLOOKUP(K362,'1123 Transporte'!$K$13:$AK$23,26,0)</f>
        <v xml:space="preserve">META 351
- Elaboración del plan de manejo ambiental PMA, programa de implementación del plan de manejo ambiental PIPMA y gestión de permisos ambientales.                                                                                                                                                                             - Actividades de divulgación de información por las partes interesadas.                                                                                                                                                            - Adquisición de predios  AVANCE MES DE ABRIL. Se aprobó por parte de Gobierno Nacional, que Regiotram Norte se estructurará como un corredor exclusivo para pasajeros, construyendo una infraestructura logística especializada (ILE), entre La Caro y Tocancipá, para dar respuesta al transporte de carga.
Se esta estudiando la posibilidad de transporte de carga  a ciertas horas, pero no se ha concretado.
18 estaciones (13 Bogota  + 5 Región)
Corredor exclusivo de Pasajeros
ILE al norte de la caro
Integración física con paraderos y estaciones SITP.
Velocidad de operación: 40 Km/h.
Intervalo de 12 minutos en la sabana y 6 minutos dentro de Bogotá D.C.
Demanda potencial únicamente dentro del alcance espacial de modelación.
Esquema tarifario constante en los demás servicios.
Esquema tarifario propuesto para el tren.
Diseño definitivo de rutas del SITP según TMSA. META 351 AVANCE MES DE MAYO
- El proyecto se encuentra en fase de ejecución
- La oferta económica presentada por el proponente fue por valor de $12.650.067.677 IVA incluido.
- Se aprobó por parte de Gobierno Nacional, que Regiotram Norte se estructurará como un corredor exclusivo para pasajeros, construyendo una infraestructura logística especializada (ILE), entre La Caro y Tocancipá, para dar respuesta al transporte de carga
- 18 estaciones (13 Bogota + 5 Región) 
- Se encuentran en aprobacion, por parte de la gobernación y alcaldía, las alternativas propuestas por el consultor según estudios de diseños y factibilidad, de las rutas de Regiotram Norte.
Avances mes de junio 30 
 Se mostró el trabajo realizado por la Consultoría, Interventoría y Supervisión para lograr llegar a un consenso en cuanto a la alternativa a estructurar, Alternativa 4 (Elevada) y los incrementos de alcance que ella conlleva, así como los costos asociados y plazo de ejecución adicional.
Por cuanto el próximo 18/6/2021 se vence la prórroga de la suspensión parcial y temporal de los contratos 0016/2020 y 0017/2020, de Consultoría e Interventoría, y estimando que para esa fecha no se haya logrado definir la alternativa a estructurar, FINDETER consulta a los miembros del comité si tienen alguna recomendación respecto a cómo proceder para esa fecha
AVANCE MES DE JULIO 30
Reunión Findeter- Departamento- Interventoria 
15 de Julio de 2021
1.	Se informa que se llevó a cabo de manera presencial el pasado martes 13/7/2021, en el salón Barulé de la Alcaldía de Bogotá. En esa reunión se tomó la decisión de estructurar, para el proyecto RegioTram Norte, la alternativa subterránea, con variante de que en vez de salir de manera segregada a la altura de la carrera 11 hasta la calle 140, seguir en subterráneo hasta la calle 245.
2.	Se hizo referencia la Otrosí de la adhesión del contrato por parte del consultor y la adhesión del IDU para financiación. 
3.	Otrosí para modificar la forma de pago de los contratos 0016/2020 y 0017/2020.
4.	Revisión de pólizas ajustadas según la segunda acta de prórroga de suspensión de los contratos 0016/2020 y 0017/2020.
AVANCE MES DE SEPTIEMBRE El pasado 30 de septiembre Findeter comunica a los integrantes del Comité  Técnico que debido a la terminación del plazo de la suspensión temporal de los contratos el próximo 01 de octubre tomaron la decisión  de prorrogar dicha suspensión temporal hasta el día 14 de octubre del presente año porque aún falta la reunión con el señor Gobernador la cual está programada para el 04 de octubre; Findeter solicita a los participantes del Comité el apoyo sobre la prórroga.
Avance mes de Octubre
El convenio 048 de 2019 continua vigente.   
En  octubre de 2020 se dio la adhesión del Distrito Capital al convenio.                                    
                                                                                                                                                                                                                                                              </v>
      </c>
      <c r="AK362" s="9" t="str">
        <f>VLOOKUP(K362,'1123 Transporte'!$K$13:$AK$23,27,0)</f>
        <v>La empresa de consultoría presenta avance donde señala las fases del estudio, el impacto ambiental, la adquisición que se debe hacer de predios en la sabana norte, la viabilidad del tren de carga sigue presentando negativo frente al estudio 
En el Comité del 12 de Octubre de 2021, Findeter comunicó la decisión de terminar los contratos de consultoría e interventoría, teniendo en cuenta que no habría los recursos requeridos por parte del IDU para la actual vigencia y así poder adicionar los contratos.</v>
      </c>
      <c r="AL362" s="11">
        <v>0.35</v>
      </c>
      <c r="AM362" s="11">
        <v>0</v>
      </c>
      <c r="AN362" s="11">
        <v>0.4</v>
      </c>
      <c r="AO362" s="11">
        <v>0</v>
      </c>
      <c r="AP362" s="15">
        <v>0</v>
      </c>
      <c r="AQ362" s="15">
        <v>0</v>
      </c>
      <c r="AR362" s="52"/>
      <c r="AS362" s="54">
        <v>0</v>
      </c>
      <c r="AT362" s="54">
        <f t="shared" si="569"/>
        <v>0</v>
      </c>
      <c r="AU362" s="52"/>
      <c r="AV362" s="90">
        <v>0</v>
      </c>
      <c r="AY362" s="89">
        <v>0</v>
      </c>
      <c r="AZ362" s="42">
        <f t="shared" si="557"/>
        <v>0.17</v>
      </c>
      <c r="BA362" s="44">
        <v>0</v>
      </c>
      <c r="BB362" s="44" t="s">
        <v>115</v>
      </c>
      <c r="BC362" s="42">
        <f t="shared" si="558"/>
        <v>0.25</v>
      </c>
      <c r="BD362" s="42" cm="1">
        <f t="array" ref="BD362">_xlfn.IFS(AD362=0,"NA",AD362&gt;0,AH362/AD362)</f>
        <v>0.68</v>
      </c>
      <c r="BE362" s="42">
        <f t="shared" si="559"/>
        <v>0.35</v>
      </c>
      <c r="BF362" s="44">
        <v>0</v>
      </c>
      <c r="BG362" s="42">
        <f t="shared" si="560"/>
        <v>0.4</v>
      </c>
      <c r="BH362" s="44">
        <v>0</v>
      </c>
      <c r="BI362" s="42">
        <f t="shared" si="561"/>
        <v>0</v>
      </c>
      <c r="BJ362" s="44" t="s">
        <v>115</v>
      </c>
      <c r="BK362" s="42">
        <f t="shared" si="570"/>
        <v>0.17</v>
      </c>
      <c r="BL362" s="44" t="s">
        <v>115</v>
      </c>
      <c r="BM362" s="42" cm="1">
        <f t="array" ref="BM362">_xlfn.IFS(BD362="NA","NA",BD362&gt;100%,"100%",BD362&lt;100,BD362)</f>
        <v>0.68</v>
      </c>
      <c r="BN362" s="42" cm="1">
        <f t="array" ref="BN362">_xlfn.IFS(BF362="NA","NA",BF362&gt;100%,"100%",BF362&lt;100,BF362)</f>
        <v>0</v>
      </c>
      <c r="BO362" s="42" cm="1">
        <f t="array" ref="BO362">_xlfn.IFS(BH362="NA","NA",BH362&gt;100%,"100%",BH362&lt;100,BH362)</f>
        <v>0</v>
      </c>
      <c r="BP362" s="42" t="str" cm="1">
        <f t="array" ref="BP362">_xlfn.IFS(BJ362="NA","NA",BJ362&gt;100%,"100%",BJ362&lt;100,BJ362)</f>
        <v>NA</v>
      </c>
      <c r="BQ362" s="45">
        <v>0.224</v>
      </c>
      <c r="BR362" s="43">
        <f t="shared" si="571"/>
        <v>3.8080000000000003E-2</v>
      </c>
      <c r="BS362" s="45">
        <v>0</v>
      </c>
      <c r="BT362" s="45" t="s">
        <v>115</v>
      </c>
      <c r="BU362" s="45">
        <v>0</v>
      </c>
      <c r="BV362" s="43">
        <f t="shared" si="562"/>
        <v>5.6000000000000001E-2</v>
      </c>
      <c r="BW362" s="43">
        <f t="shared" si="572"/>
        <v>3.8080000000000003E-2</v>
      </c>
      <c r="BX362" s="43">
        <f t="shared" si="573"/>
        <v>3.8080000000000003E-2</v>
      </c>
      <c r="BY362" s="43">
        <f t="shared" si="563"/>
        <v>7.8399999999999997E-2</v>
      </c>
      <c r="BZ362" s="43">
        <f t="shared" si="564"/>
        <v>0</v>
      </c>
      <c r="CA362" s="43">
        <f t="shared" si="574"/>
        <v>0</v>
      </c>
      <c r="CB362" s="43">
        <f t="shared" si="565"/>
        <v>8.9600000000000013E-2</v>
      </c>
      <c r="CC362" s="43">
        <f t="shared" si="566"/>
        <v>0</v>
      </c>
      <c r="CD362" s="45">
        <v>0</v>
      </c>
      <c r="CE362" s="43">
        <f t="shared" si="567"/>
        <v>0</v>
      </c>
      <c r="CF362" s="43" t="str">
        <f t="shared" si="568"/>
        <v>NA</v>
      </c>
      <c r="CG362" s="45">
        <v>0</v>
      </c>
    </row>
    <row r="363" spans="1:90" s="16" customFormat="1" ht="18" customHeight="1">
      <c r="A363" s="13" t="s">
        <v>388</v>
      </c>
      <c r="B363" s="13" t="s">
        <v>389</v>
      </c>
      <c r="C363" s="13" t="s">
        <v>2129</v>
      </c>
      <c r="D363" s="13" t="s">
        <v>2232</v>
      </c>
      <c r="E363" s="13" t="s">
        <v>2233</v>
      </c>
      <c r="F363" s="13" t="s">
        <v>2234</v>
      </c>
      <c r="G363" s="13" t="s">
        <v>2235</v>
      </c>
      <c r="H363" s="13" t="s">
        <v>2256</v>
      </c>
      <c r="I363" s="13"/>
      <c r="J363" s="13"/>
      <c r="K363" s="13" t="s">
        <v>2257</v>
      </c>
      <c r="L363" s="13" t="s">
        <v>2258</v>
      </c>
      <c r="M363" s="13" t="s">
        <v>2255</v>
      </c>
      <c r="N363" s="13" t="s">
        <v>111</v>
      </c>
      <c r="O363" s="13" t="s">
        <v>112</v>
      </c>
      <c r="P363" s="14">
        <v>0</v>
      </c>
      <c r="Q363" s="15">
        <v>1</v>
      </c>
      <c r="R363" s="9">
        <f t="shared" si="555"/>
        <v>0.28000000000000003</v>
      </c>
      <c r="S363" s="11">
        <f>VLOOKUP(K363,'1123 Transporte'!$K$13:$AK$23,9,0)</f>
        <v>0</v>
      </c>
      <c r="T363" s="11">
        <v>0.08</v>
      </c>
      <c r="U363" s="11">
        <v>0</v>
      </c>
      <c r="V363" s="11">
        <v>0.08</v>
      </c>
      <c r="W363" s="11">
        <v>0</v>
      </c>
      <c r="X363" s="11">
        <v>0</v>
      </c>
      <c r="Y363" s="11">
        <v>0</v>
      </c>
      <c r="Z363" s="11">
        <v>0</v>
      </c>
      <c r="AA363" s="11"/>
      <c r="AB363" s="11"/>
      <c r="AC363" s="11"/>
      <c r="AD363" s="11">
        <v>0.38</v>
      </c>
      <c r="AE363" s="11">
        <v>0</v>
      </c>
      <c r="AF363" s="11">
        <f>VLOOKUP(K363,'1123 Transporte'!$K$13:$AK$23,22,0)</f>
        <v>0.28000000000000003</v>
      </c>
      <c r="AG363" s="11">
        <f>VLOOKUP(K363,'1123 Transporte'!$K$13:$AK$23,23,0)</f>
        <v>0</v>
      </c>
      <c r="AH363" s="9">
        <f t="shared" si="556"/>
        <v>0.28000000000000003</v>
      </c>
      <c r="AI363" s="9" t="str">
        <f>VLOOKUP(K363,'1123 Transporte'!$K$13:$AK$23,25,0)</f>
        <v>Proyecto estructurado</v>
      </c>
      <c r="AJ363" s="9" t="str">
        <f>VLOOKUP(K363,'1123 Transporte'!$K$13:$AK$23,26,0)</f>
        <v xml:space="preserve">META 352
. Aportes financieros - Convenio Subvención   AVANCE MES DE ABRIL Avance 2020: Se atendió al pronunciamiento emitido por el Ministerio de Transporte y se ajustaron los 15 entregables técnicos con el objetivo de efectuar el Estudio de Mercado necesario para la elaboración de los Estudios y Diseños. META 352 AVANCE MES DE MAYO
-	Se definieron los requisitos para la presentación de proyecto del sistema general de regalías
-	Se realiza presupuesto de mano de obra, diseños publicitarios, gastos provenientes de mesas de trabajo y fuentes de financiación, del año 2021 a 2024
-	Una vez aprobado por el OCAD, el Departamento de Cundinamarca ejecutará los recursos que permitirán contar con los estudios y diseños para el desarrollo constructivo del proyecto.
•	Se solicitaron las cotizaciones y entregables a los posibles oferentes del proyecto, para los estudios de factibilidad.
1.	Avances a 30 de junio de 2021: 
La Gobernación de Cundinamarca a través de la Secretaria De Transporte Y Movilidad, solicita cotización para el desarrollo de los estudios y diseños definitivos para de la extensión de la Troncal Ciudad de Cali del Sistema Transmilenio al municipio de Soacha, desde el canal de puente Tibánica hasta la ALO Soacha, esta solicitud se realizó el dia 25 de mayo con fecha de entrega el día 5 de junio de 2021. El día 1 se solicitaron cotizaciones adicionales a tres empresas más con (Ver Anexos) 
El alcance presentado en esta solicitud de cotización responde a las exigencias generales que deben cumplir los Estudios y Diseños de un proyecto de troncal de Transmilenio. Como referencia se debe utilizar el alcance de los estudios y diseños Contratados por el Instituto de Desarrollo Urbano de Bogotá – IDU, en especial el proceso “FACTIBILIDAD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BOGOTA.
Avances mes de agosto de 2021:
La Gobernación de Cundinamarca a través de la Secretaria De Transporte Y
Movilidad, solicita cotización por segunda vez, para el desarrollo de los estudios y
diseños definitivos para de la extensión de la Troncal Ciudad de Cali del Sistema
Transmilenio al municipio de Soacha, desde el canal de puente Tibánica hasta la
ALO Soacha, esta solicitud se realizó el día 18 de agosto.
Se recibieron dos respuestas:
 INTERDISEÑOS: Actualización de precios, de acuerdo con el estudio de
mercados enviado en el año 2020, sin embargo, manifiestan que en este
momento la empresa no cuenta con esta línea de servicio (Anexo1. Pdf)
(19 de Agosto de 2021)
 SMA INGENIEROS: Adjuntan exigencias generales que deben cumplir los
estudios y diseños de factibilidad (Anexo2. Excel)
(24 de Agosto de 2021)
A partir de las cotizaciones recibidas, se espera continuar en el proceso para
definir los precios de mercado
Avances mes de Septiembre de 2021:
La Gobernación de Cundinamarca a través de la Secretaria De Transporte Y Movilidad, solicita cotización por segunda vez, para el desarrollo de los estudios y diseños definitivos para de la extensión de la Troncal Ciudad de Cali del Sistema Transmilenio al municipio de Soacha, desde el canal de puente Tibánica hasta la ALO Soacha, esta solicitud se realizó el día 18 de agosto.
Se recibieron dos respuestas:
•	INTERDISEÑOS: Actualización de precios, de acuerdo con el estudio de mercados enviado en el año 2020, sin embargo, manifiestan que en este momento la empresa no cuenta con esta línea de servicio (Anexo1. Pdf) 
(19 de Agosto de 2021)
•	SMA INGENIEROS: Adjuntan exigencias generales que deben cumplir los estudios y diseños de factibilidad (Anexo2. Excel)
(24 de Agosto de 2021)
A partir de las cotizaciones recibidas, se espera continuar en el proceso para definir los precios de mercado definitivos que orientarán el proceso de licitación.
Se encuentra pendiente la fecha para el próximo comité.
ado definitivos que orientarán el proceso de licitación.
Avances Octubre 31 de 2021:
A partir de la fecha, el presente proyecto correspondiente a la meta 352 referente al desarrollo de los Estudios y diseños para la extensión de la troncal Ciudad de Cali del sistema Transmilenio a Soacha, Cundinamarca fue asignado a la Oficina de Planeación de la Secretaría de Transporte y Movilidad de Cundinamarca, razón por la cual su seguimiento y gestión lo realizará la dependencia mencionada.
</v>
      </c>
      <c r="AK363" s="9" t="str">
        <f>VLOOKUP(K363,'1123 Transporte'!$K$13:$AK$23,27,0)</f>
        <v>A la fecha no se ha recibido respuesta de las cotizaciones.</v>
      </c>
      <c r="AL363" s="11">
        <v>0.3</v>
      </c>
      <c r="AM363" s="11">
        <v>0</v>
      </c>
      <c r="AN363" s="11">
        <v>0.32</v>
      </c>
      <c r="AO363" s="11">
        <v>0</v>
      </c>
      <c r="AP363" s="15">
        <v>0</v>
      </c>
      <c r="AQ363" s="15">
        <v>0</v>
      </c>
      <c r="AR363" s="52"/>
      <c r="AS363" s="54">
        <v>0</v>
      </c>
      <c r="AT363" s="54">
        <f t="shared" si="569"/>
        <v>0</v>
      </c>
      <c r="AU363" s="52"/>
      <c r="AV363" s="90">
        <v>0</v>
      </c>
      <c r="AY363" s="89">
        <v>0</v>
      </c>
      <c r="AZ363" s="42">
        <f t="shared" si="557"/>
        <v>0.28000000000000003</v>
      </c>
      <c r="BA363" s="44">
        <v>0.08</v>
      </c>
      <c r="BB363" s="44">
        <v>0</v>
      </c>
      <c r="BC363" s="42">
        <f t="shared" si="558"/>
        <v>0.38</v>
      </c>
      <c r="BD363" s="42" cm="1">
        <f t="array" ref="BD363">_xlfn.IFS(AD363=0,"NA",AD363&gt;0,AH363/AD363)</f>
        <v>0.73684210526315796</v>
      </c>
      <c r="BE363" s="42">
        <f t="shared" si="559"/>
        <v>0.3</v>
      </c>
      <c r="BF363" s="44">
        <v>0</v>
      </c>
      <c r="BG363" s="42">
        <f t="shared" si="560"/>
        <v>0.32</v>
      </c>
      <c r="BH363" s="44">
        <v>0</v>
      </c>
      <c r="BI363" s="42">
        <f t="shared" si="561"/>
        <v>0</v>
      </c>
      <c r="BJ363" s="44" t="s">
        <v>115</v>
      </c>
      <c r="BK363" s="42">
        <f t="shared" si="570"/>
        <v>0.28000000000000003</v>
      </c>
      <c r="BL363" s="44">
        <v>0</v>
      </c>
      <c r="BM363" s="42" cm="1">
        <f t="array" ref="BM363">_xlfn.IFS(BD363="NA","NA",BD363&gt;100%,"100%",BD363&lt;100,BD363)</f>
        <v>0.73684210526315796</v>
      </c>
      <c r="BN363" s="42" cm="1">
        <f t="array" ref="BN363">_xlfn.IFS(BF363="NA","NA",BF363&gt;100%,"100%",BF363&lt;100,BF363)</f>
        <v>0</v>
      </c>
      <c r="BO363" s="42" cm="1">
        <f t="array" ref="BO363">_xlfn.IFS(BH363="NA","NA",BH363&gt;100%,"100%",BH363&lt;100,BH363)</f>
        <v>0</v>
      </c>
      <c r="BP363" s="42" t="str" cm="1">
        <f t="array" ref="BP363">_xlfn.IFS(BJ363="NA","NA",BJ363&gt;100%,"100%",BJ363&lt;100,BJ363)</f>
        <v>NA</v>
      </c>
      <c r="BQ363" s="45">
        <v>0.224</v>
      </c>
      <c r="BR363" s="43">
        <f t="shared" si="571"/>
        <v>6.2720000000000012E-2</v>
      </c>
      <c r="BS363" s="45">
        <v>1.7899999999999999E-2</v>
      </c>
      <c r="BT363" s="45">
        <v>0</v>
      </c>
      <c r="BU363" s="45">
        <v>0</v>
      </c>
      <c r="BV363" s="43">
        <f t="shared" si="562"/>
        <v>8.5120000000000001E-2</v>
      </c>
      <c r="BW363" s="43">
        <f t="shared" si="572"/>
        <v>6.2720000000000012E-2</v>
      </c>
      <c r="BX363" s="43">
        <f t="shared" si="573"/>
        <v>6.2720000000000012E-2</v>
      </c>
      <c r="BY363" s="43">
        <f t="shared" si="563"/>
        <v>6.7199999999999996E-2</v>
      </c>
      <c r="BZ363" s="43">
        <f t="shared" si="564"/>
        <v>0</v>
      </c>
      <c r="CA363" s="43">
        <f t="shared" si="574"/>
        <v>0</v>
      </c>
      <c r="CB363" s="43">
        <f t="shared" si="565"/>
        <v>7.1680000000000008E-2</v>
      </c>
      <c r="CC363" s="43">
        <f t="shared" si="566"/>
        <v>0</v>
      </c>
      <c r="CD363" s="45">
        <v>0</v>
      </c>
      <c r="CE363" s="43">
        <f t="shared" si="567"/>
        <v>0</v>
      </c>
      <c r="CF363" s="43" t="str">
        <f t="shared" si="568"/>
        <v>NA</v>
      </c>
      <c r="CG363" s="45">
        <v>0</v>
      </c>
    </row>
    <row r="364" spans="1:90" s="16" customFormat="1" ht="18" customHeight="1">
      <c r="A364" s="13" t="s">
        <v>388</v>
      </c>
      <c r="B364" s="13" t="s">
        <v>389</v>
      </c>
      <c r="C364" s="13" t="s">
        <v>2129</v>
      </c>
      <c r="D364" s="13" t="s">
        <v>2232</v>
      </c>
      <c r="E364" s="13" t="s">
        <v>2233</v>
      </c>
      <c r="F364" s="13" t="s">
        <v>2234</v>
      </c>
      <c r="G364" s="13" t="s">
        <v>2235</v>
      </c>
      <c r="H364" s="13" t="s">
        <v>2259</v>
      </c>
      <c r="I364" s="13"/>
      <c r="J364" s="13"/>
      <c r="K364" s="13" t="s">
        <v>2260</v>
      </c>
      <c r="L364" s="13" t="s">
        <v>2261</v>
      </c>
      <c r="M364" s="13" t="s">
        <v>2262</v>
      </c>
      <c r="N364" s="13" t="s">
        <v>111</v>
      </c>
      <c r="O364" s="13" t="s">
        <v>124</v>
      </c>
      <c r="P364" s="14">
        <v>1</v>
      </c>
      <c r="Q364" s="15">
        <v>1</v>
      </c>
      <c r="R364" s="11">
        <f>(Z364+AH364)/CL364</f>
        <v>0.48</v>
      </c>
      <c r="S364" s="11">
        <f>VLOOKUP(K364,'1123 Transporte'!$K$13:$AK$23,9,0)</f>
        <v>0</v>
      </c>
      <c r="T364" s="11">
        <v>0</v>
      </c>
      <c r="U364" s="11">
        <v>1</v>
      </c>
      <c r="V364" s="11">
        <v>0</v>
      </c>
      <c r="W364" s="11">
        <v>1</v>
      </c>
      <c r="X364" s="11" t="s">
        <v>115</v>
      </c>
      <c r="Y364" s="11">
        <v>1</v>
      </c>
      <c r="Z364" s="11">
        <v>1</v>
      </c>
      <c r="AA364" s="11" t="s">
        <v>2263</v>
      </c>
      <c r="AB364" s="11" t="s">
        <v>2264</v>
      </c>
      <c r="AC364" s="11">
        <v>0</v>
      </c>
      <c r="AD364" s="11">
        <v>0</v>
      </c>
      <c r="AE364" s="11">
        <v>1</v>
      </c>
      <c r="AF364" s="11">
        <f>VLOOKUP(K364,'1123 Transporte'!$K$13:$AK$23,22,0)</f>
        <v>0</v>
      </c>
      <c r="AG364" s="11">
        <f>VLOOKUP(K364,'1123 Transporte'!$K$13:$AK$23,23,0)</f>
        <v>0.92</v>
      </c>
      <c r="AH364" s="11">
        <f>AG364</f>
        <v>0.92</v>
      </c>
      <c r="AI364" s="9" t="str">
        <f>VLOOKUP(K364,'1123 Transporte'!$K$13:$AK$23,25,0)</f>
        <v xml:space="preserve">GARANTIZAR LOS RECURSOS NECESARIOS PARA QUE EL ENTE GESTOR
Se mantiene la operacion del ente gestor con el seguimiento de los recursos de la secretaria de transporte y movilidad
</v>
      </c>
      <c r="AJ364" s="9" t="str">
        <f>VLOOKUP(K364,'1123 Transporte'!$K$13:$AK$23,26,0)</f>
        <v>META 353
 ES UNA META DE MANTENIMIENTO CON LOS PAGOS DE SUBVENCION ANUAL AL ENTE GESTORMETA 353 AVANCE MES DE MAYO
•	Se mantiene la operación del ente gestor de los proyectos de transporte masivo regional de manera financiera.
•	 Ente gestor EFR, pagos por subvención; valor total $9.000.000.000, valor cancelado a la fecha $ 3.000.000.000 (para proyectos Regiotram Occ. Y TM Fase II y Fase III). 
Avance mes de julio 30 La Secretaria de Transporte y Movilidad, ha venido garantizando los recursos necesarios que requiere el
ente gestor (EMPRESA FERREA REGIONAL), para el mantenimiento y sostenibilidad de acuerdo a la figura de
subvención, Para la presente vigencia se estableció mediante acto administrativo (Resolución 054 del 6 de
mayo de 2021) “POR MEDIO DE LA CUAL SE ORDENA EL GIRO DE SUBVENCIÓN A CARGO DEL
DEPARTAMENTO DE CUNDINAMARCA – SECRETARÍA DE TRANSPORTE Y MOVILIDAD EN FAVOR DE LA
EMPRESA FÉRRERA REGIONAL S.A.S”, realizar desembolsos en NUEVE (9) pagos así: el primero por valor de
TRES MIL MILLONES DE PESOS MCT ($3.000.000.000) pagaderos en el mes de mayo de 2021 y los OCHO(8)
restantes por valor de SETECIENTOS CINCUENTA MILLONES DE PESOS MTCE ( $ 750.000.000) mes vencido,
por concepto de subvención. En cumplimiento de lo anterior la Secretaria de Transporte y Movilidad</v>
      </c>
      <c r="AK364" s="9">
        <f>VLOOKUP(K364,'1123 Transporte'!$K$13:$AK$23,27,0)</f>
        <v>0</v>
      </c>
      <c r="AL364" s="11">
        <v>0</v>
      </c>
      <c r="AM364" s="11">
        <v>1</v>
      </c>
      <c r="AN364" s="11">
        <v>0</v>
      </c>
      <c r="AO364" s="11">
        <v>1</v>
      </c>
      <c r="AP364" s="15">
        <v>0</v>
      </c>
      <c r="AQ364" s="15">
        <v>0</v>
      </c>
      <c r="AR364" s="52"/>
      <c r="AS364" s="54">
        <v>2000000</v>
      </c>
      <c r="AT364" s="54">
        <f t="shared" si="569"/>
        <v>2000000</v>
      </c>
      <c r="AU364" s="52"/>
      <c r="AV364" s="90">
        <v>9000000000</v>
      </c>
      <c r="AY364" s="89">
        <v>0</v>
      </c>
      <c r="AZ364" s="44" cm="1">
        <f t="array" ref="AZ364">_xlfn.IFS((BA364=0),(BD364/CL364),(BA364&gt;0),((BB364+BD364)/CL364),(BE364&gt;0),((BB364+BD364+BE364)/CL364),(BG364&gt;0),((BB364+BD364+BE364+G364)/CL364))</f>
        <v>0.48</v>
      </c>
      <c r="BA364" s="44">
        <v>0.25</v>
      </c>
      <c r="BB364" s="44">
        <v>1</v>
      </c>
      <c r="BC364" s="44">
        <f>IF(AE364&gt;0,(1/CL364),0)</f>
        <v>0.25</v>
      </c>
      <c r="BD364" s="44" cm="1">
        <f t="array" ref="BD364">_xlfn.IFS(AE364=0,"NA",AE364&gt;0,AH364/AE364)</f>
        <v>0.92</v>
      </c>
      <c r="BE364" s="44">
        <f>IF(AM364&gt;0,(1/CL364),0)</f>
        <v>0.25</v>
      </c>
      <c r="BF364" s="44">
        <v>0</v>
      </c>
      <c r="BG364" s="44">
        <f>IF(AO364&gt;0,(1/CL364),0)</f>
        <v>0.25</v>
      </c>
      <c r="BH364" s="44">
        <v>0</v>
      </c>
      <c r="BI364" s="44">
        <v>0</v>
      </c>
      <c r="BJ364" s="44" t="s">
        <v>115</v>
      </c>
      <c r="BK364" s="44">
        <f t="shared" si="570"/>
        <v>0.48</v>
      </c>
      <c r="BL364" s="44">
        <v>1</v>
      </c>
      <c r="BM364" s="42" cm="1">
        <f t="array" ref="BM364">_xlfn.IFS(BD364="NA","NA",BD364&gt;100%,"100%",BD364&lt;100,BD364)</f>
        <v>0.92</v>
      </c>
      <c r="BN364" s="44">
        <v>0</v>
      </c>
      <c r="BO364" s="44">
        <v>0</v>
      </c>
      <c r="BP364" s="44" t="s">
        <v>115</v>
      </c>
      <c r="BQ364" s="45">
        <v>0.224</v>
      </c>
      <c r="BR364" s="43">
        <f t="shared" si="571"/>
        <v>0.10752</v>
      </c>
      <c r="BS364" s="45">
        <v>5.6000000000000001E-2</v>
      </c>
      <c r="BT364" s="45">
        <v>5.6000000000000001E-2</v>
      </c>
      <c r="BU364" s="45">
        <v>5.6000000000000001E-2</v>
      </c>
      <c r="BV364" s="45">
        <v>5.6000000000000001E-2</v>
      </c>
      <c r="BW364" s="43">
        <f t="shared" si="572"/>
        <v>5.1520000000000003E-2</v>
      </c>
      <c r="BX364" s="43">
        <f t="shared" si="573"/>
        <v>5.1520000000000003E-2</v>
      </c>
      <c r="BY364" s="45">
        <v>5.6000000000000001E-2</v>
      </c>
      <c r="BZ364" s="45">
        <v>0</v>
      </c>
      <c r="CA364" s="43">
        <f t="shared" si="574"/>
        <v>0</v>
      </c>
      <c r="CB364" s="45">
        <v>5.6000000000000001E-2</v>
      </c>
      <c r="CC364" s="45">
        <v>0</v>
      </c>
      <c r="CD364" s="45">
        <v>0</v>
      </c>
      <c r="CE364" s="45">
        <v>0</v>
      </c>
      <c r="CF364" s="45" t="s">
        <v>115</v>
      </c>
      <c r="CG364" s="45">
        <v>0</v>
      </c>
      <c r="CH364" s="16">
        <f>IF(W364&gt;0,1,0)</f>
        <v>1</v>
      </c>
      <c r="CI364" s="16">
        <f>IF(AE364&gt;0,1,0)</f>
        <v>1</v>
      </c>
      <c r="CJ364" s="16">
        <f>IF(AM364&gt;0,1,0)</f>
        <v>1</v>
      </c>
      <c r="CK364" s="16">
        <f>IF(AO364&gt;0,1,0)</f>
        <v>1</v>
      </c>
      <c r="CL364" s="16">
        <f>CH364+CI364+CJ364+CK364</f>
        <v>4</v>
      </c>
    </row>
    <row r="365" spans="1:90" s="16" customFormat="1" ht="18" customHeight="1">
      <c r="A365" s="13" t="s">
        <v>388</v>
      </c>
      <c r="B365" s="13" t="s">
        <v>389</v>
      </c>
      <c r="C365" s="13" t="s">
        <v>2129</v>
      </c>
      <c r="D365" s="13" t="s">
        <v>2232</v>
      </c>
      <c r="E365" s="13" t="s">
        <v>2233</v>
      </c>
      <c r="F365" s="13" t="s">
        <v>2234</v>
      </c>
      <c r="G365" s="13" t="s">
        <v>2235</v>
      </c>
      <c r="H365" s="13" t="s">
        <v>2265</v>
      </c>
      <c r="I365" s="13"/>
      <c r="J365" s="13"/>
      <c r="K365" s="13" t="s">
        <v>2266</v>
      </c>
      <c r="L365" s="13" t="s">
        <v>2267</v>
      </c>
      <c r="M365" s="13" t="s">
        <v>2268</v>
      </c>
      <c r="N365" s="13" t="s">
        <v>111</v>
      </c>
      <c r="O365" s="13" t="s">
        <v>112</v>
      </c>
      <c r="P365" s="14">
        <v>0</v>
      </c>
      <c r="Q365" s="15">
        <v>1</v>
      </c>
      <c r="R365" s="9">
        <f t="shared" ref="R365:R376" si="575">Z365+AH365</f>
        <v>0.26</v>
      </c>
      <c r="S365" s="11">
        <f>VLOOKUP(K365,'1123 Transporte'!$K$13:$AK$23,9,0)</f>
        <v>0</v>
      </c>
      <c r="T365" s="11">
        <v>7.0000000000000007E-2</v>
      </c>
      <c r="U365" s="11">
        <v>0</v>
      </c>
      <c r="V365" s="11">
        <v>0</v>
      </c>
      <c r="W365" s="11">
        <v>0</v>
      </c>
      <c r="X365" s="11">
        <v>0</v>
      </c>
      <c r="Y365" s="11">
        <v>0</v>
      </c>
      <c r="Z365" s="11">
        <v>0</v>
      </c>
      <c r="AA365" s="11"/>
      <c r="AB365" s="11"/>
      <c r="AC365" s="11"/>
      <c r="AD365" s="11">
        <v>0.32</v>
      </c>
      <c r="AE365" s="11">
        <v>0</v>
      </c>
      <c r="AF365" s="11">
        <f>VLOOKUP(K365,'1123 Transporte'!$K$13:$AK$23,22,0)</f>
        <v>0.26</v>
      </c>
      <c r="AG365" s="11">
        <f>VLOOKUP(K365,'1123 Transporte'!$K$13:$AK$23,23,0)</f>
        <v>0</v>
      </c>
      <c r="AH365" s="9">
        <f t="shared" ref="AH365:AH376" si="576">AF365</f>
        <v>0.26</v>
      </c>
      <c r="AI365" s="9" t="str">
        <f>VLOOKUP(K365,'1123 Transporte'!$K$13:$AK$23,25,0)</f>
        <v>Estudio de viabilidad</v>
      </c>
      <c r="AJ365" s="9" t="str">
        <f>VLOOKUP(K365,'1123 Transporte'!$K$13:$AK$23,26,0)</f>
        <v xml:space="preserve">META 354
AVANCE MES DE ABRIL.  Se realizó conversaciones previas con empresas de consultoria para definición y planeación de los estudios previos del proyecto META 354 AVANCE MES DE MAYO
-	Se realizó conversaciones previas con empresas de consultoría para definición y planeación de los estudios previos del proyecto.
AVANCE MES DE JULIO
-Proyecto en etapa de búsqueda de constructora para definir etapas de planeación y elaboración de estudios
*Se realizó conversaciones previas con empresas de consultoría para definición y planeación de los estudios previos del proyecto.
*Proyecto en etapa de búsqueda de constructora para definir etapas de planeación y elaboración de estudios
Avance mes de agosto 
Se acepta invitación a reunión con el IDU el día 26 de agosto del presente año, para entablar diálogos sobre el “Tren del Sur”, ya que el IDU cuenta con un proyecto similar a la Meta 354 del Departamento. El IDU tiene con un objeto: “Realizar la estructuración integral a nivel de prefactibilidad del corredor férreo del sur en la modalidad ferroviaria y su articulación con otros proyectos de transporte de la región Bogotá-Cundinamarca”; por consiguiente solicita a Empresas Férreas y al Departamento de Cundinamarca una unión estratégica para ejecutar Tren del Sur; por el momento el IDU cuenta con los recursos para realizar el convenio con la Financiera de Desarrollo Nacional para realizar estructuración del proyecto; la unión estratégica tiene como objetivo a futuro trabajar de la mano IDU, Departamento y Municipio de Soacha.
Avance mes de septiembre
A la fecha el IDU tiene adelantado los términos de referencia con la financiera de desarrollo nacional y el convenio con el metro de Bogotá.
Avances a Octubre de 2021
Se adelantó reunión entre el Departamento, la Secretaria de Movilidad, la Empresa Férrea y el IDU  En este encuentro el IDU presentó el conjunto de estudios previos para la construcción de un Proyecto similar a esta meta como referente. En razón a lo anterior se busca que el Departamento pueda adherirse al desarrollo de este proyecto.
El paso a seguir en este proceso es realizar el contacto respectivo con el Distrito para analizar la viabilidad de adelantar el proyecto de manera conjunta buscando la adhesión al mismo por parte del Departamento. Teniendo en cuenta que el IDU celebró convenio con la empresa Metro para adelantar el proyecto de Estudios de Pre factibilidad.
En razón a lo anterior, se proyectó oficio dirigido a Planeación Distrital con el fin de poner a consideración la viabilidad para la adhesión del Departamento en el desarrollo del proyecto mencionado.
</v>
      </c>
      <c r="AK365" s="9">
        <f>VLOOKUP(K365,'1123 Transporte'!$K$13:$AK$23,27,0)</f>
        <v>0</v>
      </c>
      <c r="AL365" s="11">
        <v>0.35</v>
      </c>
      <c r="AM365" s="11">
        <v>0</v>
      </c>
      <c r="AN365" s="11">
        <v>0.33</v>
      </c>
      <c r="AO365" s="11">
        <v>0</v>
      </c>
      <c r="AP365" s="15">
        <v>0</v>
      </c>
      <c r="AQ365" s="15">
        <v>0</v>
      </c>
      <c r="AR365" s="52"/>
      <c r="AS365" s="54">
        <v>0</v>
      </c>
      <c r="AT365" s="54">
        <f t="shared" si="569"/>
        <v>0</v>
      </c>
      <c r="AU365" s="52"/>
      <c r="AV365" s="90">
        <v>500000000</v>
      </c>
      <c r="AY365" s="89">
        <v>0</v>
      </c>
      <c r="AZ365" s="42">
        <f t="shared" ref="AZ365:AZ376" si="577">R365/Q365</f>
        <v>0.26</v>
      </c>
      <c r="BA365" s="44">
        <v>0</v>
      </c>
      <c r="BB365" s="44" t="s">
        <v>115</v>
      </c>
      <c r="BC365" s="42">
        <f t="shared" ref="BC365:BC376" si="578">AD365/Q365</f>
        <v>0.32</v>
      </c>
      <c r="BD365" s="42" cm="1">
        <f t="array" ref="BD365">_xlfn.IFS(AD365=0,"NA",AD365&gt;0,AH365/AD365)</f>
        <v>0.8125</v>
      </c>
      <c r="BE365" s="42">
        <f t="shared" ref="BE365:BE376" si="579">AL365/Q365</f>
        <v>0.35</v>
      </c>
      <c r="BF365" s="44">
        <v>0</v>
      </c>
      <c r="BG365" s="42">
        <f t="shared" ref="BG365:BG376" si="580">AN365/Q365</f>
        <v>0.33</v>
      </c>
      <c r="BH365" s="44">
        <v>0</v>
      </c>
      <c r="BI365" s="42">
        <f t="shared" ref="BI365:BI376" si="581">AP365/Q365</f>
        <v>0</v>
      </c>
      <c r="BJ365" s="44" t="s">
        <v>115</v>
      </c>
      <c r="BK365" s="42">
        <f t="shared" si="570"/>
        <v>0.26</v>
      </c>
      <c r="BL365" s="44" t="s">
        <v>115</v>
      </c>
      <c r="BM365" s="42" cm="1">
        <f t="array" ref="BM365">_xlfn.IFS(BD365="NA","NA",BD365&gt;100%,"100%",BD365&lt;100,BD365)</f>
        <v>0.8125</v>
      </c>
      <c r="BN365" s="42" cm="1">
        <f t="array" ref="BN365">_xlfn.IFS(BF365="NA","NA",BF365&gt;100%,"100%",BF365&lt;100,BF365)</f>
        <v>0</v>
      </c>
      <c r="BO365" s="42" cm="1">
        <f t="array" ref="BO365">_xlfn.IFS(BH365="NA","NA",BH365&gt;100%,"100%",BH365&lt;100,BH365)</f>
        <v>0</v>
      </c>
      <c r="BP365" s="42" t="str" cm="1">
        <f t="array" ref="BP365">_xlfn.IFS(BJ365="NA","NA",BJ365&gt;100%,"100%",BJ365&lt;100,BJ365)</f>
        <v>NA</v>
      </c>
      <c r="BQ365" s="45">
        <v>0.224</v>
      </c>
      <c r="BR365" s="43">
        <f t="shared" si="571"/>
        <v>5.824E-2</v>
      </c>
      <c r="BS365" s="45">
        <v>0</v>
      </c>
      <c r="BT365" s="45" t="s">
        <v>115</v>
      </c>
      <c r="BU365" s="45">
        <v>0</v>
      </c>
      <c r="BV365" s="43">
        <f t="shared" ref="BV365:BV376" si="582">(AD365*BQ365)/Q365</f>
        <v>7.1680000000000008E-2</v>
      </c>
      <c r="BW365" s="43">
        <f t="shared" si="572"/>
        <v>5.8240000000000007E-2</v>
      </c>
      <c r="BX365" s="43">
        <f t="shared" si="573"/>
        <v>5.824E-2</v>
      </c>
      <c r="BY365" s="43">
        <f t="shared" ref="BY365:BY376" si="583">(AL365*BQ365)/Q365</f>
        <v>7.8399999999999997E-2</v>
      </c>
      <c r="BZ365" s="43">
        <f t="shared" ref="BZ365:BZ376" si="584">IF(BN365="NA","NA",BN365*BY365)</f>
        <v>0</v>
      </c>
      <c r="CA365" s="43">
        <f t="shared" si="574"/>
        <v>0</v>
      </c>
      <c r="CB365" s="43">
        <f t="shared" ref="CB365:CB376" si="585">(AN365*BQ365)/Q365</f>
        <v>7.392E-2</v>
      </c>
      <c r="CC365" s="43">
        <f t="shared" ref="CC365:CC376" si="586">IF(BO365="NA","NA",BO365*CB365)</f>
        <v>0</v>
      </c>
      <c r="CD365" s="45">
        <v>0</v>
      </c>
      <c r="CE365" s="43">
        <f t="shared" ref="CE365:CE376" si="587">(AP365*BQ365)/Q365</f>
        <v>0</v>
      </c>
      <c r="CF365" s="43" t="str">
        <f t="shared" ref="CF365:CF376" si="588">IF(BP365="NA","NA",BP365*CE365)</f>
        <v>NA</v>
      </c>
      <c r="CG365" s="45">
        <v>0</v>
      </c>
    </row>
    <row r="366" spans="1:90" s="16" customFormat="1" ht="18" customHeight="1">
      <c r="A366" s="13" t="s">
        <v>388</v>
      </c>
      <c r="B366" s="13" t="s">
        <v>389</v>
      </c>
      <c r="C366" s="13" t="s">
        <v>2129</v>
      </c>
      <c r="D366" s="13" t="s">
        <v>2232</v>
      </c>
      <c r="E366" s="13" t="s">
        <v>2233</v>
      </c>
      <c r="F366" s="13" t="s">
        <v>2234</v>
      </c>
      <c r="G366" s="13" t="s">
        <v>2235</v>
      </c>
      <c r="H366" s="13" t="s">
        <v>2269</v>
      </c>
      <c r="I366" s="13"/>
      <c r="J366" s="13"/>
      <c r="K366" s="13" t="s">
        <v>2270</v>
      </c>
      <c r="L366" s="13" t="s">
        <v>2271</v>
      </c>
      <c r="M366" s="13" t="s">
        <v>2272</v>
      </c>
      <c r="N366" s="13" t="s">
        <v>111</v>
      </c>
      <c r="O366" s="13" t="s">
        <v>112</v>
      </c>
      <c r="P366" s="14">
        <v>1</v>
      </c>
      <c r="Q366" s="15">
        <v>1</v>
      </c>
      <c r="R366" s="9">
        <f t="shared" si="575"/>
        <v>0.35</v>
      </c>
      <c r="S366" s="11">
        <f>VLOOKUP(K366,'1123 Transporte'!$K$13:$AK$23,9,0)</f>
        <v>0</v>
      </c>
      <c r="T366" s="11">
        <v>0.08</v>
      </c>
      <c r="U366" s="11">
        <v>0</v>
      </c>
      <c r="V366" s="11">
        <v>0.08</v>
      </c>
      <c r="W366" s="11">
        <v>0</v>
      </c>
      <c r="X366" s="11">
        <v>0</v>
      </c>
      <c r="Y366" s="11">
        <v>0</v>
      </c>
      <c r="Z366" s="11">
        <v>0</v>
      </c>
      <c r="AA366" s="11">
        <v>0</v>
      </c>
      <c r="AB366" s="11"/>
      <c r="AC366" s="11">
        <v>0</v>
      </c>
      <c r="AD366" s="11">
        <v>0.38</v>
      </c>
      <c r="AE366" s="11">
        <v>0</v>
      </c>
      <c r="AF366" s="11">
        <f>VLOOKUP(K366,'1123 Transporte'!$K$13:$AK$23,22,0)</f>
        <v>0.35</v>
      </c>
      <c r="AG366" s="11">
        <f>VLOOKUP(K366,'1123 Transporte'!$K$13:$AK$23,23,0)</f>
        <v>0</v>
      </c>
      <c r="AH366" s="9">
        <f t="shared" si="576"/>
        <v>0.35</v>
      </c>
      <c r="AI366" s="9" t="str">
        <f>VLOOKUP(K366,'1123 Transporte'!$K$13:$AK$23,25,0)</f>
        <v xml:space="preserve">Elaboracion de documento tecnico
Convenio con la policía nacional por $1.781 .060 millones de Pesos
</v>
      </c>
      <c r="AJ366" s="9" t="str">
        <f>VLOOKUP(K366,'1123 Transporte'!$K$13:$AK$23,26,0)</f>
        <v xml:space="preserve">META 355
 Se crea el grupo de trabajo para el desarrollo de campañas en movilidad con seguridad mediante intervenciones pedagógicas y asesora Jurídica en procura se garantizar la eficiencia institucional en el marco de la implementación del Plan Maestro de movilidad en el Departamento. tendientes a prevenir la accidentalidad y fortalecer el autocontrol y la protección en las vías del Departamento.                         Convenio con la policía nacional por $1.781 .060 millones de Pesos
Avance mes de septiembre
Se formulan estrategias y actividades encaminadas a la elaboración y desarrollo del diagnóstico primera etapa del Plan Maestro de Movilidad, orientadas a la recopilación y recepción de información primaria y secundaria de los 116 municipios del departamento relacionada con el tránsito, transporte y movilidad.
IMPLEMENTACIÓN DEL PLAN MAESTRO DE MOVILIDAD-META 355
La Secretaria de Transporte y Movilidad de Cundinamarca lidera el proceso de implementación de un Plan Maestro de Movilidad a nivel departamental con dimensión municipal y regional cuyo propósito es establecer lineamientos que ayuden a mejorar la movilidad de las personas y su competitividad territorial mediante modos de transporte alternos y de movilidad sostenible y segura.
En razón a lo anterior, la Secretaria de Transporte y Movilidad viene desarrollando un trabajo articulado generando avances en la construcción del Plan Maestro de Movilidad del Departamento abordando cada una de las etapas necesarias de acuerdo a la resolución 20203040015885 del Ministerio de Transporte y en cumplimiento a los objetivos trazados en el marco de nuestro Plan de Desarrollo Departamental (2020-2024) “Cundinamarca región que progresa”. 
Avances mes septiembre 2021 
1.	Se ha venido recopilando y consolidando en una matriz respuestas a oficios enviados a las alcaldías de los 116 municipios del departamento donde se solicita información relacionada con el tránsito, transporte y movilidad.
•	Dentro de la información que le fue solicitada a cada municipio estuvo: Indicar el número de vehículos, particulares y de servicio público que se movilizan en el municipio, indicar las empresas que prestan servicio de transporte público en el municipio tanto urbano como rural, indicar si se presenta en el municipio un alto flujo vehicular, indicar el estado de las vías y rutas de transporte, calificar el estado de los medios no motorizados tal como sistema de andenes, alamedas, vías peatonales y ciclo infraestructura, calificar el estado de los dispositivos de control tal como señalización horizontal, señalización vertical, semaforización, sentidos viales entre otros, indicar si el municipio cuenta con terminal de transporte y/o centro de consolidación de carga y por último, describir que impactos ambientales negativos generados por contaminación se dan en el municipio.
El objetivo de esta estrategia se enmarca en recopilar información que permita realizar un diagnóstico sobre la situación actual en cuestión de movilidad y tránsito y transporte en cada uno de los 116 municipios del Departamento de Cundinamarca, permitiendo encaminar actuaciones técnicas que ayuden a garantizar la sostenibilidad y mejorar competitividad del departamento en términos de movilidad.
2.	Conformación de grupos de trabajo por profesiones para la construcción del diagnóstico primera etapa del Plan Maestro de Movilidad del Departamento. 
•	Se desarrollaron dos reuniones con cada uno de los grupos de trabajo. Por un lado, con el equipo financiero se establecieron diferentes tareas orientadas a la recolección de información financiera tal como (presupuesto, marco fiscal de proyección) por parte de entidades como el ICCU, IDACO y Secretaria de Hacienda de la Gobernación con el propósito de realizar un diagnóstico y análisis financiero de los proyectos que se han venido abordando en los últimos años en términos de movilidad en el departamento. Para estas tareas se establecieron como estrategias y actividades la realización de visitas a las diferentes entidades y la proyección de oficios con el propósito de recolectar dicha información, permitiendo así en la elaboración del diagnóstico financiero.
•	Con el equipo de trabajo de ingenieros que conforman el Plan Maestro de Movilidad también se establecieron una serie de tareas orientadas a caracterizar la red vial del departamento por provincias analizado cómo se encuentra la movilidad de las personas en términos de sostenibilidad, seguridad, conectividad y competitividad permitiendo así elaborar un informe que recoge dicha información. 
Documentos avances del diagnóstico: A la fecha el equipo de trabajo del Plan Maestro de Movilidad se encuentra aun recolectando información relacionada con el tránsito, transporte y movilidad de algunos municipios pendientes por brindarla; sin embargo, la que ya se recolecto se encuentra ya consolidada en una matriz. 
De igual forma, para la elaboración del diagnóstico financiero algunas entidades se encuentran pendientes por brindarla; sin embargo, con relación a la ya proporcionada se ha realizado ya un análisis sobre dicha información. 
De acuerdo con la caracterización de la red vial del departamento ya se encuentra elaborado el informe que detalla las vías de cada provincia del departamento el estado en que se encuentran y su afectación en la calidad de vida de las personas en términos de movilidad.
Avances Mes de Noviembre
1.	Para este periodo se ha venido avanzando en la recopilación y consolidación de información relacionada con el tránsito, transporte y movilidad de los 116 municipios del departamento, obteniendo cerca de un 52% de información.
•	Dicha información pretende ser analizada para así realizar la elaboración del Diagnóstico en cuanto al contexto local y regional con relación a la movilidad, tránsito y transporte.
El objetivo de la elaboración de este diagnóstico es presentar indicadores de movilidad de personas, carga tanto en el área urbana como rural, así como características relevantes de movilidad en cada municipio y cada provincia del departamento.
2.	Diagnóstico y análisis financiero del departamento entorno a los ingresos y gastos del sector movilidad, tránsito y transporte.
•	Para la elaboración de este diagnóstico el equipo financiero del Plan Maestro de Movilidad ha empleado como estrategia la proyección de oficios remitidos a cada una de las entidades competentes (Dirección de Presupuesto de la Secretaria de Hacienda, ICCU e IDACO) esto con el propósito de solicitar dicha información de manera más formal y en la mayor brevedad posible.
•	A la fecha se ha obtenido respuesta solamente por parte del ICCU de información relacionada con la inversión por el ICCU en el sector de transporte e infraestructura durante el cuatrienio 2016-2019 y vigencia de 2020 y 2021. Con la anterior información se ha venido adelantado el diagnóstico del departamento entorno a los ingresos y gastos del sector movilidad, tránsito y transporte. 
3.	Diagnóstico y análisis de la estructura urbana y rural del departamento 
•	Para este proceso el equipo de trabajo del Plan Maestro de Movilidad ha implementado como estrategia la elaboración de una base de datos caracterizando las vías del departamento por provincias y desarrollando un informe con dicha información. 
•	El objetivo principal de este trabajo es obtener información con relación al estado de la malla vial del departamento, modelo de ocupación territorial y usos del suelo. 
Documentos avances del diagnóstico: A la fecha el equipo de trabajo del Plan Maestro de Movilidad se encuentra aún en proceso de recolección de información relacionada con el tránsito, transporte y movilidad de algunos municipios pendientes por brindarla; sin embargo, con la información ya proporcionada por algunos municipios esta se encuentra ya consolidada en una matriz con el propósito de tener una base de datos que refleje la información de las 15 provincias y sus respectivos municipios.
De igual forma, para la elaboración del diagnóstico financiero se encuentran aún algunas entidades pendientes por proporcionar la información necesaria para este informe; sin embargo, con relación a la ya proporcionada se ha realizado un diagnóstico detallando la inversión por parte del ICCU en el sector de transporte e infraestructura y como ha incidido de manera importante en el desarrollo y competitividad del departamento.
De acuerdo con el diagnóstico y análisis de estructura urbana y rural del departamento aún se encuentra en proceso de elaboración el informe que detalla el estado de la malla vial del departamento.
</v>
      </c>
      <c r="AK366" s="9">
        <f>VLOOKUP(K366,'1123 Transporte'!$K$13:$AK$23,27,0)</f>
        <v>0</v>
      </c>
      <c r="AL366" s="11">
        <v>0.3</v>
      </c>
      <c r="AM366" s="11">
        <v>0</v>
      </c>
      <c r="AN366" s="11">
        <v>0.32</v>
      </c>
      <c r="AO366" s="11">
        <v>0</v>
      </c>
      <c r="AP366" s="15">
        <v>0</v>
      </c>
      <c r="AQ366" s="15">
        <v>0</v>
      </c>
      <c r="AR366" s="52"/>
      <c r="AS366" s="54">
        <v>2000000</v>
      </c>
      <c r="AT366" s="54">
        <f t="shared" si="569"/>
        <v>2000000</v>
      </c>
      <c r="AU366" s="52"/>
      <c r="AV366" s="90">
        <v>5530000000</v>
      </c>
      <c r="AY366" s="89">
        <v>700437472</v>
      </c>
      <c r="AZ366" s="42">
        <f t="shared" si="577"/>
        <v>0.35</v>
      </c>
      <c r="BA366" s="44">
        <v>0.08</v>
      </c>
      <c r="BB366" s="44">
        <v>0</v>
      </c>
      <c r="BC366" s="42">
        <f t="shared" si="578"/>
        <v>0.38</v>
      </c>
      <c r="BD366" s="42" cm="1">
        <f t="array" ref="BD366">_xlfn.IFS(AD366=0,"NA",AD366&gt;0,AH366/AD366)</f>
        <v>0.92105263157894735</v>
      </c>
      <c r="BE366" s="42">
        <f t="shared" si="579"/>
        <v>0.3</v>
      </c>
      <c r="BF366" s="44">
        <v>0</v>
      </c>
      <c r="BG366" s="42">
        <f t="shared" si="580"/>
        <v>0.32</v>
      </c>
      <c r="BH366" s="44">
        <v>0</v>
      </c>
      <c r="BI366" s="42">
        <f t="shared" si="581"/>
        <v>0</v>
      </c>
      <c r="BJ366" s="44" t="s">
        <v>115</v>
      </c>
      <c r="BK366" s="42">
        <f t="shared" si="570"/>
        <v>0.35</v>
      </c>
      <c r="BL366" s="44">
        <v>0</v>
      </c>
      <c r="BM366" s="42" cm="1">
        <f t="array" ref="BM366">_xlfn.IFS(BD366="NA","NA",BD366&gt;100%,"100%",BD366&lt;100,BD366)</f>
        <v>0.92105263157894735</v>
      </c>
      <c r="BN366" s="42" cm="1">
        <f t="array" ref="BN366">_xlfn.IFS(BF366="NA","NA",BF366&gt;100%,"100%",BF366&lt;100,BF366)</f>
        <v>0</v>
      </c>
      <c r="BO366" s="42" cm="1">
        <f t="array" ref="BO366">_xlfn.IFS(BH366="NA","NA",BH366&gt;100%,"100%",BH366&lt;100,BH366)</f>
        <v>0</v>
      </c>
      <c r="BP366" s="42" t="str" cm="1">
        <f t="array" ref="BP366">_xlfn.IFS(BJ366="NA","NA",BJ366&gt;100%,"100%",BJ366&lt;100,BJ366)</f>
        <v>NA</v>
      </c>
      <c r="BQ366" s="45">
        <v>0.224</v>
      </c>
      <c r="BR366" s="43">
        <f t="shared" si="571"/>
        <v>7.8399999999999997E-2</v>
      </c>
      <c r="BS366" s="45">
        <v>1.7899999999999999E-2</v>
      </c>
      <c r="BT366" s="45">
        <v>0</v>
      </c>
      <c r="BU366" s="45">
        <v>0</v>
      </c>
      <c r="BV366" s="43">
        <f t="shared" si="582"/>
        <v>8.5120000000000001E-2</v>
      </c>
      <c r="BW366" s="43">
        <f t="shared" si="572"/>
        <v>7.8399999999999997E-2</v>
      </c>
      <c r="BX366" s="43">
        <f t="shared" si="573"/>
        <v>7.8399999999999997E-2</v>
      </c>
      <c r="BY366" s="43">
        <f t="shared" si="583"/>
        <v>6.7199999999999996E-2</v>
      </c>
      <c r="BZ366" s="43">
        <f t="shared" si="584"/>
        <v>0</v>
      </c>
      <c r="CA366" s="43">
        <f t="shared" si="574"/>
        <v>0</v>
      </c>
      <c r="CB366" s="43">
        <f t="shared" si="585"/>
        <v>7.1680000000000008E-2</v>
      </c>
      <c r="CC366" s="43">
        <f t="shared" si="586"/>
        <v>0</v>
      </c>
      <c r="CD366" s="45">
        <v>0</v>
      </c>
      <c r="CE366" s="43">
        <f t="shared" si="587"/>
        <v>0</v>
      </c>
      <c r="CF366" s="43" t="str">
        <f t="shared" si="588"/>
        <v>NA</v>
      </c>
      <c r="CG366" s="45">
        <v>0</v>
      </c>
    </row>
    <row r="367" spans="1:90" ht="18" customHeight="1">
      <c r="A367" s="260" t="s">
        <v>992</v>
      </c>
      <c r="B367" s="260" t="s">
        <v>993</v>
      </c>
      <c r="C367" s="260" t="s">
        <v>2129</v>
      </c>
      <c r="D367" s="260" t="s">
        <v>2232</v>
      </c>
      <c r="E367" s="260" t="s">
        <v>2273</v>
      </c>
      <c r="F367" s="260" t="s">
        <v>3019</v>
      </c>
      <c r="G367" s="260" t="s">
        <v>3020</v>
      </c>
      <c r="H367" s="260" t="s">
        <v>2276</v>
      </c>
      <c r="I367" s="260"/>
      <c r="J367" s="260"/>
      <c r="K367" s="260" t="s">
        <v>2277</v>
      </c>
      <c r="L367" s="260" t="s">
        <v>2278</v>
      </c>
      <c r="M367" s="260" t="s">
        <v>2279</v>
      </c>
      <c r="N367" s="260" t="s">
        <v>111</v>
      </c>
      <c r="O367" s="260" t="s">
        <v>112</v>
      </c>
      <c r="P367" s="10">
        <v>1</v>
      </c>
      <c r="Q367" s="11">
        <v>1</v>
      </c>
      <c r="R367" s="9">
        <f t="shared" si="575"/>
        <v>0.33</v>
      </c>
      <c r="S367" s="11" t="str">
        <f>VLOOKUP(K367,'1105 Gobierno'!$K$12:$AK$31,9,0)</f>
        <v>Primer plan integral de seguridad regional, articulando los planes integrales de seguridad y convivencia ciudadana departamental y del distrito capital beneficiando a 26 municipios frontera, el cual busca disminuir los 18 delitos de alto impacto.  Para cumplir con el avance del plan, se logran 2 componentes, la preparación y formulación y asistencia técnica. Dentro de los mismos, se realiza un documento técnico que integra el plan de seguridad regional, este mismo se articuló entre el PISCCJ Bogotá y PISCC Cundinamarca, los cuales hacen referencia a los Planes Integrales de Seguridad y Convivencia Ciudadana y en los mismos, se realiza un diagnóstico línea base de los municipios frontera con Bogotá. A su vez, se realizó asistencia técnica a los organismos de los 26 municipios frontera con Bogotá y se realizaron consejos de seguridad y comités regionales de seguridad, convivencia y justicia.  Se ha realizado el seguimiento a los 21 delitos de los 26 municipios, mes a mes así como mapeo de actores.
Dentro del plan de seguridad regional los equipos de trabajo analizaron los PISCC Departamental, Bogota y de cada uno de los Municipios frontera para organizar protocolos en conjunto con el Distrito, que garanticen la judialización efectiva y disminuir la inseguridad en la región Bogotá- Cundinamarca. Se realizó capacitación sobre la ley 399 de 2011 "Comites de Seguridad" para que lo desarrollen en cada uno de los municipios asignados. Adicionalmente de acuerdo con los avances en el documento y el trabajo articulado con los Municipios acogidos dentro del Plan regional, se ha proyectado el levantamiento de necesidades como insumo para la dotación en cumplimiento con la planeación presupuestal.   Los profesionales de apoyo han hecho presencia institucion, en los territorios asignados, con el fin de articular acciones con la instituciones de inteligencia en los siguientes municipios:  Cota, Chia, Tabio, Tenjo, Cajicá, Zipaquirá, Soacha, Sesquilé, La Calera, Tocancipá, Sopó,Mosquera, Chipaque, Choachí, Ubaque,Zipacón, Facatativa, Bojacá, Funza, Madrid, Subachoque,Fusagasugá, Granada, Pasca, Silvania, Sibaté.
Se diseño una matriz para que los profesionales de apoyo analicen los delitos de mayor impacto y frecuencia y establecer acciones con el distrito capital.
Se impartió una capacitación a coordinadores y equipo de apoyo sobre PISCC y Región Metropolitana, y cada profesional de apoyo viene analizando el PISCC, Departamental, Distrital y el del Municipio Asignado.
Se capacitó al equipo en los temas: Región Metropolitana, Observatorio de Seguridad, Agenda Metropolitana, Contenidos de Comunicación. Se solicitó por parte de la Gerencia para que allegue el avance del diagnostico.
Acompañamiento al comité de seguridad,  seguimiento a los delitos de mayor impacto, implementación del plan de seguridad regional, problemas frontera del Municipio La Calera.
Acompañamiento al comité de Seguridad y operativos en la localidad Ciudad Bolivar.
Se realizó capacitación sobre la ley 399 de 2011 "Comites de Seguridad" para que lo desarrollen en cada uno de los municipios asignados.  Se realizaron asistencias técnicas Asistencia técnica presencial/Virtual, seguimiento a los delitos de mayor impacto Meta 356, - Municipio de Tocancipa, Cajicá, Zipacón, La Calera, Alcaldía local de Chapinero, Sibaté, Alcaldía local de Kennedy, Soacha, Fusagasugá, Granada, Pasca, Cota, Tenjo, Mosquera
Se  envío a la Dirección, el primer borrador de documento de articulación entre el Pisccj Bogotá y Piscc Cundinamarca.</v>
      </c>
      <c r="T367" s="11">
        <v>0</v>
      </c>
      <c r="U367" s="11">
        <v>0</v>
      </c>
      <c r="V367" s="11">
        <v>0.1</v>
      </c>
      <c r="W367" s="11">
        <v>0</v>
      </c>
      <c r="X367" s="11">
        <v>0.1</v>
      </c>
      <c r="Y367" s="11">
        <v>0</v>
      </c>
      <c r="Z367" s="11">
        <v>0.1</v>
      </c>
      <c r="AA367" s="11" t="s">
        <v>1106</v>
      </c>
      <c r="AB367" s="11" t="s">
        <v>2280</v>
      </c>
      <c r="AC367" s="11">
        <v>0</v>
      </c>
      <c r="AD367" s="11">
        <v>0.3</v>
      </c>
      <c r="AE367" s="11">
        <v>0</v>
      </c>
      <c r="AF367" s="11">
        <f>VLOOKUP(K367,'1105 Gobierno'!$K$12:$AK$31,22,0)</f>
        <v>0.23</v>
      </c>
      <c r="AG367" s="11" t="str">
        <f>VLOOKUP(K367,'1105 Gobierno'!$K$12:$AK$31,23,0)</f>
        <v> </v>
      </c>
      <c r="AH367" s="9">
        <f t="shared" si="576"/>
        <v>0.23</v>
      </c>
      <c r="AI367" s="9" t="str">
        <f>VLOOKUP(K367,'1105 Gobierno'!$K$12:$AK$31,25,0)</f>
        <v>Asistencia Técnica</v>
      </c>
      <c r="AJ367" s="9" t="str">
        <f>VLOOKUP(K367,'1105 Gobierno'!$K$12:$AK$31,26,0)</f>
        <v xml:space="preserve">Dentro del plan de seguridad regional los equipos de trabajo analizaron los PISCC Departamental, Bogota y de cada uno de los Municipios frontera para organizar protocolos en conjunto con el Distrito, que garanticen la judicialización efectiva y disminuir la inseguridad en la región Bogotá- Cundinamarca.  Se realizó capacitación sobre la ley 399 de 2011 "Comités de Seguridad" para que lo desarrollen en cada uno de los municipios asignados. Adicionalmente de acuerdo con los avances en el documento y el trabajo articulado con los Municipios acogidos dentro del Plan regional, se ha proyectado el levantamiento de necesidades como insumo para la dotación en cumplimiento con la planeación presupuestal.   Los profesionales de apoyo han hecho presencia institución, en los territorios asignados, con el fin de articular acciones con la instituciones de inteligencia en los siguientes municipios:  Cota, Chia, Tabio, Tenjo, Cajicá, Zipaquirá, Soacha, Sesquilé, La Calera, Tocancipá, Sopó, Mosquera, Chipaque, Choachí, Ubaque, Zipacón, Facatativá, Bojacá, Funza, Madrid, Subachoque, Fusagasugá, Granada, Pasca, Silvania, Sibaté y la alcaldía local Ciudad Bolivar.
Se diseño una matriz para que los profesionales de apoyo analicen los delitos de mayor impacto y frecuencia y establecer acciones con el distrito capital.
Se impartió una capacitación a coordinadores y equipo de apoyo sobre PISCC y Región Metropolitana, y cada profesional de apoyo viene analizando el PISCC, Departamental, Distrital y el del Municipio Asignado.Dentro de la planeación presupuestal de la Secretaría de Gobierno se encuentra el rubro presupuestal 5/356/CC Implementar plan de seguridad regional, con una apropiación presupuestal a 30 de septiembre de 2021   de $1.200.000.000 y un saldo de apropiación por valor de $ 10.352.684
Durante el periodo se realizó entrega del segundo avance del documento técnico de articulación de los sistemas de inteligencia de los organismos de seguridad y justicia que operan en la región, realizaron presencia institucional, en los territorios asignados, con el propósito de adelantar el documento en mención.                                                              
Se realizó reunión con el Comité de Integración Territorial - CIT y y se trató el tema de la articulación de sistemas de inteligencia, entrega del segundo avance del documento técnico de los protocolos conjuntos para garantizar la judicialización efectiva y disminuir la inseguridad en la región Bogotá-Cundinamarca.                                         
Se entregó el segundo avance del documento técnico de articulación entre el PISCCJ Bogotá y PISCC Cundinamarca para beneficiar la región con las instituciones participes, al igual del documento de técnico que integra el plan de seguridad regional.                                                                                                                         
Se llevaron a cabo reuniones con la Secretaría de Seguridad, Convivencia y Justicia, del Distrito en donde se abordó el programa, Región Corazón, en el que se contempla la realización de Consejos de Seguridad Regional.   Se participó en el Comité de Integración Territorial (CIT), mesa preparatoria para un encuentro regional, el grupo de trabajo participó en Consejo de Seguridad Especial para Soacha en el mes de septiembre.  Participación en los consejos de seguridad en el Municipio de Subachoque y La Calera.            
Se brindaron 6 asistencias técnicas presenciales en los municipios de Sibaté, Mosquera, Facatativá y Choachí donde se trataron temas de acciones de mitigación a los delitos de mayor impacto, lesiones personales, violencia intrafamiliar y implementación del plan de defensa de los recursos naturales e infraestructura energética, plan de riesgo escalonado, y activos estratégicos.
Se capacitó al equipo en los temas: Región Metropolitana, Observatorio de Seguridad, Agenda Metropolitana, Contenidos de Comunicación. Se solicitó por parte de la Gerencia para que allegue el avance del diagnóstico. Brindaron acompañamiento al comité de seguridad, seguimiento a los delitos de mayor impacto, implementación del plan de seguridad regional, problemas frontera del Municipio La Calera y la localidad Ciudad Bolívar.
Se realizaron asistencias técnicas Asistencia técnica presencial/Virtual, seguimiento a los delitos de mayor impacto en los municipios frontera para la Meta 356, - Municipio de Tocancipa, Cajicá, Zipacón, La Calera, Alcaldía local de Chapinero, Sibaté, Alcaldía local de Kennedy, Soacha, Fusagasugá, Granada, Pasca, Cota, Tenjo, Mosquera
Se impartió capacitación a coordinadores y equipo de apoyo sobre PISCC Departamental y Distrital.  Se cuenta con un documento borrador base de articulación, Bogotá-Cundinamarca.                                                                 
Se capacitó al equipo de trabajo en los temas: plan de trabajo, cifras de delitos, región Metropolitana, plan de seguridad, región corazón, marco normativo, plan de asistencia técnica.                                                                 
Acompañamiento a los consejos de seguridad, seguimiento a los delitos de mayor impacto, acompañamiento a operativos, implementación del plan de seguridad regional en las localidades de Tunjuelito, Usaquén, Santafé y en el municipio de Sibaté. 
Para el periodo de 30 de Octubre Los contratistas de apoyo, entregan el tercer desarrollo del documento técnico de articulación de los sistemas de inteligencia de los organismos de seguridad y justicia que operan en la región. Se realizó mesas de trabajo con los contratistas de la meta para el desarrollo de la actividades propuestas.
Los contratistas, entregan el tercer avance del documento técnico de los protocolos conjuntos para garantizar la judicialización efectiva y disminuir la inseguridad en la región Bogotá-Cundinamarca.     Así mismo hicieron presencia institucional, en los territorios asignados, con el propósito de adelantar el documento en mención.
Los contratistas entregan el tercer avance del documento técnico de articulación entre el PISCCJ Bogotá y PISCC Cundinamarca para beneficiar la región.                                                                                                                Así mismo hicieron presencia institucional, en los territorios asignados, con el propósito de adelantar el documento en mención.
Los contratistas encargados entregaron el tercer avance del documento de técnico que integra el plan de seguridad regional.  Así mismo hicieron presencia institucional, en los territorios asignados, con el propósito de adelantar el documento en mención.   Actividades realizadas:  Por parte de la Gerencia, se orientó al equipo de trabajo, en la elaboración de los documentos técnicos, a través de reuniones grupales y mesas de trabajo presenciales en la Secretaría  de Gobierno.
Para el día 20 de  Octubre se llevó a cabo reunió con la Secretaría de Seguridad, Convivencia y Justicia, del Distrito en donde se abordó el programa, Región Corazón, en el que se contempla la realización de  Consejos de Seguridad Regional.   Se participó en el Comité de Integración Territorial (CIT),  mesa preparatoria  para un encuentro regional.                                                                                                                                                                                                                    Por parte de los profesionales de apoyo, participaron en los consejos de seguridad en el Municipio de Fusagasugá y Pasca el día 25 de Octubre.       
Se realizaron 9 asistencias técnicas presenciales en los   delitos de mayor impacto, violencia intrafamiliar, violencia juvenil, violencia sexual en los municipios de Sabana Centro, Sibaté, Cota, Soacha,  en la comuna 2,  Fusagasugá, Pasca, Soacha. Corregimiento 1, Comuna 2.                                  </v>
      </c>
      <c r="AK367" s="9">
        <f>VLOOKUP(K367,'1105 Gobierno'!$K$12:$AK$31,27,0)</f>
        <v>0</v>
      </c>
      <c r="AL367" s="11">
        <v>0.4</v>
      </c>
      <c r="AM367" s="11">
        <v>0</v>
      </c>
      <c r="AN367" s="11">
        <v>0.2</v>
      </c>
      <c r="AO367" s="11">
        <v>0</v>
      </c>
      <c r="AP367" s="11">
        <v>0</v>
      </c>
      <c r="AQ367" s="11">
        <v>0</v>
      </c>
      <c r="AR367" s="52"/>
      <c r="AS367" s="54">
        <v>5000000</v>
      </c>
      <c r="AT367" s="54">
        <f t="shared" si="569"/>
        <v>5000000</v>
      </c>
      <c r="AU367" s="52"/>
      <c r="AV367" s="89">
        <v>1200000000</v>
      </c>
      <c r="AY367" s="89">
        <v>297980657</v>
      </c>
      <c r="AZ367" s="42">
        <f t="shared" si="577"/>
        <v>0.33</v>
      </c>
      <c r="BA367" s="44">
        <v>0.1</v>
      </c>
      <c r="BB367" s="44">
        <v>1</v>
      </c>
      <c r="BC367" s="42">
        <f t="shared" si="578"/>
        <v>0.3</v>
      </c>
      <c r="BD367" s="42" cm="1">
        <f t="array" ref="BD367">_xlfn.IFS(AD367=0,"NA",AD367&gt;0,AH367/AD367)</f>
        <v>0.76666666666666672</v>
      </c>
      <c r="BE367" s="42">
        <f t="shared" si="579"/>
        <v>0.4</v>
      </c>
      <c r="BF367" s="44">
        <v>0</v>
      </c>
      <c r="BG367" s="42">
        <f t="shared" si="580"/>
        <v>0.2</v>
      </c>
      <c r="BH367" s="44">
        <v>0</v>
      </c>
      <c r="BI367" s="42">
        <f t="shared" si="581"/>
        <v>0</v>
      </c>
      <c r="BJ367" s="44" t="s">
        <v>115</v>
      </c>
      <c r="BK367" s="42">
        <f t="shared" si="570"/>
        <v>0.33</v>
      </c>
      <c r="BL367" s="44">
        <v>1</v>
      </c>
      <c r="BM367" s="42" cm="1">
        <f t="array" ref="BM367">_xlfn.IFS(BD367="NA","NA",BD367&gt;100%,"100%",BD367&lt;100,BD367)</f>
        <v>0.76666666666666672</v>
      </c>
      <c r="BN367" s="42" cm="1">
        <f t="array" ref="BN367">_xlfn.IFS(BF367="NA","NA",BF367&gt;100%,"100%",BF367&lt;100,BF367)</f>
        <v>0</v>
      </c>
      <c r="BO367" s="42" cm="1">
        <f t="array" ref="BO367">_xlfn.IFS(BH367="NA","NA",BH367&gt;100%,"100%",BH367&lt;100,BH367)</f>
        <v>0</v>
      </c>
      <c r="BP367" s="42" t="str" cm="1">
        <f t="array" ref="BP367">_xlfn.IFS(BJ367="NA","NA",BJ367&gt;100%,"100%",BJ367&lt;100,BJ367)</f>
        <v>NA</v>
      </c>
      <c r="BQ367" s="45">
        <v>0.224</v>
      </c>
      <c r="BR367" s="43">
        <f t="shared" si="571"/>
        <v>7.392E-2</v>
      </c>
      <c r="BS367" s="45">
        <v>2.24E-2</v>
      </c>
      <c r="BT367" s="45">
        <v>2.24E-2</v>
      </c>
      <c r="BU367" s="45">
        <v>2.24E-2</v>
      </c>
      <c r="BV367" s="43">
        <f t="shared" si="582"/>
        <v>6.7199999999999996E-2</v>
      </c>
      <c r="BW367" s="43">
        <f t="shared" si="572"/>
        <v>5.1520000000000003E-2</v>
      </c>
      <c r="BX367" s="43">
        <f t="shared" si="573"/>
        <v>5.1519999999999996E-2</v>
      </c>
      <c r="BY367" s="43">
        <f t="shared" si="583"/>
        <v>8.9600000000000013E-2</v>
      </c>
      <c r="BZ367" s="43">
        <f t="shared" si="584"/>
        <v>0</v>
      </c>
      <c r="CA367" s="43">
        <f t="shared" si="574"/>
        <v>0</v>
      </c>
      <c r="CB367" s="43">
        <f t="shared" si="585"/>
        <v>4.4800000000000006E-2</v>
      </c>
      <c r="CC367" s="43">
        <f t="shared" si="586"/>
        <v>0</v>
      </c>
      <c r="CD367" s="45">
        <v>0</v>
      </c>
      <c r="CE367" s="43">
        <f t="shared" si="587"/>
        <v>0</v>
      </c>
      <c r="CF367" s="43" t="str">
        <f t="shared" si="588"/>
        <v>NA</v>
      </c>
      <c r="CG367" s="45">
        <v>0</v>
      </c>
    </row>
    <row r="368" spans="1:90" s="105" customFormat="1" ht="18" customHeight="1">
      <c r="A368" s="96" t="s">
        <v>992</v>
      </c>
      <c r="B368" s="96" t="s">
        <v>993</v>
      </c>
      <c r="C368" s="96" t="s">
        <v>2129</v>
      </c>
      <c r="D368" s="96" t="s">
        <v>2232</v>
      </c>
      <c r="E368" s="96" t="s">
        <v>2273</v>
      </c>
      <c r="F368" s="96" t="s">
        <v>3019</v>
      </c>
      <c r="G368" s="96" t="s">
        <v>3020</v>
      </c>
      <c r="H368" s="96" t="s">
        <v>2281</v>
      </c>
      <c r="I368" s="96"/>
      <c r="J368" s="96"/>
      <c r="K368" s="97" t="s">
        <v>2282</v>
      </c>
      <c r="L368" s="97" t="s">
        <v>2283</v>
      </c>
      <c r="M368" s="97" t="s">
        <v>2284</v>
      </c>
      <c r="N368" s="97" t="s">
        <v>111</v>
      </c>
      <c r="O368" s="97" t="s">
        <v>112</v>
      </c>
      <c r="P368" s="97">
        <v>0</v>
      </c>
      <c r="Q368" s="97">
        <v>1</v>
      </c>
      <c r="R368" s="98">
        <f t="shared" si="575"/>
        <v>0.44999999999999996</v>
      </c>
      <c r="S368" s="97" t="str">
        <f>VLOOKUP(K368,'1105 Gobierno'!$K$12:$AK$31,9,0)</f>
        <v>Se inicia el diagnóstico del plan de defensa estratégica de recursos naturales e  infraestructura energética desde una perspectiva regional. Se plantean acciones de las mismas dentro del Plan Integral de Seguridad y Convivencia Ciudadana. Adicional a ello se generó el documento técnico que integre el plan de defensa estratégica de recursos naturales y de infraestructura energética en Bogotá y Cundinamarca.
 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realizó capacitación sobre  el plan de defensa estratégica de los recursos naturales y de estructura energética entre Bogotá y Cundinamarca.
Presentación del equipo de trabajo, para el seguimiento del plan de defensa de los recusos naturales y de infraestructura energetica. Solicitud de información de activos estrategicos. Meta 357, en los Municipios de Tocancipá, Sesquilé, Tenjo, Fusa, Granadas, Pasca, Funza, Zipacón, Bojacá, Madrid, Mosquera, Chipaque
Se vienen adelantando las gestiones con las autoridades de las localidades, borde, con el proposito de articular acciones con el Distrito, para implementar el plan de defensa estrategica de recursos naturales e infraestructura energetica.</v>
      </c>
      <c r="T368" s="97">
        <v>0</v>
      </c>
      <c r="U368" s="97">
        <v>0</v>
      </c>
      <c r="V368" s="97">
        <v>0.2</v>
      </c>
      <c r="W368" s="97">
        <v>0</v>
      </c>
      <c r="X368" s="97">
        <v>0.15</v>
      </c>
      <c r="Y368" s="97">
        <v>0</v>
      </c>
      <c r="Z368" s="97">
        <v>0.15</v>
      </c>
      <c r="AA368" s="97">
        <v>0</v>
      </c>
      <c r="AB368" s="97" t="s">
        <v>2285</v>
      </c>
      <c r="AC368" s="97">
        <v>0</v>
      </c>
      <c r="AD368" s="97">
        <v>0.4</v>
      </c>
      <c r="AE368" s="99">
        <v>0</v>
      </c>
      <c r="AF368" s="11">
        <f>VLOOKUP(K368,'1105 Gobierno'!$K$12:$AK$31,22,0)</f>
        <v>0.3</v>
      </c>
      <c r="AG368" s="99" t="str">
        <f>VLOOKUP(K368,'1105 Gobierno'!$K$12:$AK$31,23,0)</f>
        <v> </v>
      </c>
      <c r="AH368" s="106">
        <f t="shared" si="576"/>
        <v>0.3</v>
      </c>
      <c r="AI368" s="100" t="str">
        <f>VLOOKUP(K368,'1105 Gobierno'!$K$12:$AK$31,25,0)</f>
        <v xml:space="preserve"> 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realizó capacitación sobre  el plan de defensa estratégica de los recursos naturales y de estructura energética entre Bogotá y Cundinamarca. 
Presentación del equipo de trabajo, para el seguimiento del plan de defensa de los recusos naturales y de infraestructura energetica. Solicitud de información de activos estrategicos. Meta 357, en los Municipios de Tocancipá, Sesquilé, Tenjo, Fusa, Granadas, Pasca, Funza, Zipacón, Bojacá, Madrid, Mosquera, Chipaque 
Se vienen adelantando las gestiones con las autoridades de las localidades, borde, con el proposito de articular acciones con el Distrito, para implementar el plan de defensa estrategica de recursos naturales e infraestructura energetica.</v>
      </c>
      <c r="AJ368" s="100" t="str">
        <f>VLOOKUP(K368,'1105 Gobierno'!$K$12:$AK$31,26,0)</f>
        <v xml:space="preserve">Se elaboró matriz para acopiar y evaluar la defensa estratégica de los recursos naturales y de infraestructura entre Bogotá y Cundinamarca. Se elaboró matriz que permita el acopio y análisis por parte del equipo de trabajo en la formulación de un diagnóstico de activos estratégicos para proteger en los municipios frontera con Bogotá. Con el apoyo del General Jorge Humberto Jerez, se viene adelantando la capacitación sobre el plan de defensa estratégica de los recursos naturales y de estructura energética entre Bogotá y Cundinamarca.
Se está en el análisis del Plan de Riesgo Departamental y Distrital, donde se establecen acciones y programas generales para atender los fenómenos naturales que se presentan en los municipios borde con Bogotá. En la actualidad se encuentra en construcción el documento con la información relativa a los activos estratégicos.
Dentro del componente de Planeación financiera se encuentra la dotación a la fuerza pública y/o organismos judiciales para implementar el plan de defensa estratégica de recursos naturales al igual que se vienen adelantando las gestiones con las autoridades de las localidades borde con el propósito de articular acciones con el Distrito, para implementar el plan de defensa estratégica de recursos naturales e infraestructura energética.
Se realiza entrega del segundo avance del documento técnico del plan de defensa estratégica de los recursos naturales y de estructura energética entre Bogotá y Cundinamarca; al igual se realizó de la segunda entrega del  documento técnico del Plan de Riesgo escalonado y se adelantó presencia institucional, en los territorios asignados se adelantaron mesas de trabajo para el desarrollo del documento técnico con el equipo de trabajo designado
Se cumplió con la segunda entrega del documento técnico de los activos estratégico al igual que se llevó a cabo reunión con el Comité de Integración Territorial - CIT y dentro de los temas a trataron fueron la mesa preparatoria de seguridad, convivencia y justicia, para definir los lineamientos en la protección de activos estratégicos.
Dentro del componente de Planeación financiera se encuentra la dotación a la fuerza pública y/o organismos judiciales para implementar el plan de defensa estratégica de recursos naturales, con una apropiación presupuestal a 30 de septiembre de 2021 de $800.000.000.
Para el periodo hasta el 31 de Octubre del 2021, Los contratistas encargados realizaron entregan del tercer avance del  documento técnico  del plan de defensa estratégica de los recursos naturales y de estructura energética entre Bogotá y Cundinamarca.  Hicieron presencia institucional, en los territorios asignados, con el proposito de adelantar el documento en mención.  Actividades realizadas:  Por parte de la Gerencia, se orientó al equipo de trabajo,en la elaboración de los documentos técnicos,  a traves de reuniones grupales y mesas de trabajo presenciales en la Secretaría  de Gobierno
Los contratistas realizan la tercera entrega del documento técnico del Plan de Riesgo escalonado, Así mismo hicieron presencia institucional, en los territorios asignados, con el propósito de adelantar el documento en mención. Actividades realizadas:  Por parte de la Gerencia, se orientó al equipo de trabajo, en la elaboración de los documentos técnicos a traves de reuniones grupales y mesas de trabajo presenciales en la Secretaría  de Gobierno.                 
Los  contratistas realizaron tercera entrega del documento técnico de los activos estratégicos, se llevó a cabo una reunión con el Comité de Integración Territorial - CIT y dentro de los temas a tratar, se encuentra la mesa preparatoria de seguridad,  convivencia y justicia,  para definir los lineamientos en la protección de activos estratégicos.
Dentro del componente de Planeación financiera se encuentra la dotación a la fuerza pública y/o organismos judiciales para implementar el plan de defensa estratégica de recursos naturales, con una apropociacion  presupuestal a 30 de octubre de 2021   de $852.700.000, CDP, por valor de $ 640.046.090, y RPC, por valor de $ 206.955.158.
Se llevó a cabo reunión con la Secretaría de Seguridad, Convivencia y Justicia, del Distrito, cuyo delegados para el tema de infraestructura vital son el Doctor Gonzalo Rojas, la Doctora Liliana Mesias, Freddy Forero,  Juan Garcia, Daniel Londoño y la Doctora Leidy Garzón, de la Secretaría de Integración Regional,  con la participación de  la Ingeniera Erika Pastor, coordinadora de la meta 357,  se trató el tema de la protección de activos estratégicos, plan de defensa de los recursos naturales e infraestructura energética. 
Se llevó a cabo reunión con el Comité de Integración Territorial - CIT y se trató el tema de la protección de activos estratégicos, plan de defensa de los recursos naturales e infraestructura energética.  Se agendó reunión con la secretaría de seguridad, convivencia y justicia para tratar los temas de Infraestructura Vital.                                                                                                                                                                                                                         </v>
      </c>
      <c r="AK368" s="100">
        <f>VLOOKUP(K368,'1105 Gobierno'!$K$12:$AK$31,27,0)</f>
        <v>0</v>
      </c>
      <c r="AL368" s="99">
        <v>0.3</v>
      </c>
      <c r="AM368" s="99">
        <v>0</v>
      </c>
      <c r="AN368" s="99">
        <v>0.1</v>
      </c>
      <c r="AO368" s="99">
        <v>0</v>
      </c>
      <c r="AP368" s="99">
        <v>0</v>
      </c>
      <c r="AQ368" s="99">
        <v>0</v>
      </c>
      <c r="AR368" s="51">
        <v>314840952</v>
      </c>
      <c r="AS368" s="54">
        <v>0</v>
      </c>
      <c r="AT368" s="54">
        <f t="shared" si="569"/>
        <v>314840952</v>
      </c>
      <c r="AU368" s="51">
        <v>43236852</v>
      </c>
      <c r="AV368" s="89">
        <v>800000000</v>
      </c>
      <c r="AW368"/>
      <c r="AX368"/>
      <c r="AY368" s="89">
        <v>126732256</v>
      </c>
      <c r="AZ368" s="101">
        <f t="shared" si="577"/>
        <v>0.44999999999999996</v>
      </c>
      <c r="BA368" s="102">
        <v>0.2</v>
      </c>
      <c r="BB368" s="102">
        <v>0.75</v>
      </c>
      <c r="BC368" s="101">
        <f t="shared" si="578"/>
        <v>0.4</v>
      </c>
      <c r="BD368" s="101" cm="1">
        <f t="array" ref="BD368">_xlfn.IFS(AD368=0,"NA",AD368&gt;0,AH368/AD368)</f>
        <v>0.74999999999999989</v>
      </c>
      <c r="BE368" s="101">
        <f t="shared" si="579"/>
        <v>0.3</v>
      </c>
      <c r="BF368" s="102">
        <v>0</v>
      </c>
      <c r="BG368" s="101">
        <f t="shared" si="580"/>
        <v>0.1</v>
      </c>
      <c r="BH368" s="102">
        <v>0</v>
      </c>
      <c r="BI368" s="101">
        <f t="shared" si="581"/>
        <v>0</v>
      </c>
      <c r="BJ368" s="102" t="s">
        <v>115</v>
      </c>
      <c r="BK368" s="101">
        <f t="shared" si="570"/>
        <v>0.44999999999999996</v>
      </c>
      <c r="BL368" s="102">
        <v>0.75</v>
      </c>
      <c r="BM368" s="101" cm="1">
        <f t="array" ref="BM368">_xlfn.IFS(BD368="NA","NA",BD368&gt;100%,"100%",BD368&lt;100,BD368)</f>
        <v>0.74999999999999989</v>
      </c>
      <c r="BN368" s="101" cm="1">
        <f t="array" ref="BN368">_xlfn.IFS(BF368="NA","NA",BF368&gt;100%,"100%",BF368&lt;100,BF368)</f>
        <v>0</v>
      </c>
      <c r="BO368" s="101" cm="1">
        <f t="array" ref="BO368">_xlfn.IFS(BH368="NA","NA",BH368&gt;100%,"100%",BH368&lt;100,BH368)</f>
        <v>0</v>
      </c>
      <c r="BP368" s="101" t="str" cm="1">
        <f t="array" ref="BP368">_xlfn.IFS(BJ368="NA","NA",BJ368&gt;100%,"100%",BJ368&lt;100,BJ368)</f>
        <v>NA</v>
      </c>
      <c r="BQ368" s="103">
        <v>0.224</v>
      </c>
      <c r="BR368" s="104">
        <f t="shared" si="571"/>
        <v>0.10079999999999999</v>
      </c>
      <c r="BS368" s="103">
        <v>4.48E-2</v>
      </c>
      <c r="BT368" s="103">
        <v>3.3599999999999998E-2</v>
      </c>
      <c r="BU368" s="103">
        <v>3.3599999999999998E-2</v>
      </c>
      <c r="BV368" s="104">
        <f t="shared" si="582"/>
        <v>8.9600000000000013E-2</v>
      </c>
      <c r="BW368" s="104">
        <f t="shared" si="572"/>
        <v>6.7199999999999996E-2</v>
      </c>
      <c r="BX368" s="104">
        <f t="shared" si="573"/>
        <v>6.7199999999999982E-2</v>
      </c>
      <c r="BY368" s="104">
        <f t="shared" si="583"/>
        <v>6.7199999999999996E-2</v>
      </c>
      <c r="BZ368" s="104">
        <f t="shared" si="584"/>
        <v>0</v>
      </c>
      <c r="CA368" s="104">
        <f t="shared" si="574"/>
        <v>0</v>
      </c>
      <c r="CB368" s="104">
        <f t="shared" si="585"/>
        <v>2.2400000000000003E-2</v>
      </c>
      <c r="CC368" s="104">
        <f t="shared" si="586"/>
        <v>0</v>
      </c>
      <c r="CD368" s="103">
        <v>0</v>
      </c>
      <c r="CE368" s="104">
        <f t="shared" si="587"/>
        <v>0</v>
      </c>
      <c r="CF368" s="104" t="str">
        <f t="shared" si="588"/>
        <v>NA</v>
      </c>
      <c r="CG368" s="103">
        <v>0</v>
      </c>
    </row>
    <row r="369" spans="1:90" ht="18" customHeight="1">
      <c r="A369" s="260" t="s">
        <v>992</v>
      </c>
      <c r="B369" s="260" t="s">
        <v>993</v>
      </c>
      <c r="C369" s="260" t="s">
        <v>2129</v>
      </c>
      <c r="D369" s="260" t="s">
        <v>2232</v>
      </c>
      <c r="E369" s="260" t="s">
        <v>2273</v>
      </c>
      <c r="F369" s="260" t="s">
        <v>3019</v>
      </c>
      <c r="G369" s="260" t="s">
        <v>3020</v>
      </c>
      <c r="H369" s="260" t="s">
        <v>3021</v>
      </c>
      <c r="I369" s="260"/>
      <c r="J369" s="260"/>
      <c r="K369" s="260" t="s">
        <v>3022</v>
      </c>
      <c r="L369" s="260" t="s">
        <v>3023</v>
      </c>
      <c r="M369" s="260" t="s">
        <v>2272</v>
      </c>
      <c r="N369" s="260" t="s">
        <v>111</v>
      </c>
      <c r="O369" s="260" t="s">
        <v>112</v>
      </c>
      <c r="P369" s="10">
        <v>0</v>
      </c>
      <c r="Q369" s="11">
        <v>1</v>
      </c>
      <c r="R369" s="9" t="e">
        <f t="shared" si="575"/>
        <v>#N/A</v>
      </c>
      <c r="S369" s="11" t="e">
        <f>VLOOKUP(K369,'1105 Gobierno'!$K$12:$AK$31,9,0)</f>
        <v>#N/A</v>
      </c>
      <c r="T369" s="11">
        <v>0</v>
      </c>
      <c r="U369" s="11">
        <v>0</v>
      </c>
      <c r="V369" s="11">
        <v>0.1</v>
      </c>
      <c r="W369" s="11">
        <v>0</v>
      </c>
      <c r="X369" s="11">
        <v>0.1</v>
      </c>
      <c r="Y369" s="11">
        <v>0</v>
      </c>
      <c r="Z369" s="11">
        <v>0.1</v>
      </c>
      <c r="AA369" s="11">
        <v>0</v>
      </c>
      <c r="AB369" s="11" t="s">
        <v>3024</v>
      </c>
      <c r="AC369" s="11" t="s">
        <v>3025</v>
      </c>
      <c r="AD369" s="11">
        <v>0.4</v>
      </c>
      <c r="AE369" s="11">
        <v>0</v>
      </c>
      <c r="AF369" s="11" t="e">
        <f>VLOOKUP(K369,'1105 Gobierno'!$K$12:$AK$31,22,0)</f>
        <v>#N/A</v>
      </c>
      <c r="AG369" s="11" t="e">
        <f>VLOOKUP(K369,'1105 Gobierno'!$K$12:$AK$31,23,0)</f>
        <v>#N/A</v>
      </c>
      <c r="AH369" s="9" t="e">
        <f t="shared" si="576"/>
        <v>#N/A</v>
      </c>
      <c r="AI369" s="9" t="e">
        <f>VLOOKUP(K369,'1105 Gobierno'!$K$12:$AK$31,25,0)</f>
        <v>#N/A</v>
      </c>
      <c r="AJ369" s="9" t="e">
        <f>VLOOKUP(K369,'1105 Gobierno'!$K$12:$AK$31,26,0)</f>
        <v>#N/A</v>
      </c>
      <c r="AK369" s="9" t="e">
        <f>VLOOKUP(K369,'1105 Gobierno'!$K$12:$AK$31,27,0)</f>
        <v>#N/A</v>
      </c>
      <c r="AL369" s="11">
        <v>0.3</v>
      </c>
      <c r="AM369" s="11">
        <v>0</v>
      </c>
      <c r="AN369" s="11">
        <v>0.2</v>
      </c>
      <c r="AO369" s="11">
        <v>0</v>
      </c>
      <c r="AP369" s="11">
        <v>0</v>
      </c>
      <c r="AQ369" s="11">
        <v>0</v>
      </c>
      <c r="AR369" s="51">
        <v>297000000</v>
      </c>
      <c r="AS369" s="54">
        <v>0</v>
      </c>
      <c r="AT369" s="54">
        <f t="shared" si="569"/>
        <v>297000000</v>
      </c>
      <c r="AU369" s="51">
        <v>179131812</v>
      </c>
      <c r="AV369" s="89">
        <v>600000000</v>
      </c>
      <c r="AY369" s="89">
        <v>0</v>
      </c>
      <c r="AZ369" s="42" t="e">
        <f t="shared" si="577"/>
        <v>#N/A</v>
      </c>
      <c r="BA369" s="44">
        <v>0.1</v>
      </c>
      <c r="BB369" s="44">
        <v>1</v>
      </c>
      <c r="BC369" s="42">
        <f t="shared" si="578"/>
        <v>0.4</v>
      </c>
      <c r="BD369" s="42" t="e" cm="1">
        <f t="array" ref="BD369">_xlfn.IFS(AD369=0,"NA",AD369&gt;0,AH369/AD369)</f>
        <v>#N/A</v>
      </c>
      <c r="BE369" s="42">
        <f t="shared" si="579"/>
        <v>0.3</v>
      </c>
      <c r="BF369" s="44">
        <v>0</v>
      </c>
      <c r="BG369" s="42">
        <f t="shared" si="580"/>
        <v>0.2</v>
      </c>
      <c r="BH369" s="44">
        <v>0</v>
      </c>
      <c r="BI369" s="42">
        <f t="shared" si="581"/>
        <v>0</v>
      </c>
      <c r="BJ369" s="44" t="s">
        <v>115</v>
      </c>
      <c r="BK369" s="42" t="e">
        <f t="shared" si="570"/>
        <v>#N/A</v>
      </c>
      <c r="BL369" s="44">
        <v>1</v>
      </c>
      <c r="BM369" s="42" t="e" cm="1">
        <f t="array" ref="BM369">_xlfn.IFS(BD369="NA","NA",BD369&gt;100%,"100%",BD369&lt;100,BD369)</f>
        <v>#N/A</v>
      </c>
      <c r="BN369" s="42" cm="1">
        <f t="array" ref="BN369">_xlfn.IFS(BF369="NA","NA",BF369&gt;100%,"100%",BF369&lt;100,BF369)</f>
        <v>0</v>
      </c>
      <c r="BO369" s="42" cm="1">
        <f t="array" ref="BO369">_xlfn.IFS(BH369="NA","NA",BH369&gt;100%,"100%",BH369&lt;100,BH369)</f>
        <v>0</v>
      </c>
      <c r="BP369" s="42" t="str" cm="1">
        <f t="array" ref="BP369">_xlfn.IFS(BJ369="NA","NA",BJ369&gt;100%,"100%",BJ369&lt;100,BJ369)</f>
        <v>NA</v>
      </c>
      <c r="BQ369" s="45">
        <v>0.224</v>
      </c>
      <c r="BR369" s="43" t="e">
        <f t="shared" si="571"/>
        <v>#N/A</v>
      </c>
      <c r="BS369" s="45">
        <v>2.24E-2</v>
      </c>
      <c r="BT369" s="45">
        <v>2.24E-2</v>
      </c>
      <c r="BU369" s="45">
        <v>2.24E-2</v>
      </c>
      <c r="BV369" s="43">
        <f t="shared" si="582"/>
        <v>8.9600000000000013E-2</v>
      </c>
      <c r="BW369" s="43" t="e">
        <f t="shared" si="572"/>
        <v>#N/A</v>
      </c>
      <c r="BX369" s="43" t="e">
        <f t="shared" si="573"/>
        <v>#N/A</v>
      </c>
      <c r="BY369" s="43">
        <f t="shared" si="583"/>
        <v>6.7199999999999996E-2</v>
      </c>
      <c r="BZ369" s="43">
        <f t="shared" si="584"/>
        <v>0</v>
      </c>
      <c r="CA369" s="43" t="e">
        <f t="shared" si="574"/>
        <v>#N/A</v>
      </c>
      <c r="CB369" s="43">
        <f t="shared" si="585"/>
        <v>4.4800000000000006E-2</v>
      </c>
      <c r="CC369" s="43">
        <f t="shared" si="586"/>
        <v>0</v>
      </c>
      <c r="CD369" s="45">
        <v>0</v>
      </c>
      <c r="CE369" s="43">
        <f t="shared" si="587"/>
        <v>0</v>
      </c>
      <c r="CF369" s="43" t="str">
        <f t="shared" si="588"/>
        <v>NA</v>
      </c>
      <c r="CG369" s="45">
        <v>0</v>
      </c>
    </row>
    <row r="370" spans="1:90" ht="30.75" customHeight="1">
      <c r="A370" s="260" t="s">
        <v>1387</v>
      </c>
      <c r="B370" s="260" t="s">
        <v>1388</v>
      </c>
      <c r="C370" s="260" t="s">
        <v>2129</v>
      </c>
      <c r="D370" s="260" t="s">
        <v>2232</v>
      </c>
      <c r="E370" s="260" t="s">
        <v>2286</v>
      </c>
      <c r="F370" s="260" t="s">
        <v>2287</v>
      </c>
      <c r="G370" s="260" t="s">
        <v>2288</v>
      </c>
      <c r="H370" s="260" t="s">
        <v>2289</v>
      </c>
      <c r="I370" s="260"/>
      <c r="J370" s="260"/>
      <c r="K370" s="260" t="s">
        <v>2290</v>
      </c>
      <c r="L370" s="12" t="s">
        <v>2291</v>
      </c>
      <c r="M370" s="260" t="s">
        <v>2292</v>
      </c>
      <c r="N370" s="260" t="s">
        <v>111</v>
      </c>
      <c r="O370" s="260" t="s">
        <v>112</v>
      </c>
      <c r="P370" s="10">
        <v>0</v>
      </c>
      <c r="Q370" s="11">
        <v>1</v>
      </c>
      <c r="R370" s="9">
        <f t="shared" si="575"/>
        <v>0.05</v>
      </c>
      <c r="S370" s="11">
        <f>VLOOKUP(K370,'1285 EPC'!$K$13:$AK$35,9,0)</f>
        <v>0</v>
      </c>
      <c r="T370" s="11">
        <v>0.25</v>
      </c>
      <c r="U370" s="11">
        <v>0</v>
      </c>
      <c r="V370" s="11">
        <v>0</v>
      </c>
      <c r="W370" s="11">
        <v>0</v>
      </c>
      <c r="X370" s="11">
        <v>0</v>
      </c>
      <c r="Y370" s="11">
        <v>0</v>
      </c>
      <c r="Z370" s="11">
        <v>0</v>
      </c>
      <c r="AA370" s="11"/>
      <c r="AB370" s="11"/>
      <c r="AC370" s="11"/>
      <c r="AD370" s="11">
        <v>0.05</v>
      </c>
      <c r="AE370" s="11">
        <v>0</v>
      </c>
      <c r="AF370" s="11">
        <f>VLOOKUP(K370,'1285 EPC'!$K$13:$AK$35,22,0)</f>
        <v>0.05</v>
      </c>
      <c r="AG370" s="11" t="str">
        <f>VLOOKUP(K370,'1285 EPC'!$K$13:$AK$35,23,0)</f>
        <v> </v>
      </c>
      <c r="AH370" s="9">
        <f t="shared" si="576"/>
        <v>0.05</v>
      </c>
      <c r="AI370" s="9" t="str">
        <f>VLOOKUP(K370,'1285 EPC'!$K$13:$AK$35,25,0)</f>
        <v xml:space="preserve">Avance en la estrategia </v>
      </c>
      <c r="AJ370" s="9" t="str">
        <f>VLOOKUP(K370,'1285 EPC'!$K$13:$AK$35,26,0)</f>
        <v>Se agendo reunión con consultoría del convenio entre competitividad y la inmobiliaria, para socializar resultados del proyecto referente a residuos orgánicos.  
Socialización del avance de la consultoría firmada entre inmobiliaria y competitividad.
Reuniones internas en la dirección de asuntos ambientales para la estructuración del proceso.
Diagnostico para la estructuración del proyecto a partir de información secundaria (CAR).
Se realizo mesa de socialización  el 27de abril de 2021  de la ampliación del relleno sanitario Doña Juana  con la consultoría OPCIN S.A.
Se realizo una reunión el día 13/05/2021  entre la Secretaria de Integración Regional, secretaria de Planeación y EPC con el fin de coordinar mesas interinstitucionales que permitan dar avance en el cumplimiento de las metas, en especial, las que se encuentran dentro del línea estratégica + Integración debido a que la SIR está llevando a cabo los acercamientos con los diferentes actores del proyecto Región Metropolitana Bogotá-Cundinamarca.
Se efectuó reunión con la secretaria de hábitat del distrito el 10 de junio de 2021 con el fin de socializar el proyecto TECNOPARQUE para la prestación eficiente y sostenible de los servicios públicos en el cual se propone construir una planta hibrida para la generación de energía a través de un tratamiento de residuos sólidos.
El día 28 de julio de 2021 se realizó presentación a la secretaria de integración regional de Cundinamarca de los avances que realiza la Dirección de Asuntos Ambientales en referencia al cumplimiento de las metas del PDD
El 15 de julio de 2021 se adelantó reunión para constituir un espacio de trabajo para formular e implementar un modelo regional de gestión de los residuos sólidos para mejorar procesos de separación, reducción aprovechamiento y disposición final de los mismos y así mitigar los impactos ambientales. Asistentes: Cámara de comercio Bogotá, Secretaria Distrital de Planeación, Secretaria de Integración Regional de Cundinamarca, MVCT, Empresas Públicas de Cundinamarca, Secretaria de Ambiente del Departamento y municipios que integran la propuesta de área metropolitana.
Se realizó reunión el 15 de septiembre de 2021 para acercamiento y articulación entre entidades del distrito (Secretaria Distrital de Ambiente de Bogotá, EAAB, Secretaria de Ambiente de Cundinamarca, Secretaria Distrital de Planeación, Secretaria de Integración Regional) para tratar temas relacionados con el medio ambiente.</v>
      </c>
      <c r="AK370" s="9" t="str">
        <f>VLOOKUP(K370,'1285 EPC'!$K$13:$AK$35,27,0)</f>
        <v>Articulación entre las entidades
Recoger Información</v>
      </c>
      <c r="AL370" s="11">
        <v>0.95</v>
      </c>
      <c r="AM370" s="11">
        <v>0</v>
      </c>
      <c r="AN370" s="11">
        <v>0</v>
      </c>
      <c r="AO370" s="11">
        <v>0</v>
      </c>
      <c r="AP370" s="11">
        <v>0</v>
      </c>
      <c r="AQ370" s="11">
        <v>0</v>
      </c>
      <c r="AR370" s="52"/>
      <c r="AS370" s="54">
        <v>0</v>
      </c>
      <c r="AT370" s="54">
        <f t="shared" si="569"/>
        <v>0</v>
      </c>
      <c r="AU370" s="52"/>
      <c r="AV370" s="89">
        <v>1000000</v>
      </c>
      <c r="AY370" s="89">
        <v>0</v>
      </c>
      <c r="AZ370" s="42">
        <f t="shared" si="577"/>
        <v>0.05</v>
      </c>
      <c r="BA370" s="44">
        <v>0</v>
      </c>
      <c r="BB370" s="44" t="s">
        <v>115</v>
      </c>
      <c r="BC370" s="42">
        <f t="shared" si="578"/>
        <v>0.05</v>
      </c>
      <c r="BD370" s="42" cm="1">
        <f t="array" ref="BD370">_xlfn.IFS(AD370=0,"NA",AD370&gt;0,AH370/AD370)</f>
        <v>1</v>
      </c>
      <c r="BE370" s="42">
        <f t="shared" si="579"/>
        <v>0.95</v>
      </c>
      <c r="BF370" s="44">
        <v>0</v>
      </c>
      <c r="BG370" s="42">
        <f t="shared" si="580"/>
        <v>0</v>
      </c>
      <c r="BH370" s="44" t="s">
        <v>115</v>
      </c>
      <c r="BI370" s="42">
        <f t="shared" si="581"/>
        <v>0</v>
      </c>
      <c r="BJ370" s="44" t="s">
        <v>115</v>
      </c>
      <c r="BK370" s="42">
        <f t="shared" si="570"/>
        <v>0.05</v>
      </c>
      <c r="BL370" s="44" t="s">
        <v>115</v>
      </c>
      <c r="BM370" s="42" cm="1">
        <f t="array" ref="BM370">_xlfn.IFS(BD370="NA","NA",BD370&gt;100%,"100%",BD370&lt;100,BD370)</f>
        <v>1</v>
      </c>
      <c r="BN370" s="42" cm="1">
        <f t="array" ref="BN370">_xlfn.IFS(BF370="NA","NA",BF370&gt;100%,"100%",BF370&lt;100,BF370)</f>
        <v>0</v>
      </c>
      <c r="BO370" s="42" t="str" cm="1">
        <f t="array" ref="BO370">_xlfn.IFS(BH370="NA","NA",BH370&gt;100%,"100%",BH370&lt;100,BH370)</f>
        <v>NA</v>
      </c>
      <c r="BP370" s="42" t="str" cm="1">
        <f t="array" ref="BP370">_xlfn.IFS(BJ370="NA","NA",BJ370&gt;100%,"100%",BJ370&lt;100,BJ370)</f>
        <v>NA</v>
      </c>
      <c r="BQ370" s="45">
        <v>0.224</v>
      </c>
      <c r="BR370" s="43">
        <f t="shared" si="571"/>
        <v>1.1200000000000002E-2</v>
      </c>
      <c r="BS370" s="45">
        <v>0</v>
      </c>
      <c r="BT370" s="45" t="s">
        <v>115</v>
      </c>
      <c r="BU370" s="45">
        <v>0</v>
      </c>
      <c r="BV370" s="43">
        <f t="shared" si="582"/>
        <v>1.1200000000000002E-2</v>
      </c>
      <c r="BW370" s="43">
        <f t="shared" si="572"/>
        <v>1.1200000000000002E-2</v>
      </c>
      <c r="BX370" s="43">
        <f t="shared" si="573"/>
        <v>1.1200000000000002E-2</v>
      </c>
      <c r="BY370" s="43">
        <f t="shared" si="583"/>
        <v>0.21279999999999999</v>
      </c>
      <c r="BZ370" s="43">
        <f t="shared" si="584"/>
        <v>0</v>
      </c>
      <c r="CA370" s="43">
        <f t="shared" si="574"/>
        <v>0</v>
      </c>
      <c r="CB370" s="43">
        <f t="shared" si="585"/>
        <v>0</v>
      </c>
      <c r="CC370" s="43" t="str">
        <f t="shared" si="586"/>
        <v>NA</v>
      </c>
      <c r="CD370" s="45">
        <v>0</v>
      </c>
      <c r="CE370" s="43">
        <f t="shared" si="587"/>
        <v>0</v>
      </c>
      <c r="CF370" s="43" t="str">
        <f t="shared" si="588"/>
        <v>NA</v>
      </c>
      <c r="CG370" s="45">
        <v>0</v>
      </c>
    </row>
    <row r="371" spans="1:90" ht="30.75" customHeight="1">
      <c r="A371" s="260" t="s">
        <v>1387</v>
      </c>
      <c r="B371" s="260" t="s">
        <v>1388</v>
      </c>
      <c r="C371" s="260" t="s">
        <v>2129</v>
      </c>
      <c r="D371" s="260" t="s">
        <v>2232</v>
      </c>
      <c r="E371" s="260" t="s">
        <v>2286</v>
      </c>
      <c r="F371" s="260" t="s">
        <v>2293</v>
      </c>
      <c r="G371" s="260" t="s">
        <v>2294</v>
      </c>
      <c r="H371" s="260" t="s">
        <v>2295</v>
      </c>
      <c r="I371" s="260"/>
      <c r="J371" s="260"/>
      <c r="K371" s="260" t="s">
        <v>2296</v>
      </c>
      <c r="L371" s="12" t="s">
        <v>2297</v>
      </c>
      <c r="M371" s="260" t="s">
        <v>2298</v>
      </c>
      <c r="N371" s="260" t="s">
        <v>111</v>
      </c>
      <c r="O371" s="260" t="s">
        <v>112</v>
      </c>
      <c r="P371" s="10">
        <v>0</v>
      </c>
      <c r="Q371" s="11">
        <v>11</v>
      </c>
      <c r="R371" s="9">
        <f t="shared" si="575"/>
        <v>0</v>
      </c>
      <c r="S371" s="11">
        <f>VLOOKUP(K371,'1285 EPC'!$K$13:$AK$35,9,0)</f>
        <v>0</v>
      </c>
      <c r="T371" s="11">
        <v>3</v>
      </c>
      <c r="U371" s="11">
        <v>0</v>
      </c>
      <c r="V371" s="11">
        <v>0</v>
      </c>
      <c r="W371" s="11">
        <v>0</v>
      </c>
      <c r="X371" s="11">
        <v>0</v>
      </c>
      <c r="Y371" s="11">
        <v>0</v>
      </c>
      <c r="Z371" s="11">
        <v>0</v>
      </c>
      <c r="AA371" s="11"/>
      <c r="AB371" s="11"/>
      <c r="AC371" s="11"/>
      <c r="AD371" s="11">
        <v>0</v>
      </c>
      <c r="AE371" s="11">
        <v>0</v>
      </c>
      <c r="AF371" s="11">
        <f>VLOOKUP(K371,'1285 EPC'!$K$13:$AK$35,22,0)</f>
        <v>0</v>
      </c>
      <c r="AG371" s="11" t="str">
        <f>VLOOKUP(K371,'1285 EPC'!$K$13:$AK$35,23,0)</f>
        <v> </v>
      </c>
      <c r="AH371" s="9">
        <f t="shared" si="576"/>
        <v>0</v>
      </c>
      <c r="AI371" s="9" t="str">
        <f>VLOOKUP(K371,'1285 EPC'!$K$13:$AK$35,25,0)</f>
        <v> </v>
      </c>
      <c r="AJ371" s="9" t="str">
        <f>VLOOKUP(K371,'1285 EPC'!$K$13:$AK$35,26,0)</f>
        <v>Se presenta ante la Ventanilla Única del MVCT la atención a observaciones al proyecto Fase I del Acueducto Regional de Occidente. A la fecha continúa en revisión por parte del MVCT.
Se realizaron mesas de trabajo con la EAAB para identificar necesidades de optimización a los sistemas de acueducto de los municipios beneficiados de los contratos de suministro. A la fecha se tienen identificadas la necesidad de inversiones cercanas a los 111.000 millones de pesos.
Se adelantaron mesas de trabajo con Funza para definición de localización de tanque Centro Oriente, lo cual puede alterar los diseños de la Fase II. Aún el municipio no ha definido ubicación del tanque.
Se adelantó mesa de trabajo con IDU para definición de armonización de Fase IV del proyecto con patio taller de Transmilenio. A la fecha está pendiente respuesta de Transmilenio para armonización de proyectos y continuar con trámite respectivo.
Se continúan desarrollando mesas de trabajo con el MVCT para el proceso de viabilización de la Fase I del proyecto de Ampliación del Subsistema de Sabana de Occidente y Bajo Tequendama que transporta el agua suministrada por la EAAB, de revisión al proyecto.</v>
      </c>
      <c r="AK371" s="9" t="str">
        <f>VLOOKUP(K371,'1285 EPC'!$K$13:$AK$35,27,0)</f>
        <v>Debido al periodo de vacaciones de varios funcionarios de la Ventanilla Úniva del MVCT, no se ha logrado una respuesta a la atención de observaciones hechas por EPC. Respuesta por parte de terceros para continuar con trámites respectivos de viabilidad
Respuesta por parte de terceros para continuar con trámites respectivos de viabilidad
Nueva revisión por parte de especialistas en el MVCT lo que ha incurrido en reprocesos en la revisión y evaluación por parte del MVCT 
Nueva revisión por parte de especialistas en el MVCT lo que ha incurrido en reprocesos en la revisión y evaluación por parte del MVCT</v>
      </c>
      <c r="AL371" s="11">
        <v>5</v>
      </c>
      <c r="AM371" s="11">
        <v>0</v>
      </c>
      <c r="AN371" s="11">
        <v>6</v>
      </c>
      <c r="AO371" s="11">
        <v>0</v>
      </c>
      <c r="AP371" s="11">
        <v>0</v>
      </c>
      <c r="AQ371" s="11">
        <v>0</v>
      </c>
      <c r="AR371" s="52"/>
      <c r="AS371" s="54">
        <v>0</v>
      </c>
      <c r="AT371" s="54">
        <f t="shared" si="569"/>
        <v>0</v>
      </c>
      <c r="AU371" s="52"/>
      <c r="AV371" s="89">
        <v>0</v>
      </c>
      <c r="AY371" s="89">
        <v>0</v>
      </c>
      <c r="AZ371" s="42">
        <f t="shared" si="577"/>
        <v>0</v>
      </c>
      <c r="BA371" s="44">
        <v>0</v>
      </c>
      <c r="BB371" s="44" t="s">
        <v>115</v>
      </c>
      <c r="BC371" s="42">
        <f t="shared" si="578"/>
        <v>0</v>
      </c>
      <c r="BD371" s="42" t="str" cm="1">
        <f t="array" ref="BD371">_xlfn.IFS(AD371=0,"NA",AD371&gt;0,AH371/AD371)</f>
        <v>NA</v>
      </c>
      <c r="BE371" s="42">
        <f t="shared" si="579"/>
        <v>0.45454545454545453</v>
      </c>
      <c r="BF371" s="44">
        <v>0</v>
      </c>
      <c r="BG371" s="42">
        <f t="shared" si="580"/>
        <v>0.54545454545454541</v>
      </c>
      <c r="BH371" s="44">
        <v>0</v>
      </c>
      <c r="BI371" s="42">
        <f t="shared" si="581"/>
        <v>0</v>
      </c>
      <c r="BJ371" s="44" t="s">
        <v>115</v>
      </c>
      <c r="BK371" s="42">
        <f t="shared" si="570"/>
        <v>0</v>
      </c>
      <c r="BL371" s="44" t="s">
        <v>115</v>
      </c>
      <c r="BM371" s="42" t="str" cm="1">
        <f t="array" ref="BM371">_xlfn.IFS(BD371="NA","NA",BD371&gt;100%,"100%",BD371&lt;100,BD371)</f>
        <v>NA</v>
      </c>
      <c r="BN371" s="42" cm="1">
        <f t="array" ref="BN371">_xlfn.IFS(BF371="NA","NA",BF371&gt;100%,"100%",BF371&lt;100,BF371)</f>
        <v>0</v>
      </c>
      <c r="BO371" s="42" cm="1">
        <f t="array" ref="BO371">_xlfn.IFS(BH371="NA","NA",BH371&gt;100%,"100%",BH371&lt;100,BH371)</f>
        <v>0</v>
      </c>
      <c r="BP371" s="42" t="str" cm="1">
        <f t="array" ref="BP371">_xlfn.IFS(BJ371="NA","NA",BJ371&gt;100%,"100%",BJ371&lt;100,BJ371)</f>
        <v>NA</v>
      </c>
      <c r="BQ371" s="45">
        <v>0.224</v>
      </c>
      <c r="BR371" s="43">
        <f t="shared" si="571"/>
        <v>0</v>
      </c>
      <c r="BS371" s="45">
        <v>0</v>
      </c>
      <c r="BT371" s="45" t="s">
        <v>115</v>
      </c>
      <c r="BU371" s="45">
        <v>0</v>
      </c>
      <c r="BV371" s="43">
        <f t="shared" si="582"/>
        <v>0</v>
      </c>
      <c r="BW371" s="43" t="str">
        <f t="shared" si="572"/>
        <v>NA</v>
      </c>
      <c r="BX371" s="43">
        <f t="shared" si="573"/>
        <v>0</v>
      </c>
      <c r="BY371" s="43">
        <f t="shared" si="583"/>
        <v>0.10181818181818182</v>
      </c>
      <c r="BZ371" s="43">
        <f t="shared" si="584"/>
        <v>0</v>
      </c>
      <c r="CA371" s="43">
        <f t="shared" si="574"/>
        <v>0</v>
      </c>
      <c r="CB371" s="43">
        <f t="shared" si="585"/>
        <v>0.12218181818181818</v>
      </c>
      <c r="CC371" s="43">
        <f t="shared" si="586"/>
        <v>0</v>
      </c>
      <c r="CD371" s="45">
        <v>0</v>
      </c>
      <c r="CE371" s="43">
        <f t="shared" si="587"/>
        <v>0</v>
      </c>
      <c r="CF371" s="43" t="str">
        <f t="shared" si="588"/>
        <v>NA</v>
      </c>
      <c r="CG371" s="45">
        <v>0</v>
      </c>
    </row>
    <row r="372" spans="1:90" ht="30.75" customHeight="1">
      <c r="A372" s="260" t="s">
        <v>1387</v>
      </c>
      <c r="B372" s="260" t="s">
        <v>1388</v>
      </c>
      <c r="C372" s="260" t="s">
        <v>2129</v>
      </c>
      <c r="D372" s="260" t="s">
        <v>2232</v>
      </c>
      <c r="E372" s="260" t="s">
        <v>2286</v>
      </c>
      <c r="F372" s="260" t="s">
        <v>2299</v>
      </c>
      <c r="G372" s="260" t="s">
        <v>2300</v>
      </c>
      <c r="H372" s="260" t="s">
        <v>2301</v>
      </c>
      <c r="I372" s="260"/>
      <c r="J372" s="260"/>
      <c r="K372" s="260" t="s">
        <v>2302</v>
      </c>
      <c r="L372" s="12" t="s">
        <v>2303</v>
      </c>
      <c r="M372" s="260" t="s">
        <v>2304</v>
      </c>
      <c r="N372" s="260" t="s">
        <v>111</v>
      </c>
      <c r="O372" s="260" t="s">
        <v>112</v>
      </c>
      <c r="P372" s="10">
        <v>615986</v>
      </c>
      <c r="Q372" s="11">
        <v>68000</v>
      </c>
      <c r="R372" s="9">
        <f t="shared" si="575"/>
        <v>21158</v>
      </c>
      <c r="S372" s="11">
        <f>VLOOKUP(K372,'1285 EPC'!$K$13:$AK$35,9,0)</f>
        <v>0</v>
      </c>
      <c r="T372" s="11">
        <v>15000</v>
      </c>
      <c r="U372" s="11">
        <v>0</v>
      </c>
      <c r="V372" s="11">
        <v>10460</v>
      </c>
      <c r="W372" s="11">
        <v>0</v>
      </c>
      <c r="X372" s="11">
        <v>10460</v>
      </c>
      <c r="Y372" s="11">
        <v>0</v>
      </c>
      <c r="Z372" s="11">
        <v>10460</v>
      </c>
      <c r="AA372" s="11" t="s">
        <v>2305</v>
      </c>
      <c r="AB372" s="11" t="s">
        <v>2306</v>
      </c>
      <c r="AC372" s="11">
        <v>0</v>
      </c>
      <c r="AD372" s="11">
        <v>19000</v>
      </c>
      <c r="AE372" s="11">
        <v>0</v>
      </c>
      <c r="AF372" s="11">
        <f>VLOOKUP(K372,'1285 EPC'!$K$13:$AK$35,22,0)</f>
        <v>10698</v>
      </c>
      <c r="AG372" s="11" t="str">
        <f>VLOOKUP(K372,'1285 EPC'!$K$13:$AK$35,23,0)</f>
        <v> </v>
      </c>
      <c r="AH372" s="9">
        <f t="shared" si="576"/>
        <v>10698</v>
      </c>
      <c r="AI372" s="9" t="str">
        <f>VLOOKUP(K372,'1285 EPC'!$K$13:$AK$35,25,0)</f>
        <v>Personas nuevas con acceso al servicio de acueducto</v>
      </c>
      <c r="AJ372" s="9" t="str">
        <f>VLOOKUP(K372,'1285 EPC'!$K$13:$AK$35,26,0)</f>
        <v>Nuevas conexiones: Al hacer seguimiento a los nuevos usuarios del servicio de acueducto urbano conectados a través de los prestadores, se realiza una encuesta al prestador del municipio de Soacha, la cual arroja el siguiente resultado: 9.619 nuevas personas beneficiadas con el servicio de acueducto.
Se culminó el proyecto Olivos IV, con el 100% de avance el 21/04/2021, donde se conectan 392 usuarios y se benefician a 1.079 nuevas personas con el servicio de acueducto "
Actualmente se han adelantado mesas de trabajo con el Municipio con el fin de realizar el seguimiento a los proyectos priorizados que se tienen para gestionar los recursos necesarios y lograr dar alcance a los mismos."</v>
      </c>
      <c r="AK372" s="9" t="str">
        <f>VLOOKUP(K372,'1285 EPC'!$K$13:$AK$35,27,0)</f>
        <v xml:space="preserve">No se tiene total conocimiento  del alcance y estado de los proyectos lo cual implica retrocesos en el proceso de viabilización por la entrega de información. </v>
      </c>
      <c r="AL372" s="11">
        <v>19000</v>
      </c>
      <c r="AM372" s="11">
        <v>0</v>
      </c>
      <c r="AN372" s="11">
        <v>19540</v>
      </c>
      <c r="AO372" s="11">
        <v>0</v>
      </c>
      <c r="AP372" s="11">
        <v>0</v>
      </c>
      <c r="AQ372" s="11">
        <v>0</v>
      </c>
      <c r="AR372" s="52"/>
      <c r="AS372" s="54">
        <v>4002075581</v>
      </c>
      <c r="AT372" s="54">
        <f t="shared" si="569"/>
        <v>4002075581</v>
      </c>
      <c r="AU372" s="52"/>
      <c r="AV372" s="89">
        <v>0</v>
      </c>
      <c r="AY372" s="89">
        <v>0</v>
      </c>
      <c r="AZ372" s="42">
        <f t="shared" si="577"/>
        <v>0.31114705882352939</v>
      </c>
      <c r="BA372" s="44">
        <v>0.15379999999999999</v>
      </c>
      <c r="BB372" s="44">
        <v>1</v>
      </c>
      <c r="BC372" s="42">
        <f t="shared" si="578"/>
        <v>0.27941176470588236</v>
      </c>
      <c r="BD372" s="42" cm="1">
        <f t="array" ref="BD372">_xlfn.IFS(AD372=0,"NA",AD372&gt;0,AH372/AD372)</f>
        <v>0.56305263157894736</v>
      </c>
      <c r="BE372" s="42">
        <f t="shared" si="579"/>
        <v>0.27941176470588236</v>
      </c>
      <c r="BF372" s="44">
        <v>0</v>
      </c>
      <c r="BG372" s="42">
        <f t="shared" si="580"/>
        <v>0.28735294117647059</v>
      </c>
      <c r="BH372" s="44">
        <v>0</v>
      </c>
      <c r="BI372" s="42">
        <f t="shared" si="581"/>
        <v>0</v>
      </c>
      <c r="BJ372" s="44" t="s">
        <v>115</v>
      </c>
      <c r="BK372" s="42">
        <f t="shared" si="570"/>
        <v>0.31114705882352939</v>
      </c>
      <c r="BL372" s="44">
        <v>1</v>
      </c>
      <c r="BM372" s="42" cm="1">
        <f t="array" ref="BM372">_xlfn.IFS(BD372="NA","NA",BD372&gt;100%,"100%",BD372&lt;100,BD372)</f>
        <v>0.56305263157894736</v>
      </c>
      <c r="BN372" s="42" cm="1">
        <f t="array" ref="BN372">_xlfn.IFS(BF372="NA","NA",BF372&gt;100%,"100%",BF372&lt;100,BF372)</f>
        <v>0</v>
      </c>
      <c r="BO372" s="42" cm="1">
        <f t="array" ref="BO372">_xlfn.IFS(BH372="NA","NA",BH372&gt;100%,"100%",BH372&lt;100,BH372)</f>
        <v>0</v>
      </c>
      <c r="BP372" s="42" t="str" cm="1">
        <f t="array" ref="BP372">_xlfn.IFS(BJ372="NA","NA",BJ372&gt;100%,"100%",BJ372&lt;100,BJ372)</f>
        <v>NA</v>
      </c>
      <c r="BQ372" s="45">
        <v>0.224</v>
      </c>
      <c r="BR372" s="43">
        <f t="shared" si="571"/>
        <v>6.9696941176470587E-2</v>
      </c>
      <c r="BS372" s="45">
        <v>3.4500000000000003E-2</v>
      </c>
      <c r="BT372" s="45">
        <v>3.4500000000000003E-2</v>
      </c>
      <c r="BU372" s="45">
        <v>3.4500000000000003E-2</v>
      </c>
      <c r="BV372" s="43">
        <f t="shared" si="582"/>
        <v>6.2588235294117653E-2</v>
      </c>
      <c r="BW372" s="43">
        <f t="shared" si="572"/>
        <v>3.5240470588235297E-2</v>
      </c>
      <c r="BX372" s="43">
        <f t="shared" si="573"/>
        <v>3.5196941176470584E-2</v>
      </c>
      <c r="BY372" s="43">
        <f t="shared" si="583"/>
        <v>6.2588235294117653E-2</v>
      </c>
      <c r="BZ372" s="43">
        <f t="shared" si="584"/>
        <v>0</v>
      </c>
      <c r="CA372" s="43">
        <f t="shared" si="574"/>
        <v>0</v>
      </c>
      <c r="CB372" s="43">
        <f t="shared" si="585"/>
        <v>6.4367058823529416E-2</v>
      </c>
      <c r="CC372" s="43">
        <f t="shared" si="586"/>
        <v>0</v>
      </c>
      <c r="CD372" s="45">
        <v>0</v>
      </c>
      <c r="CE372" s="43">
        <f t="shared" si="587"/>
        <v>0</v>
      </c>
      <c r="CF372" s="43" t="str">
        <f t="shared" si="588"/>
        <v>NA</v>
      </c>
      <c r="CG372" s="45">
        <v>0</v>
      </c>
    </row>
    <row r="373" spans="1:90" ht="30.75" customHeight="1">
      <c r="A373" s="260" t="s">
        <v>1387</v>
      </c>
      <c r="B373" s="260" t="s">
        <v>1388</v>
      </c>
      <c r="C373" s="260" t="s">
        <v>2129</v>
      </c>
      <c r="D373" s="260" t="s">
        <v>2232</v>
      </c>
      <c r="E373" s="260" t="s">
        <v>2286</v>
      </c>
      <c r="F373" s="260" t="s">
        <v>2299</v>
      </c>
      <c r="G373" s="260" t="s">
        <v>2300</v>
      </c>
      <c r="H373" s="260" t="s">
        <v>2307</v>
      </c>
      <c r="I373" s="260"/>
      <c r="J373" s="260"/>
      <c r="K373" s="260" t="s">
        <v>2308</v>
      </c>
      <c r="L373" s="12" t="s">
        <v>2309</v>
      </c>
      <c r="M373" s="260" t="s">
        <v>2310</v>
      </c>
      <c r="N373" s="260" t="s">
        <v>111</v>
      </c>
      <c r="O373" s="260" t="s">
        <v>112</v>
      </c>
      <c r="P373" s="10">
        <v>608518</v>
      </c>
      <c r="Q373" s="11">
        <v>68000</v>
      </c>
      <c r="R373" s="9">
        <f t="shared" si="575"/>
        <v>20205</v>
      </c>
      <c r="S373" s="11">
        <f>VLOOKUP(K373,'1285 EPC'!$K$13:$AK$35,9,0)</f>
        <v>0</v>
      </c>
      <c r="T373" s="11">
        <v>15000</v>
      </c>
      <c r="U373" s="11">
        <v>0</v>
      </c>
      <c r="V373" s="11">
        <v>9628</v>
      </c>
      <c r="W373" s="11">
        <v>0</v>
      </c>
      <c r="X373" s="11">
        <v>9628</v>
      </c>
      <c r="Y373" s="11">
        <v>0</v>
      </c>
      <c r="Z373" s="11">
        <v>9628</v>
      </c>
      <c r="AA373" s="11" t="s">
        <v>2311</v>
      </c>
      <c r="AB373" s="11" t="s">
        <v>2312</v>
      </c>
      <c r="AC373" s="11">
        <v>0</v>
      </c>
      <c r="AD373" s="11">
        <v>19300</v>
      </c>
      <c r="AE373" s="11">
        <v>0</v>
      </c>
      <c r="AF373" s="11">
        <f>VLOOKUP(K373,'1285 EPC'!$K$13:$AK$35,22,0)</f>
        <v>10577</v>
      </c>
      <c r="AG373" s="11" t="str">
        <f>VLOOKUP(K373,'1285 EPC'!$K$13:$AK$35,23,0)</f>
        <v> </v>
      </c>
      <c r="AH373" s="9">
        <f t="shared" si="576"/>
        <v>10577</v>
      </c>
      <c r="AI373" s="9" t="str">
        <f>VLOOKUP(K373,'1285 EPC'!$K$13:$AK$35,25,0)</f>
        <v>Personas nuevas con acceso al servicio de alcantarillado</v>
      </c>
      <c r="AJ373" s="9" t="str">
        <f>VLOOKUP(K373,'1285 EPC'!$K$13:$AK$35,26,0)</f>
        <v>"Nuevas conexiones: Al hacer seguimiento a los nuevos usuarios del ser+vicio de alcantarillado urbano conectados a través de los prestadores; se realiza una encuesta al prestador del municipio de Soacha, la cual arroja el siguiente resultado: 9.536 nuevas personas beneficiadas con el servicio de alcantarillado.
Se culminó el proyecto Olivos IV, con el 100% de avance el 21/04/2021 donde se conectan 378 usuarios y se benefician a 1.041 nuevas personas con el servicio de alcantarillado
Prolongación de Interceptor Ciudad de Cali: Se continua con el trámite de la adquisición de los predios por parte del Acueducto de Bogotá, para poder continuar con el proceso de contratación
Actualmente se han adelantado mesas de trabajo con el Municipio con el fin de realizar el seguimiento a los proyectos priorizados que se tienen para gestionar los recursos necesarios y lograr dar alcance a los mismos."</v>
      </c>
      <c r="AK373" s="9" t="str">
        <f>VLOOKUP(K373,'1285 EPC'!$K$13:$AK$35,27,0)</f>
        <v xml:space="preserve">No se tiene total conocimiento  del alcance y estado de los proyectos lo cual implica retrocesos en el proceso de viabilización por la entrega de información. </v>
      </c>
      <c r="AL373" s="11">
        <v>19300</v>
      </c>
      <c r="AM373" s="11">
        <v>0</v>
      </c>
      <c r="AN373" s="11">
        <v>19771</v>
      </c>
      <c r="AO373" s="11">
        <v>0</v>
      </c>
      <c r="AP373" s="11">
        <v>0</v>
      </c>
      <c r="AQ373" s="11">
        <v>0</v>
      </c>
      <c r="AR373" s="52"/>
      <c r="AS373" s="54">
        <v>6620564692</v>
      </c>
      <c r="AT373" s="54">
        <f t="shared" si="569"/>
        <v>6620564692</v>
      </c>
      <c r="AU373" s="52"/>
      <c r="AV373" s="89">
        <v>0</v>
      </c>
      <c r="AY373" s="89">
        <v>0</v>
      </c>
      <c r="AZ373" s="42">
        <f t="shared" si="577"/>
        <v>0.29713235294117646</v>
      </c>
      <c r="BA373" s="44">
        <v>0.1416</v>
      </c>
      <c r="BB373" s="44">
        <v>1</v>
      </c>
      <c r="BC373" s="42">
        <f t="shared" si="578"/>
        <v>0.2838235294117647</v>
      </c>
      <c r="BD373" s="42" cm="1">
        <f t="array" ref="BD373">_xlfn.IFS(AD373=0,"NA",AD373&gt;0,AH373/AD373)</f>
        <v>0.54803108808290157</v>
      </c>
      <c r="BE373" s="42">
        <f t="shared" si="579"/>
        <v>0.2838235294117647</v>
      </c>
      <c r="BF373" s="44">
        <v>0</v>
      </c>
      <c r="BG373" s="42">
        <f t="shared" si="580"/>
        <v>0.29075000000000001</v>
      </c>
      <c r="BH373" s="44">
        <v>0</v>
      </c>
      <c r="BI373" s="42">
        <f t="shared" si="581"/>
        <v>0</v>
      </c>
      <c r="BJ373" s="44" t="s">
        <v>115</v>
      </c>
      <c r="BK373" s="42">
        <f t="shared" si="570"/>
        <v>0.29713235294117646</v>
      </c>
      <c r="BL373" s="44">
        <v>1</v>
      </c>
      <c r="BM373" s="42" cm="1">
        <f t="array" ref="BM373">_xlfn.IFS(BD373="NA","NA",BD373&gt;100%,"100%",BD373&lt;100,BD373)</f>
        <v>0.54803108808290157</v>
      </c>
      <c r="BN373" s="42" cm="1">
        <f t="array" ref="BN373">_xlfn.IFS(BF373="NA","NA",BF373&gt;100%,"100%",BF373&lt;100,BF373)</f>
        <v>0</v>
      </c>
      <c r="BO373" s="42" cm="1">
        <f t="array" ref="BO373">_xlfn.IFS(BH373="NA","NA",BH373&gt;100%,"100%",BH373&lt;100,BH373)</f>
        <v>0</v>
      </c>
      <c r="BP373" s="42" t="str" cm="1">
        <f t="array" ref="BP373">_xlfn.IFS(BJ373="NA","NA",BJ373&gt;100%,"100%",BJ373&lt;100,BJ373)</f>
        <v>NA</v>
      </c>
      <c r="BQ373" s="45">
        <v>0.224</v>
      </c>
      <c r="BR373" s="43">
        <f t="shared" si="571"/>
        <v>6.6557647058823527E-2</v>
      </c>
      <c r="BS373" s="45">
        <v>3.1699999999999999E-2</v>
      </c>
      <c r="BT373" s="45">
        <v>3.1699999999999999E-2</v>
      </c>
      <c r="BU373" s="45">
        <v>3.1699999999999999E-2</v>
      </c>
      <c r="BV373" s="43">
        <f t="shared" si="582"/>
        <v>6.357647058823529E-2</v>
      </c>
      <c r="BW373" s="43">
        <f t="shared" si="572"/>
        <v>3.4841882352941174E-2</v>
      </c>
      <c r="BX373" s="43">
        <f t="shared" si="573"/>
        <v>3.4857647058823528E-2</v>
      </c>
      <c r="BY373" s="43">
        <f t="shared" si="583"/>
        <v>6.357647058823529E-2</v>
      </c>
      <c r="BZ373" s="43">
        <f t="shared" si="584"/>
        <v>0</v>
      </c>
      <c r="CA373" s="43">
        <f t="shared" si="574"/>
        <v>0</v>
      </c>
      <c r="CB373" s="43">
        <f t="shared" si="585"/>
        <v>6.5127999999999991E-2</v>
      </c>
      <c r="CC373" s="43">
        <f t="shared" si="586"/>
        <v>0</v>
      </c>
      <c r="CD373" s="45">
        <v>0</v>
      </c>
      <c r="CE373" s="43">
        <f t="shared" si="587"/>
        <v>0</v>
      </c>
      <c r="CF373" s="43" t="str">
        <f t="shared" si="588"/>
        <v>NA</v>
      </c>
      <c r="CG373" s="45">
        <v>0</v>
      </c>
    </row>
    <row r="374" spans="1:90" ht="18" customHeight="1">
      <c r="A374" s="260" t="s">
        <v>442</v>
      </c>
      <c r="B374" s="260" t="s">
        <v>443</v>
      </c>
      <c r="C374" s="260" t="s">
        <v>2129</v>
      </c>
      <c r="D374" s="260" t="s">
        <v>2313</v>
      </c>
      <c r="E374" s="260" t="s">
        <v>2314</v>
      </c>
      <c r="F374" s="260" t="s">
        <v>2315</v>
      </c>
      <c r="G374" s="260" t="s">
        <v>2316</v>
      </c>
      <c r="H374" s="260" t="s">
        <v>2317</v>
      </c>
      <c r="I374" s="260" t="s">
        <v>200</v>
      </c>
      <c r="J374" s="260"/>
      <c r="K374" s="260" t="s">
        <v>2318</v>
      </c>
      <c r="L374" s="260" t="s">
        <v>3026</v>
      </c>
      <c r="M374" s="260" t="s">
        <v>3027</v>
      </c>
      <c r="N374" s="260" t="s">
        <v>111</v>
      </c>
      <c r="O374" s="260" t="s">
        <v>112</v>
      </c>
      <c r="P374" s="10">
        <v>0</v>
      </c>
      <c r="Q374" s="11">
        <v>4</v>
      </c>
      <c r="R374" s="9">
        <f t="shared" si="575"/>
        <v>1</v>
      </c>
      <c r="S374" s="11" t="str">
        <f>VLOOKUP(K374,'1131 Hábitat'!$K$13:$AK$24,9,0)</f>
        <v>Vigencia 2020: No hubo asignación de recursos</v>
      </c>
      <c r="T374" s="11">
        <v>0</v>
      </c>
      <c r="U374" s="11">
        <v>0</v>
      </c>
      <c r="V374" s="11">
        <v>0</v>
      </c>
      <c r="W374" s="11">
        <v>0</v>
      </c>
      <c r="X374" s="11">
        <v>0</v>
      </c>
      <c r="Y374" s="11">
        <v>0</v>
      </c>
      <c r="Z374" s="11">
        <v>0</v>
      </c>
      <c r="AA374" s="11"/>
      <c r="AB374" s="11"/>
      <c r="AC374" s="11"/>
      <c r="AD374" s="11">
        <v>1</v>
      </c>
      <c r="AE374" s="11">
        <v>0</v>
      </c>
      <c r="AF374" s="11">
        <f>VLOOKUP(K374,'1131 Hábitat'!$K$13:$AK$24,22,0)</f>
        <v>1</v>
      </c>
      <c r="AG374" s="11">
        <f>VLOOKUP(K374,'1131 Hábitat'!$K$13:$AK$24,23,0)</f>
        <v>0</v>
      </c>
      <c r="AH374" s="9">
        <f t="shared" si="576"/>
        <v>1</v>
      </c>
      <c r="AI374" s="9">
        <f>VLOOKUP(K374,'1131 Hábitat'!$K$13:$AK$24,25,0)</f>
        <v>0</v>
      </c>
      <c r="AJ374" s="9" t="str">
        <f>VLOOKUP(K374,'1131 Hábitat'!$K$13:$AK$24,26,0)</f>
        <v>Se adelantaron procesos de coordinación y concertación entre la Secretaría de Hábitat y Vivienda, la Secretaría Distrital de Hábitat y el Municipio de Soacha, para dar prioridad a la inversión de recursos del orden deparamental y municipal para los estudios detallados de riesgo y amenaza para la Comuna 4 - Sectores Los Robles, Mirador de Corinto, El Oasis del municipio de Soacha, y determinar las obras requeridas para su intervención.
Durante el mes de junio la meta no presenta avance.
Durante el mes de julio la meta no presenta avance. Se adelantan acciones de coordinación con el Municipio de La Calera para definir posibles zonas de borte con Bogotá que requeiran ser atendidas.
En el mes de agosto se llevaron a cabo reuniones con el Municipio de La Calera para la identificación de un sector de Borde con Bogotá donde se puedan llevar a cabo obras de mejoramiento integral de barrios, identificando los sectores Aurora Alta y La Capilla, para lo cual se está llevando a cabo la caracterización de la población, presupuesto de obras y formulación del proyecto.
En el municipio de Soacha se identificó el Sector Olivos III colindante con Bogotá, en donde se está caracterizando la población y evaluando las obras que mejoren las relaciones de conectividad y de integración entre las comunidades. El proyecto se encuentra en proceso de formulación.
SEPTIEMBRE: Se estructuró el proyecto “Apoyo al mejoramiento de la infraestructura física en el territorio de Borde del municipio de La Calera Cundinamarca para llevar a cabo obras de mejoramiento integral de barrios, identificando los sectores Aurora Alta y La Capilla. En proceso de inscripción en el Banco Departamental de Programas y Proyectos.
Se continúa el proceso de estructuración y caracterización de la población y evaluando las obras para el Sector Olivos III colindante con Bogotá, en donde se está. El proyecto se encuentra en proceso de formulación.
OCTUBRE:
Se encuentra en proceso precontractual el convenio interadministrativo con el municipio de La Calera para la ejecución del proyecto “Apoyo al mejoramiento de la infraestructura física en el territorio de Borde del municipio de La Calera Cundinamarca para llevar a cabo obras de mejoramiento integral de barrios, identificando los sectores Aurora Alta y La Capilla. 
NOVIEMBRE
Se celebró el convenio SHVS-CDCVI-080-2021 con el municipio de La Calera para llevar a cabo obras de mejoramiento integral de barrios, identificando los sectores Aurora Alta y La Capilla. Beneficiará a 152 hogares</v>
      </c>
      <c r="AK374" s="9" t="str">
        <f>VLOOKUP(K374,'1131 Hábitat'!$K$13:$AK$24,27,0)</f>
        <v xml:space="preserve">Dificultad en la coordinación entre la Secretaría de Hábitat Distrital, el Municipio de Soacha y la Secretaría de Hábitat y Vivienda para acordar sectores de borde Bogotá - Cundinamarca para su intervención.
</v>
      </c>
      <c r="AL374" s="11">
        <v>2</v>
      </c>
      <c r="AM374" s="11">
        <v>0</v>
      </c>
      <c r="AN374" s="11">
        <v>1</v>
      </c>
      <c r="AO374" s="11">
        <v>0</v>
      </c>
      <c r="AP374" s="11">
        <v>0</v>
      </c>
      <c r="AQ374" s="11">
        <v>0</v>
      </c>
      <c r="AR374" s="52"/>
      <c r="AS374" s="54">
        <v>0</v>
      </c>
      <c r="AT374" s="54">
        <f t="shared" si="569"/>
        <v>0</v>
      </c>
      <c r="AU374" s="52"/>
      <c r="AV374" s="89">
        <v>550000000</v>
      </c>
      <c r="AY374" s="89">
        <v>0</v>
      </c>
      <c r="AZ374" s="42">
        <f t="shared" si="577"/>
        <v>0.25</v>
      </c>
      <c r="BA374" s="44">
        <v>0</v>
      </c>
      <c r="BB374" s="44" t="s">
        <v>115</v>
      </c>
      <c r="BC374" s="42">
        <f t="shared" si="578"/>
        <v>0.25</v>
      </c>
      <c r="BD374" s="42" cm="1">
        <f t="array" ref="BD374">_xlfn.IFS(AD374=0,"NA",AD374&gt;0,AH374/AD374)</f>
        <v>1</v>
      </c>
      <c r="BE374" s="42">
        <f t="shared" si="579"/>
        <v>0.5</v>
      </c>
      <c r="BF374" s="44">
        <v>0</v>
      </c>
      <c r="BG374" s="42">
        <f t="shared" si="580"/>
        <v>0.25</v>
      </c>
      <c r="BH374" s="44">
        <v>0</v>
      </c>
      <c r="BI374" s="42">
        <f t="shared" si="581"/>
        <v>0</v>
      </c>
      <c r="BJ374" s="44" t="s">
        <v>115</v>
      </c>
      <c r="BK374" s="42">
        <f t="shared" si="570"/>
        <v>0.25</v>
      </c>
      <c r="BL374" s="44" t="s">
        <v>115</v>
      </c>
      <c r="BM374" s="42" cm="1">
        <f t="array" ref="BM374">_xlfn.IFS(BD374="NA","NA",BD374&gt;100%,"100%",BD374&lt;100,BD374)</f>
        <v>1</v>
      </c>
      <c r="BN374" s="42" cm="1">
        <f t="array" ref="BN374">_xlfn.IFS(BF374="NA","NA",BF374&gt;100%,"100%",BF374&lt;100,BF374)</f>
        <v>0</v>
      </c>
      <c r="BO374" s="42" cm="1">
        <f t="array" ref="BO374">_xlfn.IFS(BH374="NA","NA",BH374&gt;100%,"100%",BH374&lt;100,BH374)</f>
        <v>0</v>
      </c>
      <c r="BP374" s="42" t="str" cm="1">
        <f t="array" ref="BP374">_xlfn.IFS(BJ374="NA","NA",BJ374&gt;100%,"100%",BJ374&lt;100,BJ374)</f>
        <v>NA</v>
      </c>
      <c r="BQ374" s="45">
        <v>0.224</v>
      </c>
      <c r="BR374" s="43">
        <f t="shared" si="571"/>
        <v>5.6000000000000001E-2</v>
      </c>
      <c r="BS374" s="45">
        <v>0</v>
      </c>
      <c r="BT374" s="45" t="s">
        <v>115</v>
      </c>
      <c r="BU374" s="45">
        <v>0</v>
      </c>
      <c r="BV374" s="43">
        <f t="shared" si="582"/>
        <v>5.6000000000000001E-2</v>
      </c>
      <c r="BW374" s="43">
        <f t="shared" si="572"/>
        <v>5.6000000000000001E-2</v>
      </c>
      <c r="BX374" s="43">
        <f t="shared" si="573"/>
        <v>5.6000000000000001E-2</v>
      </c>
      <c r="BY374" s="43">
        <f t="shared" si="583"/>
        <v>0.112</v>
      </c>
      <c r="BZ374" s="43">
        <f t="shared" si="584"/>
        <v>0</v>
      </c>
      <c r="CA374" s="43">
        <f t="shared" si="574"/>
        <v>0</v>
      </c>
      <c r="CB374" s="43">
        <f t="shared" si="585"/>
        <v>5.6000000000000001E-2</v>
      </c>
      <c r="CC374" s="43">
        <f t="shared" si="586"/>
        <v>0</v>
      </c>
      <c r="CD374" s="45">
        <v>0</v>
      </c>
      <c r="CE374" s="43">
        <f t="shared" si="587"/>
        <v>0</v>
      </c>
      <c r="CF374" s="43" t="str">
        <f t="shared" si="588"/>
        <v>NA</v>
      </c>
      <c r="CG374" s="45">
        <v>0</v>
      </c>
    </row>
    <row r="375" spans="1:90" ht="18" customHeight="1">
      <c r="A375" s="260" t="s">
        <v>442</v>
      </c>
      <c r="B375" s="260" t="s">
        <v>443</v>
      </c>
      <c r="C375" s="260" t="s">
        <v>2129</v>
      </c>
      <c r="D375" s="260" t="s">
        <v>2313</v>
      </c>
      <c r="E375" s="260" t="s">
        <v>2314</v>
      </c>
      <c r="F375" s="260" t="s">
        <v>2321</v>
      </c>
      <c r="G375" s="260" t="s">
        <v>2322</v>
      </c>
      <c r="H375" s="260" t="s">
        <v>2323</v>
      </c>
      <c r="I375" s="260" t="s">
        <v>200</v>
      </c>
      <c r="J375" s="260"/>
      <c r="K375" s="260" t="s">
        <v>2324</v>
      </c>
      <c r="L375" s="260" t="s">
        <v>3028</v>
      </c>
      <c r="M375" s="260" t="s">
        <v>2326</v>
      </c>
      <c r="N375" s="260" t="s">
        <v>111</v>
      </c>
      <c r="O375" s="260" t="s">
        <v>112</v>
      </c>
      <c r="P375" s="10">
        <v>0</v>
      </c>
      <c r="Q375" s="11">
        <v>4</v>
      </c>
      <c r="R375" s="9">
        <f t="shared" si="575"/>
        <v>0</v>
      </c>
      <c r="S375" s="11" t="str">
        <f>VLOOKUP(K375,'1131 Hábitat'!$K$13:$AK$24,9,0)</f>
        <v>Vigencia 2020: No hubo asignación de recursos</v>
      </c>
      <c r="T375" s="11">
        <v>0</v>
      </c>
      <c r="U375" s="11">
        <v>0</v>
      </c>
      <c r="V375" s="11">
        <v>0</v>
      </c>
      <c r="W375" s="11">
        <v>0</v>
      </c>
      <c r="X375" s="11">
        <v>0</v>
      </c>
      <c r="Y375" s="11">
        <v>0</v>
      </c>
      <c r="Z375" s="11">
        <v>0</v>
      </c>
      <c r="AA375" s="11"/>
      <c r="AB375" s="11"/>
      <c r="AC375" s="11"/>
      <c r="AD375" s="11">
        <v>0</v>
      </c>
      <c r="AE375" s="11">
        <v>0</v>
      </c>
      <c r="AF375" s="11">
        <f>VLOOKUP(K375,'1131 Hábitat'!$K$13:$AK$24,22,0)</f>
        <v>0</v>
      </c>
      <c r="AG375" s="11">
        <f>VLOOKUP(K375,'1131 Hábitat'!$K$13:$AK$24,23,0)</f>
        <v>0</v>
      </c>
      <c r="AH375" s="9">
        <f t="shared" si="576"/>
        <v>0</v>
      </c>
      <c r="AI375" s="9">
        <f>VLOOKUP(K375,'1131 Hábitat'!$K$13:$AK$24,25,0)</f>
        <v>0</v>
      </c>
      <c r="AJ375" s="9">
        <f>VLOOKUP(K375,'1131 Hábitat'!$K$13:$AK$24,26,0)</f>
        <v>0</v>
      </c>
      <c r="AK375" s="9">
        <f>VLOOKUP(K375,'1131 Hábitat'!$K$13:$AK$24,27,0)</f>
        <v>0</v>
      </c>
      <c r="AL375" s="11">
        <v>2</v>
      </c>
      <c r="AM375" s="11">
        <v>0</v>
      </c>
      <c r="AN375" s="11">
        <v>2</v>
      </c>
      <c r="AO375" s="11">
        <v>0</v>
      </c>
      <c r="AP375" s="11">
        <v>0</v>
      </c>
      <c r="AQ375" s="11">
        <v>0</v>
      </c>
      <c r="AR375" s="52"/>
      <c r="AS375" s="54">
        <v>0</v>
      </c>
      <c r="AT375" s="54">
        <f t="shared" si="569"/>
        <v>0</v>
      </c>
      <c r="AU375" s="52"/>
      <c r="AV375" s="89">
        <v>0</v>
      </c>
      <c r="AY375" s="89">
        <v>0</v>
      </c>
      <c r="AZ375" s="42">
        <f t="shared" si="577"/>
        <v>0</v>
      </c>
      <c r="BA375" s="44">
        <v>0</v>
      </c>
      <c r="BB375" s="44" t="s">
        <v>115</v>
      </c>
      <c r="BC375" s="42">
        <f t="shared" si="578"/>
        <v>0</v>
      </c>
      <c r="BD375" s="42" t="str" cm="1">
        <f t="array" ref="BD375">_xlfn.IFS(AD375=0,"NA",AD375&gt;0,AH375/AD375)</f>
        <v>NA</v>
      </c>
      <c r="BE375" s="42">
        <f t="shared" si="579"/>
        <v>0.5</v>
      </c>
      <c r="BF375" s="44">
        <v>0</v>
      </c>
      <c r="BG375" s="42">
        <f t="shared" si="580"/>
        <v>0.5</v>
      </c>
      <c r="BH375" s="44">
        <v>0</v>
      </c>
      <c r="BI375" s="42">
        <f t="shared" si="581"/>
        <v>0</v>
      </c>
      <c r="BJ375" s="44" t="s">
        <v>115</v>
      </c>
      <c r="BK375" s="42">
        <f t="shared" si="570"/>
        <v>0</v>
      </c>
      <c r="BL375" s="44" t="s">
        <v>115</v>
      </c>
      <c r="BM375" s="42" t="str" cm="1">
        <f t="array" ref="BM375">_xlfn.IFS(BD375="NA","NA",BD375&gt;100%,"100%",BD375&lt;100,BD375)</f>
        <v>NA</v>
      </c>
      <c r="BN375" s="42" cm="1">
        <f t="array" ref="BN375">_xlfn.IFS(BF375="NA","NA",BF375&gt;100%,"100%",BF375&lt;100,BF375)</f>
        <v>0</v>
      </c>
      <c r="BO375" s="42" cm="1">
        <f t="array" ref="BO375">_xlfn.IFS(BH375="NA","NA",BH375&gt;100%,"100%",BH375&lt;100,BH375)</f>
        <v>0</v>
      </c>
      <c r="BP375" s="42" t="str" cm="1">
        <f t="array" ref="BP375">_xlfn.IFS(BJ375="NA","NA",BJ375&gt;100%,"100%",BJ375&lt;100,BJ375)</f>
        <v>NA</v>
      </c>
      <c r="BQ375" s="45">
        <v>0.224</v>
      </c>
      <c r="BR375" s="43">
        <f t="shared" si="571"/>
        <v>0</v>
      </c>
      <c r="BS375" s="45">
        <v>0</v>
      </c>
      <c r="BT375" s="45" t="s">
        <v>115</v>
      </c>
      <c r="BU375" s="45">
        <v>0</v>
      </c>
      <c r="BV375" s="43">
        <f t="shared" si="582"/>
        <v>0</v>
      </c>
      <c r="BW375" s="43" t="str">
        <f t="shared" si="572"/>
        <v>NA</v>
      </c>
      <c r="BX375" s="43">
        <f t="shared" si="573"/>
        <v>0</v>
      </c>
      <c r="BY375" s="43">
        <f t="shared" si="583"/>
        <v>0.112</v>
      </c>
      <c r="BZ375" s="43">
        <f t="shared" si="584"/>
        <v>0</v>
      </c>
      <c r="CA375" s="43">
        <f t="shared" si="574"/>
        <v>0</v>
      </c>
      <c r="CB375" s="43">
        <f t="shared" si="585"/>
        <v>0.112</v>
      </c>
      <c r="CC375" s="43">
        <f t="shared" si="586"/>
        <v>0</v>
      </c>
      <c r="CD375" s="45">
        <v>0</v>
      </c>
      <c r="CE375" s="43">
        <f t="shared" si="587"/>
        <v>0</v>
      </c>
      <c r="CF375" s="43" t="str">
        <f t="shared" si="588"/>
        <v>NA</v>
      </c>
      <c r="CG375" s="45">
        <v>0</v>
      </c>
    </row>
    <row r="376" spans="1:90" ht="18" customHeight="1">
      <c r="A376" s="260" t="s">
        <v>442</v>
      </c>
      <c r="B376" s="260" t="s">
        <v>443</v>
      </c>
      <c r="C376" s="260" t="s">
        <v>2129</v>
      </c>
      <c r="D376" s="260" t="s">
        <v>2313</v>
      </c>
      <c r="E376" s="260" t="s">
        <v>2314</v>
      </c>
      <c r="F376" s="260" t="s">
        <v>2321</v>
      </c>
      <c r="G376" s="260" t="s">
        <v>2322</v>
      </c>
      <c r="H376" s="260" t="s">
        <v>3029</v>
      </c>
      <c r="I376" s="260" t="s">
        <v>200</v>
      </c>
      <c r="J376" s="260"/>
      <c r="K376" s="260" t="s">
        <v>3030</v>
      </c>
      <c r="L376" s="260" t="s">
        <v>3031</v>
      </c>
      <c r="M376" s="260" t="s">
        <v>3032</v>
      </c>
      <c r="N376" s="260" t="s">
        <v>111</v>
      </c>
      <c r="O376" s="260" t="s">
        <v>112</v>
      </c>
      <c r="P376" s="10">
        <v>0</v>
      </c>
      <c r="Q376" s="11">
        <v>150</v>
      </c>
      <c r="R376" s="9" t="e">
        <f t="shared" si="575"/>
        <v>#N/A</v>
      </c>
      <c r="S376" s="11" t="e">
        <f>VLOOKUP(K376,'1131 Hábitat'!$K$13:$AK$24,9,0)</f>
        <v>#N/A</v>
      </c>
      <c r="T376" s="11">
        <v>0</v>
      </c>
      <c r="U376" s="11">
        <v>0</v>
      </c>
      <c r="V376" s="11">
        <v>0</v>
      </c>
      <c r="W376" s="11">
        <v>0</v>
      </c>
      <c r="X376" s="11">
        <v>0</v>
      </c>
      <c r="Y376" s="11">
        <v>0</v>
      </c>
      <c r="Z376" s="11">
        <v>0</v>
      </c>
      <c r="AA376" s="11"/>
      <c r="AB376" s="11"/>
      <c r="AC376" s="11"/>
      <c r="AD376" s="11">
        <v>0</v>
      </c>
      <c r="AE376" s="11">
        <v>0</v>
      </c>
      <c r="AF376" s="11" t="e">
        <f>VLOOKUP(K376,'1131 Hábitat'!$K$13:$AK$24,22,0)</f>
        <v>#N/A</v>
      </c>
      <c r="AG376" s="11" t="e">
        <f>VLOOKUP(K376,'1131 Hábitat'!$K$13:$AK$24,23,0)</f>
        <v>#N/A</v>
      </c>
      <c r="AH376" s="9" t="e">
        <f t="shared" si="576"/>
        <v>#N/A</v>
      </c>
      <c r="AI376" s="9" t="e">
        <f>VLOOKUP(K376,'1131 Hábitat'!$K$13:$AK$24,25,0)</f>
        <v>#N/A</v>
      </c>
      <c r="AJ376" s="9" t="e">
        <f>VLOOKUP(K376,'1131 Hábitat'!$K$13:$AK$24,26,0)</f>
        <v>#N/A</v>
      </c>
      <c r="AK376" s="9" t="e">
        <f>VLOOKUP(K376,'1131 Hábitat'!$K$13:$AK$24,27,0)</f>
        <v>#N/A</v>
      </c>
      <c r="AL376" s="11">
        <v>75</v>
      </c>
      <c r="AM376" s="11">
        <v>0</v>
      </c>
      <c r="AN376" s="11">
        <v>75</v>
      </c>
      <c r="AO376" s="11">
        <v>0</v>
      </c>
      <c r="AP376" s="11">
        <v>0</v>
      </c>
      <c r="AQ376" s="11">
        <v>0</v>
      </c>
      <c r="AR376" s="52"/>
      <c r="AS376" s="54">
        <v>0</v>
      </c>
      <c r="AT376" s="54">
        <f t="shared" si="569"/>
        <v>0</v>
      </c>
      <c r="AU376" s="52"/>
      <c r="AV376" s="89">
        <v>0</v>
      </c>
      <c r="AY376" s="89">
        <v>0</v>
      </c>
      <c r="AZ376" s="42" t="e">
        <f t="shared" si="577"/>
        <v>#N/A</v>
      </c>
      <c r="BA376" s="44">
        <v>0</v>
      </c>
      <c r="BB376" s="44" t="s">
        <v>115</v>
      </c>
      <c r="BC376" s="42">
        <f t="shared" si="578"/>
        <v>0</v>
      </c>
      <c r="BD376" s="42" t="str" cm="1">
        <f t="array" ref="BD376">_xlfn.IFS(AD376=0,"NA",AD376&gt;0,AH376/AD376)</f>
        <v>NA</v>
      </c>
      <c r="BE376" s="42">
        <f t="shared" si="579"/>
        <v>0.5</v>
      </c>
      <c r="BF376" s="44">
        <v>0</v>
      </c>
      <c r="BG376" s="42">
        <f t="shared" si="580"/>
        <v>0.5</v>
      </c>
      <c r="BH376" s="44">
        <v>0</v>
      </c>
      <c r="BI376" s="42">
        <f t="shared" si="581"/>
        <v>0</v>
      </c>
      <c r="BJ376" s="44" t="s">
        <v>115</v>
      </c>
      <c r="BK376" s="42" t="e">
        <f t="shared" si="570"/>
        <v>#N/A</v>
      </c>
      <c r="BL376" s="44" t="s">
        <v>115</v>
      </c>
      <c r="BM376" s="42" t="str" cm="1">
        <f t="array" ref="BM376">_xlfn.IFS(BD376="NA","NA",BD376&gt;100%,"100%",BD376&lt;100,BD376)</f>
        <v>NA</v>
      </c>
      <c r="BN376" s="42" cm="1">
        <f t="array" ref="BN376">_xlfn.IFS(BF376="NA","NA",BF376&gt;100%,"100%",BF376&lt;100,BF376)</f>
        <v>0</v>
      </c>
      <c r="BO376" s="42" cm="1">
        <f t="array" ref="BO376">_xlfn.IFS(BH376="NA","NA",BH376&gt;100%,"100%",BH376&lt;100,BH376)</f>
        <v>0</v>
      </c>
      <c r="BP376" s="42" t="str" cm="1">
        <f t="array" ref="BP376">_xlfn.IFS(BJ376="NA","NA",BJ376&gt;100%,"100%",BJ376&lt;100,BJ376)</f>
        <v>NA</v>
      </c>
      <c r="BQ376" s="45">
        <v>0.224</v>
      </c>
      <c r="BR376" s="43" t="e">
        <f t="shared" si="571"/>
        <v>#N/A</v>
      </c>
      <c r="BS376" s="45">
        <v>0</v>
      </c>
      <c r="BT376" s="45" t="s">
        <v>115</v>
      </c>
      <c r="BU376" s="45">
        <v>0</v>
      </c>
      <c r="BV376" s="43">
        <f t="shared" si="582"/>
        <v>0</v>
      </c>
      <c r="BW376" s="43" t="str">
        <f t="shared" si="572"/>
        <v>NA</v>
      </c>
      <c r="BX376" s="43" t="e">
        <f t="shared" si="573"/>
        <v>#N/A</v>
      </c>
      <c r="BY376" s="43">
        <f t="shared" si="583"/>
        <v>0.112</v>
      </c>
      <c r="BZ376" s="43">
        <f t="shared" si="584"/>
        <v>0</v>
      </c>
      <c r="CA376" s="43" t="e">
        <f t="shared" si="574"/>
        <v>#N/A</v>
      </c>
      <c r="CB376" s="43">
        <f t="shared" si="585"/>
        <v>0.112</v>
      </c>
      <c r="CC376" s="43">
        <f t="shared" si="586"/>
        <v>0</v>
      </c>
      <c r="CD376" s="45">
        <v>0</v>
      </c>
      <c r="CE376" s="43">
        <f t="shared" si="587"/>
        <v>0</v>
      </c>
      <c r="CF376" s="43" t="str">
        <f t="shared" si="588"/>
        <v>NA</v>
      </c>
      <c r="CG376" s="45">
        <v>0</v>
      </c>
    </row>
    <row r="377" spans="1:90" ht="18" customHeight="1">
      <c r="A377" s="260" t="s">
        <v>2148</v>
      </c>
      <c r="B377" s="260" t="s">
        <v>2149</v>
      </c>
      <c r="C377" s="260" t="s">
        <v>2129</v>
      </c>
      <c r="D377" s="260" t="s">
        <v>2313</v>
      </c>
      <c r="E377" s="260" t="s">
        <v>2327</v>
      </c>
      <c r="F377" s="260" t="s">
        <v>2328</v>
      </c>
      <c r="G377" s="260" t="s">
        <v>2329</v>
      </c>
      <c r="H377" s="260" t="s">
        <v>2330</v>
      </c>
      <c r="I377" s="260"/>
      <c r="J377" s="260"/>
      <c r="K377" s="260" t="s">
        <v>2331</v>
      </c>
      <c r="L377" s="260" t="s">
        <v>2332</v>
      </c>
      <c r="M377" s="260" t="s">
        <v>2333</v>
      </c>
      <c r="N377" s="260" t="s">
        <v>123</v>
      </c>
      <c r="O377" s="260" t="s">
        <v>124</v>
      </c>
      <c r="P377" s="10">
        <v>0</v>
      </c>
      <c r="Q377" s="11">
        <v>100</v>
      </c>
      <c r="R377" s="11">
        <f>(Z377+AH377)/CL377</f>
        <v>48.75</v>
      </c>
      <c r="S377" s="11" t="str">
        <f>VLOOKUP(K377,'1129 Integración'!$K$13:$AK$18,9,0)</f>
        <v xml:space="preserve">Se realizó la identificación, recolección y consolidación de la información regional existente en el Observatorio de Dinámicas Urbano Regionales – ODUR, en cada uno de sus ejes e indicadores. A partir de lo anterior, se estructuró un inventario de información con las fuentes internas (Gobernación y dependencias o entidades adscritas) y externas (terceros públicos y privados), y de tipo documental y a nivel de dato estadístico, con la que se consolidó una base de datos propia que permitió generar indicadores y estadísticas para contar con información primaria de manera oportuna, veraz y actualizada.
Entre las Secretarías de Planeación y de Integración Regional de Cundinamarca y la Secretaría Distrital de Planeación se definió que la fuente de información base será Encuesta Multipropósito de Bogotá y 21 municipios, la cual se aplicará a partir del primer trimestre del 2021. 
Para asegurar que la aplicación de este instrumento logre los resultados esperados, y como punto de partida, el 4 de diciembre se realizó un evento para sensibilizar a los 21 alcaldes y secretarios de planeación de los municipios que incluyen dicha encuesta, sobre la importancia de la gestión del conocimiento como proceso fundamental y transversal para la integración regional y la toma de decisiones. 
</v>
      </c>
      <c r="T377" s="11">
        <v>0</v>
      </c>
      <c r="U377" s="11">
        <v>100</v>
      </c>
      <c r="V377" s="11">
        <v>0</v>
      </c>
      <c r="W377" s="11">
        <v>100</v>
      </c>
      <c r="X377" s="11" t="s">
        <v>115</v>
      </c>
      <c r="Y377" s="11">
        <v>100</v>
      </c>
      <c r="Z377" s="11">
        <v>100</v>
      </c>
      <c r="AA377" s="11">
        <v>0</v>
      </c>
      <c r="AB377" s="11" t="s">
        <v>2334</v>
      </c>
      <c r="AC377" s="11">
        <v>0</v>
      </c>
      <c r="AD377" s="11">
        <v>0</v>
      </c>
      <c r="AE377" s="11">
        <v>100</v>
      </c>
      <c r="AF377" s="11">
        <f>VLOOKUP(K377,'1129 Integración'!$K$13:$AK$18,22,0)</f>
        <v>0</v>
      </c>
      <c r="AG377" s="11">
        <f>VLOOKUP(K377,'1129 Integración'!$K$13:$AK$18,23,0)</f>
        <v>95</v>
      </c>
      <c r="AH377" s="11">
        <f>AG377</f>
        <v>95</v>
      </c>
      <c r="AI377" s="9">
        <f>VLOOKUP(K377,'1129 Integración'!$K$13:$AK$18,25,0)</f>
        <v>0</v>
      </c>
      <c r="AJ377" s="9" t="str">
        <f>VLOOKUP(K377,'1129 Integración'!$K$13:$AK$18,26,0)</f>
        <v xml:space="preserve">En desarrollo de las acciones encaminadas a la generación de conocimiento, mediante la gestión del uso e intercambio de información de carácter regional, y con el propósito de mantenerla actualizada en los sistemas de información con los que cuenta el Departamento, para la toma de decisiones y adopción de políticas públicas para la integración regional, durante el primer trimestre de la vigencia 2021 se identificaron y definieron las siete (7) temáticas metropolitanas de interés en el proceso para la reglamentación de la Región Metropolitana Bogotá – Cundinamarca y se identificó el conjunto de indicadores para cada una de ellas.
Como se recuerda, en cumplimiento de lo establecido en el parágrafo transitorio del Acto Legislativo 002 de 2020, por el cual se creó la Región Metropolitana Bogotá – Cundinamarca, se definió una estrategia articulada entre la Gobernación de Cundinamarca, la Alcaldía Mayor de Bogotá y el Congreso de la República, para la participación ciudadana en la estructuración de la Ley Orgánica que reglamentará la Región Metropolitana. En este sentido, se formuló y ejecutó una estrategia de participación ciudadana en la que se desarrollaron 68 audiencias y se recibieron más de 6.000 propuestas.
Inicialmente, para el análisis de los aportes y recomendaciones, así como para la presentación de resultados, se diseñó una herramienta interactiva que está disponible para consulta en la página web www.regionmetropolitana.com.
A partir de esa información, en los primeros meses de la presente vigencia, se adelantó la consolidación de la información recaudada, por cada uno de los temas priorizados:
• Movilidad y transporte
• Servicios públicos
• Medio ambiente
• Seguridad, convivencia y justicia
• Abastecimiento y seguridad alimentaria
• Desarrollo económico
• Ordenamiento territorial
Una vez definidas las siete (7) temáticas, la Secretaría de Integración Regional, en conjunto con la Secretaría de Planeación de Cundinamarca y la Secretaría Distrital de Planeación, consolidaron identificaron la batería de indicadores para cada uno de los temas.
Se ha realizado un	Levantamiento y Diagnóstico de Información: En consecuencia con el plan de trabajo establecido para el cumplimiento de la meta 366,  en el periodo se avanzó en la consolidación de la información existente sobre la región; esto implica el tratamiento de la misma, la normalización y, al mismo tiempo, la generación de indicadores resultado del análisis.   i.	Consolidación información actual: Se inició con la estructuración de la matriz de indicadores asociados a los temas metropolitanos priorizados, tales como: Movilidad, Seguridad ciudadana, Seguridad alimentaria, Ordenamiento, Medio Ambiente, Desarrollo Económico y Servicios Públicos. Para este efecto, se identificaron 51 indicadores en una primera línea base y se estructuran los mecanismos de recolección, tratamiento y análisis. ii.	Identificación de otras fuentes de información: En el marco de esta actividad se han realizado acciones cruzadas para la consecución de información, la búsqueda de fuentes primarias publicadas y la consolidación de información nueva a través de reuniones con los encargados de las diferentes instituciones generadores de información. En este sentido se identificaron las siguientes fuentes adicionales:
1.	Agronet – Ministerio de Agricultura
2.	ANI
3.	CCB
4.	DANE
5.	Cotelco
6.	DNP
7.	EAAB
8.	ELIC
9.	Empresa Férrea
10.	Encuesta Multipropósito, 2017
11.	EVA - 2019
12.	Fiscalia
13.	Googlemaps
14.	IDEAM
15.	IDT 
16.	Instituto de Investigación de Recursos Biológicos Alexander von Humboldt
17.	Instituto Quinaxi
18.	Invias
19.	Minsiterio de comercio
20.	Parques Nacionales Naturales
21.	POMCA
22.	CAR
23.	PONAL
24.	CONPES LOGISTICA 3547 DE 2008
25.	MinTransporte
26.	RUNAP
27.	Secretaría Distrital de Planeación
28.	SIMUR
29.	SSPD
30.	SUI
31.	Terridata con información DNP.
Cada set de información proveída por estas fuentes primarias se describe en el anexo de información consolidado adjunto. 
*a.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
a.	Información Región Metropolitana Bogotá - Cundinamarca 
En desarrollo de las acciones encaminadas a la generación de conocimiento, en el mes de julio se avanzó en inicia la preparación de información para tercera fase de socialización del proceso para la reglamentación de la Región Metropolitana Bogotá – Cundinamarca.
b.	Actualización indicadores ODUR
Producto de la vinculación de la Secretaría de Integración Regional al plan de trabajo de la Secretaría de Planeación del Departamento para la actualización de la IDER y publicación de los datos del ODUR, se han generado sinergias que permiten avanzar en diferentes frentes:
i.	Organización de la información actual de la IDER
En relación con las acciones para iniciar la reestructuración de la plataforma para promover su uso por parte de los municipios de Cundinamarca, se desarrolla la fase de capacitación y reconocimiento de la plataforma. Para ello se adelantaron sesiones de capacitación sobre las herramientas Power BI, ArcGis Online y ArcGisPro para el grupo de apoyo de la Secretaría de Integración Regional y de la Dirección de Infraestructura y datos espaciales de la Secretaría de Planeación del Departamento, así como al grupo técnico del IDER.
ii.	Organización de la información ODUR
Dentro de las acciones encaminadas a publicar la información de los indicadores ODUR (2019) en la plataforma IDER, se evalúan las herramientas y procedimientos para mostrar la información. 
 </v>
      </c>
      <c r="AK377" s="9" t="str">
        <f>VLOOKUP(K377,'1129 Integración'!$K$13:$AK$18,27,0)</f>
        <v>Ninguna</v>
      </c>
      <c r="AL377" s="11">
        <v>0</v>
      </c>
      <c r="AM377" s="11">
        <v>100</v>
      </c>
      <c r="AN377" s="11">
        <v>0</v>
      </c>
      <c r="AO377" s="11">
        <v>100</v>
      </c>
      <c r="AP377" s="11">
        <v>0</v>
      </c>
      <c r="AQ377" s="11">
        <v>0</v>
      </c>
      <c r="AR377" s="51">
        <v>28363806</v>
      </c>
      <c r="AS377" s="54">
        <v>0</v>
      </c>
      <c r="AT377" s="54">
        <f t="shared" si="569"/>
        <v>28363806</v>
      </c>
      <c r="AU377" s="51">
        <v>25666666</v>
      </c>
      <c r="AV377" s="89">
        <v>132899832</v>
      </c>
      <c r="AY377" s="89">
        <v>123690666</v>
      </c>
      <c r="AZ377" s="44" cm="1">
        <f t="array" ref="AZ377">_xlfn.IFS((BA377=0),(BD377/CL377),(BA377&gt;0),((BB377+BD377)/CL377),(BE377&gt;0),((BB377+BD377+BE377)/CL377),(BG377&gt;0),((BB377+BD377+BE377+G377)/CL377))</f>
        <v>0.48749999999999999</v>
      </c>
      <c r="BA377" s="44">
        <v>0.25</v>
      </c>
      <c r="BB377" s="44">
        <v>1</v>
      </c>
      <c r="BC377" s="44">
        <f>IF(AE377&gt;0,(1/CL377),0)</f>
        <v>0.25</v>
      </c>
      <c r="BD377" s="44" cm="1">
        <f t="array" ref="BD377">_xlfn.IFS(AE377=0,"NA",AE377&gt;0,AH377/AE377)</f>
        <v>0.95</v>
      </c>
      <c r="BE377" s="44">
        <f>IF(AM377&gt;0,(1/CL377),0)</f>
        <v>0.25</v>
      </c>
      <c r="BF377" s="44">
        <v>0</v>
      </c>
      <c r="BG377" s="44">
        <f>IF(AO377&gt;0,(1/CL377),0)</f>
        <v>0.25</v>
      </c>
      <c r="BH377" s="44">
        <v>0</v>
      </c>
      <c r="BI377" s="44">
        <v>0</v>
      </c>
      <c r="BJ377" s="44" t="s">
        <v>115</v>
      </c>
      <c r="BK377" s="44">
        <f t="shared" si="570"/>
        <v>0.48749999999999999</v>
      </c>
      <c r="BL377" s="44">
        <v>1</v>
      </c>
      <c r="BM377" s="42" cm="1">
        <f t="array" ref="BM377">_xlfn.IFS(BD377="NA","NA",BD377&gt;100%,"100%",BD377&lt;100,BD377)</f>
        <v>0.95</v>
      </c>
      <c r="BN377" s="44">
        <v>0</v>
      </c>
      <c r="BO377" s="44">
        <v>0</v>
      </c>
      <c r="BP377" s="44" t="s">
        <v>115</v>
      </c>
      <c r="BQ377" s="45">
        <v>0.224</v>
      </c>
      <c r="BR377" s="43">
        <f t="shared" si="571"/>
        <v>0.10920000000000001</v>
      </c>
      <c r="BS377" s="45">
        <v>5.6000000000000001E-2</v>
      </c>
      <c r="BT377" s="45">
        <v>5.6000000000000001E-2</v>
      </c>
      <c r="BU377" s="45">
        <v>5.6000000000000001E-2</v>
      </c>
      <c r="BV377" s="45">
        <v>5.6000000000000001E-2</v>
      </c>
      <c r="BW377" s="43">
        <f t="shared" si="572"/>
        <v>5.3199999999999997E-2</v>
      </c>
      <c r="BX377" s="43">
        <f t="shared" si="573"/>
        <v>5.3200000000000004E-2</v>
      </c>
      <c r="BY377" s="45">
        <v>5.6000000000000001E-2</v>
      </c>
      <c r="BZ377" s="45">
        <v>0</v>
      </c>
      <c r="CA377" s="43">
        <f t="shared" si="574"/>
        <v>0</v>
      </c>
      <c r="CB377" s="45">
        <v>5.6000000000000001E-2</v>
      </c>
      <c r="CC377" s="45">
        <v>0</v>
      </c>
      <c r="CD377" s="45">
        <v>0</v>
      </c>
      <c r="CE377" s="45">
        <v>0</v>
      </c>
      <c r="CF377" s="45" t="s">
        <v>115</v>
      </c>
      <c r="CG377" s="45">
        <v>0</v>
      </c>
      <c r="CH377">
        <f>IF(W377&gt;0,1,0)</f>
        <v>1</v>
      </c>
      <c r="CI377">
        <f>IF(AE377&gt;0,1,0)</f>
        <v>1</v>
      </c>
      <c r="CJ377">
        <f>IF(AM377&gt;0,1,0)</f>
        <v>1</v>
      </c>
      <c r="CK377">
        <f>IF(AO377&gt;0,1,0)</f>
        <v>1</v>
      </c>
      <c r="CL377">
        <f>CH377+CI377+CJ377+CK377</f>
        <v>4</v>
      </c>
    </row>
    <row r="378" spans="1:90" ht="18" customHeight="1">
      <c r="A378" s="260" t="s">
        <v>2335</v>
      </c>
      <c r="B378" s="260" t="s">
        <v>2336</v>
      </c>
      <c r="C378" s="260" t="s">
        <v>2129</v>
      </c>
      <c r="D378" s="260" t="s">
        <v>2313</v>
      </c>
      <c r="E378" s="260" t="s">
        <v>2327</v>
      </c>
      <c r="F378" s="260" t="s">
        <v>2328</v>
      </c>
      <c r="G378" s="260" t="s">
        <v>2329</v>
      </c>
      <c r="H378" s="260" t="s">
        <v>2337</v>
      </c>
      <c r="I378" s="260"/>
      <c r="J378" s="260"/>
      <c r="K378" s="260" t="s">
        <v>2338</v>
      </c>
      <c r="L378" s="260" t="s">
        <v>3033</v>
      </c>
      <c r="M378" s="260" t="s">
        <v>3034</v>
      </c>
      <c r="N378" s="260" t="s">
        <v>123</v>
      </c>
      <c r="O378" s="260" t="s">
        <v>112</v>
      </c>
      <c r="P378" s="10">
        <v>0</v>
      </c>
      <c r="Q378" s="11">
        <v>100</v>
      </c>
      <c r="R378" s="9">
        <f t="shared" ref="R378:R386" si="589">Z378+AH378</f>
        <v>13</v>
      </c>
      <c r="S378" s="11" t="str">
        <f>VLOOKUP(K378,'1113 Planeación'!$K$13:$AK$19,9,0)</f>
        <v>Dentro de las actividades del mantenimiento del portal IDER, se tinen: Revisión y actualización de lo datos abiertos regionales incluidos en el geoportal ide.cundinamarca.gov.co. Estas actividades incluye la revisión de información de geoserviios web incluida en los visores web geográficos, actualziación de la platafrma tecnológica, revisión de los contenidos e información adelatada por el Distrito, la Gobernación de Cundinamarca y los municipios</v>
      </c>
      <c r="T378" s="11">
        <v>0</v>
      </c>
      <c r="U378" s="11">
        <v>0</v>
      </c>
      <c r="V378" s="11">
        <v>0</v>
      </c>
      <c r="W378" s="11">
        <v>0</v>
      </c>
      <c r="X378" s="11">
        <v>0</v>
      </c>
      <c r="Y378" s="11">
        <v>0</v>
      </c>
      <c r="Z378" s="11">
        <v>0</v>
      </c>
      <c r="AA378" s="11"/>
      <c r="AB378" s="11"/>
      <c r="AC378" s="11"/>
      <c r="AD378" s="11">
        <v>35</v>
      </c>
      <c r="AE378" s="11">
        <v>0</v>
      </c>
      <c r="AF378" s="11">
        <f>VLOOKUP(K378,'1113 Planeación'!$K$13:$AK$19,22,0)</f>
        <v>13</v>
      </c>
      <c r="AG378" s="11">
        <f>VLOOKUP(K378,'1113 Planeación'!$K$13:$AK$19,23,0)</f>
        <v>0</v>
      </c>
      <c r="AH378" s="9">
        <f t="shared" ref="AH378:AH386" si="590">AF378</f>
        <v>13</v>
      </c>
      <c r="AI378" s="9" t="str">
        <f>VLOOKUP(K378,'1113 Planeación'!$K$13:$AK$19,25,0)</f>
        <v>Geoservicios publicados en el geoportal de la Infraestructura de Datos Espaciales Regional IDER</v>
      </c>
      <c r="AJ378" s="9" t="str">
        <f>VLOOKUP(K378,'1113 Planeación'!$K$13:$AK$19,26,0)</f>
        <v>Actualización y publicación de 100 conjuntos de datos web en el portal IDER ider.cundinamarca.gov.co</v>
      </c>
      <c r="AK378" s="9" t="str">
        <f>VLOOKUP(K378,'1113 Planeación'!$K$13:$AK$19,27,0)</f>
        <v>El rezago de tiempo en la actualización del personal disponible para adelantar las actividades de la plataforma web y las demoras en la complejidad de procesamiento y elaboración de aplicaciones web en el portal IDER</v>
      </c>
      <c r="AL378" s="11">
        <v>35</v>
      </c>
      <c r="AM378" s="11">
        <v>0</v>
      </c>
      <c r="AN378" s="11">
        <v>30</v>
      </c>
      <c r="AO378" s="11">
        <v>0</v>
      </c>
      <c r="AP378" s="11">
        <v>0</v>
      </c>
      <c r="AQ378" s="11">
        <v>0</v>
      </c>
      <c r="AR378" s="52"/>
      <c r="AS378" s="54">
        <v>0</v>
      </c>
      <c r="AT378" s="54">
        <f t="shared" si="569"/>
        <v>0</v>
      </c>
      <c r="AU378" s="52"/>
      <c r="AV378" s="89">
        <v>100000000</v>
      </c>
      <c r="AY378" s="89">
        <v>0</v>
      </c>
      <c r="AZ378" s="42">
        <f t="shared" ref="AZ378:AZ386" si="591">R378/Q378</f>
        <v>0.13</v>
      </c>
      <c r="BA378" s="44">
        <v>0</v>
      </c>
      <c r="BB378" s="44" t="s">
        <v>115</v>
      </c>
      <c r="BC378" s="42">
        <f t="shared" ref="BC378:BC386" si="592">AD378/Q378</f>
        <v>0.35</v>
      </c>
      <c r="BD378" s="42" cm="1">
        <f t="array" ref="BD378">_xlfn.IFS(AD378=0,"NA",AD378&gt;0,AH378/AD378)</f>
        <v>0.37142857142857144</v>
      </c>
      <c r="BE378" s="42">
        <f t="shared" ref="BE378:BE386" si="593">AL378/Q378</f>
        <v>0.35</v>
      </c>
      <c r="BF378" s="44">
        <v>0</v>
      </c>
      <c r="BG378" s="42">
        <f t="shared" ref="BG378:BG386" si="594">AN378/Q378</f>
        <v>0.3</v>
      </c>
      <c r="BH378" s="44">
        <v>0</v>
      </c>
      <c r="BI378" s="42">
        <f t="shared" ref="BI378:BI386" si="595">AP378/Q378</f>
        <v>0</v>
      </c>
      <c r="BJ378" s="44" t="s">
        <v>115</v>
      </c>
      <c r="BK378" s="42">
        <f t="shared" si="570"/>
        <v>0.13</v>
      </c>
      <c r="BL378" s="44" t="s">
        <v>115</v>
      </c>
      <c r="BM378" s="42" cm="1">
        <f t="array" ref="BM378">_xlfn.IFS(BD378="NA","NA",BD378&gt;100%,"100%",BD378&lt;100,BD378)</f>
        <v>0.37142857142857144</v>
      </c>
      <c r="BN378" s="42" cm="1">
        <f t="array" ref="BN378">_xlfn.IFS(BF378="NA","NA",BF378&gt;100%,"100%",BF378&lt;100,BF378)</f>
        <v>0</v>
      </c>
      <c r="BO378" s="42" cm="1">
        <f t="array" ref="BO378">_xlfn.IFS(BH378="NA","NA",BH378&gt;100%,"100%",BH378&lt;100,BH378)</f>
        <v>0</v>
      </c>
      <c r="BP378" s="42" t="str" cm="1">
        <f t="array" ref="BP378">_xlfn.IFS(BJ378="NA","NA",BJ378&gt;100%,"100%",BJ378&lt;100,BJ378)</f>
        <v>NA</v>
      </c>
      <c r="BQ378" s="45">
        <v>0.224</v>
      </c>
      <c r="BR378" s="43">
        <f t="shared" si="571"/>
        <v>2.912E-2</v>
      </c>
      <c r="BS378" s="45">
        <v>0</v>
      </c>
      <c r="BT378" s="45" t="s">
        <v>115</v>
      </c>
      <c r="BU378" s="45">
        <v>0</v>
      </c>
      <c r="BV378" s="43">
        <f t="shared" ref="BV378:BV386" si="596">(AD378*BQ378)/Q378</f>
        <v>7.8399999999999997E-2</v>
      </c>
      <c r="BW378" s="43">
        <f t="shared" si="572"/>
        <v>2.912E-2</v>
      </c>
      <c r="BX378" s="43">
        <f t="shared" si="573"/>
        <v>2.912E-2</v>
      </c>
      <c r="BY378" s="43">
        <f t="shared" ref="BY378:BY386" si="597">(AL378*BQ378)/Q378</f>
        <v>7.8399999999999997E-2</v>
      </c>
      <c r="BZ378" s="43">
        <f t="shared" ref="BZ378:BZ386" si="598">IF(BN378="NA","NA",BN378*BY378)</f>
        <v>0</v>
      </c>
      <c r="CA378" s="43">
        <f t="shared" si="574"/>
        <v>0</v>
      </c>
      <c r="CB378" s="43">
        <f t="shared" ref="CB378:CB386" si="599">(AN378*BQ378)/Q378</f>
        <v>6.7199999999999996E-2</v>
      </c>
      <c r="CC378" s="43">
        <f t="shared" ref="CC378:CC386" si="600">IF(BO378="NA","NA",BO378*CB378)</f>
        <v>0</v>
      </c>
      <c r="CD378" s="45">
        <v>0</v>
      </c>
      <c r="CE378" s="43">
        <f t="shared" ref="CE378:CE386" si="601">(AP378*BQ378)/Q378</f>
        <v>0</v>
      </c>
      <c r="CF378" s="43" t="str">
        <f t="shared" ref="CF378:CF386" si="602">IF(BP378="NA","NA",BP378*CE378)</f>
        <v>NA</v>
      </c>
      <c r="CG378" s="45">
        <v>0</v>
      </c>
    </row>
    <row r="379" spans="1:90" ht="18" customHeight="1">
      <c r="A379" s="260" t="s">
        <v>2148</v>
      </c>
      <c r="B379" s="260" t="s">
        <v>2149</v>
      </c>
      <c r="C379" s="260" t="s">
        <v>2129</v>
      </c>
      <c r="D379" s="260" t="s">
        <v>2313</v>
      </c>
      <c r="E379" s="260" t="s">
        <v>2327</v>
      </c>
      <c r="F379" s="260" t="s">
        <v>2341</v>
      </c>
      <c r="G379" s="260" t="s">
        <v>2342</v>
      </c>
      <c r="H379" s="260" t="s">
        <v>2343</v>
      </c>
      <c r="I379" s="260"/>
      <c r="J379" s="260"/>
      <c r="K379" s="260" t="s">
        <v>2344</v>
      </c>
      <c r="L379" s="260" t="s">
        <v>2345</v>
      </c>
      <c r="M379" s="260" t="s">
        <v>131</v>
      </c>
      <c r="N379" s="260" t="s">
        <v>111</v>
      </c>
      <c r="O379" s="260" t="s">
        <v>112</v>
      </c>
      <c r="P379" s="10">
        <v>1</v>
      </c>
      <c r="Q379" s="11">
        <v>1</v>
      </c>
      <c r="R379" s="9">
        <f t="shared" si="589"/>
        <v>0.44</v>
      </c>
      <c r="S379" s="11" t="str">
        <f>VLOOKUP(K379,'1129 Integración'!$K$13:$AK$18,9,0)</f>
        <v xml:space="preserve">Se realizó seguimiento a la ejecución del plan de trabajo definido con la RAP-E Región Central, en sus cinco ejes: Seguridad Alimentaria y Desarrollo Rural; Sustentabilidad Ecosistémica y Manejo de Riesgos; Competitividad y Proyección Internacional; Infraestructuras de Transporte, Logística y Servicios Públicos; Gobernanza y buen Gobierno y Gestión de Fortalecimiento Institucional.
En el Comité de Integración Territorial (CIT) se definió un plan de trabajo articulado a la agenda regional Bogotá-Cundinamarca y se realizaron talleres con las secretarías de planeación de los municipios para identificar proyectos incluidos en los planes de desarrollo municipales. Además, se adelantaron las mesas técnicas de residuos sólidos y seguridad ciudadana. En la primera, se validaron las líneas estratégicas para el Plan Integral de Gestión de Residuos Sólidos y en la de seguridad ciudadana, se trabaja en los Planes Integrales de Seguridad, Convivencia y Justicia (PISCJ) Distrital y Departamental.
Con la Secretaría Distrital de Planeación y la Cámara de Comercio de Bogotá, se avanzó en la suscripción de un convenio de asociación para el fortalecimiento de esta instancia de coordinación regional. 
</v>
      </c>
      <c r="T379" s="11">
        <v>0.16</v>
      </c>
      <c r="U379" s="11">
        <v>0</v>
      </c>
      <c r="V379" s="11">
        <v>0.21</v>
      </c>
      <c r="W379" s="11">
        <v>0</v>
      </c>
      <c r="X379" s="11">
        <v>0.21</v>
      </c>
      <c r="Y379" s="11">
        <v>0</v>
      </c>
      <c r="Z379" s="11">
        <v>0.21</v>
      </c>
      <c r="AA379" s="11">
        <v>0</v>
      </c>
      <c r="AB379" s="11" t="s">
        <v>2346</v>
      </c>
      <c r="AC379" s="11">
        <v>0</v>
      </c>
      <c r="AD379" s="11">
        <v>0.25</v>
      </c>
      <c r="AE379" s="11">
        <v>0</v>
      </c>
      <c r="AF379" s="11">
        <f>VLOOKUP(K379,'1129 Integración'!$K$13:$AK$18,22,0)</f>
        <v>0.23</v>
      </c>
      <c r="AG379" s="11">
        <f>VLOOKUP(K379,'1129 Integración'!$K$13:$AK$18,23,0)</f>
        <v>0</v>
      </c>
      <c r="AH379" s="9">
        <f t="shared" si="590"/>
        <v>0.23</v>
      </c>
      <c r="AI379" s="9">
        <f>VLOOKUP(K379,'1129 Integración'!$K$13:$AK$18,25,0)</f>
        <v>0</v>
      </c>
      <c r="AJ379" s="9" t="str">
        <f>VLOOKUP(K379,'1129 Integración'!$K$13:$AK$18,26,0)</f>
        <v xml:space="preserve">En el marco de las acciones encaminadas a fortalecer los espacios de coordinación regional existentes, el pasado 23 de diciembre se suscribió el convenio No.537 de 2020 / SIR-CDCASO-024-2020, con la Secretaría Distrital de Planeación y  la Cámara de Comercio de Bogotá (CCB), que tiene por  objeto “Aunar recursos humanos, técnicos y financieros para facilitar, apoyar y acompañar la implementación de la agenda programática regional concertada entre la Alcaldía Mayor de Bogotá D.C., la Gobernación de Cundinamarca y los municipios que hacen parte del Comité de Integración Territorial (CIT) para contribuir a la integración regional, a la reactivación económica, al mejoramiento del entorno empresarial y a la prosperidad de la región”. 
En desarrollo de este Convenio, durante el primer trismestre se realizaron dos comités técnicos de seguimiento, para la revisión del plan de trabajo propuesto, el funcionamiento de las mesas técnicas y la validación de los documentos de trabajo. En los dos comités, realizados el 1 de febrero y el 23 de marzo, en representación de la Secretaría participaron la Gerencia, la Dirección de Gestión e Integración Regional y una asesora del Despacho.  Igualmente, se adelantó una mesa de trabajo para el ajuste cronograma del plan de trabajo del convenio, el 25 de marzo. 
En cuanto a la Región Administrativa y de Planeación Especial – RAPE Región Central, en desarrollo del Convenio No. 1676 de 2014 y del Convenio de Adhesión No. 001 de 2019, se recibió y estudió el informe general de gestión 2020 de la RAPE, como insumo para la elaboración del informe semestral de seguimiento de la gestión de actividades y la ejecución presupuestal de la RAPE, a cargo de la Supervisión. Igualmente, se iniciaron las acciones pertinentes para adelantar la transferencia de recursos de la vigencia 2021. 
La Supervisión recibió y estudio el Plan Regional de Ejecución 2021-2024, al cual se le realizaron comentarios y observaciones. En este mismo sentido, como parte del acompañamiento a las sesiones de la junta directiva, mesas de seguimiento, o mesas de trabajo conjunto, esta entidad participó en la sesión de trabajo con la Rape para revisión y ajuste de su Plan Regional de Ejecución 2021, el 10 de marzo, en la que también  participaron  la Secretaría de Planeación de Cundinamarca, Secretaría de Agricultura de Cundinamarca, Secretaría de Movilidad de Cundinamarca y la  RAPE, y en la reunión de presentación, por parte de la RAPE, del ejercicio de identificación cartográfica de sitios de importancia cultural en los sistemas de páramos - gobernanza ambiental, el  24 de marzo.
De otro lado, en las acciones de participación en las sesiones de trabajo y deliberaciones para el establecimiento de acuerdos de POT, esta Secretaría participó en la Mesa de seguimiento a la sentencia del río Bogotá para consolidar las acciones de articulación de los POT de los municipios de cuenca del río Bogotá, realizada el  4 de marzo, y en la reunión con el comité de verificación de la sentencia del río Bogotá del: 15 de marzo.
*En el marco del convenio que creo la Región Administrativa de Planificación Especial - RAP-E Región Central, el 9 de abril se reportó el informe de supervisión definitivo como uno de los documentos soporte para la transferencia de recursos de la vigencia 2021. Dentro del informe, además de la verificación de las actividades el Plan Estratégico Regional, se analizó el presupuesto 2021 y el Plan Operativo Anuel de Inversiones 2021. 
En desarrollo del Convenio de asociación para el fortalecimiento del Comité de Integración Territorial (CIT), el día 22 de abril se llevó a cabo una sesión de trabajo con los equipos de la Cámara de Comercio de Bogotá y de la Secretaría Distrital de Planeación con el fin de definir las temáticas de los talleres y foros a desarrollar en la presente vigencia.
El  23 de abril se llevó a cabo una reunión con la Corporación Autónoma Regional de Cundinamarca (CAR) sobre el diligenciamiento de las fichas de cumplimiento de los proyectos del POMCA. Producto de esa reunión se realizó una nueva reunión con la Secretaría Departamental de Ambiente, el 30 de abril, en la que se revisaron los contenidos de cada ficha y se generó el compromiso de verificar la información frente al proyecto de Pago Por Servicios Ambientales.
</v>
      </c>
      <c r="AK379" s="9" t="str">
        <f>VLOOKUP(K379,'1129 Integración'!$K$13:$AK$18,27,0)</f>
        <v>Ninguna</v>
      </c>
      <c r="AL379" s="11">
        <v>0.17</v>
      </c>
      <c r="AM379" s="11">
        <v>0</v>
      </c>
      <c r="AN379" s="11">
        <v>0.37</v>
      </c>
      <c r="AO379" s="11">
        <v>0</v>
      </c>
      <c r="AP379" s="11">
        <v>0</v>
      </c>
      <c r="AQ379" s="11">
        <v>0</v>
      </c>
      <c r="AR379" s="51">
        <v>100000000</v>
      </c>
      <c r="AS379" s="54">
        <v>0</v>
      </c>
      <c r="AT379" s="54">
        <f t="shared" si="569"/>
        <v>100000000</v>
      </c>
      <c r="AU379" s="51">
        <v>100000000</v>
      </c>
      <c r="AV379" s="89">
        <v>1171804089</v>
      </c>
      <c r="AY379" s="89">
        <v>169890000</v>
      </c>
      <c r="AZ379" s="42">
        <f>R379/Q379</f>
        <v>0.44</v>
      </c>
      <c r="BA379" s="44">
        <v>0.21</v>
      </c>
      <c r="BB379" s="44">
        <v>100</v>
      </c>
      <c r="BC379" s="42">
        <f t="shared" si="592"/>
        <v>0.25</v>
      </c>
      <c r="BD379" s="42" cm="1">
        <f t="array" ref="BD379">_xlfn.IFS(AD379=0,"NA",AD379&gt;0,AH379/AD379)</f>
        <v>0.92</v>
      </c>
      <c r="BE379" s="42">
        <f t="shared" si="593"/>
        <v>0.17</v>
      </c>
      <c r="BF379" s="44">
        <v>0</v>
      </c>
      <c r="BG379" s="42">
        <f t="shared" si="594"/>
        <v>0.37</v>
      </c>
      <c r="BH379" s="44">
        <v>0</v>
      </c>
      <c r="BI379" s="42">
        <f t="shared" si="595"/>
        <v>0</v>
      </c>
      <c r="BJ379" s="44" t="s">
        <v>115</v>
      </c>
      <c r="BK379" s="42">
        <f t="shared" si="570"/>
        <v>0.44</v>
      </c>
      <c r="BL379" s="44">
        <v>1</v>
      </c>
      <c r="BM379" s="42" cm="1">
        <f t="array" ref="BM379">_xlfn.IFS(BD379="NA","NA",BD379&gt;100%,"100%",BD379&lt;100,BD379)</f>
        <v>0.92</v>
      </c>
      <c r="BN379" s="42" cm="1">
        <f t="array" ref="BN379">_xlfn.IFS(BF379="NA","NA",BF379&gt;100%,"100%",BF379&lt;100,BF379)</f>
        <v>0</v>
      </c>
      <c r="BO379" s="42" cm="1">
        <f t="array" ref="BO379">_xlfn.IFS(BH379="NA","NA",BH379&gt;100%,"100%",BH379&lt;100,BH379)</f>
        <v>0</v>
      </c>
      <c r="BP379" s="42" t="str" cm="1">
        <f t="array" ref="BP379">_xlfn.IFS(BJ379="NA","NA",BJ379&gt;100%,"100%",BJ379&lt;100,BJ379)</f>
        <v>NA</v>
      </c>
      <c r="BQ379" s="45">
        <v>0.224</v>
      </c>
      <c r="BR379" s="43">
        <f t="shared" si="571"/>
        <v>9.8560000000000009E-2</v>
      </c>
      <c r="BS379" s="45">
        <v>4.7E-2</v>
      </c>
      <c r="BT379" s="45">
        <v>4.7E-2</v>
      </c>
      <c r="BU379" s="45">
        <v>0.224</v>
      </c>
      <c r="BV379" s="43">
        <f t="shared" si="596"/>
        <v>5.6000000000000001E-2</v>
      </c>
      <c r="BW379" s="43">
        <f t="shared" si="572"/>
        <v>5.1520000000000003E-2</v>
      </c>
      <c r="BX379" s="43">
        <f t="shared" si="573"/>
        <v>-0.12544</v>
      </c>
      <c r="BY379" s="43">
        <f t="shared" si="597"/>
        <v>3.8080000000000003E-2</v>
      </c>
      <c r="BZ379" s="43">
        <f t="shared" si="598"/>
        <v>0</v>
      </c>
      <c r="CA379" s="43">
        <f t="shared" si="574"/>
        <v>0</v>
      </c>
      <c r="CB379" s="43">
        <f t="shared" si="599"/>
        <v>8.2879999999999995E-2</v>
      </c>
      <c r="CC379" s="43">
        <f t="shared" si="600"/>
        <v>0</v>
      </c>
      <c r="CD379" s="45">
        <v>0</v>
      </c>
      <c r="CE379" s="43">
        <f t="shared" si="601"/>
        <v>0</v>
      </c>
      <c r="CF379" s="43" t="str">
        <f t="shared" si="602"/>
        <v>NA</v>
      </c>
      <c r="CG379" s="45">
        <v>0</v>
      </c>
    </row>
    <row r="380" spans="1:90" ht="18" customHeight="1">
      <c r="A380" s="260" t="s">
        <v>2148</v>
      </c>
      <c r="B380" s="260" t="s">
        <v>2149</v>
      </c>
      <c r="C380" s="260" t="s">
        <v>2129</v>
      </c>
      <c r="D380" s="260" t="s">
        <v>2313</v>
      </c>
      <c r="E380" s="260" t="s">
        <v>2327</v>
      </c>
      <c r="F380" s="260" t="s">
        <v>2341</v>
      </c>
      <c r="G380" s="260" t="s">
        <v>2342</v>
      </c>
      <c r="H380" s="260" t="s">
        <v>2347</v>
      </c>
      <c r="I380" s="260"/>
      <c r="J380" s="260"/>
      <c r="K380" s="260" t="s">
        <v>2348</v>
      </c>
      <c r="L380" s="260" t="s">
        <v>2349</v>
      </c>
      <c r="M380" s="260" t="s">
        <v>2350</v>
      </c>
      <c r="N380" s="260" t="s">
        <v>111</v>
      </c>
      <c r="O380" s="260" t="s">
        <v>112</v>
      </c>
      <c r="P380" s="10">
        <v>0</v>
      </c>
      <c r="Q380" s="11">
        <v>4</v>
      </c>
      <c r="R380" s="9">
        <f t="shared" si="589"/>
        <v>0</v>
      </c>
      <c r="S380" s="11" t="str">
        <f>VLOOKUP(K380,'1129 Integración'!$K$13:$AK$18,9,0)</f>
        <v xml:space="preserve">se definió un esquema de trabajo con cinco fases, que va desde la formulación hasta la aprobación.
Se lideró el proceso para la conformación de la Provincia Administrativa y de Planificación de Sumapaz, con la participación de sus diez municipios, para lograr una figura asociativa que permita alcanzar objetivos comunes que mejoren el nivel de vida de las comunidades. Se avanzó en la estructuración del esquema asociativo y de la ruta de trabajo, y se conformó el comité técnico para la elaboración del documento soporte, que define su funcionamiento, financiamiento y reglas. 
Adicionalmente, Se ha venido trabajado con las provincias del Alto Magdalena, Guavio y Tequendama para la definición de esquemas de asociatividad y la identificación de proyectos conjuntos. 
</v>
      </c>
      <c r="T380" s="11">
        <v>0</v>
      </c>
      <c r="U380" s="11">
        <v>0</v>
      </c>
      <c r="V380" s="11">
        <v>0</v>
      </c>
      <c r="W380" s="11">
        <v>0</v>
      </c>
      <c r="X380" s="11">
        <v>0</v>
      </c>
      <c r="Y380" s="11">
        <v>0</v>
      </c>
      <c r="Z380" s="11">
        <v>0</v>
      </c>
      <c r="AA380" s="11">
        <v>0</v>
      </c>
      <c r="AB380" s="11" t="s">
        <v>2351</v>
      </c>
      <c r="AC380" s="11">
        <v>0</v>
      </c>
      <c r="AD380" s="11">
        <v>1</v>
      </c>
      <c r="AE380" s="11">
        <v>0</v>
      </c>
      <c r="AF380" s="11">
        <f>VLOOKUP(K380,'1129 Integración'!$K$13:$AK$18,22,0)</f>
        <v>0</v>
      </c>
      <c r="AG380" s="11">
        <f>VLOOKUP(K380,'1129 Integración'!$K$13:$AK$18,23,0)</f>
        <v>0</v>
      </c>
      <c r="AH380" s="9">
        <f t="shared" si="590"/>
        <v>0</v>
      </c>
      <c r="AI380" s="9">
        <f>VLOOKUP(K380,'1129 Integración'!$K$13:$AK$18,25,0)</f>
        <v>0</v>
      </c>
      <c r="AJ380" s="9" t="str">
        <f>VLOOKUP(K380,'1129 Integración'!$K$13:$AK$18,26,0)</f>
        <v xml:space="preserve">se realizaron encuentros virtuales con el director de la PAP de Cartama, Antioquia (3 de febrero), y con el director de la PAP Agua, Bosques y Turismo, Antioquia (19 de febrero), que permitieron conocer de cerca la experiencia de estas regiones en la conformación y creación de las PAP, en aspectos como la reglamentación para su funcionamiento.
El 23 de febrero se realizó una reunión con el alcalde de Fusagasugá y su equipo asesor, dado el carácter de este municipio como cabecera de provincia y su interés en ser parte de la PAP Sumapaz. En este encuentro se brindó información sobre el estado de avance de conformación del esquema asociativo.
   A principios del mes de mayo se realizaron las últimas reuniones con el área jurídica de la Secretaría de Integración Regional de la Gobernación de Cundinamarca para revisar y ejecutar los ajustes necesarios a la Ordenanza de Reglamentación y funcionamiento de las Provincias Administrativas y de Planificación en Cundinamarca, la cual fue presentada el 12 de mayo por la Secretaria de Integración Regional ante la Asamblea Departamental. Como resultado de dicha socialización se retiró el proyecto de la Asamblea debido a dos aspectos, el primero se requiere de un análisis más profundo sobre las competencias que tienen los diputados para la reglamentación y el funcionamiento de las PAP y el segundo si es el momento apropiado para la creación de las PAP teniendo en cuenta que está en proceso la construcción de la ley orgánica de Región Metropolitana, y se requiere aclarar si son complementarias.
Se realizó un análisis de las intervenciones realizadas por los diputados y se preparó una respuesta a las inquietudes presentadas por ellos, con el objetivo de proporcionar una información más amplificada sobre los esquemas asociativos y en específico las Provincias Administrativas y de Planificación en Cundinamarca.
Así mismo, se realizó una reunión con la Oficina Jurídica del departamento para analizar los resultados de la presentación de la ordenanza y se tomó la decisión de solicitar unos conceptos sobre las PAP a Min Interior y a una asesoría jurídica externa que tiene la Secretaría Jurídica del departamento. 
</v>
      </c>
      <c r="AK380" s="9" t="str">
        <f>VLOOKUP(K380,'1129 Integración'!$K$13:$AK$18,27,0)</f>
        <v>Ninguna</v>
      </c>
      <c r="AL380" s="11">
        <v>2</v>
      </c>
      <c r="AM380" s="11">
        <v>0</v>
      </c>
      <c r="AN380" s="11">
        <v>1</v>
      </c>
      <c r="AO380" s="11">
        <v>0</v>
      </c>
      <c r="AP380" s="11">
        <v>0</v>
      </c>
      <c r="AQ380" s="11">
        <v>0</v>
      </c>
      <c r="AR380" s="51">
        <v>9676333</v>
      </c>
      <c r="AS380" s="54">
        <v>0</v>
      </c>
      <c r="AT380" s="54">
        <f t="shared" si="569"/>
        <v>9676333</v>
      </c>
      <c r="AU380" s="51">
        <v>9676333</v>
      </c>
      <c r="AV380" s="89">
        <v>31000000</v>
      </c>
      <c r="AY380" s="89">
        <v>28823000</v>
      </c>
      <c r="AZ380" s="42">
        <f t="shared" si="591"/>
        <v>0</v>
      </c>
      <c r="BA380" s="44">
        <v>0</v>
      </c>
      <c r="BB380" s="44" t="s">
        <v>115</v>
      </c>
      <c r="BC380" s="42">
        <f t="shared" si="592"/>
        <v>0.25</v>
      </c>
      <c r="BD380" s="42" cm="1">
        <f t="array" ref="BD380">_xlfn.IFS(AD380=0,"NA",AD380&gt;0,AH380/AD380)</f>
        <v>0</v>
      </c>
      <c r="BE380" s="42">
        <f t="shared" si="593"/>
        <v>0.5</v>
      </c>
      <c r="BF380" s="44">
        <v>0</v>
      </c>
      <c r="BG380" s="42">
        <f t="shared" si="594"/>
        <v>0.25</v>
      </c>
      <c r="BH380" s="44">
        <v>0</v>
      </c>
      <c r="BI380" s="42">
        <f t="shared" si="595"/>
        <v>0</v>
      </c>
      <c r="BJ380" s="44" t="s">
        <v>115</v>
      </c>
      <c r="BK380" s="42">
        <f t="shared" si="570"/>
        <v>0</v>
      </c>
      <c r="BL380" s="44" t="s">
        <v>115</v>
      </c>
      <c r="BM380" s="42" cm="1">
        <f t="array" ref="BM380">_xlfn.IFS(BD380="NA","NA",BD380&gt;100%,"100%",BD380&lt;100,BD380)</f>
        <v>0</v>
      </c>
      <c r="BN380" s="42" cm="1">
        <f t="array" ref="BN380">_xlfn.IFS(BF380="NA","NA",BF380&gt;100%,"100%",BF380&lt;100,BF380)</f>
        <v>0</v>
      </c>
      <c r="BO380" s="42" cm="1">
        <f t="array" ref="BO380">_xlfn.IFS(BH380="NA","NA",BH380&gt;100%,"100%",BH380&lt;100,BH380)</f>
        <v>0</v>
      </c>
      <c r="BP380" s="42" t="str" cm="1">
        <f t="array" ref="BP380">_xlfn.IFS(BJ380="NA","NA",BJ380&gt;100%,"100%",BJ380&lt;100,BJ380)</f>
        <v>NA</v>
      </c>
      <c r="BQ380" s="45">
        <v>0.224</v>
      </c>
      <c r="BR380" s="43">
        <f t="shared" si="571"/>
        <v>0</v>
      </c>
      <c r="BS380" s="45">
        <v>0</v>
      </c>
      <c r="BT380" s="45" t="s">
        <v>115</v>
      </c>
      <c r="BU380" s="45">
        <v>0</v>
      </c>
      <c r="BV380" s="43">
        <f t="shared" si="596"/>
        <v>5.6000000000000001E-2</v>
      </c>
      <c r="BW380" s="43">
        <f t="shared" si="572"/>
        <v>0</v>
      </c>
      <c r="BX380" s="43">
        <f t="shared" si="573"/>
        <v>0</v>
      </c>
      <c r="BY380" s="43">
        <f t="shared" si="597"/>
        <v>0.112</v>
      </c>
      <c r="BZ380" s="43">
        <f t="shared" si="598"/>
        <v>0</v>
      </c>
      <c r="CA380" s="43">
        <f t="shared" si="574"/>
        <v>0</v>
      </c>
      <c r="CB380" s="43">
        <f t="shared" si="599"/>
        <v>5.6000000000000001E-2</v>
      </c>
      <c r="CC380" s="43">
        <f t="shared" si="600"/>
        <v>0</v>
      </c>
      <c r="CD380" s="45">
        <v>0</v>
      </c>
      <c r="CE380" s="43">
        <f t="shared" si="601"/>
        <v>0</v>
      </c>
      <c r="CF380" s="43" t="str">
        <f t="shared" si="602"/>
        <v>NA</v>
      </c>
      <c r="CG380" s="45">
        <v>0</v>
      </c>
    </row>
    <row r="381" spans="1:90" ht="18" customHeight="1">
      <c r="A381" s="260" t="s">
        <v>2148</v>
      </c>
      <c r="B381" s="260" t="s">
        <v>2149</v>
      </c>
      <c r="C381" s="260" t="s">
        <v>2129</v>
      </c>
      <c r="D381" s="260" t="s">
        <v>2313</v>
      </c>
      <c r="E381" s="260" t="s">
        <v>2327</v>
      </c>
      <c r="F381" s="260" t="s">
        <v>2341</v>
      </c>
      <c r="G381" s="260" t="s">
        <v>2342</v>
      </c>
      <c r="H381" s="260" t="s">
        <v>2352</v>
      </c>
      <c r="I381" s="260"/>
      <c r="J381" s="260"/>
      <c r="K381" s="260" t="s">
        <v>2353</v>
      </c>
      <c r="L381" s="260" t="s">
        <v>2354</v>
      </c>
      <c r="M381" s="260" t="s">
        <v>131</v>
      </c>
      <c r="N381" s="260" t="s">
        <v>111</v>
      </c>
      <c r="O381" s="260" t="s">
        <v>112</v>
      </c>
      <c r="P381" s="10">
        <v>0</v>
      </c>
      <c r="Q381" s="11">
        <v>1</v>
      </c>
      <c r="R381" s="9">
        <f t="shared" si="589"/>
        <v>0.37</v>
      </c>
      <c r="S381" s="11" t="str">
        <f>VLOOKUP(K381,'1129 Integración'!$K$13:$AK$18,9,0)</f>
        <v xml:space="preserve">Con el fin de avanzar en la meta de creación y puesta en marcha de una estructura de gobernanza subregional, Se acompañó en el proceso de aprobación en el Congreso de la República del Acto Legislativo 02 del 22 de julio de 2020 que creó la Región Metropolitana Bogotá-Cundinamarca, una entidad administrativa de asociatividad regional conformada por el Distrito Capital, el departamento de Cundinamarca y los municipios con los cuales se compartan dinámicas territoriales, ambientales, sociales y económicas.
La primera fase comprendió la realización de 24 audiencias públicas: seis (6) provinciales, doce (12) municipales y seis (6) en las localidades de Bogotá, en las que se recibieron 3.400 propuestas ciudadanas, resultado de alrededor de 1.300 intervenciones.
En la segunda fase se realizaron 23 encuentros sectoriales y poblacionales, más de 500 ciudadanos y ciudadanas, representantes de organizaciones sociales, gremiales, grupos poblacionales y de corporaciones públicas entregaron cerca de 1.600 aportes. Esta segunda fase abordó 12 encuentros sectoriales y 8 con diferentes grupos poblacionales. Además, se realizaron 19 talleres con los concejos de algunos municipios de Cundinamarca.
</v>
      </c>
      <c r="T381" s="11">
        <v>0.16</v>
      </c>
      <c r="U381" s="11">
        <v>0</v>
      </c>
      <c r="V381" s="11">
        <v>0.18</v>
      </c>
      <c r="W381" s="11">
        <v>0</v>
      </c>
      <c r="X381" s="11">
        <v>0.18</v>
      </c>
      <c r="Y381" s="11">
        <v>0</v>
      </c>
      <c r="Z381" s="11">
        <v>0.18</v>
      </c>
      <c r="AA381" s="11">
        <v>0</v>
      </c>
      <c r="AB381" s="11" t="s">
        <v>2355</v>
      </c>
      <c r="AC381" s="11">
        <v>0</v>
      </c>
      <c r="AD381" s="11">
        <v>0.2</v>
      </c>
      <c r="AE381" s="11">
        <v>0</v>
      </c>
      <c r="AF381" s="11">
        <f>VLOOKUP(K381,'1129 Integración'!$K$13:$AK$18,22,0)</f>
        <v>0.19</v>
      </c>
      <c r="AG381" s="11">
        <f>VLOOKUP(K381,'1129 Integración'!$K$13:$AK$18,23,0)</f>
        <v>0</v>
      </c>
      <c r="AH381" s="9">
        <f t="shared" si="590"/>
        <v>0.19</v>
      </c>
      <c r="AI381" s="9">
        <f>VLOOKUP(K381,'1129 Integración'!$K$13:$AK$18,25,0)</f>
        <v>0</v>
      </c>
      <c r="AJ381" s="9" t="str">
        <f>VLOOKUP(K381,'1129 Integración'!$K$13:$AK$18,26,0)</f>
        <v xml:space="preserve">Dentro de las acciones para la creación y puesta en marcha de una estructura de gobernanza subregional, la Secretaría de Integración Regional lidera y acompaña el proceso para la estructuración de una propuesta de ley orgánica que defina el funcionamiento de la Región Metropolitana Bogotá-Cundinamarca, creada mediante el Acto Legislativo 02 del 22 de julio de 2020. 
Durante el primer trimestre de 2021 se adelantaron 62 reuniones para el desarrollo de los temas relacionados con la estructuración de un nuevo borrador de proyecto de Ley Orgánica de Región Metropolitana, en las que ha participado activamente la secretaria de Despacho, Patricia González Avila, junto con los asesores temáticos para la Ley y varios de los secretarios de la Gobernación de Cundinamarca. Se ha realizado una construcción colectiva del proyecto de borrador entre la Alcaldía Mayor, representada por la Consejera para el tema de Región, así como por la Dirección de Integración Regional, Nacional e Internacional de la Secretaría Distrital de Planeación y la Gobernación de Cundinamarca, en cabeza de la Secretaria de Integración Regional. Los avances en el proyecto de Ley fueron presentados por el Gobernador de Cundinamarca y la alcaldesa de Bogotá a los representantes a la Cámara por Bogotá y Cundinamarca en reunión realizada el 3 de marzo, igualmente el Gobernador presidió la reunión que se realizó el 29 de marzo entre los representantes por Cundinamarca y los diputados de la Asamblea. Así mismo, la bancada de representantes por Bogotá tuvo una sesión de trabajo con los concejales de Bogotá el 12 de marzo, sesión realizada en el Congreso de la República y en la que participó con una intervención la Secretaria de Integración Regional.
Así mismo, en el marco de los contratos realizados por la RAPE con las Universidades de Los Andes y Nacional se ha contado con insumos técnicos en los aspectos relacionados con gobernanza, toma de decisiones y financiación, que han permitido conocer y comparar experiencias internacionales y acoger recomendaciones en la elaboración del articulado.
En lo relacionado con comunicaciones de la Región Metropolitana, con el apoyo de Asocapitales se elaboró una cartilla de Región Metropolitana que tanto en versión impresa como digital está siendo distribuida entre los actores relevantes. Además, en conjunto con la Alcaldía Mayor de Bogotá y la Gobernación de Cundinamarca se ha desarrollado una estrategia conjunta en redes sociales sobre los alcances de la Región Metropolitana.
*El 8 de abril,  la Secretaria de Integración Regional lideró una jornada de revisión de la propuesta de la estrategia de participación en el marco de la formulación de la ley orgánica de la Región Metropolitana Bogotá – Cundinamarca. Dicha propuesta fue ajustada a partir de las observaciones de esa reunión y de los cometarios al documento. 
El 13 y el 30 de abril se fortaleció la propuesta, en la cual se definene espacios de participación para la socialización del proyecto de ley y del trámite legislativo.
</v>
      </c>
      <c r="AK381" s="9" t="str">
        <f>VLOOKUP(K381,'1129 Integración'!$K$13:$AK$18,27,0)</f>
        <v>Ninguna</v>
      </c>
      <c r="AL381" s="11">
        <v>0.21</v>
      </c>
      <c r="AM381" s="11">
        <v>0</v>
      </c>
      <c r="AN381" s="11">
        <v>0.41</v>
      </c>
      <c r="AO381" s="11">
        <v>0</v>
      </c>
      <c r="AP381" s="11">
        <v>0</v>
      </c>
      <c r="AQ381" s="11">
        <v>0</v>
      </c>
      <c r="AR381" s="51">
        <v>160126666</v>
      </c>
      <c r="AS381" s="54">
        <v>0</v>
      </c>
      <c r="AT381" s="54">
        <f t="shared" si="569"/>
        <v>160126666</v>
      </c>
      <c r="AU381" s="51">
        <v>128666666</v>
      </c>
      <c r="AV381" s="89">
        <v>407987835</v>
      </c>
      <c r="AY381" s="89">
        <v>282950000</v>
      </c>
      <c r="AZ381" s="42">
        <f t="shared" si="591"/>
        <v>0.37</v>
      </c>
      <c r="BA381" s="44">
        <v>0.18</v>
      </c>
      <c r="BB381" s="44">
        <v>1</v>
      </c>
      <c r="BC381" s="42">
        <f t="shared" si="592"/>
        <v>0.2</v>
      </c>
      <c r="BD381" s="42" cm="1">
        <f t="array" ref="BD381">_xlfn.IFS(AD381=0,"NA",AD381&gt;0,AH381/AD381)</f>
        <v>0.95</v>
      </c>
      <c r="BE381" s="42">
        <f t="shared" si="593"/>
        <v>0.21</v>
      </c>
      <c r="BF381" s="44">
        <v>0</v>
      </c>
      <c r="BG381" s="42">
        <f t="shared" si="594"/>
        <v>0.41</v>
      </c>
      <c r="BH381" s="44">
        <v>0</v>
      </c>
      <c r="BI381" s="42">
        <f t="shared" si="595"/>
        <v>0</v>
      </c>
      <c r="BJ381" s="44" t="s">
        <v>115</v>
      </c>
      <c r="BK381" s="42">
        <f t="shared" si="570"/>
        <v>0.37</v>
      </c>
      <c r="BL381" s="44">
        <v>1</v>
      </c>
      <c r="BM381" s="42" cm="1">
        <f t="array" ref="BM381">_xlfn.IFS(BD381="NA","NA",BD381&gt;100%,"100%",BD381&lt;100,BD381)</f>
        <v>0.95</v>
      </c>
      <c r="BN381" s="42" cm="1">
        <f t="array" ref="BN381">_xlfn.IFS(BF381="NA","NA",BF381&gt;100%,"100%",BF381&lt;100,BF381)</f>
        <v>0</v>
      </c>
      <c r="BO381" s="42" cm="1">
        <f t="array" ref="BO381">_xlfn.IFS(BH381="NA","NA",BH381&gt;100%,"100%",BH381&lt;100,BH381)</f>
        <v>0</v>
      </c>
      <c r="BP381" s="42" t="str" cm="1">
        <f t="array" ref="BP381">_xlfn.IFS(BJ381="NA","NA",BJ381&gt;100%,"100%",BJ381&lt;100,BJ381)</f>
        <v>NA</v>
      </c>
      <c r="BQ381" s="45">
        <v>0.224</v>
      </c>
      <c r="BR381" s="43">
        <f t="shared" si="571"/>
        <v>8.2879999999999995E-2</v>
      </c>
      <c r="BS381" s="45">
        <v>4.0300000000000002E-2</v>
      </c>
      <c r="BT381" s="45">
        <v>4.0300000000000002E-2</v>
      </c>
      <c r="BU381" s="45">
        <v>4.0300000000000002E-2</v>
      </c>
      <c r="BV381" s="43">
        <f t="shared" si="596"/>
        <v>4.4800000000000006E-2</v>
      </c>
      <c r="BW381" s="43">
        <f t="shared" si="572"/>
        <v>4.2560000000000008E-2</v>
      </c>
      <c r="BX381" s="43">
        <f t="shared" si="573"/>
        <v>4.2579999999999993E-2</v>
      </c>
      <c r="BY381" s="43">
        <f t="shared" si="597"/>
        <v>4.7039999999999998E-2</v>
      </c>
      <c r="BZ381" s="43">
        <f t="shared" si="598"/>
        <v>0</v>
      </c>
      <c r="CA381" s="43">
        <f t="shared" si="574"/>
        <v>0</v>
      </c>
      <c r="CB381" s="43">
        <f t="shared" si="599"/>
        <v>9.1839999999999991E-2</v>
      </c>
      <c r="CC381" s="43">
        <f t="shared" si="600"/>
        <v>0</v>
      </c>
      <c r="CD381" s="45">
        <v>0</v>
      </c>
      <c r="CE381" s="43">
        <f t="shared" si="601"/>
        <v>0</v>
      </c>
      <c r="CF381" s="43" t="str">
        <f t="shared" si="602"/>
        <v>NA</v>
      </c>
      <c r="CG381" s="45">
        <v>0</v>
      </c>
    </row>
    <row r="382" spans="1:90" ht="18" customHeight="1">
      <c r="A382" s="260" t="s">
        <v>2148</v>
      </c>
      <c r="B382" s="260" t="s">
        <v>2149</v>
      </c>
      <c r="C382" s="260" t="s">
        <v>2129</v>
      </c>
      <c r="D382" s="260" t="s">
        <v>2313</v>
      </c>
      <c r="E382" s="260" t="s">
        <v>2327</v>
      </c>
      <c r="F382" s="260" t="s">
        <v>2341</v>
      </c>
      <c r="G382" s="260" t="s">
        <v>2342</v>
      </c>
      <c r="H382" s="260" t="s">
        <v>2356</v>
      </c>
      <c r="I382" s="260"/>
      <c r="J382" s="260"/>
      <c r="K382" s="260" t="s">
        <v>2357</v>
      </c>
      <c r="L382" s="260" t="s">
        <v>2358</v>
      </c>
      <c r="M382" s="260" t="s">
        <v>131</v>
      </c>
      <c r="N382" s="260" t="s">
        <v>111</v>
      </c>
      <c r="O382" s="260" t="s">
        <v>112</v>
      </c>
      <c r="P382" s="10">
        <v>0</v>
      </c>
      <c r="Q382" s="11">
        <v>1</v>
      </c>
      <c r="R382" s="9">
        <f t="shared" si="589"/>
        <v>0.41000000000000003</v>
      </c>
      <c r="S382" s="11">
        <f>VLOOKUP(K382,'1129 Integración'!$K$13:$AK$18,9,0)</f>
        <v>0</v>
      </c>
      <c r="T382" s="11">
        <v>0.13</v>
      </c>
      <c r="U382" s="11">
        <v>0</v>
      </c>
      <c r="V382" s="11">
        <v>0.13</v>
      </c>
      <c r="W382" s="11">
        <v>0</v>
      </c>
      <c r="X382" s="11">
        <v>0.13</v>
      </c>
      <c r="Y382" s="11">
        <v>0</v>
      </c>
      <c r="Z382" s="11">
        <v>0.13</v>
      </c>
      <c r="AA382" s="11">
        <v>0</v>
      </c>
      <c r="AB382" s="11" t="s">
        <v>2359</v>
      </c>
      <c r="AC382" s="11">
        <v>0</v>
      </c>
      <c r="AD382" s="11">
        <v>0.28999999999999998</v>
      </c>
      <c r="AE382" s="11">
        <v>0</v>
      </c>
      <c r="AF382" s="11">
        <f>VLOOKUP(K382,'1129 Integración'!$K$13:$AK$18,22,0)</f>
        <v>0.28000000000000003</v>
      </c>
      <c r="AG382" s="11">
        <f>VLOOKUP(K382,'1129 Integración'!$K$13:$AK$18,23,0)</f>
        <v>0</v>
      </c>
      <c r="AH382" s="9">
        <f t="shared" si="590"/>
        <v>0.28000000000000003</v>
      </c>
      <c r="AI382" s="9">
        <f>VLOOKUP(K382,'1129 Integración'!$K$13:$AK$18,25,0)</f>
        <v>0</v>
      </c>
      <c r="AJ382" s="9" t="str">
        <f>VLOOKUP(K382,'1129 Integración'!$K$13:$AK$18,26,0)</f>
        <v xml:space="preserve">Como parte de las acciones adelantadas para diseñar y desarrollar una estrategia de identidad y a apropiación de la región, durante el primer trimestre de la vigencia se establecieron los lineamientos para recopilar estudios y documentos de investigación, planeación o lineamientos técnicos sobre el marco conceptual y componentes de identidad y apropiación regional. 
Este levantamiento de información permitirá contar con estado del arte sobre las publicaciones, investigaciones y demás documentos sobre identidad de la Región Bogotá -Cundinamarca.
Se elaboró un plan de trabajo y se avanzó en la construcción de un estado del arte en torno al tema de la identidad. Esta labor  implica la búsqueda, lectura, análisis y síntesis de bibliografía en torno a la identidad, para reconocer datos relevantes, enfoques teóricos, argumentos, tópicos generales, temas y subtemas, con el fin de construir un marco teórico conceptual y el establecimiento de potencialidades y problemáticas, así como de las estrategias de integración regional.  
</v>
      </c>
      <c r="AK382" s="9" t="str">
        <f>VLOOKUP(K382,'1129 Integración'!$K$13:$AK$18,27,0)</f>
        <v>Ninguna</v>
      </c>
      <c r="AL382" s="11">
        <v>0.28999999999999998</v>
      </c>
      <c r="AM382" s="11">
        <v>0</v>
      </c>
      <c r="AN382" s="11">
        <v>0.28999999999999998</v>
      </c>
      <c r="AO382" s="11">
        <v>0</v>
      </c>
      <c r="AP382" s="11">
        <v>0</v>
      </c>
      <c r="AQ382" s="11">
        <v>0</v>
      </c>
      <c r="AR382" s="51">
        <v>280000000</v>
      </c>
      <c r="AS382" s="54">
        <v>0</v>
      </c>
      <c r="AT382" s="54">
        <f t="shared" si="569"/>
        <v>280000000</v>
      </c>
      <c r="AU382" s="51">
        <v>280000000</v>
      </c>
      <c r="AV382" s="89">
        <v>225025000</v>
      </c>
      <c r="AY382" s="89">
        <v>82000000</v>
      </c>
      <c r="AZ382" s="42">
        <f t="shared" si="591"/>
        <v>0.41000000000000003</v>
      </c>
      <c r="BA382" s="44">
        <v>0.13</v>
      </c>
      <c r="BB382" s="44">
        <v>1</v>
      </c>
      <c r="BC382" s="42">
        <f t="shared" si="592"/>
        <v>0.28999999999999998</v>
      </c>
      <c r="BD382" s="42" cm="1">
        <f t="array" ref="BD382">_xlfn.IFS(AD382=0,"NA",AD382&gt;0,AH382/AD382)</f>
        <v>0.9655172413793105</v>
      </c>
      <c r="BE382" s="42">
        <f t="shared" si="593"/>
        <v>0.28999999999999998</v>
      </c>
      <c r="BF382" s="44">
        <v>0</v>
      </c>
      <c r="BG382" s="42">
        <f t="shared" si="594"/>
        <v>0.28999999999999998</v>
      </c>
      <c r="BH382" s="44">
        <v>0</v>
      </c>
      <c r="BI382" s="42">
        <f t="shared" si="595"/>
        <v>0</v>
      </c>
      <c r="BJ382" s="44" t="s">
        <v>115</v>
      </c>
      <c r="BK382" s="42">
        <f t="shared" si="570"/>
        <v>0.41000000000000003</v>
      </c>
      <c r="BL382" s="44">
        <v>1</v>
      </c>
      <c r="BM382" s="42" cm="1">
        <f t="array" ref="BM382">_xlfn.IFS(BD382="NA","NA",BD382&gt;100%,"100%",BD382&lt;100,BD382)</f>
        <v>0.9655172413793105</v>
      </c>
      <c r="BN382" s="42" cm="1">
        <f t="array" ref="BN382">_xlfn.IFS(BF382="NA","NA",BF382&gt;100%,"100%",BF382&lt;100,BF382)</f>
        <v>0</v>
      </c>
      <c r="BO382" s="42" cm="1">
        <f t="array" ref="BO382">_xlfn.IFS(BH382="NA","NA",BH382&gt;100%,"100%",BH382&lt;100,BH382)</f>
        <v>0</v>
      </c>
      <c r="BP382" s="42" t="str" cm="1">
        <f t="array" ref="BP382">_xlfn.IFS(BJ382="NA","NA",BJ382&gt;100%,"100%",BJ382&lt;100,BJ382)</f>
        <v>NA</v>
      </c>
      <c r="BQ382" s="45">
        <v>0.224</v>
      </c>
      <c r="BR382" s="43">
        <f t="shared" si="571"/>
        <v>9.1840000000000005E-2</v>
      </c>
      <c r="BS382" s="45">
        <v>2.9100000000000001E-2</v>
      </c>
      <c r="BT382" s="45">
        <v>2.9100000000000001E-2</v>
      </c>
      <c r="BU382" s="45">
        <v>2.9100000000000001E-2</v>
      </c>
      <c r="BV382" s="43">
        <f t="shared" si="596"/>
        <v>6.495999999999999E-2</v>
      </c>
      <c r="BW382" s="43">
        <f t="shared" si="572"/>
        <v>6.2719999999999998E-2</v>
      </c>
      <c r="BX382" s="43">
        <f t="shared" si="573"/>
        <v>6.2740000000000004E-2</v>
      </c>
      <c r="BY382" s="43">
        <f t="shared" si="597"/>
        <v>6.495999999999999E-2</v>
      </c>
      <c r="BZ382" s="43">
        <f t="shared" si="598"/>
        <v>0</v>
      </c>
      <c r="CA382" s="43">
        <f t="shared" si="574"/>
        <v>0</v>
      </c>
      <c r="CB382" s="43">
        <f t="shared" si="599"/>
        <v>6.495999999999999E-2</v>
      </c>
      <c r="CC382" s="43">
        <f t="shared" si="600"/>
        <v>0</v>
      </c>
      <c r="CD382" s="45">
        <v>0</v>
      </c>
      <c r="CE382" s="43">
        <f t="shared" si="601"/>
        <v>0</v>
      </c>
      <c r="CF382" s="43" t="str">
        <f t="shared" si="602"/>
        <v>NA</v>
      </c>
      <c r="CG382" s="45">
        <v>0</v>
      </c>
    </row>
    <row r="383" spans="1:90" ht="18" customHeight="1">
      <c r="A383" s="260" t="s">
        <v>2335</v>
      </c>
      <c r="B383" s="260" t="s">
        <v>2336</v>
      </c>
      <c r="C383" s="260" t="s">
        <v>2129</v>
      </c>
      <c r="D383" s="260" t="s">
        <v>2313</v>
      </c>
      <c r="E383" s="260" t="s">
        <v>2360</v>
      </c>
      <c r="F383" s="260" t="s">
        <v>2361</v>
      </c>
      <c r="G383" s="260" t="s">
        <v>2362</v>
      </c>
      <c r="H383" s="260" t="s">
        <v>3035</v>
      </c>
      <c r="I383" s="260"/>
      <c r="J383" s="260"/>
      <c r="K383" s="260" t="s">
        <v>3036</v>
      </c>
      <c r="L383" s="260" t="s">
        <v>3037</v>
      </c>
      <c r="M383" s="260" t="s">
        <v>131</v>
      </c>
      <c r="N383" s="260" t="s">
        <v>111</v>
      </c>
      <c r="O383" s="260" t="s">
        <v>112</v>
      </c>
      <c r="P383" s="10">
        <v>0</v>
      </c>
      <c r="Q383" s="11">
        <v>1</v>
      </c>
      <c r="R383" s="9" t="e">
        <f t="shared" si="589"/>
        <v>#N/A</v>
      </c>
      <c r="S383" s="11" t="e">
        <f>VLOOKUP(K383,'1113 Planeación'!$K$13:$AK$19,9,0)</f>
        <v>#N/A</v>
      </c>
      <c r="T383" s="11">
        <v>0.5</v>
      </c>
      <c r="U383" s="11">
        <v>0</v>
      </c>
      <c r="V383" s="11">
        <v>0</v>
      </c>
      <c r="W383" s="11">
        <v>0</v>
      </c>
      <c r="X383" s="11">
        <v>0</v>
      </c>
      <c r="Y383" s="11">
        <v>0</v>
      </c>
      <c r="Z383" s="11">
        <v>0</v>
      </c>
      <c r="AA383" s="11"/>
      <c r="AB383" s="11"/>
      <c r="AC383" s="11"/>
      <c r="AD383" s="11">
        <v>1</v>
      </c>
      <c r="AE383" s="11">
        <v>0</v>
      </c>
      <c r="AF383" s="11" t="e">
        <f>VLOOKUP(K383,'1113 Planeación'!$K$13:$AK$19,22,0)</f>
        <v>#N/A</v>
      </c>
      <c r="AG383" s="11" t="e">
        <f>VLOOKUP(K383,'1113 Planeación'!$K$13:$AK$19,23,0)</f>
        <v>#N/A</v>
      </c>
      <c r="AH383" s="9" t="e">
        <f t="shared" si="590"/>
        <v>#N/A</v>
      </c>
      <c r="AI383" s="9" t="e">
        <f>VLOOKUP(K383,'1113 Planeación'!$K$13:$AK$19,25,0)</f>
        <v>#N/A</v>
      </c>
      <c r="AJ383" s="9" t="e">
        <f>VLOOKUP(K383,'1113 Planeación'!$K$13:$AK$19,26,0)</f>
        <v>#N/A</v>
      </c>
      <c r="AK383" s="9" t="e">
        <f>VLOOKUP(K383,'1113 Planeación'!$K$13:$AK$19,27,0)</f>
        <v>#N/A</v>
      </c>
      <c r="AL383" s="11">
        <v>0</v>
      </c>
      <c r="AM383" s="11">
        <v>0</v>
      </c>
      <c r="AN383" s="11">
        <v>0</v>
      </c>
      <c r="AO383" s="11">
        <v>0</v>
      </c>
      <c r="AP383" s="11">
        <v>0</v>
      </c>
      <c r="AQ383" s="11">
        <v>0</v>
      </c>
      <c r="AR383" s="52"/>
      <c r="AS383" s="54">
        <v>0</v>
      </c>
      <c r="AT383" s="54">
        <f t="shared" si="569"/>
        <v>0</v>
      </c>
      <c r="AU383" s="52"/>
      <c r="AV383" s="89">
        <v>70000000</v>
      </c>
      <c r="AY383" s="89">
        <v>0</v>
      </c>
      <c r="AZ383" s="42" t="e">
        <f t="shared" si="591"/>
        <v>#N/A</v>
      </c>
      <c r="BA383" s="44">
        <v>0</v>
      </c>
      <c r="BB383" s="44" t="s">
        <v>115</v>
      </c>
      <c r="BC383" s="42">
        <f t="shared" si="592"/>
        <v>1</v>
      </c>
      <c r="BD383" s="42" t="e" cm="1">
        <f t="array" ref="BD383">_xlfn.IFS(AD383=0,"NA",AD383&gt;0,AH383/AD383)</f>
        <v>#N/A</v>
      </c>
      <c r="BE383" s="42">
        <f t="shared" si="593"/>
        <v>0</v>
      </c>
      <c r="BF383" s="44" t="s">
        <v>115</v>
      </c>
      <c r="BG383" s="42">
        <f t="shared" si="594"/>
        <v>0</v>
      </c>
      <c r="BH383" s="44" t="s">
        <v>115</v>
      </c>
      <c r="BI383" s="42">
        <f t="shared" si="595"/>
        <v>0</v>
      </c>
      <c r="BJ383" s="44" t="s">
        <v>115</v>
      </c>
      <c r="BK383" s="42" t="e">
        <f t="shared" si="570"/>
        <v>#N/A</v>
      </c>
      <c r="BL383" s="44" t="s">
        <v>115</v>
      </c>
      <c r="BM383" s="42" t="e" cm="1">
        <f t="array" ref="BM383">_xlfn.IFS(BD383="NA","NA",BD383&gt;100%,"100%",BD383&lt;100,BD383)</f>
        <v>#N/A</v>
      </c>
      <c r="BN383" s="42" t="str" cm="1">
        <f t="array" ref="BN383">_xlfn.IFS(BF383="NA","NA",BF383&gt;100%,"100%",BF383&lt;100,BF383)</f>
        <v>NA</v>
      </c>
      <c r="BO383" s="42" t="str" cm="1">
        <f t="array" ref="BO383">_xlfn.IFS(BH383="NA","NA",BH383&gt;100%,"100%",BH383&lt;100,BH383)</f>
        <v>NA</v>
      </c>
      <c r="BP383" s="42" t="str" cm="1">
        <f t="array" ref="BP383">_xlfn.IFS(BJ383="NA","NA",BJ383&gt;100%,"100%",BJ383&lt;100,BJ383)</f>
        <v>NA</v>
      </c>
      <c r="BQ383" s="45">
        <v>0.224</v>
      </c>
      <c r="BR383" s="43" t="e">
        <f t="shared" si="571"/>
        <v>#N/A</v>
      </c>
      <c r="BS383" s="45">
        <v>0</v>
      </c>
      <c r="BT383" s="45" t="s">
        <v>115</v>
      </c>
      <c r="BU383" s="45">
        <v>0</v>
      </c>
      <c r="BV383" s="43">
        <f t="shared" si="596"/>
        <v>0.224</v>
      </c>
      <c r="BW383" s="43" t="e">
        <f t="shared" si="572"/>
        <v>#N/A</v>
      </c>
      <c r="BX383" s="43" t="e">
        <f t="shared" si="573"/>
        <v>#N/A</v>
      </c>
      <c r="BY383" s="43">
        <f t="shared" si="597"/>
        <v>0</v>
      </c>
      <c r="BZ383" s="43" t="str">
        <f t="shared" si="598"/>
        <v>NA</v>
      </c>
      <c r="CA383" s="43" t="e">
        <f t="shared" si="574"/>
        <v>#N/A</v>
      </c>
      <c r="CB383" s="43">
        <f t="shared" si="599"/>
        <v>0</v>
      </c>
      <c r="CC383" s="43" t="str">
        <f t="shared" si="600"/>
        <v>NA</v>
      </c>
      <c r="CD383" s="45">
        <v>0</v>
      </c>
      <c r="CE383" s="43">
        <f t="shared" si="601"/>
        <v>0</v>
      </c>
      <c r="CF383" s="43" t="str">
        <f t="shared" si="602"/>
        <v>NA</v>
      </c>
      <c r="CG383" s="45">
        <v>0</v>
      </c>
    </row>
    <row r="384" spans="1:90" ht="18" customHeight="1">
      <c r="A384" s="260" t="s">
        <v>2335</v>
      </c>
      <c r="B384" s="260" t="s">
        <v>2336</v>
      </c>
      <c r="C384" s="260" t="s">
        <v>2129</v>
      </c>
      <c r="D384" s="260" t="s">
        <v>2313</v>
      </c>
      <c r="E384" s="260" t="s">
        <v>2360</v>
      </c>
      <c r="F384" s="260" t="s">
        <v>2361</v>
      </c>
      <c r="G384" s="260" t="s">
        <v>2362</v>
      </c>
      <c r="H384" s="260" t="s">
        <v>2363</v>
      </c>
      <c r="I384" s="260"/>
      <c r="J384" s="260"/>
      <c r="K384" s="260" t="s">
        <v>2364</v>
      </c>
      <c r="L384" s="260" t="s">
        <v>2365</v>
      </c>
      <c r="M384" s="260" t="s">
        <v>3038</v>
      </c>
      <c r="N384" s="260" t="s">
        <v>123</v>
      </c>
      <c r="O384" s="260" t="s">
        <v>112</v>
      </c>
      <c r="P384" s="10">
        <v>55</v>
      </c>
      <c r="Q384" s="11">
        <v>100</v>
      </c>
      <c r="R384" s="9">
        <f t="shared" si="589"/>
        <v>8</v>
      </c>
      <c r="S384" s="11" t="str">
        <f>VLOOKUP(K384,'1113 Planeación'!$K$13:$AK$19,9,0)</f>
        <v>Se publcó la cartografía 1:2,000 de 12 muniipios en sus cascos urbanos y centros poblados a partir de cartografía IGAC 2018, así como la cartografía básica municipal de los 116 municipios en el geoportal e mapas yestadísticas mapas.cundinamarca.gov.co. Se contrató al IGAC, mediante el contrato SP-CDCTI-060 DE 2021 para la generación de cartografía básica urbana de 33 municipios y 34 centros poblados a escala 1:1.000</v>
      </c>
      <c r="T384" s="11">
        <v>0</v>
      </c>
      <c r="U384" s="11">
        <v>0</v>
      </c>
      <c r="V384" s="11">
        <v>0</v>
      </c>
      <c r="W384" s="11">
        <v>0</v>
      </c>
      <c r="X384" s="11">
        <v>0</v>
      </c>
      <c r="Y384" s="11">
        <v>0</v>
      </c>
      <c r="Z384" s="11">
        <v>0</v>
      </c>
      <c r="AA384" s="11"/>
      <c r="AB384" s="11"/>
      <c r="AC384" s="11"/>
      <c r="AD384" s="11">
        <v>35</v>
      </c>
      <c r="AE384" s="11">
        <v>0</v>
      </c>
      <c r="AF384" s="11">
        <f>VLOOKUP(K384,'1113 Planeación'!$K$13:$AK$19,22,0)</f>
        <v>8</v>
      </c>
      <c r="AG384" s="11" t="str">
        <f>VLOOKUP(K384,'1113 Planeación'!$K$13:$AK$19,23,0)</f>
        <v> </v>
      </c>
      <c r="AH384" s="9">
        <f t="shared" si="590"/>
        <v>8</v>
      </c>
      <c r="AI384" s="9" t="str">
        <f>VLOOKUP(K384,'1113 Planeación'!$K$13:$AK$19,25,0)</f>
        <v>Cartografía básica (GDB) publicadas en geoportal mapas.cundinamarca.gov.co</v>
      </c>
      <c r="AJ384" s="9" t="str">
        <f>VLOOKUP(K384,'1113 Planeación'!$K$13:$AK$19,26,0)</f>
        <v>Publicación de 3000 conjuntos de datos aiertos relacionados con la cartrografía básica 1:2.000 y 1:25.000 de los municipios de cudinamarca en el potal mapas.cundinamarca.gov.co</v>
      </c>
      <c r="AK384" s="9" t="str">
        <f>VLOOKUP(K384,'1113 Planeación'!$K$13:$AK$19,27,0)</f>
        <v>Retrasos en la contratación de a cartografía bàsica urbana a escala 1:1.000 de los municipios priorizados por ajuste al plan de desarrollo departamental</v>
      </c>
      <c r="AL384" s="11">
        <v>40</v>
      </c>
      <c r="AM384" s="11">
        <v>0</v>
      </c>
      <c r="AN384" s="11">
        <v>25</v>
      </c>
      <c r="AO384" s="11">
        <v>0</v>
      </c>
      <c r="AP384" s="11">
        <v>0</v>
      </c>
      <c r="AQ384" s="11">
        <v>0</v>
      </c>
      <c r="AR384" s="52"/>
      <c r="AS384" s="54">
        <v>0</v>
      </c>
      <c r="AT384" s="54">
        <f t="shared" si="569"/>
        <v>0</v>
      </c>
      <c r="AU384" s="52"/>
      <c r="AV384" s="89">
        <v>320000000</v>
      </c>
      <c r="AY384" s="89">
        <v>0</v>
      </c>
      <c r="AZ384" s="42">
        <f t="shared" si="591"/>
        <v>0.08</v>
      </c>
      <c r="BA384" s="44">
        <v>0</v>
      </c>
      <c r="BB384" s="44" t="s">
        <v>115</v>
      </c>
      <c r="BC384" s="42">
        <f t="shared" si="592"/>
        <v>0.35</v>
      </c>
      <c r="BD384" s="42" cm="1">
        <f t="array" ref="BD384">_xlfn.IFS(AD384=0,"NA",AD384&gt;0,AH384/AD384)</f>
        <v>0.22857142857142856</v>
      </c>
      <c r="BE384" s="42">
        <f t="shared" si="593"/>
        <v>0.4</v>
      </c>
      <c r="BF384" s="44">
        <v>0</v>
      </c>
      <c r="BG384" s="42">
        <f t="shared" si="594"/>
        <v>0.25</v>
      </c>
      <c r="BH384" s="44">
        <v>0</v>
      </c>
      <c r="BI384" s="42">
        <f t="shared" si="595"/>
        <v>0</v>
      </c>
      <c r="BJ384" s="44" t="s">
        <v>115</v>
      </c>
      <c r="BK384" s="42">
        <f t="shared" si="570"/>
        <v>0.08</v>
      </c>
      <c r="BL384" s="44" t="s">
        <v>115</v>
      </c>
      <c r="BM384" s="42" cm="1">
        <f t="array" ref="BM384">_xlfn.IFS(BD384="NA","NA",BD384&gt;100%,"100%",BD384&lt;100,BD384)</f>
        <v>0.22857142857142856</v>
      </c>
      <c r="BN384" s="42" cm="1">
        <f t="array" ref="BN384">_xlfn.IFS(BF384="NA","NA",BF384&gt;100%,"100%",BF384&lt;100,BF384)</f>
        <v>0</v>
      </c>
      <c r="BO384" s="42" cm="1">
        <f t="array" ref="BO384">_xlfn.IFS(BH384="NA","NA",BH384&gt;100%,"100%",BH384&lt;100,BH384)</f>
        <v>0</v>
      </c>
      <c r="BP384" s="42" t="str" cm="1">
        <f t="array" ref="BP384">_xlfn.IFS(BJ384="NA","NA",BJ384&gt;100%,"100%",BJ384&lt;100,BJ384)</f>
        <v>NA</v>
      </c>
      <c r="BQ384" s="45">
        <v>0.224</v>
      </c>
      <c r="BR384" s="43">
        <f t="shared" si="571"/>
        <v>1.7920000000000002E-2</v>
      </c>
      <c r="BS384" s="45">
        <v>0</v>
      </c>
      <c r="BT384" s="45" t="s">
        <v>115</v>
      </c>
      <c r="BU384" s="45">
        <v>0</v>
      </c>
      <c r="BV384" s="43">
        <f t="shared" si="596"/>
        <v>7.8399999999999997E-2</v>
      </c>
      <c r="BW384" s="43">
        <f t="shared" si="572"/>
        <v>1.7919999999999998E-2</v>
      </c>
      <c r="BX384" s="43">
        <f t="shared" si="573"/>
        <v>1.7920000000000002E-2</v>
      </c>
      <c r="BY384" s="43">
        <f t="shared" si="597"/>
        <v>8.9600000000000013E-2</v>
      </c>
      <c r="BZ384" s="43">
        <f t="shared" si="598"/>
        <v>0</v>
      </c>
      <c r="CA384" s="43">
        <f t="shared" si="574"/>
        <v>0</v>
      </c>
      <c r="CB384" s="43">
        <f t="shared" si="599"/>
        <v>5.6000000000000008E-2</v>
      </c>
      <c r="CC384" s="43">
        <f t="shared" si="600"/>
        <v>0</v>
      </c>
      <c r="CD384" s="45">
        <v>0</v>
      </c>
      <c r="CE384" s="43">
        <f t="shared" si="601"/>
        <v>0</v>
      </c>
      <c r="CF384" s="43" t="str">
        <f t="shared" si="602"/>
        <v>NA</v>
      </c>
      <c r="CG384" s="45">
        <v>0</v>
      </c>
    </row>
    <row r="385" spans="1:90" ht="18" customHeight="1">
      <c r="A385" s="260" t="s">
        <v>2335</v>
      </c>
      <c r="B385" s="260" t="s">
        <v>2336</v>
      </c>
      <c r="C385" s="260" t="s">
        <v>2129</v>
      </c>
      <c r="D385" s="260" t="s">
        <v>2313</v>
      </c>
      <c r="E385" s="260" t="s">
        <v>2360</v>
      </c>
      <c r="F385" s="260" t="s">
        <v>2361</v>
      </c>
      <c r="G385" s="260" t="s">
        <v>2362</v>
      </c>
      <c r="H385" s="260" t="s">
        <v>2367</v>
      </c>
      <c r="I385" s="260"/>
      <c r="J385" s="260"/>
      <c r="K385" s="260" t="s">
        <v>2368</v>
      </c>
      <c r="L385" s="260" t="s">
        <v>3039</v>
      </c>
      <c r="M385" s="260" t="s">
        <v>3040</v>
      </c>
      <c r="N385" s="260" t="s">
        <v>111</v>
      </c>
      <c r="O385" s="260" t="s">
        <v>112</v>
      </c>
      <c r="P385" s="10">
        <v>62</v>
      </c>
      <c r="Q385" s="11">
        <v>25</v>
      </c>
      <c r="R385" s="9">
        <f t="shared" si="589"/>
        <v>90</v>
      </c>
      <c r="S385" s="11" t="str">
        <f>VLOOKUP(K385,'1113 Planeación'!$K$13:$AK$19,9,0)</f>
        <v>Asistencia tecnica municipal en el 2021 a 83 municipios del departamento en temas de ordenamiento territorial a través de la estrategia de Planeando desde la Provincia.</v>
      </c>
      <c r="T385" s="11">
        <v>4</v>
      </c>
      <c r="U385" s="11">
        <v>0</v>
      </c>
      <c r="V385" s="11">
        <v>0</v>
      </c>
      <c r="W385" s="11">
        <v>0</v>
      </c>
      <c r="X385" s="11">
        <v>0</v>
      </c>
      <c r="Y385" s="11">
        <v>0</v>
      </c>
      <c r="Z385" s="11">
        <v>0</v>
      </c>
      <c r="AA385" s="11"/>
      <c r="AB385" s="11"/>
      <c r="AC385" s="11"/>
      <c r="AD385" s="11">
        <v>16</v>
      </c>
      <c r="AE385" s="11">
        <v>0</v>
      </c>
      <c r="AF385" s="11">
        <f>VLOOKUP(K385,'1113 Planeación'!$K$13:$AK$19,22,0)</f>
        <v>90</v>
      </c>
      <c r="AG385" s="11">
        <f>VLOOKUP(K385,'1113 Planeación'!$K$13:$AK$19,23,0)</f>
        <v>0</v>
      </c>
      <c r="AH385" s="9">
        <f t="shared" si="590"/>
        <v>90</v>
      </c>
      <c r="AI385" s="9" t="str">
        <f>VLOOKUP(K385,'1113 Planeación'!$K$13:$AK$19,25,0)</f>
        <v>Priorización de 5 municipios para acompañamiento técnico en revisión y ajuste de su plan de ordenamiento territorial: Pasca, Fúquene, Cabrera, La Peña y Bituima.
Asistencia técnica en temas de ordenamiento territorial para 83 municipios del departamento.e 70 personas de igual numero de municipios.</v>
      </c>
      <c r="AJ385" s="9" t="str">
        <f>VLOOKUP(K385,'1113 Planeación'!$K$13:$AK$19,26,0)</f>
        <v>Consolidación de la información de 15 municipios asistidos en el proceso de ajuste de POT, así: visitados(7): Arbeláez, Pasca, Bituima, Nocaima, Fúquene, Nemocón y La Peña, Virtualmente (7): Cabrera, Villeta, Facatativá, Gachetá, Pandi, Susa, Villagómez, Villeta y Presencial (1): Simijaca. Asistencia virtual estrategia planeando desde la provincia de manera mensual desde el mes de mayo y hasta el 30 de noviembre con participación aproximada de 90 municipios. Igualmente se ha realizado asistencia técnica presencial a los Concejos Municipales de los municipios de San Antonio del Tequendama, Villeta, Agua de Dios, Soachacomo San Antonio del Tequendama, Villeta, Agua de Dios, Soacha</v>
      </c>
      <c r="AK385" s="9" t="str">
        <f>VLOOKUP(K385,'1113 Planeación'!$K$13:$AK$19,27,0)</f>
        <v xml:space="preserve">Hasta marzo de 2021 se pudo volver a territorio teniendo en cuenta las condiciones de salubridad. </v>
      </c>
      <c r="AL385" s="11">
        <v>9</v>
      </c>
      <c r="AM385" s="11">
        <v>0</v>
      </c>
      <c r="AN385" s="11">
        <v>0</v>
      </c>
      <c r="AO385" s="11">
        <v>0</v>
      </c>
      <c r="AP385" s="11">
        <v>0</v>
      </c>
      <c r="AQ385" s="11">
        <v>0</v>
      </c>
      <c r="AR385" s="51">
        <v>630000000</v>
      </c>
      <c r="AS385" s="54">
        <v>0</v>
      </c>
      <c r="AT385" s="54">
        <f t="shared" si="569"/>
        <v>630000000</v>
      </c>
      <c r="AU385" s="51">
        <v>0</v>
      </c>
      <c r="AV385" s="89">
        <v>5952000000</v>
      </c>
      <c r="AY385" s="89">
        <v>281400000</v>
      </c>
      <c r="AZ385" s="42">
        <f t="shared" si="591"/>
        <v>3.6</v>
      </c>
      <c r="BA385" s="44">
        <v>0</v>
      </c>
      <c r="BB385" s="44" t="s">
        <v>115</v>
      </c>
      <c r="BC385" s="42">
        <f t="shared" si="592"/>
        <v>0.64</v>
      </c>
      <c r="BD385" s="42" cm="1">
        <f t="array" ref="BD385">_xlfn.IFS(AD385=0,"NA",AD385&gt;0,AH385/AD385)</f>
        <v>5.625</v>
      </c>
      <c r="BE385" s="42">
        <f t="shared" si="593"/>
        <v>0.36</v>
      </c>
      <c r="BF385" s="44">
        <v>0</v>
      </c>
      <c r="BG385" s="42">
        <f t="shared" si="594"/>
        <v>0</v>
      </c>
      <c r="BH385" s="44" t="s">
        <v>115</v>
      </c>
      <c r="BI385" s="42">
        <f t="shared" si="595"/>
        <v>0</v>
      </c>
      <c r="BJ385" s="44" t="s">
        <v>115</v>
      </c>
      <c r="BK385" s="42" t="str">
        <f t="shared" si="570"/>
        <v>100%</v>
      </c>
      <c r="BL385" s="44" t="s">
        <v>115</v>
      </c>
      <c r="BM385" s="42" t="str" cm="1">
        <f t="array" ref="BM385">_xlfn.IFS(BD385="NA","NA",BD385&gt;100%,"100%",BD385&lt;100,BD385)</f>
        <v>100%</v>
      </c>
      <c r="BN385" s="42" cm="1">
        <f t="array" ref="BN385">_xlfn.IFS(BF385="NA","NA",BF385&gt;100%,"100%",BF385&lt;100,BF385)</f>
        <v>0</v>
      </c>
      <c r="BO385" s="42" t="str" cm="1">
        <f t="array" ref="BO385">_xlfn.IFS(BH385="NA","NA",BH385&gt;100%,"100%",BH385&lt;100,BH385)</f>
        <v>NA</v>
      </c>
      <c r="BP385" s="42" t="str" cm="1">
        <f t="array" ref="BP385">_xlfn.IFS(BJ385="NA","NA",BJ385&gt;100%,"100%",BJ385&lt;100,BJ385)</f>
        <v>NA</v>
      </c>
      <c r="BQ385" s="45">
        <v>0.224</v>
      </c>
      <c r="BR385" s="43">
        <f t="shared" si="571"/>
        <v>0.224</v>
      </c>
      <c r="BS385" s="45">
        <v>0</v>
      </c>
      <c r="BT385" s="45" t="s">
        <v>115</v>
      </c>
      <c r="BU385" s="45">
        <v>0</v>
      </c>
      <c r="BV385" s="43">
        <f t="shared" si="596"/>
        <v>0.14336000000000002</v>
      </c>
      <c r="BW385" s="43">
        <f t="shared" si="572"/>
        <v>0.14336000000000002</v>
      </c>
      <c r="BX385" s="43">
        <f t="shared" si="573"/>
        <v>0.224</v>
      </c>
      <c r="BY385" s="43">
        <f t="shared" si="597"/>
        <v>8.0640000000000003E-2</v>
      </c>
      <c r="BZ385" s="43">
        <f t="shared" si="598"/>
        <v>0</v>
      </c>
      <c r="CA385" s="43">
        <f t="shared" si="574"/>
        <v>0</v>
      </c>
      <c r="CB385" s="43">
        <f t="shared" si="599"/>
        <v>0</v>
      </c>
      <c r="CC385" s="43" t="str">
        <f t="shared" si="600"/>
        <v>NA</v>
      </c>
      <c r="CD385" s="45">
        <v>0</v>
      </c>
      <c r="CE385" s="43">
        <f t="shared" si="601"/>
        <v>0</v>
      </c>
      <c r="CF385" s="43" t="str">
        <f t="shared" si="602"/>
        <v>NA</v>
      </c>
      <c r="CG385" s="45">
        <v>0</v>
      </c>
    </row>
    <row r="386" spans="1:90" ht="18" customHeight="1">
      <c r="A386" s="260" t="s">
        <v>3041</v>
      </c>
      <c r="B386" s="260" t="s">
        <v>3042</v>
      </c>
      <c r="C386" s="260" t="s">
        <v>2371</v>
      </c>
      <c r="D386" s="260" t="s">
        <v>2372</v>
      </c>
      <c r="E386" s="260" t="s">
        <v>2373</v>
      </c>
      <c r="F386" s="260" t="s">
        <v>2374</v>
      </c>
      <c r="G386" s="260" t="s">
        <v>2375</v>
      </c>
      <c r="H386" s="260" t="s">
        <v>3043</v>
      </c>
      <c r="I386" s="260"/>
      <c r="J386" s="260"/>
      <c r="K386" s="260" t="s">
        <v>3044</v>
      </c>
      <c r="L386" s="260" t="s">
        <v>3045</v>
      </c>
      <c r="M386" s="260" t="s">
        <v>3046</v>
      </c>
      <c r="N386" s="260" t="s">
        <v>111</v>
      </c>
      <c r="O386" s="260" t="s">
        <v>112</v>
      </c>
      <c r="P386" s="10">
        <v>0</v>
      </c>
      <c r="Q386" s="11">
        <v>1</v>
      </c>
      <c r="R386" s="9" t="e">
        <f t="shared" si="589"/>
        <v>#REF!</v>
      </c>
      <c r="S386" s="11" t="e">
        <f>VLOOKUP(K386,#REF!,9,0)</f>
        <v>#REF!</v>
      </c>
      <c r="T386" s="11">
        <v>0.2</v>
      </c>
      <c r="U386" s="11">
        <v>0</v>
      </c>
      <c r="V386" s="11">
        <v>0.1</v>
      </c>
      <c r="W386" s="11">
        <v>0</v>
      </c>
      <c r="X386" s="11">
        <v>0.1</v>
      </c>
      <c r="Y386" s="11">
        <v>0</v>
      </c>
      <c r="Z386" s="11">
        <v>0.1</v>
      </c>
      <c r="AA386" s="11" t="s">
        <v>3047</v>
      </c>
      <c r="AB386" s="11" t="s">
        <v>3048</v>
      </c>
      <c r="AC386" s="11" t="s">
        <v>3049</v>
      </c>
      <c r="AD386" s="11">
        <v>0.3</v>
      </c>
      <c r="AE386" s="11">
        <v>0</v>
      </c>
      <c r="AF386" s="11" t="e">
        <f>VLOOKUP(K386,#REF!,22,0)</f>
        <v>#REF!</v>
      </c>
      <c r="AG386" s="11" t="e">
        <f>VLOOKUP(K386,#REF!,23,0)</f>
        <v>#REF!</v>
      </c>
      <c r="AH386" s="9" t="e">
        <f t="shared" si="590"/>
        <v>#REF!</v>
      </c>
      <c r="AI386" s="9" t="e">
        <f>VLOOKUP(K386,#REF!,25,0)</f>
        <v>#REF!</v>
      </c>
      <c r="AJ386" s="9" t="e">
        <f>VLOOKUP(K386,#REF!,26,0)</f>
        <v>#REF!</v>
      </c>
      <c r="AK386" s="9" t="e">
        <f>VLOOKUP(K386,#REF!,27,0)</f>
        <v>#REF!</v>
      </c>
      <c r="AL386" s="11">
        <v>0.3</v>
      </c>
      <c r="AM386" s="11">
        <v>0</v>
      </c>
      <c r="AN386" s="11">
        <v>0.3</v>
      </c>
      <c r="AO386" s="11">
        <v>0</v>
      </c>
      <c r="AP386" s="11">
        <v>0</v>
      </c>
      <c r="AQ386" s="11">
        <v>0</v>
      </c>
      <c r="AR386" s="52"/>
      <c r="AS386" s="54">
        <v>20000000</v>
      </c>
      <c r="AT386" s="54">
        <f t="shared" si="569"/>
        <v>20000000</v>
      </c>
      <c r="AU386" s="52"/>
      <c r="AV386" s="89">
        <v>157672400</v>
      </c>
      <c r="AY386" s="89">
        <v>0</v>
      </c>
      <c r="AZ386" s="42" t="e">
        <f t="shared" si="591"/>
        <v>#REF!</v>
      </c>
      <c r="BA386" s="44">
        <v>0.1</v>
      </c>
      <c r="BB386" s="44">
        <v>1</v>
      </c>
      <c r="BC386" s="42">
        <f t="shared" si="592"/>
        <v>0.3</v>
      </c>
      <c r="BD386" s="42" t="e" cm="1">
        <f t="array" ref="BD386">_xlfn.IFS(AD386=0,"NA",AD386&gt;0,AH386/AD386)</f>
        <v>#REF!</v>
      </c>
      <c r="BE386" s="42">
        <f t="shared" si="593"/>
        <v>0.3</v>
      </c>
      <c r="BF386" s="44">
        <v>0</v>
      </c>
      <c r="BG386" s="42">
        <f t="shared" si="594"/>
        <v>0.3</v>
      </c>
      <c r="BH386" s="44">
        <v>0</v>
      </c>
      <c r="BI386" s="42">
        <f t="shared" si="595"/>
        <v>0</v>
      </c>
      <c r="BJ386" s="44" t="s">
        <v>115</v>
      </c>
      <c r="BK386" s="42" t="e">
        <f t="shared" si="570"/>
        <v>#REF!</v>
      </c>
      <c r="BL386" s="44">
        <v>1</v>
      </c>
      <c r="BM386" s="42" t="e" cm="1">
        <f t="array" ref="BM386">_xlfn.IFS(BD386="NA","NA",BD386&gt;100%,"100%",BD386&lt;100,BD386)</f>
        <v>#REF!</v>
      </c>
      <c r="BN386" s="42" cm="1">
        <f t="array" ref="BN386">_xlfn.IFS(BF386="NA","NA",BF386&gt;100%,"100%",BF386&lt;100,BF386)</f>
        <v>0</v>
      </c>
      <c r="BO386" s="42" cm="1">
        <f t="array" ref="BO386">_xlfn.IFS(BH386="NA","NA",BH386&gt;100%,"100%",BH386&lt;100,BH386)</f>
        <v>0</v>
      </c>
      <c r="BP386" s="42" t="str" cm="1">
        <f t="array" ref="BP386">_xlfn.IFS(BJ386="NA","NA",BJ386&gt;100%,"100%",BJ386&lt;100,BJ386)</f>
        <v>NA</v>
      </c>
      <c r="BQ386" s="45">
        <v>0.224</v>
      </c>
      <c r="BR386" s="43" t="e">
        <f t="shared" si="571"/>
        <v>#REF!</v>
      </c>
      <c r="BS386" s="45">
        <v>2.24E-2</v>
      </c>
      <c r="BT386" s="45">
        <v>2.24E-2</v>
      </c>
      <c r="BU386" s="45">
        <v>2.24E-2</v>
      </c>
      <c r="BV386" s="43">
        <f t="shared" si="596"/>
        <v>6.7199999999999996E-2</v>
      </c>
      <c r="BW386" s="43" t="e">
        <f t="shared" si="572"/>
        <v>#REF!</v>
      </c>
      <c r="BX386" s="43" t="e">
        <f t="shared" si="573"/>
        <v>#REF!</v>
      </c>
      <c r="BY386" s="43">
        <f t="shared" si="597"/>
        <v>6.7199999999999996E-2</v>
      </c>
      <c r="BZ386" s="43">
        <f t="shared" si="598"/>
        <v>0</v>
      </c>
      <c r="CA386" s="43" t="e">
        <f t="shared" si="574"/>
        <v>#REF!</v>
      </c>
      <c r="CB386" s="43">
        <f t="shared" si="599"/>
        <v>6.7199999999999996E-2</v>
      </c>
      <c r="CC386" s="43">
        <f t="shared" si="600"/>
        <v>0</v>
      </c>
      <c r="CD386" s="45">
        <v>0</v>
      </c>
      <c r="CE386" s="43">
        <f t="shared" si="601"/>
        <v>0</v>
      </c>
      <c r="CF386" s="43" t="str">
        <f t="shared" si="602"/>
        <v>NA</v>
      </c>
      <c r="CG386" s="45">
        <v>0</v>
      </c>
    </row>
    <row r="387" spans="1:90" ht="18" customHeight="1">
      <c r="A387" s="260" t="s">
        <v>292</v>
      </c>
      <c r="B387" s="260" t="s">
        <v>293</v>
      </c>
      <c r="C387" s="260" t="s">
        <v>2371</v>
      </c>
      <c r="D387" s="260" t="s">
        <v>2372</v>
      </c>
      <c r="E387" s="260" t="s">
        <v>2373</v>
      </c>
      <c r="F387" s="260" t="s">
        <v>2374</v>
      </c>
      <c r="G387" s="260" t="s">
        <v>2375</v>
      </c>
      <c r="H387" s="260" t="s">
        <v>2376</v>
      </c>
      <c r="I387" s="260"/>
      <c r="J387" s="260"/>
      <c r="K387" s="260" t="s">
        <v>2377</v>
      </c>
      <c r="L387" s="260" t="s">
        <v>3050</v>
      </c>
      <c r="M387" s="260" t="s">
        <v>2379</v>
      </c>
      <c r="N387" s="260" t="s">
        <v>111</v>
      </c>
      <c r="O387" s="260" t="s">
        <v>124</v>
      </c>
      <c r="P387" s="10">
        <v>4</v>
      </c>
      <c r="Q387" s="11">
        <v>4</v>
      </c>
      <c r="R387" s="11">
        <f>(Z387+AH387)/CL387</f>
        <v>2</v>
      </c>
      <c r="S387" s="11">
        <f>VLOOKUP(K387,'1108 Educación'!$K$13:$AK$40,9,0)</f>
        <v>0</v>
      </c>
      <c r="T387" s="11">
        <v>0</v>
      </c>
      <c r="U387" s="11">
        <v>4</v>
      </c>
      <c r="V387" s="11">
        <v>0</v>
      </c>
      <c r="W387" s="11">
        <v>4</v>
      </c>
      <c r="X387" s="11" t="s">
        <v>115</v>
      </c>
      <c r="Y387" s="11">
        <v>4</v>
      </c>
      <c r="Z387" s="11">
        <v>4</v>
      </c>
      <c r="AA387" s="11">
        <v>0</v>
      </c>
      <c r="AB387" s="11" t="s">
        <v>2380</v>
      </c>
      <c r="AC387" s="11">
        <v>0</v>
      </c>
      <c r="AD387" s="11">
        <v>0</v>
      </c>
      <c r="AE387" s="11">
        <v>4</v>
      </c>
      <c r="AF387" s="11">
        <f>VLOOKUP(K387,'1108 Educación'!$K$13:$AK$40,22,0)</f>
        <v>0</v>
      </c>
      <c r="AG387" s="11">
        <f>VLOOKUP(K387,'1108 Educación'!$K$13:$AK$40,23,0)</f>
        <v>4</v>
      </c>
      <c r="AH387" s="11">
        <f>AG387</f>
        <v>4</v>
      </c>
      <c r="AI387" s="9">
        <f>VLOOKUP(K387,'1108 Educación'!$K$13:$AK$40,25,0)</f>
        <v>0</v>
      </c>
      <c r="AJ387" s="9" t="str">
        <f>VLOOKUP(K387,'1108 Educación'!$K$13:$AK$40,26,0)</f>
        <v>Se desarrollaron actividades inherentes al SIGC, por parte de la contratista, como prepartación para la auditoria de renovación y las auditorias internasy externas que se realizarán en la vigencia (Formulación Riesgos de gestión y revisión a Riesgos de  corrupción 2021), revisión al desempeño, Planes de Mejoramiento, indicadores, entre otros temas del SIGC. El 5 de mayo se firmó contrato No. SE_CD_130 de 2021, entre Departamento de Cundinamarca-Secretaría de Educación y el ICONTEC. para el mes de cotubre con los recursos asignados a la meta se celebraron dos contratos, una OPS y el Contrato con Persona Jurídica ICONTEC. Los dos le apuntan al alistamiento y preparación para la renovación de los 4 procesos de la SEC y las auditorías internas y de la Gobernación que se realizarán en el segundo semestre de 2021 en octubre se recibio visita de ICONTEC se logró la renovación de la certificación de los cuatro (4) subprocesos de la Secretaria de educacion de Cundinamarca.</v>
      </c>
      <c r="AK387" s="9">
        <f>VLOOKUP(K387,'1108 Educación'!$K$13:$AK$40,27,0)</f>
        <v>0</v>
      </c>
      <c r="AL387" s="11">
        <v>0</v>
      </c>
      <c r="AM387" s="11">
        <v>4</v>
      </c>
      <c r="AN387" s="11">
        <v>0</v>
      </c>
      <c r="AO387" s="11">
        <v>4</v>
      </c>
      <c r="AP387" s="11">
        <v>0</v>
      </c>
      <c r="AQ387" s="11">
        <v>0</v>
      </c>
      <c r="AR387" s="52"/>
      <c r="AS387" s="54">
        <v>43000000</v>
      </c>
      <c r="AT387" s="54">
        <f t="shared" si="569"/>
        <v>43000000</v>
      </c>
      <c r="AU387" s="52"/>
      <c r="AV387" s="89">
        <v>90000000</v>
      </c>
      <c r="AY387" s="89">
        <v>72450000</v>
      </c>
      <c r="AZ387" s="44" cm="1">
        <f t="array" ref="AZ387">_xlfn.IFS((BA387=0),(BD387/CL387),(BA387&gt;0),((BB387+BD387)/CL387),(BE387&gt;0),((BB387+BD387+BE387)/CL387),(BG387&gt;0),((BB387+BD387+BE387+G387)/CL387))</f>
        <v>0.5</v>
      </c>
      <c r="BA387" s="44">
        <v>0.25</v>
      </c>
      <c r="BB387" s="44">
        <v>1</v>
      </c>
      <c r="BC387" s="44">
        <f>IF(AE387&gt;0,(1/CL387),0)</f>
        <v>0.25</v>
      </c>
      <c r="BD387" s="44" cm="1">
        <f t="array" ref="BD387">_xlfn.IFS(AE387=0,"NA",AE387&gt;0,AH387/AE387)</f>
        <v>1</v>
      </c>
      <c r="BE387" s="44">
        <f>IF(AM387&gt;0,(1/CL387),0)</f>
        <v>0.25</v>
      </c>
      <c r="BF387" s="44">
        <v>0</v>
      </c>
      <c r="BG387" s="44">
        <f>IF(AO387&gt;0,(1/CL387),0)</f>
        <v>0.25</v>
      </c>
      <c r="BH387" s="44">
        <v>0</v>
      </c>
      <c r="BI387" s="44">
        <v>0</v>
      </c>
      <c r="BJ387" s="44" t="s">
        <v>115</v>
      </c>
      <c r="BK387" s="44">
        <f t="shared" si="570"/>
        <v>0.5</v>
      </c>
      <c r="BL387" s="44">
        <v>1</v>
      </c>
      <c r="BM387" s="42" cm="1">
        <f t="array" ref="BM387">_xlfn.IFS(BD387="NA","NA",BD387&gt;100%,"100%",BD387&lt;100,BD387)</f>
        <v>1</v>
      </c>
      <c r="BN387" s="44">
        <v>0</v>
      </c>
      <c r="BO387" s="44">
        <v>0</v>
      </c>
      <c r="BP387" s="44" t="s">
        <v>115</v>
      </c>
      <c r="BQ387" s="45">
        <v>0.224</v>
      </c>
      <c r="BR387" s="43">
        <f t="shared" si="571"/>
        <v>0.112</v>
      </c>
      <c r="BS387" s="45">
        <v>5.6000000000000001E-2</v>
      </c>
      <c r="BT387" s="45">
        <v>5.6000000000000001E-2</v>
      </c>
      <c r="BU387" s="45">
        <v>5.6000000000000001E-2</v>
      </c>
      <c r="BV387" s="45">
        <v>5.6000000000000001E-2</v>
      </c>
      <c r="BW387" s="43">
        <f t="shared" si="572"/>
        <v>5.6000000000000001E-2</v>
      </c>
      <c r="BX387" s="43">
        <f t="shared" si="573"/>
        <v>5.6000000000000001E-2</v>
      </c>
      <c r="BY387" s="45">
        <v>5.6000000000000001E-2</v>
      </c>
      <c r="BZ387" s="45">
        <v>0</v>
      </c>
      <c r="CA387" s="43">
        <f t="shared" si="574"/>
        <v>0</v>
      </c>
      <c r="CB387" s="45">
        <v>5.6000000000000001E-2</v>
      </c>
      <c r="CC387" s="45">
        <v>0</v>
      </c>
      <c r="CD387" s="45">
        <v>0</v>
      </c>
      <c r="CE387" s="45">
        <v>0</v>
      </c>
      <c r="CF387" s="45" t="s">
        <v>115</v>
      </c>
      <c r="CG387" s="45">
        <v>0</v>
      </c>
      <c r="CH387">
        <f>IF(W387&gt;0,1,0)</f>
        <v>1</v>
      </c>
      <c r="CI387">
        <f>IF(AE387&gt;0,1,0)</f>
        <v>1</v>
      </c>
      <c r="CJ387">
        <f>IF(AM387&gt;0,1,0)</f>
        <v>1</v>
      </c>
      <c r="CK387">
        <f>IF(AO387&gt;0,1,0)</f>
        <v>1</v>
      </c>
      <c r="CL387">
        <f>CH387+CI387+CJ387+CK387</f>
        <v>4</v>
      </c>
    </row>
    <row r="388" spans="1:90" ht="18" customHeight="1">
      <c r="A388" s="260" t="s">
        <v>2090</v>
      </c>
      <c r="B388" s="260" t="s">
        <v>2091</v>
      </c>
      <c r="C388" s="260" t="s">
        <v>2371</v>
      </c>
      <c r="D388" s="260" t="s">
        <v>2372</v>
      </c>
      <c r="E388" s="260" t="s">
        <v>2373</v>
      </c>
      <c r="F388" s="260" t="s">
        <v>2374</v>
      </c>
      <c r="G388" s="260" t="s">
        <v>2375</v>
      </c>
      <c r="H388" s="260" t="s">
        <v>2381</v>
      </c>
      <c r="I388" s="260"/>
      <c r="J388" s="260"/>
      <c r="K388" s="260" t="s">
        <v>2382</v>
      </c>
      <c r="L388" s="260" t="s">
        <v>2383</v>
      </c>
      <c r="M388" s="260" t="s">
        <v>2384</v>
      </c>
      <c r="N388" s="260" t="s">
        <v>111</v>
      </c>
      <c r="O388" s="260" t="s">
        <v>112</v>
      </c>
      <c r="P388" s="10">
        <v>0</v>
      </c>
      <c r="Q388" s="11">
        <v>1</v>
      </c>
      <c r="R388" s="9">
        <f>Z388+AH388</f>
        <v>0.43000000000000005</v>
      </c>
      <c r="S388" s="11" t="str">
        <f>VLOOKUP(K388,'1114 Función Pub.'!$K$13:$AK$16,9,0)</f>
        <v>En 2020 para el logro de esta meta se definió el alcance para certificación del SIGC de acuerdo con los estándares de la ISO 27001:2013, identificando el proceso de Gestión Financiera como el primer proceso para alcanzar esta certificación. Se realizó el autodiagnóstico para la Gobernación de Cundinamarca, de acuerdo con lo establecido por el Modelo de Privacidad y Seguridad de la Información (MPSI) del MinTIC y la ISO 27001:2013, así mismo, se realizó este autodiagnóstico para el proceso de Gestión Financiera. Finalmente, se generó la documentación requerida en el Planear para el Proceso de Seguridad Digital. Está pendiente la aprobación de esta documentación, por parte del Comité Institucional de Gestión y Desempeño.
En el primer trimestre de 2021 se han realizado las siguientes actividades:
1.       Se presentó a la Secretaría de Planeación un proyecto de Decreto de modificación y articulación de los Decretos Departamentales 338 de 2018 y 077 de 2019, con el fin de establecer la operación de la mesa técnica de Seguridad de la Información.
2.       Definición y presentación equipo de trabajo interno DDO que estará a cargo del cumplimiento de la Meta 377.
3.       Realización de las mesas técnicas con la Secretaría TIC, para la definición de los roles frete al Sistema de Seguridad de la Información.</v>
      </c>
      <c r="T388" s="11">
        <v>0.1</v>
      </c>
      <c r="U388" s="11">
        <v>0</v>
      </c>
      <c r="V388" s="11">
        <v>0.1</v>
      </c>
      <c r="W388" s="11">
        <v>0</v>
      </c>
      <c r="X388" s="11">
        <v>0.1</v>
      </c>
      <c r="Y388" s="11">
        <v>0</v>
      </c>
      <c r="Z388" s="11">
        <v>0.1</v>
      </c>
      <c r="AA388" s="11">
        <v>0</v>
      </c>
      <c r="AB388" s="11" t="s">
        <v>2385</v>
      </c>
      <c r="AC388" s="11">
        <v>0</v>
      </c>
      <c r="AD388" s="11">
        <v>0.4</v>
      </c>
      <c r="AE388" s="11">
        <v>0</v>
      </c>
      <c r="AF388" s="11">
        <f>VLOOKUP(K388,'1114 Función Pub.'!$K$13:$AK$16,22,0)</f>
        <v>0.33</v>
      </c>
      <c r="AG388" s="11">
        <f>VLOOKUP(K388,'1114 Función Pub.'!$K$13:$AK$16,23,0)</f>
        <v>0</v>
      </c>
      <c r="AH388" s="9">
        <f>AF388</f>
        <v>0.33</v>
      </c>
      <c r="AI388" s="9" t="str">
        <f>VLOOKUP(K388,'1114 Función Pub.'!$K$13:$AK$16,25,0)</f>
        <v>1.       Autodiagnósticos del MPSI para la Gobernación y el proceso de Gestión Financiera.  
2.       Proyecto de Decreto de actualización y articulación del SIGC con el Sistema de Control Interno y el Modelo MIPG.
3.       Documentos para revisión que define el Planear de la norma ISO 27001:2013.
Agosto 2021:
Firma de contrato con especialista en seguridad de la información. Pendiente acta de inicio.
Reuniones con la Secretaría de Tecnologías de la Información y Comunicaciones - TIC, para definir roles y responsabilidades frente al proceso.
Definición de equipo de mejoramiento del proceso Gestión de Seguridad de la Información.
Definición del modelo a implementar en el proceso Gestión de Seguridad de la Información.
Septiembre 2021: Se inició contrato con especialista en seguridad de la información, se realizó conversatorio  a los funcionarios de la Entidad relacionados con el tema de “Los haker hackeando humanos”.  Reuniones con la Secretaría de Hacienda con el fin de contextualizar el proceso a certificar.
Noviembre 2021: Ente certificador recertifica en ISO 9001:2015 e ISO 45001:2018</v>
      </c>
      <c r="AJ388" s="9" t="str">
        <f>VLOOKUP(K388,'1114 Función Pub.'!$K$13:$AK$16,26,0)</f>
        <v>·         Definición del equipo de mejoramiento del proceso de Seguridad de la Información.
·         La actualización del SIGC, incorporando el Proceso de Seguridad de la Información como un proceso de apoyo.
Junio 2021:
•	Definición de formatos y procedimientos en temas de Seguridad Digital.
•	Se establecen las evidencias que permiten identificar avances en el anexo ¨A¨ de la norma ISO 27001. Del numeral A.11.1.1 al numeral A.14.2.7
Octubre 2021: Avance en la revisión de la documentación e identificación de los documentos a actualizar.
Se realizó revisión documental de los activos que se tiene por parte de la Gobernación de CundinamarcaSe revisó el cronograma con la documentación entregada por parte del proceso y se realizó su respectiva validación con el porcentaje de avance de cada uno de los puntos.
Reuniones de seguimiento a la meta 377
Nov 2021: Realización de diagnóstico preliminar de seguridad de la información para el proceso de Gestión de los Ingresos, alineado a los requerimientos de norma.
Matriz de contexto estratégico del proceso de seguridad de la información y Gestión de los Ingresos.
Matriz de partes interesadas de seguridad de la información y Gestión de los Ingresos.
Se documento  la caracterización del proceso de seguridad de la información alineado al objetivo de la certificación del proceso de gestión de los ingresos.
Se revisó la política del SIGC,  y políticas aplicables a la seguridad de la información</v>
      </c>
      <c r="AK388" s="9" t="str">
        <f>VLOOKUP(K388,'1114 Función Pub.'!$K$13:$AK$16,27,0)</f>
        <v>1.        Recursos financieros limitados para el desarrollo de las iniciativas de impacto ambiental.
2.       Falta de tiempo, por parte de los miembros de los equipos de mejoramiento, para la aplicación de los instrumentos definidos.
3.       Falta de articulación entre las distintas entidades que están involucradas en el Sistema de Seguridad Digital.</v>
      </c>
      <c r="AL388" s="11">
        <v>0.3</v>
      </c>
      <c r="AM388" s="11">
        <v>0</v>
      </c>
      <c r="AN388" s="11">
        <v>0.2</v>
      </c>
      <c r="AO388" s="11">
        <v>0</v>
      </c>
      <c r="AP388" s="11">
        <v>0</v>
      </c>
      <c r="AQ388" s="11">
        <v>0</v>
      </c>
      <c r="AR388" s="52"/>
      <c r="AS388" s="54">
        <v>23700000</v>
      </c>
      <c r="AT388" s="54">
        <f t="shared" si="569"/>
        <v>23700000</v>
      </c>
      <c r="AU388" s="52"/>
      <c r="AV388" s="89">
        <v>10000000</v>
      </c>
      <c r="AY388" s="89">
        <v>0</v>
      </c>
      <c r="AZ388" s="42">
        <f t="shared" ref="AZ388" si="603">R388/Q388</f>
        <v>0.43000000000000005</v>
      </c>
      <c r="BA388" s="44">
        <v>0.1</v>
      </c>
      <c r="BB388" s="44">
        <v>1</v>
      </c>
      <c r="BC388" s="42">
        <f>AD388/Q388</f>
        <v>0.4</v>
      </c>
      <c r="BD388" s="42" cm="1">
        <f t="array" ref="BD388">_xlfn.IFS(AD388=0,"NA",AD388&gt;0,AH388/AD388)</f>
        <v>0.82499999999999996</v>
      </c>
      <c r="BE388" s="42">
        <f>AL388/Q388</f>
        <v>0.3</v>
      </c>
      <c r="BF388" s="44">
        <v>0</v>
      </c>
      <c r="BG388" s="42">
        <f>AN388/Q388</f>
        <v>0.2</v>
      </c>
      <c r="BH388" s="44">
        <v>0</v>
      </c>
      <c r="BI388" s="42">
        <f>AP388/Q388</f>
        <v>0</v>
      </c>
      <c r="BJ388" s="44" t="s">
        <v>115</v>
      </c>
      <c r="BK388" s="42">
        <f t="shared" si="570"/>
        <v>0.43000000000000005</v>
      </c>
      <c r="BL388" s="44">
        <v>1</v>
      </c>
      <c r="BM388" s="42" cm="1">
        <f t="array" ref="BM388">_xlfn.IFS(BD388="NA","NA",BD388&gt;100%,"100%",BD388&lt;100,BD388)</f>
        <v>0.82499999999999996</v>
      </c>
      <c r="BN388" s="42" cm="1">
        <f t="array" ref="BN388">_xlfn.IFS(BF388="NA","NA",BF388&gt;100%,"100%",BF388&lt;100,BF388)</f>
        <v>0</v>
      </c>
      <c r="BO388" s="42" cm="1">
        <f t="array" ref="BO388">_xlfn.IFS(BH388="NA","NA",BH388&gt;100%,"100%",BH388&lt;100,BH388)</f>
        <v>0</v>
      </c>
      <c r="BP388" s="42" t="str" cm="1">
        <f t="array" ref="BP388">_xlfn.IFS(BJ388="NA","NA",BJ388&gt;100%,"100%",BJ388&lt;100,BJ388)</f>
        <v>NA</v>
      </c>
      <c r="BQ388" s="45">
        <v>0.224</v>
      </c>
      <c r="BR388" s="43">
        <f t="shared" si="571"/>
        <v>9.6320000000000017E-2</v>
      </c>
      <c r="BS388" s="45">
        <v>2.24E-2</v>
      </c>
      <c r="BT388" s="45">
        <v>2.24E-2</v>
      </c>
      <c r="BU388" s="45">
        <v>2.24E-2</v>
      </c>
      <c r="BV388" s="43">
        <f>(AD388*BQ388)/Q388</f>
        <v>8.9600000000000013E-2</v>
      </c>
      <c r="BW388" s="43">
        <f t="shared" si="572"/>
        <v>7.3920000000000013E-2</v>
      </c>
      <c r="BX388" s="43">
        <f t="shared" si="573"/>
        <v>7.3920000000000013E-2</v>
      </c>
      <c r="BY388" s="43">
        <f>(AL388*BQ388)/Q388</f>
        <v>6.7199999999999996E-2</v>
      </c>
      <c r="BZ388" s="43">
        <f>IF(BN388="NA","NA",BN388*BY388)</f>
        <v>0</v>
      </c>
      <c r="CA388" s="43">
        <f t="shared" si="574"/>
        <v>0</v>
      </c>
      <c r="CB388" s="43">
        <f>(AN388*BQ388)/Q388</f>
        <v>4.4800000000000006E-2</v>
      </c>
      <c r="CC388" s="43">
        <f>IF(BO388="NA","NA",BO388*CB388)</f>
        <v>0</v>
      </c>
      <c r="CD388" s="45">
        <v>0</v>
      </c>
      <c r="CE388" s="43">
        <f>(AP388*BQ388)/Q388</f>
        <v>0</v>
      </c>
      <c r="CF388" s="43" t="str">
        <f>IF(BP388="NA","NA",BP388*CE388)</f>
        <v>NA</v>
      </c>
      <c r="CG388" s="45">
        <v>0</v>
      </c>
    </row>
    <row r="389" spans="1:90" ht="18" customHeight="1">
      <c r="A389" s="260" t="s">
        <v>2090</v>
      </c>
      <c r="B389" s="260" t="s">
        <v>2091</v>
      </c>
      <c r="C389" s="260" t="s">
        <v>2371</v>
      </c>
      <c r="D389" s="260" t="s">
        <v>2372</v>
      </c>
      <c r="E389" s="260" t="s">
        <v>2373</v>
      </c>
      <c r="F389" s="260" t="s">
        <v>2374</v>
      </c>
      <c r="G389" s="260" t="s">
        <v>2375</v>
      </c>
      <c r="H389" s="260" t="s">
        <v>2386</v>
      </c>
      <c r="I389" s="260"/>
      <c r="J389" s="260"/>
      <c r="K389" s="260" t="s">
        <v>2387</v>
      </c>
      <c r="L389" s="260" t="s">
        <v>2388</v>
      </c>
      <c r="M389" s="260" t="s">
        <v>2389</v>
      </c>
      <c r="N389" s="260" t="s">
        <v>111</v>
      </c>
      <c r="O389" s="260" t="s">
        <v>124</v>
      </c>
      <c r="P389" s="10">
        <v>2</v>
      </c>
      <c r="Q389" s="11">
        <v>2</v>
      </c>
      <c r="R389" s="11">
        <f>(Z389+AH389)/CL389</f>
        <v>0.92500000000000004</v>
      </c>
      <c r="S389" s="11" t="str">
        <f>VLOOKUP(K389,'1114 Función Pub.'!$K$13:$AK$16,9,0)</f>
        <v>En 2020 se efectuó la Auditoría Interna y la Auditoría de certificación por parte de ICONTEC, logrando mantener las certificaciones ISO 9001:2015 e ISO 45001:2018 al Sistema Integral de Gestión y Control. Así mismo, se realizó un reconocimiento al SIGC, específicamente a su Estrategia de Apropiación, por parte del Departamento Administrativo de la Función Pública, otorgando mención de honor en el premio nacional de alta Gerencia.
En el primer trimestre de 2021, se procedió a actualizar el mapa de procesos del Sistema Integral de Gestión y Control (SIGC), en versión 3, armonizándolo al proceso de modernización administrativa del nivel central efectuada en la vigencia 2020. Así mismo, se procedió a actualizar tanto el mapa de procesos, los procedimientos y los objetivos de los procesos del SIGC en concordancia con lo establecido en el Decreto 437 del 25 de septiembre del 2020 "Por el cual se define la Organización Interna y Funciones de las Dependencias del Sector Central”.  Finalmente, se ajustan las herramientas aplicadas en el planear del ciclo PHVA, así:
·         Contexto Estratégico: Se reestructura la metodología actual incorporando la identificación y valoración de factores externos y factores internos, mediante las técnicas MEFE (Matriz de Evaluación del Factor Externo) y MEFI (Matriz de Evaluación del Factor Interno) respectivamente; esto permite priorizar los elementos DOFA que impactan el cumplimiento de los objetivos de proceso y estratégicos del SIGC, implementando acciones que aborden eficazmente tales elementos.
·         Partes Interesadas (PI): Se incorpora la metodología de análisis de poder, la cual permite evaluar a las partes interesadas desde los enfoques estratégicos: Importancia e Influencia, entendiendo que la primera corresponde al impacto que tiene la PI sobre los objetivos del proceso o entidad, y el segundo, evalúa el poder sobre la toma de decisiones en proceso o la entidad.
·         Gestión de Riesgos: Se actualizó la política de riesgos de la Gobernación y la Guía para la Gestión de Riesgos, que define el mapa de riesgos 2021.
·         Matriz de Identificación de Peligros y Valoración de Riesgos: Se actualizó esta matriz de acuerdo con la Guía Técnica Colombiana (GTC 45) y la norma ISO 45001:2018.
Agosto 2021: ejecucion de la auditoria interna y formulacion de planes de accion. 
Octubre 2021: Se realizó auditoria exxterna con ICONTEC que logro la renovación de los certificados de ISO 9001:2015 e ISO 45001:2018.</v>
      </c>
      <c r="T389" s="11">
        <v>0</v>
      </c>
      <c r="U389" s="11">
        <v>2</v>
      </c>
      <c r="V389" s="11">
        <v>0</v>
      </c>
      <c r="W389" s="11">
        <v>2</v>
      </c>
      <c r="X389" s="11" t="s">
        <v>115</v>
      </c>
      <c r="Y389" s="11">
        <v>2</v>
      </c>
      <c r="Z389" s="11">
        <v>2</v>
      </c>
      <c r="AA389" s="11" t="s">
        <v>2390</v>
      </c>
      <c r="AB389" s="11" t="s">
        <v>2391</v>
      </c>
      <c r="AC389" s="11">
        <v>0</v>
      </c>
      <c r="AD389" s="11">
        <v>0</v>
      </c>
      <c r="AE389" s="11">
        <v>2</v>
      </c>
      <c r="AF389" s="11">
        <f>VLOOKUP(K389,'1114 Función Pub.'!$K$13:$AK$16,22,0)</f>
        <v>0</v>
      </c>
      <c r="AG389" s="11">
        <f>VLOOKUP(K389,'1114 Función Pub.'!$K$13:$AK$16,23,0)</f>
        <v>1.7</v>
      </c>
      <c r="AH389" s="11">
        <f>AG389</f>
        <v>1.7</v>
      </c>
      <c r="AI389" s="9" t="str">
        <f>VLOOKUP(K389,'1114 Función Pub.'!$K$13:$AK$16,25,0)</f>
        <v>1.       Informes de Auditoría Interna y Externa
2.       Certificaciones ISO 9001:2015 e ISO 45001:2018 actualizadas y vigentes.
3.       Mapa de procesos actualizado en Isolucion.
4.       Herramientas de valoración cuanti-cualitativa del contexto y partes interesadas, aprobadas y cargadas en Isolucion
5.       Documentos con la Política de Riesgos y la Guía de gestión de riesgos para la Gobernación. Socializada y verificada por la Secretaría de Planeación, la Gerencia de Buen Gobierno y la Oficina de Control Interno.
Julio 2021:
1. Firma del contrato e inicio de la auditoría interna al SIGC 24 procesos.
Agosto 2021:
Realización de la auditoría interna combinada al Sistema Integral de Gestión y Control en las normas ISO 9001:2015 e ISO 45001:2018 el 23/07/2021, y elaboración de los planes de acción producto de los hallazgos y observaciones detectadas.
Seguimiento y manteniendo mensual al Sistema Integrado de gestión y Control – SIGC en temas específicos tales como: seguimiento acciones, medición de indicadores, gestión del riesgo, información documentada y ejecución de plan de apropiación.
Septiembre 2021: Se realizó capacitación a los secretarios de despacho de la ISO 9001:2015 y 45001:2018 frente a la auditoría externa, capacitación en matrices de peligro y riesgos de seguridad y salud en el trabajo.  Inspecciones locativas de seguridad orden y limpieza e inspecciones del componente de emergencias en la sede administrativa.</v>
      </c>
      <c r="AJ389" s="9" t="str">
        <f>VLOOKUP(K389,'1114 Función Pub.'!$K$13:$AK$16,26,0)</f>
        <v>A partir de los procesos de auditoria interna y externa y de la evaluación de Control Interno se logró a marzo de 2021:
1.       Incorporar herramientas para la valoración del contexto estratégico, Partes Interesadas y definición del objetivo y alcance de los procesos.
2.       Se actualizó la política y la Guía de Gestión de riesgos, de acuerdo con los parámetros establecidos por el DAFP.
3.       Matriz de Identificación de Peligros y Valoración de Riesgos, actualizada y verificada con la normatividad vigente.
Junio 2021: 
•	Se realizó el monitoreo a la gestión de los 85 riesgos institucionales definidos para el 2021. Así mismo, se realizó seguimiento a los 216 controles establecidos para los procesos del SIGC. 
•	Se estructuraron los procesos de contratación de auditoría interna y de auditoría de certificación. Estos se encuentran en etapa de perfeccionamiento y legalización del contrato. 
•	Se realizaron conversatorios digitales de preparación a los equipos de mejoramiento para las Auditoria Interna que se prevé en la segunda semana de julio.
Agosto: Ejecucion de auditoria interna y formulacion de planes de accion.
Octubre 2021: Se realizó auditoria con ICONTEC que logro la renovación de los certificados de ISO 9001:2015 e ISO 45001:2018.
Seguimiento y manteniendo mensual al Sistema Integrado de gestión y Control – SIGC en temas específicos tales como: seguimiento acciones, medición de indicadores, gestión del riesgo, información documentada y ejecución de plan de apropiación.
Nov 2021: 
Se estableció el plan de acción de las no conformidades.
Seguimiento y manteniendo mensual al Sistema Integrado de gestión y Control – SIGC en temas específicos tales como: seguimiento acciones, medición de indicadores, gestión del riesgo, información documentada y ejecución de plan de apropiación.</v>
      </c>
      <c r="AK389" s="9" t="str">
        <f>VLOOKUP(K389,'1114 Función Pub.'!$K$13:$AK$16,27,0)</f>
        <v>1.       Falta de tiempo, por parte de los miembros de los equipos de mejoramiento, para la aplicación de los instrumentos definidos.
2.       Los miembros de los equipos de mejoramiento carecen de conocimiento específico frente a la implementación de nuevas metodologías para la actualización de los procesos.
3.       Mayores tiempos en los contratos de proveedores, lo que dificulta la aplicación de los estándares de la ISO 45001 y la 14001, en la Sede Central y sus Sedes Externas.</v>
      </c>
      <c r="AL389" s="11">
        <v>0</v>
      </c>
      <c r="AM389" s="11">
        <v>2</v>
      </c>
      <c r="AN389" s="11">
        <v>0</v>
      </c>
      <c r="AO389" s="11">
        <v>2</v>
      </c>
      <c r="AP389" s="11">
        <v>0</v>
      </c>
      <c r="AQ389" s="11">
        <v>0</v>
      </c>
      <c r="AR389" s="51">
        <v>95056743</v>
      </c>
      <c r="AS389" s="54">
        <v>0</v>
      </c>
      <c r="AT389" s="54">
        <f t="shared" si="569"/>
        <v>95056743</v>
      </c>
      <c r="AU389" s="51">
        <v>36224800</v>
      </c>
      <c r="AV389" s="89">
        <v>50000000</v>
      </c>
      <c r="AY389" s="89">
        <v>0</v>
      </c>
      <c r="AZ389" s="44" cm="1">
        <f t="array" ref="AZ389">_xlfn.IFS((BA389=0),(BD389/CL389),(BA389&gt;0),((BB389+BD389)/CL389),(BE389&gt;0),((BB389+BD389+BE389)/CL389),(BG389&gt;0),((BB389+BD389+BE389+G389)/CL389))</f>
        <v>0.46250000000000002</v>
      </c>
      <c r="BA389" s="44">
        <v>0.25</v>
      </c>
      <c r="BB389" s="44">
        <v>1</v>
      </c>
      <c r="BC389" s="44">
        <f>IF(AE389&gt;0,(1/CL389),0)</f>
        <v>0.25</v>
      </c>
      <c r="BD389" s="44" cm="1">
        <f t="array" ref="BD389">_xlfn.IFS(AE389=0,"NA",AE389&gt;0,AH389/AE389)</f>
        <v>0.85</v>
      </c>
      <c r="BE389" s="44">
        <f>IF(AM389&gt;0,(1/CL389),0)</f>
        <v>0.25</v>
      </c>
      <c r="BF389" s="44">
        <v>0</v>
      </c>
      <c r="BG389" s="44">
        <f>IF(AO389&gt;0,(1/CL389),0)</f>
        <v>0.25</v>
      </c>
      <c r="BH389" s="44">
        <v>0</v>
      </c>
      <c r="BI389" s="44">
        <v>0</v>
      </c>
      <c r="BJ389" s="44" t="s">
        <v>115</v>
      </c>
      <c r="BK389" s="44">
        <f t="shared" si="570"/>
        <v>0.46250000000000002</v>
      </c>
      <c r="BL389" s="44">
        <v>1</v>
      </c>
      <c r="BM389" s="42" cm="1">
        <f t="array" ref="BM389">_xlfn.IFS(BD389="NA","NA",BD389&gt;100%,"100%",BD389&lt;100,BD389)</f>
        <v>0.85</v>
      </c>
      <c r="BN389" s="44">
        <v>0</v>
      </c>
      <c r="BO389" s="44">
        <v>0</v>
      </c>
      <c r="BP389" s="44" t="s">
        <v>115</v>
      </c>
      <c r="BQ389" s="45">
        <v>0.224</v>
      </c>
      <c r="BR389" s="43">
        <f t="shared" si="571"/>
        <v>0.10360000000000001</v>
      </c>
      <c r="BS389" s="45">
        <v>5.6000000000000001E-2</v>
      </c>
      <c r="BT389" s="45">
        <v>5.6000000000000001E-2</v>
      </c>
      <c r="BU389" s="45">
        <v>5.6000000000000001E-2</v>
      </c>
      <c r="BV389" s="45">
        <v>5.6000000000000001E-2</v>
      </c>
      <c r="BW389" s="43">
        <f t="shared" si="572"/>
        <v>4.7599999999999996E-2</v>
      </c>
      <c r="BX389" s="43">
        <f t="shared" si="573"/>
        <v>4.760000000000001E-2</v>
      </c>
      <c r="BY389" s="45">
        <v>5.6000000000000001E-2</v>
      </c>
      <c r="BZ389" s="45">
        <v>0</v>
      </c>
      <c r="CA389" s="43">
        <f t="shared" si="574"/>
        <v>0</v>
      </c>
      <c r="CB389" s="45">
        <v>5.6000000000000001E-2</v>
      </c>
      <c r="CC389" s="45">
        <v>0</v>
      </c>
      <c r="CD389" s="45">
        <v>0</v>
      </c>
      <c r="CE389" s="45">
        <v>0</v>
      </c>
      <c r="CF389" s="45" t="s">
        <v>115</v>
      </c>
      <c r="CG389" s="45">
        <v>0</v>
      </c>
      <c r="CH389">
        <f>IF(W389&gt;0,1,0)</f>
        <v>1</v>
      </c>
      <c r="CI389">
        <f>IF(AE389&gt;0,1,0)</f>
        <v>1</v>
      </c>
      <c r="CJ389">
        <f>IF(AM389&gt;0,1,0)</f>
        <v>1</v>
      </c>
      <c r="CK389">
        <f>IF(AO389&gt;0,1,0)</f>
        <v>1</v>
      </c>
      <c r="CL389">
        <f>CH389+CI389+CJ389+CK389</f>
        <v>4</v>
      </c>
    </row>
    <row r="390" spans="1:90" ht="18" customHeight="1">
      <c r="A390" s="260" t="s">
        <v>2090</v>
      </c>
      <c r="B390" s="260" t="s">
        <v>2091</v>
      </c>
      <c r="C390" s="260" t="s">
        <v>2371</v>
      </c>
      <c r="D390" s="260" t="s">
        <v>2372</v>
      </c>
      <c r="E390" s="260" t="s">
        <v>2373</v>
      </c>
      <c r="F390" s="260" t="s">
        <v>2374</v>
      </c>
      <c r="G390" s="260" t="s">
        <v>2375</v>
      </c>
      <c r="H390" s="260" t="s">
        <v>2392</v>
      </c>
      <c r="I390" s="260"/>
      <c r="J390" s="260"/>
      <c r="K390" s="260" t="s">
        <v>2393</v>
      </c>
      <c r="L390" s="260" t="s">
        <v>2394</v>
      </c>
      <c r="M390" s="260" t="s">
        <v>2395</v>
      </c>
      <c r="N390" s="260" t="s">
        <v>111</v>
      </c>
      <c r="O390" s="260" t="s">
        <v>112</v>
      </c>
      <c r="P390" s="10">
        <v>90</v>
      </c>
      <c r="Q390" s="11">
        <v>58</v>
      </c>
      <c r="R390" s="9">
        <f t="shared" ref="R390:R394" si="604">Z390+AH390</f>
        <v>10</v>
      </c>
      <c r="S390" s="11" t="str">
        <f>VLOOKUP(K390,'1114 Función Pub.'!$K$13:$AK$16,9,0)</f>
        <v xml:space="preserve">Se realizó el pago de 10 matriculas de especialización para los funcionarios que ocupan el cargo de profesional universitario de la administración central. </v>
      </c>
      <c r="T390" s="11">
        <v>20</v>
      </c>
      <c r="U390" s="11">
        <v>0</v>
      </c>
      <c r="V390" s="11">
        <v>0</v>
      </c>
      <c r="W390" s="11">
        <v>0</v>
      </c>
      <c r="X390" s="11">
        <v>0</v>
      </c>
      <c r="Y390" s="11">
        <v>0</v>
      </c>
      <c r="Z390" s="11">
        <v>0</v>
      </c>
      <c r="AA390" s="11"/>
      <c r="AB390" s="11"/>
      <c r="AC390" s="11"/>
      <c r="AD390" s="11">
        <v>20</v>
      </c>
      <c r="AE390" s="11">
        <v>0</v>
      </c>
      <c r="AF390" s="11">
        <f>VLOOKUP(K390,'1114 Función Pub.'!$K$13:$AK$16,22,0)</f>
        <v>10</v>
      </c>
      <c r="AG390" s="11">
        <f>VLOOKUP(K390,'1114 Función Pub.'!$K$13:$AK$16,23,0)</f>
        <v>0</v>
      </c>
      <c r="AH390" s="9">
        <f t="shared" ref="AH390:AH394" si="605">AF390</f>
        <v>10</v>
      </c>
      <c r="AI390" s="9" t="str">
        <f>VLOOKUP(K390,'1114 Función Pub.'!$K$13:$AK$16,25,0)</f>
        <v>Pago de 10 matriculas de posgrado a funcionarios del sector central</v>
      </c>
      <c r="AJ390" s="9" t="str">
        <f>VLOOKUP(K390,'1114 Función Pub.'!$K$13:$AK$16,26,0)</f>
        <v xml:space="preserve">Se logro que 10 funcionarios cuyo tipo de vinculacion es profesional univesitario, iniciaran el programa de especialización de su preferencia y alineado con las metas institucionales. </v>
      </c>
      <c r="AK390" s="9" t="str">
        <f>VLOOKUP(K390,'1114 Función Pub.'!$K$13:$AK$16,27,0)</f>
        <v xml:space="preserve">El recurso fue limitado para vigencia, por tal motivo se modifico el fisico de esta vigencia. </v>
      </c>
      <c r="AL390" s="11">
        <v>20</v>
      </c>
      <c r="AM390" s="11">
        <v>0</v>
      </c>
      <c r="AN390" s="11">
        <v>18</v>
      </c>
      <c r="AO390" s="11">
        <v>0</v>
      </c>
      <c r="AP390" s="11">
        <v>0</v>
      </c>
      <c r="AQ390" s="11">
        <v>0</v>
      </c>
      <c r="AR390" s="52"/>
      <c r="AS390" s="54">
        <v>0</v>
      </c>
      <c r="AT390" s="54">
        <f t="shared" si="569"/>
        <v>0</v>
      </c>
      <c r="AU390" s="52"/>
      <c r="AV390" s="89">
        <v>50000000</v>
      </c>
      <c r="AY390" s="89">
        <v>0</v>
      </c>
      <c r="AZ390" s="42">
        <f t="shared" ref="AZ390:AZ394" si="606">R390/Q390</f>
        <v>0.17241379310344829</v>
      </c>
      <c r="BA390" s="44">
        <v>0</v>
      </c>
      <c r="BB390" s="44" t="s">
        <v>115</v>
      </c>
      <c r="BC390" s="42">
        <f t="shared" ref="BC390:BC394" si="607">AD390/Q390</f>
        <v>0.34482758620689657</v>
      </c>
      <c r="BD390" s="42" cm="1">
        <f t="array" ref="BD390">_xlfn.IFS(AD390=0,"NA",AD390&gt;0,AH390/AD390)</f>
        <v>0.5</v>
      </c>
      <c r="BE390" s="42">
        <f t="shared" ref="BE390:BE394" si="608">AL390/Q390</f>
        <v>0.34482758620689657</v>
      </c>
      <c r="BF390" s="44">
        <v>0</v>
      </c>
      <c r="BG390" s="42">
        <f t="shared" ref="BG390:BG394" si="609">AN390/Q390</f>
        <v>0.31034482758620691</v>
      </c>
      <c r="BH390" s="44">
        <v>0</v>
      </c>
      <c r="BI390" s="42">
        <f t="shared" ref="BI390:BI394" si="610">AP390/Q390</f>
        <v>0</v>
      </c>
      <c r="BJ390" s="44" t="s">
        <v>115</v>
      </c>
      <c r="BK390" s="42">
        <f t="shared" si="570"/>
        <v>0.17241379310344829</v>
      </c>
      <c r="BL390" s="44" t="s">
        <v>115</v>
      </c>
      <c r="BM390" s="42" cm="1">
        <f t="array" ref="BM390">_xlfn.IFS(BD390="NA","NA",BD390&gt;100%,"100%",BD390&lt;100,BD390)</f>
        <v>0.5</v>
      </c>
      <c r="BN390" s="42" cm="1">
        <f t="array" ref="BN390">_xlfn.IFS(BF390="NA","NA",BF390&gt;100%,"100%",BF390&lt;100,BF390)</f>
        <v>0</v>
      </c>
      <c r="BO390" s="42" cm="1">
        <f t="array" ref="BO390">_xlfn.IFS(BH390="NA","NA",BH390&gt;100%,"100%",BH390&lt;100,BH390)</f>
        <v>0</v>
      </c>
      <c r="BP390" s="42" t="str" cm="1">
        <f t="array" ref="BP390">_xlfn.IFS(BJ390="NA","NA",BJ390&gt;100%,"100%",BJ390&lt;100,BJ390)</f>
        <v>NA</v>
      </c>
      <c r="BQ390" s="45">
        <v>0.224</v>
      </c>
      <c r="BR390" s="43">
        <f t="shared" si="571"/>
        <v>3.8620689655172416E-2</v>
      </c>
      <c r="BS390" s="45">
        <v>0</v>
      </c>
      <c r="BT390" s="45" t="s">
        <v>115</v>
      </c>
      <c r="BU390" s="45">
        <v>0</v>
      </c>
      <c r="BV390" s="43">
        <f t="shared" ref="BV390:BV394" si="611">(AD390*BQ390)/Q390</f>
        <v>7.7241379310344832E-2</v>
      </c>
      <c r="BW390" s="43">
        <f t="shared" si="572"/>
        <v>3.8620689655172416E-2</v>
      </c>
      <c r="BX390" s="43">
        <f t="shared" si="573"/>
        <v>3.8620689655172416E-2</v>
      </c>
      <c r="BY390" s="43">
        <f t="shared" ref="BY390:BY394" si="612">(AL390*BQ390)/Q390</f>
        <v>7.7241379310344832E-2</v>
      </c>
      <c r="BZ390" s="43">
        <f t="shared" ref="BZ390:BZ394" si="613">IF(BN390="NA","NA",BN390*BY390)</f>
        <v>0</v>
      </c>
      <c r="CA390" s="43">
        <f t="shared" si="574"/>
        <v>0</v>
      </c>
      <c r="CB390" s="43">
        <f t="shared" ref="CB390:CB394" si="614">(AN390*BQ390)/Q390</f>
        <v>6.9517241379310341E-2</v>
      </c>
      <c r="CC390" s="43">
        <f t="shared" ref="CC390:CC394" si="615">IF(BO390="NA","NA",BO390*CB390)</f>
        <v>0</v>
      </c>
      <c r="CD390" s="45">
        <v>0</v>
      </c>
      <c r="CE390" s="43">
        <f t="shared" ref="CE390:CE394" si="616">(AP390*BQ390)/Q390</f>
        <v>0</v>
      </c>
      <c r="CF390" s="43" t="str">
        <f t="shared" ref="CF390:CF394" si="617">IF(BP390="NA","NA",BP390*CE390)</f>
        <v>NA</v>
      </c>
      <c r="CG390" s="45">
        <v>0</v>
      </c>
    </row>
    <row r="391" spans="1:90" ht="18" customHeight="1">
      <c r="A391" s="260" t="s">
        <v>2335</v>
      </c>
      <c r="B391" s="260" t="s">
        <v>2336</v>
      </c>
      <c r="C391" s="260" t="s">
        <v>2371</v>
      </c>
      <c r="D391" s="260" t="s">
        <v>2372</v>
      </c>
      <c r="E391" s="260" t="s">
        <v>2373</v>
      </c>
      <c r="F391" s="260" t="s">
        <v>2374</v>
      </c>
      <c r="G391" s="260" t="s">
        <v>2375</v>
      </c>
      <c r="H391" s="260" t="s">
        <v>2396</v>
      </c>
      <c r="I391" s="260"/>
      <c r="J391" s="260"/>
      <c r="K391" s="260" t="s">
        <v>2397</v>
      </c>
      <c r="L391" s="260" t="s">
        <v>2398</v>
      </c>
      <c r="M391" s="260" t="s">
        <v>2399</v>
      </c>
      <c r="N391" s="260" t="s">
        <v>111</v>
      </c>
      <c r="O391" s="260" t="s">
        <v>112</v>
      </c>
      <c r="P391" s="10">
        <v>0</v>
      </c>
      <c r="Q391" s="11">
        <v>1</v>
      </c>
      <c r="R391" s="9">
        <f t="shared" si="604"/>
        <v>100.05</v>
      </c>
      <c r="S391" s="11" t="str">
        <f>VLOOKUP(K391,'1113 Planeación'!$K$13:$AK$19,9,0)</f>
        <v>Actualización de la plataforma tecnológica de mapas.cundinamarca.gov.co</v>
      </c>
      <c r="T391" s="11">
        <v>0.05</v>
      </c>
      <c r="U391" s="11">
        <v>0</v>
      </c>
      <c r="V391" s="11">
        <v>0.05</v>
      </c>
      <c r="W391" s="11">
        <v>0</v>
      </c>
      <c r="X391" s="11">
        <v>0.05</v>
      </c>
      <c r="Y391" s="11">
        <v>0</v>
      </c>
      <c r="Z391" s="11">
        <v>0.05</v>
      </c>
      <c r="AA391" s="11" t="s">
        <v>2400</v>
      </c>
      <c r="AB391" s="11" t="s">
        <v>2401</v>
      </c>
      <c r="AC391" s="11" t="s">
        <v>2402</v>
      </c>
      <c r="AD391" s="11">
        <v>0.35</v>
      </c>
      <c r="AE391" s="11">
        <v>0</v>
      </c>
      <c r="AF391" s="11">
        <f>VLOOKUP(K391,'1113 Planeación'!$K$13:$AK$19,22,0)</f>
        <v>100</v>
      </c>
      <c r="AG391" s="11" t="str">
        <f>VLOOKUP(K391,'1113 Planeación'!$K$13:$AK$19,23,0)</f>
        <v> </v>
      </c>
      <c r="AH391" s="9">
        <f t="shared" si="605"/>
        <v>100</v>
      </c>
      <c r="AI391" s="9" t="str">
        <f>VLOOKUP(K391,'1113 Planeación'!$K$13:$AK$19,25,0)</f>
        <v> 19 Aplicaciones web como proyectos geoespaciales de 13 secretarías de la Gobernación de Cundinamarca</v>
      </c>
      <c r="AJ391" s="9" t="str">
        <f>VLOOKUP(K391,'1113 Planeación'!$K$13:$AK$19,26,0)</f>
        <v>datos abiertos publicados en mapas.cundinamarca.gov.co</v>
      </c>
      <c r="AK391" s="9" t="str">
        <f>VLOOKUP(K391,'1113 Planeación'!$K$13:$AK$19,27,0)</f>
        <v>publicación de datasets de información estadístca y geográfica departametnal y municipal en mapas.cundinamarca.gov.co</v>
      </c>
      <c r="AL391" s="11">
        <v>0.35</v>
      </c>
      <c r="AM391" s="11">
        <v>0</v>
      </c>
      <c r="AN391" s="11">
        <v>0.25</v>
      </c>
      <c r="AO391" s="11">
        <v>0</v>
      </c>
      <c r="AP391" s="11">
        <v>0</v>
      </c>
      <c r="AQ391" s="11">
        <v>0</v>
      </c>
      <c r="AR391" s="51">
        <v>333756638</v>
      </c>
      <c r="AS391" s="54">
        <v>0</v>
      </c>
      <c r="AT391" s="54">
        <f t="shared" si="569"/>
        <v>333756638</v>
      </c>
      <c r="AU391" s="51">
        <v>333756638</v>
      </c>
      <c r="AV391" s="89">
        <v>350000000</v>
      </c>
      <c r="AY391" s="89">
        <v>0</v>
      </c>
      <c r="AZ391" s="42">
        <f t="shared" si="606"/>
        <v>100.05</v>
      </c>
      <c r="BA391" s="44">
        <v>0.05</v>
      </c>
      <c r="BB391" s="44">
        <v>1</v>
      </c>
      <c r="BC391" s="42">
        <f t="shared" si="607"/>
        <v>0.35</v>
      </c>
      <c r="BD391" s="42" cm="1">
        <f t="array" ref="BD391">_xlfn.IFS(AD391=0,"NA",AD391&gt;0,AH391/AD391)</f>
        <v>285.71428571428572</v>
      </c>
      <c r="BE391" s="42">
        <f t="shared" si="608"/>
        <v>0.35</v>
      </c>
      <c r="BF391" s="44">
        <v>0</v>
      </c>
      <c r="BG391" s="42">
        <f t="shared" si="609"/>
        <v>0.25</v>
      </c>
      <c r="BH391" s="44">
        <v>0</v>
      </c>
      <c r="BI391" s="42">
        <f t="shared" si="610"/>
        <v>0</v>
      </c>
      <c r="BJ391" s="44" t="s">
        <v>115</v>
      </c>
      <c r="BK391" s="42" t="str">
        <f t="shared" si="570"/>
        <v>100%</v>
      </c>
      <c r="BL391" s="44">
        <v>1</v>
      </c>
      <c r="BM391" s="42" t="str" cm="1">
        <f t="array" ref="BM391">_xlfn.IFS(BD391="NA","NA",BD391&gt;100%,"100%",BD391&lt;100,BD391)</f>
        <v>100%</v>
      </c>
      <c r="BN391" s="42" cm="1">
        <f t="array" ref="BN391">_xlfn.IFS(BF391="NA","NA",BF391&gt;100%,"100%",BF391&lt;100,BF391)</f>
        <v>0</v>
      </c>
      <c r="BO391" s="42" cm="1">
        <f t="array" ref="BO391">_xlfn.IFS(BH391="NA","NA",BH391&gt;100%,"100%",BH391&lt;100,BH391)</f>
        <v>0</v>
      </c>
      <c r="BP391" s="42" t="str" cm="1">
        <f t="array" ref="BP391">_xlfn.IFS(BJ391="NA","NA",BJ391&gt;100%,"100%",BJ391&lt;100,BJ391)</f>
        <v>NA</v>
      </c>
      <c r="BQ391" s="45">
        <v>0.224</v>
      </c>
      <c r="BR391" s="43">
        <f t="shared" si="571"/>
        <v>0.224</v>
      </c>
      <c r="BS391" s="45">
        <v>1.12E-2</v>
      </c>
      <c r="BT391" s="45">
        <v>1.12E-2</v>
      </c>
      <c r="BU391" s="45">
        <v>1.12E-2</v>
      </c>
      <c r="BV391" s="43">
        <f t="shared" si="611"/>
        <v>7.8399999999999997E-2</v>
      </c>
      <c r="BW391" s="43">
        <f t="shared" si="572"/>
        <v>7.8399999999999997E-2</v>
      </c>
      <c r="BX391" s="43">
        <f t="shared" si="573"/>
        <v>0.21280000000000002</v>
      </c>
      <c r="BY391" s="43">
        <f t="shared" si="612"/>
        <v>7.8399999999999997E-2</v>
      </c>
      <c r="BZ391" s="43">
        <f t="shared" si="613"/>
        <v>0</v>
      </c>
      <c r="CA391" s="43">
        <f t="shared" si="574"/>
        <v>0</v>
      </c>
      <c r="CB391" s="43">
        <f t="shared" si="614"/>
        <v>5.6000000000000001E-2</v>
      </c>
      <c r="CC391" s="43">
        <f t="shared" si="615"/>
        <v>0</v>
      </c>
      <c r="CD391" s="45">
        <v>0</v>
      </c>
      <c r="CE391" s="43">
        <f t="shared" si="616"/>
        <v>0</v>
      </c>
      <c r="CF391" s="43" t="str">
        <f t="shared" si="617"/>
        <v>NA</v>
      </c>
      <c r="CG391" s="45">
        <v>0</v>
      </c>
    </row>
    <row r="392" spans="1:90" ht="18" customHeight="1">
      <c r="A392" s="260" t="s">
        <v>98</v>
      </c>
      <c r="B392" s="260" t="s">
        <v>99</v>
      </c>
      <c r="C392" s="260" t="s">
        <v>2371</v>
      </c>
      <c r="D392" s="260" t="s">
        <v>2372</v>
      </c>
      <c r="E392" s="260" t="s">
        <v>2373</v>
      </c>
      <c r="F392" s="260" t="s">
        <v>2374</v>
      </c>
      <c r="G392" s="260" t="s">
        <v>2375</v>
      </c>
      <c r="H392" s="260" t="s">
        <v>2403</v>
      </c>
      <c r="I392" s="260" t="s">
        <v>1903</v>
      </c>
      <c r="J392" s="260"/>
      <c r="K392" s="260" t="s">
        <v>2404</v>
      </c>
      <c r="L392" s="260" t="s">
        <v>2405</v>
      </c>
      <c r="M392" s="260" t="s">
        <v>2406</v>
      </c>
      <c r="N392" s="260" t="s">
        <v>123</v>
      </c>
      <c r="O392" s="260" t="s">
        <v>112</v>
      </c>
      <c r="P392" s="10">
        <v>95.7</v>
      </c>
      <c r="Q392" s="11">
        <v>3.3</v>
      </c>
      <c r="R392" s="9">
        <f t="shared" si="604"/>
        <v>0.95</v>
      </c>
      <c r="S392" s="9" t="str">
        <f>VLOOKUP(K392,'1197 Salud'!$K$13:$AK$54,9,0)</f>
        <v xml:space="preserve">El Laboratorio de Salud Pública, para la vigencia  2020 y 2021 realizo logros importantes dirigidos a controlar el impacto de la pandemia ocasionada por SARS Cov-2 (COVID 19) y demás eventos de Salud Pública, en donde se aunaron esfuerzos hacia el fortalecimiento de la infraestructura, el talento humano e insumos, obteniendo como resultados: La inauguración del área de Biología Molecular, el aval por parte del Instituto Nacional de Salud para el procesamiento de COVID 19, la coordinación de la red de laboratorios, bancos de sangre y servicios de transfusión sanguínea del Departamento y la realización de exámenes de laboratorio de interés en salud pública en apoyo a la vigilancia de los eventos de importancia en salud pública, vigilancia y control sanitario. Adicionalmente,  se realizó el procesamiento de muestras de la unidad de vigilancia de eventos de interés en salud pública (clínico), entomología y unidad de factores de riesgo del ambiente y del consumo (alimentos y aguas micro-fisicoquímico), de los 116 municipios del Departamento, obteniendo como resultado
</v>
      </c>
      <c r="T392" s="11">
        <v>0.5</v>
      </c>
      <c r="U392" s="11">
        <v>0</v>
      </c>
      <c r="V392" s="11">
        <v>0.5</v>
      </c>
      <c r="W392" s="11">
        <v>0</v>
      </c>
      <c r="X392" s="11">
        <v>0.5</v>
      </c>
      <c r="Y392" s="11">
        <v>0</v>
      </c>
      <c r="Z392" s="11">
        <v>0.5</v>
      </c>
      <c r="AA392" s="11" t="s">
        <v>2407</v>
      </c>
      <c r="AB392" s="11" t="s">
        <v>2408</v>
      </c>
      <c r="AC392" s="11" t="s">
        <v>2409</v>
      </c>
      <c r="AD392" s="11">
        <v>0.5</v>
      </c>
      <c r="AE392" s="11">
        <v>0</v>
      </c>
      <c r="AF392" s="9">
        <f>VLOOKUP(K392,'1197 Salud'!$K$13:$AK$54,22,0)</f>
        <v>0.45</v>
      </c>
      <c r="AG392" s="9">
        <f>VLOOKUP(K392,'1197 Salud'!$K$13:$AK$54,23,0)</f>
        <v>0</v>
      </c>
      <c r="AH392" s="9">
        <f t="shared" si="605"/>
        <v>0.45</v>
      </c>
      <c r="AI392" s="9" t="str">
        <f>VLOOKUP(K392,'1197 Salud'!$K$13:$AK$54,25,0)</f>
        <v>Sistema de gestión de calidad en el laboratorio</v>
      </c>
      <c r="AJ392" s="9">
        <f>VLOOKUP(K392,'1197 Salud'!$K$13:$AK$54,26,0)</f>
        <v>0</v>
      </c>
      <c r="AK392" s="9" t="str">
        <f>VLOOKUP(K392,'1197 Salud'!$K$13:$AK$54,27,0)</f>
        <v>El Laboratorio de Salud Pública, para la vigencia 2021 realizo logros importantes dirigidos a controlar el impacto de la pandemia ocasionada por SARS Cov-2 (COVID 19) y demás eventos de Salud Pública, en donde se aunaron esfuerzos hacia el fortalecimiento de la infraestructura, el talento humano e insumos, obteniendo como resultados: La inauguración del área de Biología Molecular, el aval por parte del Instituto Nacional de Salud para el procesamiento de COVID 19, la coordinación de la red de laboratorios, bancos de sangre y servicios de transfusión sanguínea del Departamento y la realización de exámenes de laboratorio de interés en salud pública en apoyo a la vigilancia de los eventos de importancia en salud pública, vigilancia y control sanitario. Adicionalmente,  se realizó el procesamiento de muestras de la unidad de vigilancia de eventos de interés en salud pública (clínico), entomología y unidad de factores de riesgo del ambiente y del consumo (alimentos y aguas micro-fisicoquímico), de los 116 municipios del Departamento, obteniendo como resultado</v>
      </c>
      <c r="AL392" s="11">
        <v>0.5</v>
      </c>
      <c r="AM392" s="11">
        <v>0</v>
      </c>
      <c r="AN392" s="11">
        <v>1.8</v>
      </c>
      <c r="AO392" s="11">
        <v>0</v>
      </c>
      <c r="AP392" s="11">
        <v>0</v>
      </c>
      <c r="AQ392" s="11">
        <v>0</v>
      </c>
      <c r="AR392" s="51">
        <v>2404941781</v>
      </c>
      <c r="AS392" s="54">
        <v>0</v>
      </c>
      <c r="AT392" s="54">
        <f t="shared" si="569"/>
        <v>2404941781</v>
      </c>
      <c r="AU392" s="51">
        <v>1463331319</v>
      </c>
      <c r="AV392" s="89">
        <v>6931517277</v>
      </c>
      <c r="AY392" s="89">
        <v>1567970373</v>
      </c>
      <c r="AZ392" s="42">
        <f t="shared" si="606"/>
        <v>0.2878787878787879</v>
      </c>
      <c r="BA392" s="44">
        <v>0.1515</v>
      </c>
      <c r="BB392" s="44">
        <v>1</v>
      </c>
      <c r="BC392" s="42">
        <f t="shared" si="607"/>
        <v>0.15151515151515152</v>
      </c>
      <c r="BD392" s="42" cm="1">
        <f t="array" ref="BD392">_xlfn.IFS(AD392=0,"NA",AD392&gt;0,AH392/AD392)</f>
        <v>0.9</v>
      </c>
      <c r="BE392" s="42">
        <f t="shared" si="608"/>
        <v>0.15151515151515152</v>
      </c>
      <c r="BF392" s="44">
        <v>0</v>
      </c>
      <c r="BG392" s="42">
        <f t="shared" si="609"/>
        <v>0.54545454545454553</v>
      </c>
      <c r="BH392" s="44">
        <v>0</v>
      </c>
      <c r="BI392" s="42">
        <f t="shared" si="610"/>
        <v>0</v>
      </c>
      <c r="BJ392" s="44" t="s">
        <v>115</v>
      </c>
      <c r="BK392" s="42">
        <f t="shared" si="570"/>
        <v>0.2878787878787879</v>
      </c>
      <c r="BL392" s="44">
        <v>1</v>
      </c>
      <c r="BM392" s="42" cm="1">
        <f t="array" ref="BM392">_xlfn.IFS(BD392="NA","NA",BD392&gt;100%,"100%",BD392&lt;100,BD392)</f>
        <v>0.9</v>
      </c>
      <c r="BN392" s="42" cm="1">
        <f t="array" ref="BN392">_xlfn.IFS(BF392="NA","NA",BF392&gt;100%,"100%",BF392&lt;100,BF392)</f>
        <v>0</v>
      </c>
      <c r="BO392" s="42" cm="1">
        <f t="array" ref="BO392">_xlfn.IFS(BH392="NA","NA",BH392&gt;100%,"100%",BH392&lt;100,BH392)</f>
        <v>0</v>
      </c>
      <c r="BP392" s="42" t="str" cm="1">
        <f t="array" ref="BP392">_xlfn.IFS(BJ392="NA","NA",BJ392&gt;100%,"100%",BJ392&lt;100,BJ392)</f>
        <v>NA</v>
      </c>
      <c r="BQ392" s="45">
        <v>0.224</v>
      </c>
      <c r="BR392" s="43">
        <f t="shared" si="571"/>
        <v>6.4484848484848492E-2</v>
      </c>
      <c r="BS392" s="45">
        <v>3.39E-2</v>
      </c>
      <c r="BT392" s="45">
        <v>3.39E-2</v>
      </c>
      <c r="BU392" s="45">
        <v>3.39E-2</v>
      </c>
      <c r="BV392" s="43">
        <f t="shared" si="611"/>
        <v>3.3939393939393943E-2</v>
      </c>
      <c r="BW392" s="43">
        <f t="shared" si="572"/>
        <v>3.0545454545454549E-2</v>
      </c>
      <c r="BX392" s="43">
        <f t="shared" si="573"/>
        <v>3.0584848484848493E-2</v>
      </c>
      <c r="BY392" s="43">
        <f t="shared" si="612"/>
        <v>3.3939393939393943E-2</v>
      </c>
      <c r="BZ392" s="43">
        <f t="shared" si="613"/>
        <v>0</v>
      </c>
      <c r="CA392" s="43">
        <f t="shared" si="574"/>
        <v>0</v>
      </c>
      <c r="CB392" s="43">
        <f t="shared" si="614"/>
        <v>0.12218181818181818</v>
      </c>
      <c r="CC392" s="43">
        <f t="shared" si="615"/>
        <v>0</v>
      </c>
      <c r="CD392" s="45">
        <v>0</v>
      </c>
      <c r="CE392" s="43">
        <f t="shared" si="616"/>
        <v>0</v>
      </c>
      <c r="CF392" s="43" t="str">
        <f t="shared" si="617"/>
        <v>NA</v>
      </c>
      <c r="CG392" s="45">
        <v>0</v>
      </c>
    </row>
    <row r="393" spans="1:90" ht="18" customHeight="1">
      <c r="A393" s="260" t="s">
        <v>98</v>
      </c>
      <c r="B393" s="260" t="s">
        <v>99</v>
      </c>
      <c r="C393" s="260" t="s">
        <v>2371</v>
      </c>
      <c r="D393" s="260" t="s">
        <v>2372</v>
      </c>
      <c r="E393" s="260" t="s">
        <v>2373</v>
      </c>
      <c r="F393" s="260" t="s">
        <v>2374</v>
      </c>
      <c r="G393" s="260" t="s">
        <v>2375</v>
      </c>
      <c r="H393" s="260" t="s">
        <v>2410</v>
      </c>
      <c r="I393" s="260" t="s">
        <v>106</v>
      </c>
      <c r="J393" s="260" t="s">
        <v>316</v>
      </c>
      <c r="K393" s="260" t="s">
        <v>2411</v>
      </c>
      <c r="L393" s="260" t="s">
        <v>2412</v>
      </c>
      <c r="M393" s="260" t="s">
        <v>2413</v>
      </c>
      <c r="N393" s="260" t="s">
        <v>123</v>
      </c>
      <c r="O393" s="260" t="s">
        <v>112</v>
      </c>
      <c r="P393" s="10">
        <v>9.4</v>
      </c>
      <c r="Q393" s="11">
        <v>100</v>
      </c>
      <c r="R393" s="9">
        <f t="shared" si="604"/>
        <v>48</v>
      </c>
      <c r="S393" s="9" t="str">
        <f>VLOOKUP(K393,'1197 Salud'!$K$13:$AK$54,9,0)</f>
        <v>Contar con una evaluación de desempeño del sistema obligatorio de garantía de la calidad estructurada, ligada a la meta 382 del Plan Departamental de Desarrollo y al Premio Departamental al Fortalecimiento de la Autoridad Sanitaria. Contar con 14 Planes de mejora de la calidad de las 14 regiones de salud formulados, suscritos por los representantes legales y en proceso de implementación.</v>
      </c>
      <c r="T393" s="11">
        <v>25</v>
      </c>
      <c r="U393" s="11">
        <v>0</v>
      </c>
      <c r="V393" s="11">
        <v>25</v>
      </c>
      <c r="W393" s="11">
        <v>0</v>
      </c>
      <c r="X393" s="11">
        <v>25</v>
      </c>
      <c r="Y393" s="11">
        <v>0</v>
      </c>
      <c r="Z393" s="11">
        <v>25</v>
      </c>
      <c r="AA393" s="11" t="s">
        <v>2413</v>
      </c>
      <c r="AB393" s="11" t="s">
        <v>2414</v>
      </c>
      <c r="AC393" s="11" t="s">
        <v>2415</v>
      </c>
      <c r="AD393" s="11">
        <v>25</v>
      </c>
      <c r="AE393" s="11">
        <v>0</v>
      </c>
      <c r="AF393" s="9">
        <f>VLOOKUP(K393,'1197 Salud'!$K$13:$AK$54,22,0)</f>
        <v>23</v>
      </c>
      <c r="AG393" s="9">
        <f>VLOOKUP(K393,'1197 Salud'!$K$13:$AK$54,23,0)</f>
        <v>0</v>
      </c>
      <c r="AH393" s="9">
        <f t="shared" si="605"/>
        <v>23</v>
      </c>
      <c r="AI393" s="9" t="str">
        <f>VLOOKUP(K393,'1197 Salud'!$K$13:$AK$54,25,0)</f>
        <v>ESE con plan de mejoramiento suscrito</v>
      </c>
      <c r="AJ393" s="9" t="str">
        <f>VLOOKUP(K393,'1197 Salud'!$K$13:$AK$54,26,0)</f>
        <v>Contar con Planes de Mejora de la Calidad articulados con los componentes de la hoja de ruta y los parámetros de evaluación del desempeño del SOGC, Premio Departamental al Fortalecimiento de la Autoridad Sanitaria en su 5ta versión</v>
      </c>
      <c r="AK393" s="9" t="str">
        <f>VLOOKUP(K393,'1197 Salud'!$K$13:$AK$54,27,0)</f>
        <v xml:space="preserve">Escaso talento h​​umano para asumir la totalidad de competencias asignadas. Designación de nuevas actividades relacionadas con la actual situación de emergencia sanitaria lo cual genera recarga de trabajo, nueva función establecida en el Decreto Ordenanza relacionada con el seguimiento a la implementación de las guias de atención la cual sobre pasa lo establecido en el marco legal vigente y la capacidad de respuesta de un grupo de trabajo con 3 personas de planta y 3 de contrato .​ Falta de homogeneidad en experiencia y conocimiento de los integrantes por contrato del grupo. Supervisiones que generan trabajo adicional por seguimiento, evaluación y verificación del cumplimiento del objeto contractual y la presentación de informes. Fallas en la Plataforma del REPS por actualización normativa y parametrización de los cambios normativos. Falta de presupuesto en las ESE para implementar acciones de mejora que permitan el levantamiento de medidas de seguridad y la contratación de talento humano asistencial y referentes de calidad. Modalidad de contratación de referentes de calidad, bajo compromiso de Gerentes frente a temas de calidad conllevando a la perdida de certificación de cumplimiento de condiciones de habilitación y a la imposición de medidas por parte de la Dirección de IVC. </v>
      </c>
      <c r="AL393" s="11">
        <v>25</v>
      </c>
      <c r="AM393" s="11">
        <v>0</v>
      </c>
      <c r="AN393" s="11">
        <v>25</v>
      </c>
      <c r="AO393" s="11">
        <v>0</v>
      </c>
      <c r="AP393" s="11">
        <v>0</v>
      </c>
      <c r="AQ393" s="11">
        <v>0</v>
      </c>
      <c r="AR393" s="51">
        <v>390936976</v>
      </c>
      <c r="AS393" s="54">
        <v>0</v>
      </c>
      <c r="AT393" s="54">
        <f t="shared" si="569"/>
        <v>390936976</v>
      </c>
      <c r="AU393" s="51">
        <v>203435747</v>
      </c>
      <c r="AV393" s="89">
        <v>1211778473</v>
      </c>
      <c r="AY393" s="89">
        <v>490436582</v>
      </c>
      <c r="AZ393" s="42">
        <f t="shared" si="606"/>
        <v>0.48</v>
      </c>
      <c r="BA393" s="44">
        <v>0.25</v>
      </c>
      <c r="BB393" s="44">
        <v>1</v>
      </c>
      <c r="BC393" s="42">
        <f t="shared" si="607"/>
        <v>0.25</v>
      </c>
      <c r="BD393" s="42" cm="1">
        <f t="array" ref="BD393">_xlfn.IFS(AD393=0,"NA",AD393&gt;0,AH393/AD393)</f>
        <v>0.92</v>
      </c>
      <c r="BE393" s="42">
        <f t="shared" si="608"/>
        <v>0.25</v>
      </c>
      <c r="BF393" s="44">
        <v>0</v>
      </c>
      <c r="BG393" s="42">
        <f t="shared" si="609"/>
        <v>0.25</v>
      </c>
      <c r="BH393" s="44">
        <v>0</v>
      </c>
      <c r="BI393" s="42">
        <f t="shared" si="610"/>
        <v>0</v>
      </c>
      <c r="BJ393" s="44" t="s">
        <v>115</v>
      </c>
      <c r="BK393" s="42">
        <f t="shared" si="570"/>
        <v>0.48</v>
      </c>
      <c r="BL393" s="44">
        <v>1</v>
      </c>
      <c r="BM393" s="42" cm="1">
        <f t="array" ref="BM393">_xlfn.IFS(BD393="NA","NA",BD393&gt;100%,"100%",BD393&lt;100,BD393)</f>
        <v>0.92</v>
      </c>
      <c r="BN393" s="42" cm="1">
        <f t="array" ref="BN393">_xlfn.IFS(BF393="NA","NA",BF393&gt;100%,"100%",BF393&lt;100,BF393)</f>
        <v>0</v>
      </c>
      <c r="BO393" s="42" cm="1">
        <f t="array" ref="BO393">_xlfn.IFS(BH393="NA","NA",BH393&gt;100%,"100%",BH393&lt;100,BH393)</f>
        <v>0</v>
      </c>
      <c r="BP393" s="42" t="str" cm="1">
        <f t="array" ref="BP393">_xlfn.IFS(BJ393="NA","NA",BJ393&gt;100%,"100%",BJ393&lt;100,BJ393)</f>
        <v>NA</v>
      </c>
      <c r="BQ393" s="45">
        <v>0.224</v>
      </c>
      <c r="BR393" s="43">
        <f t="shared" si="571"/>
        <v>0.10752</v>
      </c>
      <c r="BS393" s="45">
        <v>5.6000000000000001E-2</v>
      </c>
      <c r="BT393" s="45">
        <v>5.6000000000000001E-2</v>
      </c>
      <c r="BU393" s="45">
        <v>5.6000000000000001E-2</v>
      </c>
      <c r="BV393" s="43">
        <f t="shared" si="611"/>
        <v>5.6000000000000008E-2</v>
      </c>
      <c r="BW393" s="43">
        <f t="shared" si="572"/>
        <v>5.152000000000001E-2</v>
      </c>
      <c r="BX393" s="43">
        <f t="shared" si="573"/>
        <v>5.1520000000000003E-2</v>
      </c>
      <c r="BY393" s="43">
        <f t="shared" si="612"/>
        <v>5.6000000000000008E-2</v>
      </c>
      <c r="BZ393" s="43">
        <f t="shared" si="613"/>
        <v>0</v>
      </c>
      <c r="CA393" s="43">
        <f t="shared" si="574"/>
        <v>0</v>
      </c>
      <c r="CB393" s="43">
        <f t="shared" si="614"/>
        <v>5.6000000000000008E-2</v>
      </c>
      <c r="CC393" s="43">
        <f t="shared" si="615"/>
        <v>0</v>
      </c>
      <c r="CD393" s="45">
        <v>0</v>
      </c>
      <c r="CE393" s="43">
        <f t="shared" si="616"/>
        <v>0</v>
      </c>
      <c r="CF393" s="43" t="str">
        <f t="shared" si="617"/>
        <v>NA</v>
      </c>
      <c r="CG393" s="45">
        <v>0</v>
      </c>
    </row>
    <row r="394" spans="1:90" ht="18" customHeight="1">
      <c r="A394" s="260" t="s">
        <v>992</v>
      </c>
      <c r="B394" s="260" t="s">
        <v>993</v>
      </c>
      <c r="C394" s="260" t="s">
        <v>2371</v>
      </c>
      <c r="D394" s="260" t="s">
        <v>2372</v>
      </c>
      <c r="E394" s="260" t="s">
        <v>2416</v>
      </c>
      <c r="F394" s="260" t="s">
        <v>2417</v>
      </c>
      <c r="G394" s="260" t="s">
        <v>2418</v>
      </c>
      <c r="H394" s="260" t="s">
        <v>2419</v>
      </c>
      <c r="I394" s="260"/>
      <c r="J394" s="260"/>
      <c r="K394" s="260" t="s">
        <v>2420</v>
      </c>
      <c r="L394" s="260" t="s">
        <v>2421</v>
      </c>
      <c r="M394" s="260" t="s">
        <v>122</v>
      </c>
      <c r="N394" s="260" t="s">
        <v>111</v>
      </c>
      <c r="O394" s="260" t="s">
        <v>112</v>
      </c>
      <c r="P394" s="10">
        <v>5000</v>
      </c>
      <c r="Q394" s="11">
        <v>5000</v>
      </c>
      <c r="R394" s="9">
        <f t="shared" si="604"/>
        <v>1443</v>
      </c>
      <c r="S394" s="11" t="str">
        <f>VLOOKUP(K394,'1105 Gobierno'!$K$12:$AK$31,9,0)</f>
        <v>1.443 predios en proceso por sesión a título gratuito y 283 declaratoria de titularidad logrando formalizar la propiedad de aquellos predios baldíos y fiscales en eventos como la falsa tradición, ocupación y posesión, estimulando el desarrollo urbano y rural, mejorar la calidad de vida de los ocupantes y poseedores de los predios convirtiendo en patrimonio los predios que ocupan los municipios y los particulares, desarrollando un mercado inmobiliario con seguridad jurídica que funcione en forma abierta, ágil y transparente. Mediante las 300 asistencias técnicas en la formalización de la propiedad de predios baldíos y fiscales, en los 116 municipios del departamento de Cundinamarca, se ha logrado en esta primera etapa de 2020 concientizar y adquirir la cultura por parte de los 538 funcionarios de las administraciones municipales y comunidad cundinamarquesa, de la importancia de la legalización de la titulación de los predios que ocupan. Con lo anterior, se logra en proceso de formalización de predios 1.428 por cesión a título gratuito y 283 por declaratoria. Así mismo, se logró llevar a cabo alianzas estratégicas de apoyo técnico, logístico y humano, con entidades públicas actoras del proceso, como la Superintendencia de Notariado y Registro (SNR), Agencia Nacional de Tierras, Ministerio de Vivienda, Ciudad y Territorio, Instituto Geográfico Agustín Codazzi (IGAC), Secretarías de Educación y Agricultura, y el Instituto Departamental de Acción Comunal (IDACO), todo para el beneficio de la comunidad en su legalización de predios. Para 2021, se llevan 1.111 asistencias técnicas, beneficiando 109 municipios, y se ha logrado la titulación de 41 predios de uso institucional en los municipios de Chipaque (16), El  Colegio (19), Nocaima (05) y Simijacá (01)</v>
      </c>
      <c r="T394" s="11">
        <v>300</v>
      </c>
      <c r="U394" s="11">
        <v>0</v>
      </c>
      <c r="V394" s="11">
        <v>300</v>
      </c>
      <c r="W394" s="11">
        <v>0</v>
      </c>
      <c r="X394" s="11">
        <v>332</v>
      </c>
      <c r="Y394" s="11">
        <v>0</v>
      </c>
      <c r="Z394" s="11">
        <v>332</v>
      </c>
      <c r="AA394" s="11" t="s">
        <v>1106</v>
      </c>
      <c r="AB394" s="11" t="s">
        <v>2422</v>
      </c>
      <c r="AC394" s="11" t="s">
        <v>2423</v>
      </c>
      <c r="AD394" s="11">
        <v>1600</v>
      </c>
      <c r="AE394" s="11">
        <v>0</v>
      </c>
      <c r="AF394" s="11">
        <f>VLOOKUP(K394,'1105 Gobierno'!$K$12:$AK$31,22,0)</f>
        <v>1111</v>
      </c>
      <c r="AG394" s="11" t="str">
        <f>VLOOKUP(K394,'1105 Gobierno'!$K$12:$AK$31,23,0)</f>
        <v> </v>
      </c>
      <c r="AH394" s="9">
        <f t="shared" si="605"/>
        <v>1111</v>
      </c>
      <c r="AI394" s="9" t="str">
        <f>VLOOKUP(K394,'1105 Gobierno'!$K$12:$AK$31,25,0)</f>
        <v>Asistencia técnica</v>
      </c>
      <c r="AJ394" s="9" t="str">
        <f>VLOOKUP(K394,'1105 Gobierno'!$K$12:$AK$31,26,0)</f>
        <v>Se han realizado 1,111 asistencias técnicas y jurídicas entre Enero y  Octubre de 2021 , para la formalización de la propiedad de predios baldíos y fiscales (área urbana y rural) en 109 municipios del departamento de Cundinamarca, en cumplimiento de la meta producto 383 del PDD para la vigencia 2021. Así  mismo, un logro acumulado de 41 predios de uso institucional debidamente saneados y formalizados entre las vigencias de 2020 y 2021.</v>
      </c>
      <c r="AK394" s="9" t="str">
        <f>VLOOKUP(K394,'1105 Gobierno'!$K$12:$AK$31,27,0)</f>
        <v>Falta de recurso humano, técnico, logístíco, ecónómico, voluntad política por parte de los municipios y la pandemia del COVID 19,  han dificultado en la vigencia de 2021 que la meta producto 383 del PDD secumpla en el 100% para la formalización de la propiedad de predios baldíos y fiscales en los municipios del departamento de Cundinamarca (Área urbana y rural).</v>
      </c>
      <c r="AL394" s="11">
        <v>1600</v>
      </c>
      <c r="AM394" s="11">
        <v>0</v>
      </c>
      <c r="AN394" s="11">
        <v>1500</v>
      </c>
      <c r="AO394" s="11">
        <v>0</v>
      </c>
      <c r="AP394" s="11">
        <v>0</v>
      </c>
      <c r="AQ394" s="11">
        <v>0</v>
      </c>
      <c r="AR394" s="51">
        <v>6599085</v>
      </c>
      <c r="AS394" s="54">
        <v>0</v>
      </c>
      <c r="AT394" s="54">
        <f t="shared" si="569"/>
        <v>6599085</v>
      </c>
      <c r="AU394" s="51">
        <v>6599085</v>
      </c>
      <c r="AV394" s="89">
        <v>250000000</v>
      </c>
      <c r="AY394" s="89">
        <v>88596767</v>
      </c>
      <c r="AZ394" s="42">
        <f t="shared" si="606"/>
        <v>0.28860000000000002</v>
      </c>
      <c r="BA394" s="44">
        <v>0.06</v>
      </c>
      <c r="BB394" s="44">
        <v>1.1067</v>
      </c>
      <c r="BC394" s="42">
        <f t="shared" si="607"/>
        <v>0.32</v>
      </c>
      <c r="BD394" s="42" cm="1">
        <f t="array" ref="BD394">_xlfn.IFS(AD394=0,"NA",AD394&gt;0,AH394/AD394)</f>
        <v>0.69437499999999996</v>
      </c>
      <c r="BE394" s="42">
        <f t="shared" si="608"/>
        <v>0.32</v>
      </c>
      <c r="BF394" s="44">
        <v>0</v>
      </c>
      <c r="BG394" s="42">
        <f t="shared" si="609"/>
        <v>0.3</v>
      </c>
      <c r="BH394" s="44">
        <v>0</v>
      </c>
      <c r="BI394" s="42">
        <f t="shared" si="610"/>
        <v>0</v>
      </c>
      <c r="BJ394" s="44" t="s">
        <v>115</v>
      </c>
      <c r="BK394" s="42">
        <f t="shared" si="570"/>
        <v>0.28860000000000002</v>
      </c>
      <c r="BL394" s="44">
        <v>1</v>
      </c>
      <c r="BM394" s="42" cm="1">
        <f t="array" ref="BM394">_xlfn.IFS(BD394="NA","NA",BD394&gt;100%,"100%",BD394&lt;100,BD394)</f>
        <v>0.69437499999999996</v>
      </c>
      <c r="BN394" s="42" cm="1">
        <f t="array" ref="BN394">_xlfn.IFS(BF394="NA","NA",BF394&gt;100%,"100%",BF394&lt;100,BF394)</f>
        <v>0</v>
      </c>
      <c r="BO394" s="42" cm="1">
        <f t="array" ref="BO394">_xlfn.IFS(BH394="NA","NA",BH394&gt;100%,"100%",BH394&lt;100,BH394)</f>
        <v>0</v>
      </c>
      <c r="BP394" s="42" t="str" cm="1">
        <f t="array" ref="BP394">_xlfn.IFS(BJ394="NA","NA",BJ394&gt;100%,"100%",BJ394&lt;100,BJ394)</f>
        <v>NA</v>
      </c>
      <c r="BQ394" s="45">
        <v>0.224</v>
      </c>
      <c r="BR394" s="43">
        <f t="shared" si="571"/>
        <v>6.4646400000000007E-2</v>
      </c>
      <c r="BS394" s="45">
        <v>1.34E-2</v>
      </c>
      <c r="BT394" s="45">
        <v>1.34E-2</v>
      </c>
      <c r="BU394" s="45">
        <v>1.49E-2</v>
      </c>
      <c r="BV394" s="43">
        <f t="shared" si="611"/>
        <v>7.1680000000000008E-2</v>
      </c>
      <c r="BW394" s="43">
        <f t="shared" si="572"/>
        <v>4.9772800000000006E-2</v>
      </c>
      <c r="BX394" s="43">
        <f t="shared" si="573"/>
        <v>4.974640000000001E-2</v>
      </c>
      <c r="BY394" s="43">
        <f t="shared" si="612"/>
        <v>7.1680000000000008E-2</v>
      </c>
      <c r="BZ394" s="43">
        <f t="shared" si="613"/>
        <v>0</v>
      </c>
      <c r="CA394" s="43">
        <f t="shared" si="574"/>
        <v>0</v>
      </c>
      <c r="CB394" s="43">
        <f t="shared" si="614"/>
        <v>6.7199999999999996E-2</v>
      </c>
      <c r="CC394" s="43">
        <f t="shared" si="615"/>
        <v>0</v>
      </c>
      <c r="CD394" s="45">
        <v>0</v>
      </c>
      <c r="CE394" s="43">
        <f t="shared" si="616"/>
        <v>0</v>
      </c>
      <c r="CF394" s="43" t="str">
        <f t="shared" si="617"/>
        <v>NA</v>
      </c>
      <c r="CG394" s="45">
        <v>0</v>
      </c>
    </row>
    <row r="395" spans="1:90" ht="18" customHeight="1">
      <c r="A395" s="260" t="s">
        <v>98</v>
      </c>
      <c r="B395" s="260" t="s">
        <v>99</v>
      </c>
      <c r="C395" s="260" t="s">
        <v>2371</v>
      </c>
      <c r="D395" s="260" t="s">
        <v>2372</v>
      </c>
      <c r="E395" s="260" t="s">
        <v>2416</v>
      </c>
      <c r="F395" s="260" t="s">
        <v>2417</v>
      </c>
      <c r="G395" s="260" t="s">
        <v>2418</v>
      </c>
      <c r="H395" s="260" t="s">
        <v>2424</v>
      </c>
      <c r="I395" s="260" t="s">
        <v>106</v>
      </c>
      <c r="J395" s="260" t="s">
        <v>622</v>
      </c>
      <c r="K395" s="260" t="s">
        <v>2425</v>
      </c>
      <c r="L395" s="260" t="s">
        <v>2426</v>
      </c>
      <c r="M395" s="260" t="s">
        <v>2427</v>
      </c>
      <c r="N395" s="260" t="s">
        <v>111</v>
      </c>
      <c r="O395" s="260" t="s">
        <v>124</v>
      </c>
      <c r="P395" s="10">
        <v>53</v>
      </c>
      <c r="Q395" s="11">
        <v>53</v>
      </c>
      <c r="R395" s="11">
        <f>(Z395+AH395)/CL395</f>
        <v>26.5</v>
      </c>
      <c r="S395" s="9" t="str">
        <f>VLOOKUP(K395,'1197 Salud'!$K$13:$AK$54,9,0)</f>
        <v xml:space="preserve">1. Articular actividades de competencias M.E.S con la Secretaria de Función Pública en relación a los resultados de las encuestas de clima organizacional y el trabajo relacionado con los valores, con la participación de 393 colaboradores y representantes de las direcciones y oficinas asesoras de la SSC.
2. Se realizó la inscripción al curso de inducción y reinducción de todos los colaboradores de la secretaría de salud con la participación de 598 funcionarios y contratistas de la secretaría de salud 
3. Realizamos campañas en relación a nuestro valor de cercanía con el aporte de 96 personas en la definición del valor cercanía.
4. Encuentro de bienestar con el secretario de salud para esta ocasión nos acompañaron 15 personas representando a las direcciones, encontrando entre los asistentes un canal de comunicación positiva y la construcción de oportunidades de mejora.
5. Articulación con secretaria de la mujer y género, alta consejería para la felicidad, en el Nodo de Atención Centrada a las Persona con la participación de 1.356 personas de las 53 IPS del departamento las 116 alcaldías, 53 secretarías de salud, academia, Secretaria de salud de Cundinamarca.
6. Se realizó la invitación e inscripción al curso de humanización en la atención materna y perinatal a 106 personas de las ESE, tuvimos la participación de 22 Hospitales.
7. Se aplicó encuesta de satisfacción de cliente externo a 53 Gerentes, 116 alcaldes, 116 líderes del sistema de atención al ciudadano de las alcaldías, 18 veedores, 110 líderes de Comités de Participación Social en Salud, 37 miembros de asociación de usuarios y 160 usuarios del Laboratorio de Salud Pública. 2021 Encuestas de satisfacción al cliente interno de la SSC se evidencio la participación de 510 colaboradores, a la fecha se evidencia la participación de 51 hospitales a las encuestas de cliente externo IPS, 162 encuestas a clientes externos de la SSC.
8. Participamos en la Validación externa de la política pública Nacional de humanización con el Ministerio de Salud realizando aportes al documento técnico y al plan de Acción como ente territorial en (10) reuniones
9. Metodología de la Defensoría del pueblo, tuvimos la participación de las Referentes de Humanización de 51 Hospitales y 27 Alcaldías, entre otros invitados de la Gobernación de Cundinamarca, para un total de 621 participantes en total, Creación y validación de los cuatro módulos de la metodología de Dignificación de Servicios de Salud con enfoque en derechos humanos con la Defensoría del Pueblo Al mes de Noviembre completamos 54 reuniones con la Mesa de dignificación de servicios de salud, de la Defensoría del Pueblo, creando y validando tres módulos, que serán validados con los colaboradores de IPS del departamento de Cundinamarca Curso
</v>
      </c>
      <c r="T395" s="11">
        <v>0</v>
      </c>
      <c r="U395" s="11">
        <v>53</v>
      </c>
      <c r="V395" s="11">
        <v>0</v>
      </c>
      <c r="W395" s="11">
        <v>53</v>
      </c>
      <c r="X395" s="11" t="s">
        <v>115</v>
      </c>
      <c r="Y395" s="11">
        <v>53</v>
      </c>
      <c r="Z395" s="11">
        <v>53</v>
      </c>
      <c r="AA395" s="11" t="s">
        <v>2428</v>
      </c>
      <c r="AB395" s="11" t="s">
        <v>2429</v>
      </c>
      <c r="AC395" s="11" t="s">
        <v>2430</v>
      </c>
      <c r="AD395" s="11">
        <v>0</v>
      </c>
      <c r="AE395" s="11">
        <v>53</v>
      </c>
      <c r="AF395" s="9">
        <f>VLOOKUP(K395,'1197 Salud'!$K$13:$AK$54,22,0)</f>
        <v>0</v>
      </c>
      <c r="AG395" s="9">
        <f>VLOOKUP(K395,'1197 Salud'!$K$13:$AK$54,23,0)</f>
        <v>53</v>
      </c>
      <c r="AH395" s="11">
        <f>AG395</f>
        <v>53</v>
      </c>
      <c r="AI395" s="9" t="str">
        <f>VLOOKUP(K395,'1197 Salud'!$K$13:$AK$54,25,0)</f>
        <v>Hospitales con estrategia de Humanización mantenida</v>
      </c>
      <c r="AJ395" s="9" t="str">
        <f>VLOOKUP(K395,'1197 Salud'!$K$13:$AK$54,26,0)</f>
        <v>A la fecha hemos logrado  
1. Articular actividades de competencias M.E.S con la Secretaria de Función Pública en relación a los resultados de las encuestas de clima organizacional y el trabajo relacionado con los valores, con la participación de 393 colaboradores y representantes de las direcciones y oficinas asesoras de la SSC.
2. Se realizó la inscripción al curso de inducción y reinducción de todos los colaboradores de la secretaría de salud con la participación de 507 funcionarios y contratistas de la secretaría de salud 
3. Realizamos campañas en relación a nuestro valor de cercanía con el aporte de 96 personas en la definición del valor cercanía.
4. Encuentro de bienestar con el secretario de salud para esta ocasión nos acompañaron 15 personas representando a las direcciones, encontrando entre los asistentes un canal de comunicación positiva y la construcción de oportunidades de mejora.
5. Articulación con secretaria de la mujer y género, alta consejería para la felicidad, en el Nodo de Atención Centrada a las Persona con la participación de 526 personas de las 53 IPS del departamento las 116 alcaldías
6. Se realizó la invitación e inscripción al curso de humanización en la atención materna y perinatal a 30 personas de las ESE
7. Encuestas de satisfacción al cliente interno de la SSC se evidencio la participación de 510 colaboradores, a la fecha se evidencia la participación de 51 hospitales a las encuestas de cliente externo IPS, 162 encuestas a clientes externos de la SSC.
8. Participación en reuniones con el MSPS, en relación a la política de humanización.</v>
      </c>
      <c r="AK395" s="9" t="str">
        <f>VLOOKUP(K395,'1197 Salud'!$K$13:$AK$54,27,0)</f>
        <v>1. La virtualidad, la falta de participación de todos los actores (Hospitales) para la muestra, compromiso de parte de los representantes de las instituciones.
2. Recursos para las actividades de Clima Organizacional y Valores.
3. En la programación de la actividad presencial de clima organizacional con función pública algunas personas no pudieron asistir, se encontraban en aislamiento por covid.
4. Los datos de consultas de los hospitales para la muestra de las encuestas de satisfacción no se encuentran completos no todas las IPS  reportan en el SIUS</v>
      </c>
      <c r="AL395" s="11">
        <v>0</v>
      </c>
      <c r="AM395" s="11">
        <v>53</v>
      </c>
      <c r="AN395" s="11">
        <v>0</v>
      </c>
      <c r="AO395" s="11">
        <v>53</v>
      </c>
      <c r="AP395" s="11">
        <v>0</v>
      </c>
      <c r="AQ395" s="11">
        <v>0</v>
      </c>
      <c r="AR395" s="51">
        <v>34520653</v>
      </c>
      <c r="AS395" s="54">
        <v>0</v>
      </c>
      <c r="AT395" s="54">
        <f t="shared" si="569"/>
        <v>34520653</v>
      </c>
      <c r="AU395" s="51">
        <v>27361507</v>
      </c>
      <c r="AV395" s="89">
        <v>218684142</v>
      </c>
      <c r="AY395" s="89">
        <v>162497277</v>
      </c>
      <c r="AZ395" s="44" cm="1">
        <f t="array" ref="AZ395">_xlfn.IFS((BA395=0),(BD395/CL395),(BA395&gt;0),((BB395+BD395)/CL395),(BE395&gt;0),((BB395+BD395+BE395)/CL395),(BG395&gt;0),((BB395+BD395+BE395+G395)/CL395))</f>
        <v>0.5</v>
      </c>
      <c r="BA395" s="44">
        <v>0.25</v>
      </c>
      <c r="BB395" s="44">
        <v>1</v>
      </c>
      <c r="BC395" s="44">
        <f>IF(AE395&gt;0,(1/CL395),0)</f>
        <v>0.25</v>
      </c>
      <c r="BD395" s="44" cm="1">
        <f t="array" ref="BD395">_xlfn.IFS(AE395=0,"NA",AE395&gt;0,AH395/AE395)</f>
        <v>1</v>
      </c>
      <c r="BE395" s="44">
        <f>IF(AM395&gt;0,(1/CL395),0)</f>
        <v>0.25</v>
      </c>
      <c r="BF395" s="44">
        <v>0</v>
      </c>
      <c r="BG395" s="44">
        <f>IF(AO395&gt;0,(1/CL395),0)</f>
        <v>0.25</v>
      </c>
      <c r="BH395" s="44">
        <v>0</v>
      </c>
      <c r="BI395" s="44">
        <v>0</v>
      </c>
      <c r="BJ395" s="44" t="s">
        <v>115</v>
      </c>
      <c r="BK395" s="44">
        <f t="shared" si="570"/>
        <v>0.5</v>
      </c>
      <c r="BL395" s="44">
        <v>1</v>
      </c>
      <c r="BM395" s="42" cm="1">
        <f t="array" ref="BM395">_xlfn.IFS(BD395="NA","NA",BD395&gt;100%,"100%",BD395&lt;100,BD395)</f>
        <v>1</v>
      </c>
      <c r="BN395" s="44">
        <v>0</v>
      </c>
      <c r="BO395" s="44">
        <v>0</v>
      </c>
      <c r="BP395" s="44" t="s">
        <v>115</v>
      </c>
      <c r="BQ395" s="45">
        <v>0.224</v>
      </c>
      <c r="BR395" s="43">
        <f t="shared" si="571"/>
        <v>0.112</v>
      </c>
      <c r="BS395" s="45">
        <v>5.6000000000000001E-2</v>
      </c>
      <c r="BT395" s="45">
        <v>5.6000000000000001E-2</v>
      </c>
      <c r="BU395" s="45">
        <v>5.6000000000000001E-2</v>
      </c>
      <c r="BV395" s="45">
        <v>5.6000000000000001E-2</v>
      </c>
      <c r="BW395" s="43">
        <f t="shared" si="572"/>
        <v>5.6000000000000001E-2</v>
      </c>
      <c r="BX395" s="43">
        <f t="shared" si="573"/>
        <v>5.6000000000000001E-2</v>
      </c>
      <c r="BY395" s="45">
        <v>5.6000000000000001E-2</v>
      </c>
      <c r="BZ395" s="45">
        <v>0</v>
      </c>
      <c r="CA395" s="43">
        <f t="shared" si="574"/>
        <v>0</v>
      </c>
      <c r="CB395" s="45">
        <v>5.6000000000000001E-2</v>
      </c>
      <c r="CC395" s="45">
        <v>0</v>
      </c>
      <c r="CD395" s="45">
        <v>0</v>
      </c>
      <c r="CE395" s="45">
        <v>0</v>
      </c>
      <c r="CF395" s="45" t="s">
        <v>115</v>
      </c>
      <c r="CG395" s="45">
        <v>0</v>
      </c>
      <c r="CH395">
        <f>IF(W395&gt;0,1,0)</f>
        <v>1</v>
      </c>
      <c r="CI395">
        <f>IF(AE395&gt;0,1,0)</f>
        <v>1</v>
      </c>
      <c r="CJ395">
        <f>IF(AM395&gt;0,1,0)</f>
        <v>1</v>
      </c>
      <c r="CK395">
        <f>IF(AO395&gt;0,1,0)</f>
        <v>1</v>
      </c>
      <c r="CL395">
        <f>CH395+CI395+CJ395+CK395</f>
        <v>4</v>
      </c>
    </row>
    <row r="396" spans="1:90" ht="18" customHeight="1">
      <c r="A396" s="260" t="s">
        <v>388</v>
      </c>
      <c r="B396" s="260" t="s">
        <v>389</v>
      </c>
      <c r="C396" s="260" t="s">
        <v>2371</v>
      </c>
      <c r="D396" s="260" t="s">
        <v>2372</v>
      </c>
      <c r="E396" s="260" t="s">
        <v>2416</v>
      </c>
      <c r="F396" s="260" t="s">
        <v>2417</v>
      </c>
      <c r="G396" s="260" t="s">
        <v>2418</v>
      </c>
      <c r="H396" s="260" t="s">
        <v>2431</v>
      </c>
      <c r="I396" s="260"/>
      <c r="J396" s="260"/>
      <c r="K396" s="260" t="s">
        <v>2432</v>
      </c>
      <c r="L396" s="260" t="s">
        <v>2433</v>
      </c>
      <c r="M396" s="260" t="s">
        <v>131</v>
      </c>
      <c r="N396" s="260" t="s">
        <v>111</v>
      </c>
      <c r="O396" s="260" t="s">
        <v>112</v>
      </c>
      <c r="P396" s="10">
        <v>0</v>
      </c>
      <c r="Q396" s="11">
        <v>1</v>
      </c>
      <c r="R396" s="9">
        <f t="shared" ref="R396:R397" si="618">Z396+AH396</f>
        <v>0.35</v>
      </c>
      <c r="S396" s="11">
        <f>VLOOKUP(K396,'1123 Transporte'!$K$13:$AK$23,9,0)</f>
        <v>0</v>
      </c>
      <c r="T396" s="11">
        <v>0.09</v>
      </c>
      <c r="U396" s="11">
        <v>0</v>
      </c>
      <c r="V396" s="11">
        <v>0.09</v>
      </c>
      <c r="W396" s="11">
        <v>0</v>
      </c>
      <c r="X396" s="11">
        <v>0.09</v>
      </c>
      <c r="Y396" s="11">
        <v>0</v>
      </c>
      <c r="Z396" s="11">
        <v>0.09</v>
      </c>
      <c r="AA396" s="11" t="s">
        <v>2434</v>
      </c>
      <c r="AB396" s="11" t="s">
        <v>2435</v>
      </c>
      <c r="AC396" s="11" t="s">
        <v>2436</v>
      </c>
      <c r="AD396" s="11">
        <v>0.3</v>
      </c>
      <c r="AE396" s="11">
        <v>0</v>
      </c>
      <c r="AF396" s="11">
        <f>VLOOKUP(K396,'1123 Transporte'!$K$13:$AK$23,22,0)</f>
        <v>0.26</v>
      </c>
      <c r="AG396" s="11">
        <f>VLOOKUP(K396,'1123 Transporte'!$K$13:$AK$23,23,0)</f>
        <v>0</v>
      </c>
      <c r="AH396" s="9">
        <f t="shared" ref="AH396:AH397" si="619">AF396</f>
        <v>0.26</v>
      </c>
      <c r="AI396" s="9" t="str">
        <f>VLOOKUP(K396,'1123 Transporte'!$K$13:$AK$23,25,0)</f>
        <v>Recepcion de documentos PQRS en atencion de solicitudes en el menor tiempo posible y despliegue de la unidad movil a los diferentes municipios alejados de las diferentes sedes operativas</v>
      </c>
      <c r="AJ396" s="9" t="str">
        <f>VLOOKUP(K396,'1123 Transporte'!$K$13:$AK$23,26,0)</f>
        <v>Meta 385   
Puesta en marcha de Unidad Móvil de Atención y promoción de servicios de movilidad en los municipios de:
Puesta en marcha de Unidad Móvil de Atención y promoción de servicios de movilidad en los municipios de: 
26 de marzo Supatá (11) beneficiarios 
1 de julio Cabrera (7) beneficiarios
 2 de julio Venecia (6) beneficiarios
 3 de julio Pandi (8) beneficiarios
 8 de julio San Bernardo (5) beneficiarios 
9 de julio Tibacuy (4) beneficiarios 
10 de julio Pasca (10) beneficiarios
25 de agosto ubaque (8) beneficiarios
26 de agosto Fomeque (18) beneficiarios 
27 de agosto Fosca (18) beneficiarios
8 de Septiembre Tibirita (15) beneficiarios
9 de Septiembre Manta (10) beneficiarios
10 de Septiembre Suesca (16) beneficiarios 
11 de Septiembre Sesquilé (8) beneficiarios
16 de Septiembre Viani (20) beneficiarios 
17 de Septiembre Bituima (10) beneficiarios
18 de Septiembre Guayabal de siquima (7) beneficiarios
 4 de Octubre villeta (50) beneficiarios
7 de Octubre Cajica (6) beneficiarios
8 de Octubre Nemocon (21) benificiarios 
9 de Octubre tocancipa (0)
14 de Octubre Guaduas (22) beneficiarios
15 de Octubre Carrapi (14) beneficiarios 
22 de Octubre Paratebueno(19) beneficiarios
23 de Octubre Medina(0)
28 de Octubre Viota ( 11) beneficiarios
29 de Octubre Tena (12) beneficiarios
30 de Octubre Anolaima (8) beneficiarios
 Total,
28 Municipios( 344)  beneficiarios En atención y temáticas de transporte y movilidad.
*COMPONENTE PQRS Mejoramiento en tiempos de respuesta a PQRS por parte de la dirección de servicios sedes operativas en tránsito y sus gerencias, mejorando la satisfacción de nuestros usuarios; es por ello que para el año 2021 a la fecha se han evacuado satisfactoriamente más de  2.195 documentos en PQRS se evidencia la gestión de los documentos en gestión con cuya cantidad son 1516 y con 679 documentos en gestión. Así mismo se ha implementado y fortalecido una atención personaliza y telefónica con nuestros usuarios, a fin de satisfacer sus requerimientos de manera más pronta, por supuesto bajo la salvaguarda de todos los protocolos de bioseguridad y el cuidado a la vida.
Avance mes de Septiembre
COMPONENTE
COMPONENTE
La Secretaría de Transporte y Movilidad de Cundinamarca cuenta con 10 Sedes Operativas activas y la Creación de (3) sedes operativas ubicadas en los municipios de Arbeláez, Puerto Salgar en trámite  Tocancipá, Se han recibido (109.548) solicitudes de enero a  septiembre CAJICA 13080 , LA CALERA 17614, CAQUEZA  3719, CHOCONTA 2213, COTA 45959 , LA  MESA 762 , RICAURTE 8004 ,  EL ROSAL  7432 , SIBATE 7637,  VILLETA 3128  entre los diferentes  tramites de Tránsito que  se encarga de adelantar todos los trámites relacionados con Registro Nacional Automotor (Matrículas; traspasos; cambios de color; etc.), Registro Nacional de Conductores (Licencias de conducción)</v>
      </c>
      <c r="AK396" s="9">
        <f>VLOOKUP(K396,'1123 Transporte'!$K$13:$AK$23,27,0)</f>
        <v>0</v>
      </c>
      <c r="AL396" s="11">
        <v>0.31</v>
      </c>
      <c r="AM396" s="11">
        <v>0</v>
      </c>
      <c r="AN396" s="11">
        <v>0.3</v>
      </c>
      <c r="AO396" s="11">
        <v>0</v>
      </c>
      <c r="AP396" s="11">
        <v>0</v>
      </c>
      <c r="AQ396" s="11">
        <v>0</v>
      </c>
      <c r="AR396" s="51">
        <v>384793223</v>
      </c>
      <c r="AS396" s="54">
        <v>0</v>
      </c>
      <c r="AT396" s="54">
        <f t="shared" si="569"/>
        <v>384793223</v>
      </c>
      <c r="AU396" s="51">
        <v>290000000</v>
      </c>
      <c r="AV396" s="89">
        <v>150000000</v>
      </c>
      <c r="AY396" s="89">
        <v>150000000</v>
      </c>
      <c r="AZ396" s="42">
        <f t="shared" ref="AZ396:AZ397" si="620">R396/Q396</f>
        <v>0.35</v>
      </c>
      <c r="BA396" s="44">
        <v>0.09</v>
      </c>
      <c r="BB396" s="44">
        <v>1</v>
      </c>
      <c r="BC396" s="42">
        <f t="shared" ref="BC396:BC397" si="621">AD396/Q396</f>
        <v>0.3</v>
      </c>
      <c r="BD396" s="42" cm="1">
        <f t="array" ref="BD396">_xlfn.IFS(AD396=0,"NA",AD396&gt;0,AH396/AD396)</f>
        <v>0.8666666666666667</v>
      </c>
      <c r="BE396" s="42">
        <f t="shared" ref="BE396:BE397" si="622">AL396/Q396</f>
        <v>0.31</v>
      </c>
      <c r="BF396" s="44">
        <v>0</v>
      </c>
      <c r="BG396" s="42">
        <f t="shared" ref="BG396:BG397" si="623">AN396/Q396</f>
        <v>0.3</v>
      </c>
      <c r="BH396" s="44">
        <v>0</v>
      </c>
      <c r="BI396" s="42">
        <f t="shared" ref="BI396:BI397" si="624">AP396/Q396</f>
        <v>0</v>
      </c>
      <c r="BJ396" s="44" t="s">
        <v>115</v>
      </c>
      <c r="BK396" s="42">
        <f t="shared" si="570"/>
        <v>0.35</v>
      </c>
      <c r="BL396" s="44">
        <v>1</v>
      </c>
      <c r="BM396" s="42" cm="1">
        <f t="array" ref="BM396">_xlfn.IFS(BD396="NA","NA",BD396&gt;100%,"100%",BD396&lt;100,BD396)</f>
        <v>0.8666666666666667</v>
      </c>
      <c r="BN396" s="42" cm="1">
        <f t="array" ref="BN396">_xlfn.IFS(BF396="NA","NA",BF396&gt;100%,"100%",BF396&lt;100,BF396)</f>
        <v>0</v>
      </c>
      <c r="BO396" s="42" cm="1">
        <f t="array" ref="BO396">_xlfn.IFS(BH396="NA","NA",BH396&gt;100%,"100%",BH396&lt;100,BH396)</f>
        <v>0</v>
      </c>
      <c r="BP396" s="42" t="str" cm="1">
        <f t="array" ref="BP396">_xlfn.IFS(BJ396="NA","NA",BJ396&gt;100%,"100%",BJ396&lt;100,BJ396)</f>
        <v>NA</v>
      </c>
      <c r="BQ396" s="45">
        <v>0.224</v>
      </c>
      <c r="BR396" s="43">
        <f t="shared" si="571"/>
        <v>7.8399999999999997E-2</v>
      </c>
      <c r="BS396" s="45">
        <v>2.0199999999999999E-2</v>
      </c>
      <c r="BT396" s="45">
        <v>2.0199999999999999E-2</v>
      </c>
      <c r="BU396" s="45">
        <v>2.0199999999999999E-2</v>
      </c>
      <c r="BV396" s="43">
        <f t="shared" ref="BV396:BV397" si="625">(AD396*BQ396)/Q396</f>
        <v>6.7199999999999996E-2</v>
      </c>
      <c r="BW396" s="43">
        <f t="shared" si="572"/>
        <v>5.824E-2</v>
      </c>
      <c r="BX396" s="43">
        <f t="shared" si="573"/>
        <v>5.8200000000000002E-2</v>
      </c>
      <c r="BY396" s="43">
        <f t="shared" ref="BY396:BY397" si="626">(AL396*BQ396)/Q396</f>
        <v>6.9440000000000002E-2</v>
      </c>
      <c r="BZ396" s="43">
        <f t="shared" ref="BZ396:BZ397" si="627">IF(BN396="NA","NA",BN396*BY396)</f>
        <v>0</v>
      </c>
      <c r="CA396" s="43">
        <f t="shared" si="574"/>
        <v>0</v>
      </c>
      <c r="CB396" s="43">
        <f t="shared" ref="CB396:CB397" si="628">(AN396*BQ396)/Q396</f>
        <v>6.7199999999999996E-2</v>
      </c>
      <c r="CC396" s="43">
        <f t="shared" ref="CC396:CC397" si="629">IF(BO396="NA","NA",BO396*CB396)</f>
        <v>0</v>
      </c>
      <c r="CD396" s="45">
        <v>0</v>
      </c>
      <c r="CE396" s="43">
        <f t="shared" ref="CE396:CE397" si="630">(AP396*BQ396)/Q396</f>
        <v>0</v>
      </c>
      <c r="CF396" s="43" t="str">
        <f t="shared" ref="CF396:CF397" si="631">IF(BP396="NA","NA",BP396*CE396)</f>
        <v>NA</v>
      </c>
      <c r="CG396" s="45">
        <v>0</v>
      </c>
    </row>
    <row r="397" spans="1:90" ht="18" customHeight="1">
      <c r="A397" s="260" t="s">
        <v>2437</v>
      </c>
      <c r="B397" s="260" t="s">
        <v>2438</v>
      </c>
      <c r="C397" s="260" t="s">
        <v>2371</v>
      </c>
      <c r="D397" s="260" t="s">
        <v>2372</v>
      </c>
      <c r="E397" s="260" t="s">
        <v>2416</v>
      </c>
      <c r="F397" s="260" t="s">
        <v>2417</v>
      </c>
      <c r="G397" s="260" t="s">
        <v>2418</v>
      </c>
      <c r="H397" s="260" t="s">
        <v>2439</v>
      </c>
      <c r="I397" s="260"/>
      <c r="J397" s="260"/>
      <c r="K397" s="260" t="s">
        <v>2440</v>
      </c>
      <c r="L397" s="260" t="s">
        <v>3051</v>
      </c>
      <c r="M397" s="260" t="s">
        <v>2442</v>
      </c>
      <c r="N397" s="260" t="s">
        <v>111</v>
      </c>
      <c r="O397" s="260" t="s">
        <v>112</v>
      </c>
      <c r="P397" s="10">
        <v>0</v>
      </c>
      <c r="Q397" s="11">
        <v>1</v>
      </c>
      <c r="R397" s="9">
        <f t="shared" si="618"/>
        <v>10</v>
      </c>
      <c r="S397" s="11">
        <f>VLOOKUP(K397,'1103 General'!$K$13:$S$21,9,0)</f>
        <v>0</v>
      </c>
      <c r="T397" s="11">
        <v>0.1</v>
      </c>
      <c r="U397" s="11">
        <v>0</v>
      </c>
      <c r="V397" s="11">
        <v>0.1</v>
      </c>
      <c r="W397" s="11">
        <v>0</v>
      </c>
      <c r="X397" s="11">
        <v>0</v>
      </c>
      <c r="Y397" s="11">
        <v>0</v>
      </c>
      <c r="Z397" s="11">
        <v>0</v>
      </c>
      <c r="AA397" s="11"/>
      <c r="AB397" s="11"/>
      <c r="AC397" s="11"/>
      <c r="AD397" s="11">
        <v>0.4</v>
      </c>
      <c r="AE397" s="11">
        <v>0</v>
      </c>
      <c r="AF397" s="11">
        <f>VLOOKUP(K397,'1103 General'!$K$13:$AK$21,22,0)</f>
        <v>10</v>
      </c>
      <c r="AG397" s="11">
        <f>VLOOKUP(K397,'1103 General'!$K$13:$AK$21,23,0)</f>
        <v>0</v>
      </c>
      <c r="AH397" s="9">
        <f t="shared" si="619"/>
        <v>10</v>
      </c>
      <c r="AI397" s="9" t="str">
        <f>VLOOKUP(K397,'1103 General'!$K$13:$AK$21,25,0)</f>
        <v>Decreto Modernización y estructuración del Comité de Atención al Usuario</v>
      </c>
      <c r="AJ397" s="9" t="str">
        <f>VLOOKUP(K397,'1103 General'!$K$13:$AK$21,26,0)</f>
        <v>Por gestión de la Secretaría General se dio activación del Comité de Atención al Usuario el 29 de Marzo de 2021</v>
      </c>
      <c r="AK397" s="9" t="str">
        <f>VLOOKUP(K397,'1103 General'!$K$13:$AK$21,27,0)</f>
        <v>Dificultad en la asignación de recursos para la vigencia actual</v>
      </c>
      <c r="AL397" s="11">
        <v>0.4</v>
      </c>
      <c r="AM397" s="11">
        <v>0</v>
      </c>
      <c r="AN397" s="11">
        <v>0.1</v>
      </c>
      <c r="AO397" s="11">
        <v>0</v>
      </c>
      <c r="AP397" s="11">
        <v>0</v>
      </c>
      <c r="AQ397" s="11">
        <v>0</v>
      </c>
      <c r="AR397" s="52"/>
      <c r="AS397" s="54">
        <v>0</v>
      </c>
      <c r="AT397" s="54">
        <f t="shared" ref="AT397:AT456" si="632">AR397+AS397</f>
        <v>0</v>
      </c>
      <c r="AU397" s="52"/>
      <c r="AV397" s="89">
        <v>0</v>
      </c>
      <c r="AY397" s="89">
        <v>0</v>
      </c>
      <c r="AZ397" s="42">
        <f t="shared" si="620"/>
        <v>10</v>
      </c>
      <c r="BA397" s="44">
        <v>0.1</v>
      </c>
      <c r="BB397" s="44">
        <v>0</v>
      </c>
      <c r="BC397" s="42">
        <f t="shared" si="621"/>
        <v>0.4</v>
      </c>
      <c r="BD397" s="42" cm="1">
        <f t="array" ref="BD397">_xlfn.IFS(AD397=0,"NA",AD397&gt;0,AH397/AD397)</f>
        <v>25</v>
      </c>
      <c r="BE397" s="42">
        <f t="shared" si="622"/>
        <v>0.4</v>
      </c>
      <c r="BF397" s="44">
        <v>0</v>
      </c>
      <c r="BG397" s="42">
        <f t="shared" si="623"/>
        <v>0.1</v>
      </c>
      <c r="BH397" s="44">
        <v>0</v>
      </c>
      <c r="BI397" s="42">
        <f t="shared" si="624"/>
        <v>0</v>
      </c>
      <c r="BJ397" s="44" t="s">
        <v>115</v>
      </c>
      <c r="BK397" s="42" t="str">
        <f t="shared" ref="BK397:BK456" si="633">IF(AZ397&gt;100%,"100%",AZ397)</f>
        <v>100%</v>
      </c>
      <c r="BL397" s="44">
        <v>0</v>
      </c>
      <c r="BM397" s="42" t="str" cm="1">
        <f t="array" ref="BM397">_xlfn.IFS(BD397="NA","NA",BD397&gt;100%,"100%",BD397&lt;100,BD397)</f>
        <v>100%</v>
      </c>
      <c r="BN397" s="42" cm="1">
        <f t="array" ref="BN397">_xlfn.IFS(BF397="NA","NA",BF397&gt;100%,"100%",BF397&lt;100,BF397)</f>
        <v>0</v>
      </c>
      <c r="BO397" s="42" cm="1">
        <f t="array" ref="BO397">_xlfn.IFS(BH397="NA","NA",BH397&gt;100%,"100%",BH397&lt;100,BH397)</f>
        <v>0</v>
      </c>
      <c r="BP397" s="42" t="str" cm="1">
        <f t="array" ref="BP397">_xlfn.IFS(BJ397="NA","NA",BJ397&gt;100%,"100%",BJ397&lt;100,BJ397)</f>
        <v>NA</v>
      </c>
      <c r="BQ397" s="45">
        <v>0.224</v>
      </c>
      <c r="BR397" s="43">
        <f t="shared" ref="BR397:BR456" si="634">BQ397*BK397</f>
        <v>0.224</v>
      </c>
      <c r="BS397" s="45">
        <v>2.24E-2</v>
      </c>
      <c r="BT397" s="45">
        <v>0</v>
      </c>
      <c r="BU397" s="45">
        <v>0</v>
      </c>
      <c r="BV397" s="43">
        <f t="shared" si="625"/>
        <v>8.9600000000000013E-2</v>
      </c>
      <c r="BW397" s="43">
        <f t="shared" ref="BW397:BW456" si="635">IF(BM397="NA","NA",BM397*BV397)</f>
        <v>8.9600000000000013E-2</v>
      </c>
      <c r="BX397" s="43">
        <f t="shared" ref="BX397:BX456" si="636">BR397-BU397</f>
        <v>0.224</v>
      </c>
      <c r="BY397" s="43">
        <f t="shared" si="626"/>
        <v>8.9600000000000013E-2</v>
      </c>
      <c r="BZ397" s="43">
        <f t="shared" si="627"/>
        <v>0</v>
      </c>
      <c r="CA397" s="43">
        <f t="shared" ref="CA397:CA456" si="637">BR397-BU397-BX397</f>
        <v>0</v>
      </c>
      <c r="CB397" s="43">
        <f t="shared" si="628"/>
        <v>2.2400000000000003E-2</v>
      </c>
      <c r="CC397" s="43">
        <f t="shared" si="629"/>
        <v>0</v>
      </c>
      <c r="CD397" s="45">
        <v>0</v>
      </c>
      <c r="CE397" s="43">
        <f t="shared" si="630"/>
        <v>0</v>
      </c>
      <c r="CF397" s="43" t="str">
        <f t="shared" si="631"/>
        <v>NA</v>
      </c>
      <c r="CG397" s="45">
        <v>0</v>
      </c>
    </row>
    <row r="398" spans="1:90" ht="18" customHeight="1">
      <c r="A398" s="260" t="s">
        <v>2437</v>
      </c>
      <c r="B398" s="260" t="s">
        <v>2438</v>
      </c>
      <c r="C398" s="260" t="s">
        <v>2371</v>
      </c>
      <c r="D398" s="260" t="s">
        <v>2372</v>
      </c>
      <c r="E398" s="260" t="s">
        <v>2416</v>
      </c>
      <c r="F398" s="260" t="s">
        <v>2417</v>
      </c>
      <c r="G398" s="260" t="s">
        <v>2418</v>
      </c>
      <c r="H398" s="260" t="s">
        <v>2443</v>
      </c>
      <c r="I398" s="260"/>
      <c r="J398" s="260"/>
      <c r="K398" s="260" t="s">
        <v>2444</v>
      </c>
      <c r="L398" s="260" t="s">
        <v>3052</v>
      </c>
      <c r="M398" s="260" t="s">
        <v>2446</v>
      </c>
      <c r="N398" s="260" t="s">
        <v>111</v>
      </c>
      <c r="O398" s="260" t="s">
        <v>124</v>
      </c>
      <c r="P398" s="10">
        <v>0</v>
      </c>
      <c r="Q398" s="11">
        <v>3</v>
      </c>
      <c r="R398" s="11">
        <f>(Z398+AH398)/CL398</f>
        <v>1.5</v>
      </c>
      <c r="S398" s="11">
        <f>VLOOKUP(K398,'1103 General'!$K$13:$S$21,9,0)</f>
        <v>0</v>
      </c>
      <c r="T398" s="11">
        <v>0</v>
      </c>
      <c r="U398" s="11">
        <v>3</v>
      </c>
      <c r="V398" s="11">
        <v>0</v>
      </c>
      <c r="W398" s="11">
        <v>3</v>
      </c>
      <c r="X398" s="11" t="s">
        <v>115</v>
      </c>
      <c r="Y398" s="11">
        <v>3</v>
      </c>
      <c r="Z398" s="11">
        <v>3</v>
      </c>
      <c r="AA398" s="11" t="s">
        <v>2447</v>
      </c>
      <c r="AB398" s="11" t="s">
        <v>2448</v>
      </c>
      <c r="AC398" s="11" t="s">
        <v>2449</v>
      </c>
      <c r="AD398" s="11">
        <v>0</v>
      </c>
      <c r="AE398" s="11">
        <v>3</v>
      </c>
      <c r="AF398" s="11">
        <f>VLOOKUP(K398,'1103 General'!$K$13:$AK$21,22,0)</f>
        <v>0</v>
      </c>
      <c r="AG398" s="11">
        <f>VLOOKUP(K398,'1103 General'!$K$13:$AK$21,23,0)</f>
        <v>3</v>
      </c>
      <c r="AH398" s="11">
        <f>AG398</f>
        <v>3</v>
      </c>
      <c r="AI398" s="9" t="str">
        <f>VLOOKUP(K398,'1103 General'!$K$13:$AK$21,25,0)</f>
        <v xml:space="preserve">Mantenimiento del canal virtual, telefonico y presencial. </v>
      </c>
      <c r="AJ398" s="9" t="str">
        <f>VLOOKUP(K398,'1103 General'!$K$13:$AK$21,26,0)</f>
        <v>Canal Virtual: Se puso a disposición (2) dos Salas Virtuales como mecanismo del canal de atención virtual a 
disposición de los usuarios, las cuales son atendidas en tiempo real y sincronizado 
por parte de personal disponible en el horario habilitado para el canal presencial a 
través de la plataforma de comunicación denominada Meet Google.
Canal Presencial: Se ha adelantado los ajustes razonables dentro de las instalaciones de complejo arquitectonico Gobernación de Cundinamarca fortaleciendo los criterios de accesibildad para personas en condicion de discapacidad. De igual forma se realizo capacitacion de Accesibilidad, atención oncluyente y lenguajes de señas y  a 40 funcionarios del Departamento de Cundinamarca.
Canal Telefonico:En la línea de atención telefónica a la fecha se han atendo aproximadamente 
17.000 interacciones. El nivel de atención de la línea telefónica es del 99% lo cual 
quiere decir que hay atención oportuna en cada una de las solicitudes que nos 
generan los usuarios a través de este canal telefónico.</v>
      </c>
      <c r="AK398" s="9">
        <f>VLOOKUP(K398,'1103 General'!$K$13:$AK$21,27,0)</f>
        <v>0</v>
      </c>
      <c r="AL398" s="11">
        <v>0</v>
      </c>
      <c r="AM398" s="11">
        <v>3</v>
      </c>
      <c r="AN398" s="11">
        <v>0</v>
      </c>
      <c r="AO398" s="11">
        <v>3</v>
      </c>
      <c r="AP398" s="11">
        <v>0</v>
      </c>
      <c r="AQ398" s="11">
        <v>0</v>
      </c>
      <c r="AR398" s="51">
        <v>240000000</v>
      </c>
      <c r="AS398" s="54">
        <v>0</v>
      </c>
      <c r="AT398" s="54">
        <f t="shared" si="632"/>
        <v>240000000</v>
      </c>
      <c r="AU398" s="51">
        <v>68029211</v>
      </c>
      <c r="AV398" s="89">
        <v>1417699336</v>
      </c>
      <c r="AY398" s="89">
        <v>49185788</v>
      </c>
      <c r="AZ398" s="44" cm="1">
        <f t="array" ref="AZ398">_xlfn.IFS((BA398=0),(BD398/CL398),(BA398&gt;0),((BB398+BD398)/CL398),(BE398&gt;0),((BB398+BD398+BE398)/CL398),(BG398&gt;0),((BB398+BD398+BE398+G398)/CL398))</f>
        <v>0.5</v>
      </c>
      <c r="BA398" s="44">
        <v>0.25</v>
      </c>
      <c r="BB398" s="44">
        <v>1</v>
      </c>
      <c r="BC398" s="44">
        <f>IF(AE398&gt;0,(1/CL398),0)</f>
        <v>0.25</v>
      </c>
      <c r="BD398" s="44" cm="1">
        <f t="array" ref="BD398">_xlfn.IFS(AE398=0,"NA",AE398&gt;0,AH398/AE398)</f>
        <v>1</v>
      </c>
      <c r="BE398" s="44">
        <f>IF(AM398&gt;0,(1/CL398),0)</f>
        <v>0.25</v>
      </c>
      <c r="BF398" s="44">
        <v>0</v>
      </c>
      <c r="BG398" s="44">
        <f>IF(AO398&gt;0,(1/CL398),0)</f>
        <v>0.25</v>
      </c>
      <c r="BH398" s="44">
        <v>0</v>
      </c>
      <c r="BI398" s="44">
        <v>0</v>
      </c>
      <c r="BJ398" s="44" t="s">
        <v>115</v>
      </c>
      <c r="BK398" s="44">
        <f t="shared" si="633"/>
        <v>0.5</v>
      </c>
      <c r="BL398" s="44">
        <v>1</v>
      </c>
      <c r="BM398" s="42" cm="1">
        <f t="array" ref="BM398">_xlfn.IFS(BD398="NA","NA",BD398&gt;100%,"100%",BD398&lt;100,BD398)</f>
        <v>1</v>
      </c>
      <c r="BN398" s="44">
        <v>0</v>
      </c>
      <c r="BO398" s="44">
        <v>0</v>
      </c>
      <c r="BP398" s="44" t="s">
        <v>115</v>
      </c>
      <c r="BQ398" s="45">
        <v>0.224</v>
      </c>
      <c r="BR398" s="43">
        <f t="shared" si="634"/>
        <v>0.112</v>
      </c>
      <c r="BS398" s="45">
        <v>5.6000000000000001E-2</v>
      </c>
      <c r="BT398" s="45">
        <v>5.6000000000000001E-2</v>
      </c>
      <c r="BU398" s="45">
        <v>5.6000000000000001E-2</v>
      </c>
      <c r="BV398" s="45">
        <v>5.6000000000000001E-2</v>
      </c>
      <c r="BW398" s="43">
        <f t="shared" si="635"/>
        <v>5.6000000000000001E-2</v>
      </c>
      <c r="BX398" s="43">
        <f t="shared" si="636"/>
        <v>5.6000000000000001E-2</v>
      </c>
      <c r="BY398" s="45">
        <v>5.6000000000000001E-2</v>
      </c>
      <c r="BZ398" s="45">
        <v>0</v>
      </c>
      <c r="CA398" s="43">
        <f t="shared" si="637"/>
        <v>0</v>
      </c>
      <c r="CB398" s="45">
        <v>5.6000000000000001E-2</v>
      </c>
      <c r="CC398" s="45">
        <v>0</v>
      </c>
      <c r="CD398" s="45">
        <v>0</v>
      </c>
      <c r="CE398" s="45">
        <v>0</v>
      </c>
      <c r="CF398" s="45" t="s">
        <v>115</v>
      </c>
      <c r="CG398" s="45">
        <v>0</v>
      </c>
      <c r="CH398">
        <f>IF(W398&gt;0,1,0)</f>
        <v>1</v>
      </c>
      <c r="CI398">
        <f>IF(AE398&gt;0,1,0)</f>
        <v>1</v>
      </c>
      <c r="CJ398">
        <f>IF(AM398&gt;0,1,0)</f>
        <v>1</v>
      </c>
      <c r="CK398">
        <f>IF(AO398&gt;0,1,0)</f>
        <v>1</v>
      </c>
      <c r="CL398">
        <f>CH398+CI398+CJ398+CK398</f>
        <v>4</v>
      </c>
    </row>
    <row r="399" spans="1:90" ht="18" customHeight="1">
      <c r="A399" s="260" t="s">
        <v>2437</v>
      </c>
      <c r="B399" s="260" t="s">
        <v>2438</v>
      </c>
      <c r="C399" s="260" t="s">
        <v>2371</v>
      </c>
      <c r="D399" s="260" t="s">
        <v>2372</v>
      </c>
      <c r="E399" s="260" t="s">
        <v>2416</v>
      </c>
      <c r="F399" s="260" t="s">
        <v>2417</v>
      </c>
      <c r="G399" s="260" t="s">
        <v>2418</v>
      </c>
      <c r="H399" s="260" t="s">
        <v>2450</v>
      </c>
      <c r="I399" s="260"/>
      <c r="J399" s="260"/>
      <c r="K399" s="260" t="s">
        <v>2451</v>
      </c>
      <c r="L399" s="260" t="s">
        <v>2452</v>
      </c>
      <c r="M399" s="260" t="s">
        <v>2453</v>
      </c>
      <c r="N399" s="260" t="s">
        <v>111</v>
      </c>
      <c r="O399" s="260" t="s">
        <v>112</v>
      </c>
      <c r="P399" s="10">
        <v>5</v>
      </c>
      <c r="Q399" s="11">
        <v>15</v>
      </c>
      <c r="R399" s="9">
        <f t="shared" ref="R399:R402" si="638">Z399+AH399</f>
        <v>3</v>
      </c>
      <c r="S399" s="11">
        <f>VLOOKUP(K399,'1103 General'!$K$13:$S$21,9,0)</f>
        <v>0</v>
      </c>
      <c r="T399" s="11">
        <v>0</v>
      </c>
      <c r="U399" s="11">
        <v>0</v>
      </c>
      <c r="V399" s="11">
        <v>0</v>
      </c>
      <c r="W399" s="11">
        <v>0</v>
      </c>
      <c r="X399" s="11">
        <v>0</v>
      </c>
      <c r="Y399" s="11">
        <v>0</v>
      </c>
      <c r="Z399" s="11">
        <v>0</v>
      </c>
      <c r="AA399" s="11"/>
      <c r="AB399" s="11"/>
      <c r="AC399" s="11"/>
      <c r="AD399" s="11">
        <v>6</v>
      </c>
      <c r="AE399" s="11">
        <v>0</v>
      </c>
      <c r="AF399" s="11">
        <f>VLOOKUP(K399,'1103 General'!$K$13:$AK$21,22,0)</f>
        <v>3</v>
      </c>
      <c r="AG399" s="11">
        <f>VLOOKUP(K399,'1103 General'!$K$13:$AK$21,23,0)</f>
        <v>0</v>
      </c>
      <c r="AH399" s="9">
        <f t="shared" ref="AH399:AH402" si="639">AF399</f>
        <v>3</v>
      </c>
      <c r="AI399" s="9" t="str">
        <f>VLOOKUP(K399,'1103 General'!$K$13:$AK$21,25,0)</f>
        <v>Se realizaron ferias virtual orientadas a los siguientes municipios: Suesca,Gachancipá,Beltrán, Gachetá y Lenguazaque.</v>
      </c>
      <c r="AJ399" s="9" t="str">
        <f>VLOOKUP(K399,'1103 General'!$K$13:$AK$21,26,0)</f>
        <v xml:space="preserve">Se realizo feria virtual de servicios atraves de la plataforma de la Emisora Dorado Radio, dando cobertura a (5) municipios del departamento de Cundinamarca. </v>
      </c>
      <c r="AK399" s="9" t="str">
        <f>VLOOKUP(K399,'1103 General'!$K$13:$AK$21,27,0)</f>
        <v xml:space="preserve">Dificultad en la asignación de recursos para la vigencia actual, por lo tanto se esta dado aprovechamiento al canal virtual y Emisora Dorado Radio. </v>
      </c>
      <c r="AL399" s="11">
        <v>7</v>
      </c>
      <c r="AM399" s="11">
        <v>0</v>
      </c>
      <c r="AN399" s="11">
        <v>2</v>
      </c>
      <c r="AO399" s="11">
        <v>0</v>
      </c>
      <c r="AP399" s="11">
        <v>0</v>
      </c>
      <c r="AQ399" s="11">
        <v>0</v>
      </c>
      <c r="AR399" s="52"/>
      <c r="AS399" s="54">
        <v>0</v>
      </c>
      <c r="AT399" s="54">
        <f t="shared" si="632"/>
        <v>0</v>
      </c>
      <c r="AU399" s="52"/>
      <c r="AV399" s="89">
        <v>0</v>
      </c>
      <c r="AY399" s="89">
        <v>0</v>
      </c>
      <c r="AZ399" s="42">
        <f t="shared" ref="AZ399:AZ402" si="640">R399/Q399</f>
        <v>0.2</v>
      </c>
      <c r="BA399" s="44">
        <v>0</v>
      </c>
      <c r="BB399" s="44" t="s">
        <v>115</v>
      </c>
      <c r="BC399" s="42">
        <f t="shared" ref="BC399:BC402" si="641">AD399/Q399</f>
        <v>0.4</v>
      </c>
      <c r="BD399" s="42" cm="1">
        <f t="array" ref="BD399">_xlfn.IFS(AD399=0,"NA",AD399&gt;0,AH399/AD399)</f>
        <v>0.5</v>
      </c>
      <c r="BE399" s="42">
        <f t="shared" ref="BE399:BE402" si="642">AL399/Q399</f>
        <v>0.46666666666666667</v>
      </c>
      <c r="BF399" s="44">
        <v>0</v>
      </c>
      <c r="BG399" s="42">
        <f t="shared" ref="BG399:BG402" si="643">AN399/Q399</f>
        <v>0.13333333333333333</v>
      </c>
      <c r="BH399" s="44">
        <v>0</v>
      </c>
      <c r="BI399" s="42">
        <f t="shared" ref="BI399:BI402" si="644">AP399/Q399</f>
        <v>0</v>
      </c>
      <c r="BJ399" s="44" t="s">
        <v>115</v>
      </c>
      <c r="BK399" s="42">
        <f t="shared" si="633"/>
        <v>0.2</v>
      </c>
      <c r="BL399" s="44" t="s">
        <v>115</v>
      </c>
      <c r="BM399" s="42" cm="1">
        <f t="array" ref="BM399">_xlfn.IFS(BD399="NA","NA",BD399&gt;100%,"100%",BD399&lt;100,BD399)</f>
        <v>0.5</v>
      </c>
      <c r="BN399" s="42" cm="1">
        <f t="array" ref="BN399">_xlfn.IFS(BF399="NA","NA",BF399&gt;100%,"100%",BF399&lt;100,BF399)</f>
        <v>0</v>
      </c>
      <c r="BO399" s="42" cm="1">
        <f t="array" ref="BO399">_xlfn.IFS(BH399="NA","NA",BH399&gt;100%,"100%",BH399&lt;100,BH399)</f>
        <v>0</v>
      </c>
      <c r="BP399" s="42" t="str" cm="1">
        <f t="array" ref="BP399">_xlfn.IFS(BJ399="NA","NA",BJ399&gt;100%,"100%",BJ399&lt;100,BJ399)</f>
        <v>NA</v>
      </c>
      <c r="BQ399" s="45">
        <v>0.224</v>
      </c>
      <c r="BR399" s="43">
        <f t="shared" si="634"/>
        <v>4.4800000000000006E-2</v>
      </c>
      <c r="BS399" s="45">
        <v>0</v>
      </c>
      <c r="BT399" s="45" t="s">
        <v>115</v>
      </c>
      <c r="BU399" s="45">
        <v>0</v>
      </c>
      <c r="BV399" s="43">
        <f t="shared" ref="BV399:BV402" si="645">(AD399*BQ399)/Q399</f>
        <v>8.9599999999999999E-2</v>
      </c>
      <c r="BW399" s="43">
        <f t="shared" si="635"/>
        <v>4.48E-2</v>
      </c>
      <c r="BX399" s="43">
        <f t="shared" si="636"/>
        <v>4.4800000000000006E-2</v>
      </c>
      <c r="BY399" s="43">
        <f t="shared" ref="BY399:BY402" si="646">(AL399*BQ399)/Q399</f>
        <v>0.10453333333333334</v>
      </c>
      <c r="BZ399" s="43">
        <f t="shared" ref="BZ399:BZ402" si="647">IF(BN399="NA","NA",BN399*BY399)</f>
        <v>0</v>
      </c>
      <c r="CA399" s="43">
        <f t="shared" si="637"/>
        <v>0</v>
      </c>
      <c r="CB399" s="43">
        <f t="shared" ref="CB399:CB402" si="648">(AN399*BQ399)/Q399</f>
        <v>2.9866666666666666E-2</v>
      </c>
      <c r="CC399" s="43">
        <f t="shared" ref="CC399:CC402" si="649">IF(BO399="NA","NA",BO399*CB399)</f>
        <v>0</v>
      </c>
      <c r="CD399" s="45">
        <v>0</v>
      </c>
      <c r="CE399" s="43">
        <f t="shared" ref="CE399:CE402" si="650">(AP399*BQ399)/Q399</f>
        <v>0</v>
      </c>
      <c r="CF399" s="43" t="str">
        <f t="shared" ref="CF399:CF402" si="651">IF(BP399="NA","NA",BP399*CE399)</f>
        <v>NA</v>
      </c>
      <c r="CG399" s="45">
        <v>0</v>
      </c>
    </row>
    <row r="400" spans="1:90" ht="18" customHeight="1">
      <c r="A400" s="260" t="s">
        <v>2437</v>
      </c>
      <c r="B400" s="260" t="s">
        <v>2438</v>
      </c>
      <c r="C400" s="260" t="s">
        <v>2371</v>
      </c>
      <c r="D400" s="260" t="s">
        <v>2372</v>
      </c>
      <c r="E400" s="260" t="s">
        <v>2416</v>
      </c>
      <c r="F400" s="260" t="s">
        <v>2417</v>
      </c>
      <c r="G400" s="260" t="s">
        <v>2418</v>
      </c>
      <c r="H400" s="260" t="s">
        <v>2454</v>
      </c>
      <c r="I400" s="260"/>
      <c r="J400" s="260"/>
      <c r="K400" s="260" t="s">
        <v>2455</v>
      </c>
      <c r="L400" s="260" t="s">
        <v>2456</v>
      </c>
      <c r="M400" s="260" t="s">
        <v>2457</v>
      </c>
      <c r="N400" s="260" t="s">
        <v>111</v>
      </c>
      <c r="O400" s="260" t="s">
        <v>112</v>
      </c>
      <c r="P400" s="10">
        <v>0</v>
      </c>
      <c r="Q400" s="11">
        <v>4</v>
      </c>
      <c r="R400" s="9">
        <f t="shared" si="638"/>
        <v>0.7</v>
      </c>
      <c r="S400" s="11">
        <f>VLOOKUP(K400,'1103 General'!$K$13:$S$21,9,0)</f>
        <v>0</v>
      </c>
      <c r="T400" s="11">
        <v>0</v>
      </c>
      <c r="U400" s="11">
        <v>0</v>
      </c>
      <c r="V400" s="11">
        <v>0</v>
      </c>
      <c r="W400" s="11">
        <v>0</v>
      </c>
      <c r="X400" s="11">
        <v>0</v>
      </c>
      <c r="Y400" s="11">
        <v>0</v>
      </c>
      <c r="Z400" s="11">
        <v>0</v>
      </c>
      <c r="AA400" s="11"/>
      <c r="AB400" s="11"/>
      <c r="AC400" s="11"/>
      <c r="AD400" s="11">
        <v>1</v>
      </c>
      <c r="AE400" s="11">
        <v>0</v>
      </c>
      <c r="AF400" s="11">
        <f>VLOOKUP(K400,'1103 General'!$K$13:$AK$21,22,0)</f>
        <v>0.7</v>
      </c>
      <c r="AG400" s="11">
        <f>VLOOKUP(K400,'1103 General'!$K$13:$AK$21,23,0)</f>
        <v>0</v>
      </c>
      <c r="AH400" s="9">
        <f t="shared" si="639"/>
        <v>0.7</v>
      </c>
      <c r="AI400" s="9" t="str">
        <f>VLOOKUP(K400,'1103 General'!$K$13:$AK$21,25,0)</f>
        <v xml:space="preserve">implementación de una app </v>
      </c>
      <c r="AJ400" s="9" t="str">
        <f>VLOOKUP(K400,'1103 General'!$K$13:$AK$21,26,0)</f>
        <v>Se han obtenido los siguientes avances:
1. Revisión total de la plantilla entregada por la Secretaría de las TIC, que registra en SAGA.
2. Depuración total de la plantilla consignada en la plataforma SAGA.
3. Consolidación y revisión de la información contenida en la nueva plantilla que será objeto de cargue masivo.
4. Recopilación y suministro de nueva información de georreferenciación.
5Actualización y revisión de la información de bienes inmuebles de propiedad del Departamento
Construcción de la base espacial que contiene la georreferenciación de cada uno de los Bienes
Inmuebles de propiedad del Departamento de Cundinamarca
 Estructuración técnica para la puesta en funcionamiento de la interfaz o visor que permitirá la consulta
de cada uno de los Bienes Inmuebles con los componentes de cada uno de estos.
 Elaboración de los diagramas de flujo de trabajo necesarios para la programación de la herramienta.</v>
      </c>
      <c r="AK400" s="9">
        <f>VLOOKUP(K400,'1103 General'!$K$13:$AK$21,27,0)</f>
        <v>0</v>
      </c>
      <c r="AL400" s="11">
        <v>2</v>
      </c>
      <c r="AM400" s="11">
        <v>0</v>
      </c>
      <c r="AN400" s="11">
        <v>1</v>
      </c>
      <c r="AO400" s="11">
        <v>0</v>
      </c>
      <c r="AP400" s="11">
        <v>0</v>
      </c>
      <c r="AQ400" s="11">
        <v>0</v>
      </c>
      <c r="AR400" s="52"/>
      <c r="AS400" s="54">
        <v>0</v>
      </c>
      <c r="AT400" s="54">
        <f t="shared" si="632"/>
        <v>0</v>
      </c>
      <c r="AU400" s="52"/>
      <c r="AV400" s="89">
        <v>75000000</v>
      </c>
      <c r="AY400" s="89">
        <v>0</v>
      </c>
      <c r="AZ400" s="42">
        <f t="shared" si="640"/>
        <v>0.17499999999999999</v>
      </c>
      <c r="BA400" s="44">
        <v>0</v>
      </c>
      <c r="BB400" s="44" t="s">
        <v>115</v>
      </c>
      <c r="BC400" s="42">
        <f t="shared" si="641"/>
        <v>0.25</v>
      </c>
      <c r="BD400" s="42" cm="1">
        <f t="array" ref="BD400">_xlfn.IFS(AD400=0,"NA",AD400&gt;0,AH400/AD400)</f>
        <v>0.7</v>
      </c>
      <c r="BE400" s="42">
        <f t="shared" si="642"/>
        <v>0.5</v>
      </c>
      <c r="BF400" s="44">
        <v>0</v>
      </c>
      <c r="BG400" s="42">
        <f t="shared" si="643"/>
        <v>0.25</v>
      </c>
      <c r="BH400" s="44">
        <v>0</v>
      </c>
      <c r="BI400" s="42">
        <f t="shared" si="644"/>
        <v>0</v>
      </c>
      <c r="BJ400" s="44" t="s">
        <v>115</v>
      </c>
      <c r="BK400" s="42">
        <f t="shared" si="633"/>
        <v>0.17499999999999999</v>
      </c>
      <c r="BL400" s="44" t="s">
        <v>115</v>
      </c>
      <c r="BM400" s="42" cm="1">
        <f t="array" ref="BM400">_xlfn.IFS(BD400="NA","NA",BD400&gt;100%,"100%",BD400&lt;100,BD400)</f>
        <v>0.7</v>
      </c>
      <c r="BN400" s="42" cm="1">
        <f t="array" ref="BN400">_xlfn.IFS(BF400="NA","NA",BF400&gt;100%,"100%",BF400&lt;100,BF400)</f>
        <v>0</v>
      </c>
      <c r="BO400" s="42" cm="1">
        <f t="array" ref="BO400">_xlfn.IFS(BH400="NA","NA",BH400&gt;100%,"100%",BH400&lt;100,BH400)</f>
        <v>0</v>
      </c>
      <c r="BP400" s="42" t="str" cm="1">
        <f t="array" ref="BP400">_xlfn.IFS(BJ400="NA","NA",BJ400&gt;100%,"100%",BJ400&lt;100,BJ400)</f>
        <v>NA</v>
      </c>
      <c r="BQ400" s="45">
        <v>0.224</v>
      </c>
      <c r="BR400" s="43">
        <f t="shared" si="634"/>
        <v>3.9199999999999999E-2</v>
      </c>
      <c r="BS400" s="45">
        <v>0</v>
      </c>
      <c r="BT400" s="45" t="s">
        <v>115</v>
      </c>
      <c r="BU400" s="45">
        <v>0</v>
      </c>
      <c r="BV400" s="43">
        <f t="shared" si="645"/>
        <v>5.6000000000000001E-2</v>
      </c>
      <c r="BW400" s="43">
        <f t="shared" si="635"/>
        <v>3.9199999999999999E-2</v>
      </c>
      <c r="BX400" s="43">
        <f t="shared" si="636"/>
        <v>3.9199999999999999E-2</v>
      </c>
      <c r="BY400" s="43">
        <f t="shared" si="646"/>
        <v>0.112</v>
      </c>
      <c r="BZ400" s="43">
        <f t="shared" si="647"/>
        <v>0</v>
      </c>
      <c r="CA400" s="43">
        <f t="shared" si="637"/>
        <v>0</v>
      </c>
      <c r="CB400" s="43">
        <f t="shared" si="648"/>
        <v>5.6000000000000001E-2</v>
      </c>
      <c r="CC400" s="43">
        <f t="shared" si="649"/>
        <v>0</v>
      </c>
      <c r="CD400" s="45">
        <v>0</v>
      </c>
      <c r="CE400" s="43">
        <f t="shared" si="650"/>
        <v>0</v>
      </c>
      <c r="CF400" s="43" t="str">
        <f t="shared" si="651"/>
        <v>NA</v>
      </c>
      <c r="CG400" s="45">
        <v>0</v>
      </c>
    </row>
    <row r="401" spans="1:90" ht="18" customHeight="1">
      <c r="A401" s="260" t="s">
        <v>992</v>
      </c>
      <c r="B401" s="260" t="s">
        <v>993</v>
      </c>
      <c r="C401" s="260" t="s">
        <v>2371</v>
      </c>
      <c r="D401" s="260" t="s">
        <v>2372</v>
      </c>
      <c r="E401" s="260" t="s">
        <v>2458</v>
      </c>
      <c r="F401" s="260" t="s">
        <v>2459</v>
      </c>
      <c r="G401" s="260" t="s">
        <v>2460</v>
      </c>
      <c r="H401" s="260" t="s">
        <v>2461</v>
      </c>
      <c r="I401" s="260"/>
      <c r="J401" s="260"/>
      <c r="K401" s="260" t="s">
        <v>2462</v>
      </c>
      <c r="L401" s="260" t="s">
        <v>2463</v>
      </c>
      <c r="M401" s="260" t="s">
        <v>2464</v>
      </c>
      <c r="N401" s="260" t="s">
        <v>123</v>
      </c>
      <c r="O401" s="260" t="s">
        <v>112</v>
      </c>
      <c r="P401" s="10">
        <v>100</v>
      </c>
      <c r="Q401" s="11">
        <v>100</v>
      </c>
      <c r="R401" s="9">
        <f t="shared" si="638"/>
        <v>7</v>
      </c>
      <c r="S401" s="11" t="str">
        <f>VLOOKUP(K401,'1105 Gobierno'!$K$12:$AK$31,9,0)</f>
        <v>Mediante sesión del 24 de marzo de 2020 la junta Departamental de Bomberos de Cundinamarca se reunió de manera virtual y por unanimidad se aprobó que los recursos fueran trasladados a la Unidad Administrativa Especial para la Gestión del Riesgo de Cundinamarca en razón a la emergencia sanitaria COVID-19,  por un valor de $502.140.090; los cuales mediante el Decreto Departamental numero 212 del 24 de abril de 2020 se autorizo el traslado presupuestal.
Para los fines legales pertinentes se anexa copia del acta de junta Departamental de bomberos y el decreto que autoriza el traslado presupuestal.
Se realizó la inscripcion de dignatarios cbv:  gachala, mosquera, gacheta ,suesca, zipaquira, guasca, tenjo, paratebueno,viota , anolaima, simijaca, san juan de rioseco. Se Realizó la arobacion de estatutos cbv: suesca,zipaquira, guasca, tenjo,  Paratebueno , simijaca, Quebradanegra.
Se realizó la creacion de cuerpos de bomberos voluntarios: viota,suesca personeria definitiva , paratebueno personeria definitiva. Se realizó la inscripcion de revisor fiscal gachala,mosquera , gacheta , suesca, guasca,tenjo, paratebueno,viota
Anolaima, simijaca, san juan de rioseco. Se realizó proceso administrativos sancionatorios cbv : ricarte, puli, sibate, cota.
Se realizó la inscripcion de dignatarios cbv:  gachala, mosquera, gacheta ,suesca, zipaquira, guasca, tenjo, paratebueno,viota , anolaima, simijaca, san juan de rioseco, fusagasugá, guayabetal, chía, arbelaez  y chocontá
Se realizó la aprobacion de estatutos cbv: suesca,zipaquira, guasca, tenjo, paratebueno , simijaca.
Se realizó la creacion de cuerpos de bomberos voluntarios: viota,suesca personeria definitiva , paratebueno personeria definitiva.
Se realizó la inscripcion de revisor fiscal gachala,mosquera , gacheta , suesca, guasca,tenjo, paratebueno,viota, anolaima, simijaca, san juan de rioseco.
Se realizó proceso administrativos sancionatorios cbv : ricarte, puli, sibate, cota.
Se realizó informe de condiciones de operatividad en: nocaima, sopó
Se realizó informe de inspección y vigilancia al cuerpo de bomberos voluntarios en: san juan de rioseco, tocancipá
Se realizó seguimiento al plan de mejoramiento cuerpo de bomberos voluntarios de: ricaurte
Se realizó proceso de verificación de condiciones técnicas, operativas, legales, administrativas y financieras del cuerpo de bomberos voluntarios de: zipaquirá.
Solicitud predio bomberos:  respuesta al cbv de utica;  procedimientos y listas de chequeo para el suit función publica gobernación de Cundinamarca:  se elaboran listas de chequeo y procedimientos para los trámites administrativos de los cbv del departamento de Cundinamarca- gestion de calidad.
Apoyo contestación tutela Carlos Julio Rincón : se apoya al doctor Eduardo Ordoñez para contestar tutela adjuntando soportes documentales.
Convocatoria coordinador ejecutivo de bomberos se realiza la convocatoria para recepcionar hojas de vida y se publica. 
certificaciones de cuerpos de bomberos voluntarios: Paratebueno, Guayabetal.</v>
      </c>
      <c r="T401" s="11">
        <v>0</v>
      </c>
      <c r="U401" s="11">
        <v>0</v>
      </c>
      <c r="V401" s="11">
        <v>0</v>
      </c>
      <c r="W401" s="11">
        <v>0</v>
      </c>
      <c r="X401" s="11">
        <v>0</v>
      </c>
      <c r="Y401" s="11">
        <v>0</v>
      </c>
      <c r="Z401" s="11">
        <v>0</v>
      </c>
      <c r="AA401" s="11"/>
      <c r="AB401" s="11"/>
      <c r="AC401" s="11"/>
      <c r="AD401" s="11">
        <v>20</v>
      </c>
      <c r="AE401" s="11">
        <v>0</v>
      </c>
      <c r="AF401" s="11">
        <f>VLOOKUP(K401,'1105 Gobierno'!$K$12:$AK$31,22,0)</f>
        <v>7</v>
      </c>
      <c r="AG401" s="11" t="str">
        <f>VLOOKUP(K401,'1105 Gobierno'!$K$12:$AK$31,23,0)</f>
        <v> </v>
      </c>
      <c r="AH401" s="9">
        <f t="shared" si="639"/>
        <v>7</v>
      </c>
      <c r="AI401" s="9" t="str">
        <f>VLOOKUP(K401,'1105 Gobierno'!$K$12:$AK$31,25,0)</f>
        <v>Asistencia técnica</v>
      </c>
      <c r="AJ401" s="9" t="str">
        <f>VLOOKUP(K401,'1105 Gobierno'!$K$12:$AK$31,26,0)</f>
        <v xml:space="preserve">Se Realizó La Inscripción De Dignatarios Cbv:  Gachalá, Mosquera, Gacheta, Suesca, Zipaquirá, Guasca, Tenjo, Paratebueno, Viotá, Anolaima, Simijaca, San Juan De Rioseco, Tocancipá. Se Realizó La Aprobación De Estatutos Cbv: Suesca, Zipaquirá, Guasca, Tenjo, Paratebueno, Simijaca, Quebrada negra.
Se realizó la creación de cuerpos de bomberos voluntarios: Viotá, Suesca Personería Definitiva, Paratebueno Personería Definitiva. Se Realizó La Inscripción De Revisor Fiscal Gáchala, Mosquera, Gacheta , Suesca, Guasca, Tenjo, Paratebueno ,Viotá ,Anolaima, Simijaca, san juan de Rioseco.
Se realizó procesos administrativos sancionatorios Cbv: Ricaurte, pulí, Sibaté, cota. Se realizó la inscripción de dignatarios Cbv:  Gachalá, Mosquera, Gacheta, Suesca, Zipaquirá, Guasca, Tenjo, Paratebueno, Viotá, Anolaima, Simijaca, San Juan De Rioseco, Fusagasugá, Guayabetal, Chía, Arbeláez, Chocontá y Sibaté. Se realizó la aprobación de estatutos Cbv: Suesca, Zipaquirá, Guasca, Tenjo, Paratebueno, Simijaca. Se realizó la creación de cuerpos de bomberos voluntarios: Viotá, Suesca Personería Definitiva, Paratebueno Personería Definitiva, Pasca Y Tibirita. Se realizó la inscripción de revisor fiscal Gachalá, Mosquera, Gacheta, Suesca, Guasca, Tenjo, Paratebueno, Viotá, Anolaima, Simijaca, San Juan De Rioseco. Se realizó procesos administrativos sancionatorios Cbv: Ricarte, Pulí, Sibaté, Cota. Se realizó informe de condiciones de operatividad en: Nocaima, sopó
Se realizó informe de inspección y vigilancia al cuerpo de bomberos voluntarios en: san juan de Rioseco, Tocancipá. Se realizó seguimiento al plan de mejoramiento cuerpo de bomberos voluntarios de: Ricaurte Se realizó proceso de verificación de condiciones técnicas, operativas, legales, administrativas y financieras del cuerpo de bomberos voluntarios de: Zipaquirá.
Solicitud predio bomberos:  respuesta al Cbv de utica; procedimientos y listas de chequeo para el suit función pública gobernación de Cundinamarca:  se elaboran listas de chequeo y procedimientos para los trámites administrativos de los Cbv del departamento de Cundinamarca- gestión de calidad.
Apoyo contestación tutela Carlos Julio Rincón: se apoya al doctor Eduardo Ordoñez para contestar tutela adjuntando soportes documentales.
Convocatoria coordinador ejecutivo de bomberos se realiza la convocatoria para recepcionar hojas de vida y se publica. 
Certificaciones de cuerpos de bomberos voluntarios: Paratebueno, Guayabetal.
Proceso Administrativos Sancionatorio: 2020-004:  auto 010 de 2021 cierre etapa probatoria, comunicaciones, traslado alegatos de conclusión; 2020-003: auto 009 de 2021 auto decreta cierre de averiguación preliminar 2020-001. se reciben alegados de conclusión, se elaboran comunicaciones, PARA FALLO EN PRIMERA INSTACIA 2020-001
Respuesta derechos de petición veeduría bomberil, respuesta Señor Carlos Julio Rincón Creación De Cuerpos De Bomberos: se resuelve la petición de la alcaldía de Tena.
Capacitación Virtual:  Alcaldía de Zipaquirá tema sobretasa bomberil; Alcaldía de Supatá tema Reactivación CBV de Supatá;
DNBC temas de Competencia de las Secretarias de Gobierno Departamentales  Inscripción De Dignatarios Cbv:  Sibaté
Certificaciones De Cuerpos De Bomberos Voluntarios: Ricaurte.        Respuesta Solicitud Certificación Cbv San Bernardo;  Proceso Administrativo fallo proceso 2020-001 en contra Cbv Ricaurte Respuesta Solicitud Copia De La Personería Jurídica Cbv De Chipaque; Aprobación De Reforma De Estatutos E Inscripción De Dignatarios Cbv La Mesa; Fallo Proceso 2020-004 En Contra Cbv Cota; Respuesta Solicitud De Copias Actas Elección De Dignatarios Cbv Cogua;
Remisión Por Competencia A La Dnbc Quejas De La Alcaldía De Nilo; Se Formulan Cargos Dentro Del Proceso 2020-003 En Contra Cbv Sibate; Certificación Personería Jurídica Cbv De Agua De Dios; Respuesta Cambio De Dignatarios Cbv San Cayetano Se Expidió Circular Departamental Recordando La Inscripción De Los Revisores Fiscales De Los Cbv Por Periodos Anuales. 
 Para el periodo hasta el 31 de octubre se realizó respuesta solicitud certificación cbv tenjo; se realizó constancia de ejecutoria resolución 57 del 06 de septiembre de 2021 proceso administrativo sancionatorio 2020-001 en contra cbv ricaurte; constancia ejecutoria resolución 64 del 13 de septiembre de 2021 proceso administrativo sancionatorio 2020-004 en contra cbv cota; respuesta derecho de petición solicitado por la personería municipal de cota - información en estado de operatividad cbv de cota; solicitud de ejecución sobretasa bomberil cbv de sopo; notificación por aviso auto 011 del 20 de septiembre de 2021  auto de formulación de cargos proceso administrativo sancionatorio 2020-003 en contra cbv de Sibaté; respuesta al cbv de Pandí sobre inscripción de revisor fiscal; se proyecta ayuda memoria junta departamental de bomberos de Cundinamarca,  revisión jurídica a las hojas de vida presentadas para el cargo de coordinador ejecutivo de bomberos; respuestas a las hojas de vida presentadas para el cargo de coordinador ejecutivo de bomberos; remisión por competencia petición hecha al cbv de chia.                                                                                                                                                                            </v>
      </c>
      <c r="AK401" s="9">
        <f>VLOOKUP(K401,'1105 Gobierno'!$K$12:$AK$31,27,0)</f>
        <v>0</v>
      </c>
      <c r="AL401" s="11">
        <v>30</v>
      </c>
      <c r="AM401" s="11">
        <v>0</v>
      </c>
      <c r="AN401" s="11">
        <v>50</v>
      </c>
      <c r="AO401" s="11">
        <v>0</v>
      </c>
      <c r="AP401" s="11">
        <v>0</v>
      </c>
      <c r="AQ401" s="11">
        <v>0</v>
      </c>
      <c r="AR401" s="52"/>
      <c r="AS401" s="54">
        <v>0</v>
      </c>
      <c r="AT401" s="54">
        <f t="shared" si="632"/>
        <v>0</v>
      </c>
      <c r="AU401" s="52"/>
      <c r="AV401" s="89">
        <v>351039944</v>
      </c>
      <c r="AY401" s="89">
        <v>0</v>
      </c>
      <c r="AZ401" s="42">
        <f t="shared" si="640"/>
        <v>7.0000000000000007E-2</v>
      </c>
      <c r="BA401" s="44">
        <v>0</v>
      </c>
      <c r="BB401" s="44" t="s">
        <v>115</v>
      </c>
      <c r="BC401" s="42">
        <f t="shared" si="641"/>
        <v>0.2</v>
      </c>
      <c r="BD401" s="42" cm="1">
        <f t="array" ref="BD401">_xlfn.IFS(AD401=0,"NA",AD401&gt;0,AH401/AD401)</f>
        <v>0.35</v>
      </c>
      <c r="BE401" s="42">
        <f t="shared" si="642"/>
        <v>0.3</v>
      </c>
      <c r="BF401" s="44">
        <v>0</v>
      </c>
      <c r="BG401" s="42">
        <f t="shared" si="643"/>
        <v>0.5</v>
      </c>
      <c r="BH401" s="44">
        <v>0</v>
      </c>
      <c r="BI401" s="42">
        <f t="shared" si="644"/>
        <v>0</v>
      </c>
      <c r="BJ401" s="44" t="s">
        <v>115</v>
      </c>
      <c r="BK401" s="42">
        <f t="shared" si="633"/>
        <v>7.0000000000000007E-2</v>
      </c>
      <c r="BL401" s="44" t="s">
        <v>115</v>
      </c>
      <c r="BM401" s="42" cm="1">
        <f t="array" ref="BM401">_xlfn.IFS(BD401="NA","NA",BD401&gt;100%,"100%",BD401&lt;100,BD401)</f>
        <v>0.35</v>
      </c>
      <c r="BN401" s="42" cm="1">
        <f t="array" ref="BN401">_xlfn.IFS(BF401="NA","NA",BF401&gt;100%,"100%",BF401&lt;100,BF401)</f>
        <v>0</v>
      </c>
      <c r="BO401" s="42" cm="1">
        <f t="array" ref="BO401">_xlfn.IFS(BH401="NA","NA",BH401&gt;100%,"100%",BH401&lt;100,BH401)</f>
        <v>0</v>
      </c>
      <c r="BP401" s="42" t="str" cm="1">
        <f t="array" ref="BP401">_xlfn.IFS(BJ401="NA","NA",BJ401&gt;100%,"100%",BJ401&lt;100,BJ401)</f>
        <v>NA</v>
      </c>
      <c r="BQ401" s="45">
        <v>0.224</v>
      </c>
      <c r="BR401" s="43">
        <f t="shared" si="634"/>
        <v>1.5680000000000003E-2</v>
      </c>
      <c r="BS401" s="45">
        <v>0</v>
      </c>
      <c r="BT401" s="45" t="s">
        <v>115</v>
      </c>
      <c r="BU401" s="45">
        <v>0</v>
      </c>
      <c r="BV401" s="43">
        <f t="shared" si="645"/>
        <v>4.4800000000000006E-2</v>
      </c>
      <c r="BW401" s="43">
        <f t="shared" si="635"/>
        <v>1.5680000000000003E-2</v>
      </c>
      <c r="BX401" s="43">
        <f t="shared" si="636"/>
        <v>1.5680000000000003E-2</v>
      </c>
      <c r="BY401" s="43">
        <f t="shared" si="646"/>
        <v>6.7199999999999996E-2</v>
      </c>
      <c r="BZ401" s="43">
        <f t="shared" si="647"/>
        <v>0</v>
      </c>
      <c r="CA401" s="43">
        <f t="shared" si="637"/>
        <v>0</v>
      </c>
      <c r="CB401" s="43">
        <f t="shared" si="648"/>
        <v>0.11200000000000002</v>
      </c>
      <c r="CC401" s="43">
        <f t="shared" si="649"/>
        <v>0</v>
      </c>
      <c r="CD401" s="45">
        <v>0</v>
      </c>
      <c r="CE401" s="43">
        <f t="shared" si="650"/>
        <v>0</v>
      </c>
      <c r="CF401" s="43" t="str">
        <f t="shared" si="651"/>
        <v>NA</v>
      </c>
      <c r="CG401" s="45">
        <v>0</v>
      </c>
    </row>
    <row r="402" spans="1:90" ht="18" customHeight="1">
      <c r="A402" s="260" t="s">
        <v>992</v>
      </c>
      <c r="B402" s="260" t="s">
        <v>993</v>
      </c>
      <c r="C402" s="260" t="s">
        <v>2371</v>
      </c>
      <c r="D402" s="260" t="s">
        <v>2372</v>
      </c>
      <c r="E402" s="260" t="s">
        <v>2458</v>
      </c>
      <c r="F402" s="260" t="s">
        <v>2459</v>
      </c>
      <c r="G402" s="260" t="s">
        <v>2460</v>
      </c>
      <c r="H402" s="260" t="s">
        <v>2465</v>
      </c>
      <c r="I402" s="260"/>
      <c r="J402" s="260"/>
      <c r="K402" s="260" t="s">
        <v>2466</v>
      </c>
      <c r="L402" s="260" t="s">
        <v>2467</v>
      </c>
      <c r="M402" s="260" t="s">
        <v>2468</v>
      </c>
      <c r="N402" s="260" t="s">
        <v>111</v>
      </c>
      <c r="O402" s="260" t="s">
        <v>112</v>
      </c>
      <c r="P402" s="10">
        <v>30</v>
      </c>
      <c r="Q402" s="11">
        <v>50</v>
      </c>
      <c r="R402" s="9">
        <f t="shared" si="638"/>
        <v>2</v>
      </c>
      <c r="S402" s="11" t="str">
        <f>VLOOKUP(K402,'1105 Gobierno'!$K$12:$AK$31,9,0)</f>
        <v>Se realiza adición para continuar con la construcción de la casa de Gobierno del municipio de Nimaima, la cual inició desde el periodo de gobierno anterior. Se realiza dotación al municipio de San Juan de Rioseco</v>
      </c>
      <c r="T402" s="11">
        <v>5</v>
      </c>
      <c r="U402" s="11">
        <v>0</v>
      </c>
      <c r="V402" s="11">
        <v>0</v>
      </c>
      <c r="W402" s="11">
        <v>0</v>
      </c>
      <c r="X402" s="11">
        <v>0</v>
      </c>
      <c r="Y402" s="11">
        <v>1</v>
      </c>
      <c r="Z402" s="11">
        <v>1</v>
      </c>
      <c r="AA402" s="11" t="s">
        <v>2469</v>
      </c>
      <c r="AB402" s="11" t="s">
        <v>2470</v>
      </c>
      <c r="AC402" s="11">
        <v>0</v>
      </c>
      <c r="AD402" s="11">
        <v>10</v>
      </c>
      <c r="AE402" s="11">
        <v>0</v>
      </c>
      <c r="AF402" s="11">
        <f>VLOOKUP(K402,'1105 Gobierno'!$K$12:$AK$31,22,0)</f>
        <v>1</v>
      </c>
      <c r="AG402" s="11" t="str">
        <f>VLOOKUP(K402,'1105 Gobierno'!$K$12:$AK$31,23,0)</f>
        <v> </v>
      </c>
      <c r="AH402" s="9">
        <f t="shared" si="639"/>
        <v>1</v>
      </c>
      <c r="AI402" s="9" t="str">
        <f>VLOOKUP(K402,'1105 Gobierno'!$K$12:$AK$31,25,0)</f>
        <v>Asistencia técnica</v>
      </c>
      <c r="AJ402" s="9" t="str">
        <f>VLOOKUP(K402,'1105 Gobierno'!$K$12:$AK$31,26,0)</f>
        <v xml:space="preserve">Se ha realizado la revisión de los proyectos presentados a través de la plataforma bizagi para la confinanciación de casas de gobierno de los municipios de San bernardo, el Peñón, Silvania, Guachetá, Jerusalen, Girardot, Caparrapí, Tabio, Gama. Se realizó la dotación del municipio de San Juan de Rioseco al concejo municipal por un valor de $30.500.000 </v>
      </c>
      <c r="AK402" s="9">
        <f>VLOOKUP(K402,'1105 Gobierno'!$K$12:$AK$31,27,0)</f>
        <v>0</v>
      </c>
      <c r="AL402" s="11">
        <v>10</v>
      </c>
      <c r="AM402" s="11">
        <v>0</v>
      </c>
      <c r="AN402" s="11">
        <v>30</v>
      </c>
      <c r="AO402" s="11">
        <v>0</v>
      </c>
      <c r="AP402" s="11">
        <v>0</v>
      </c>
      <c r="AQ402" s="11">
        <v>0</v>
      </c>
      <c r="AR402" s="51">
        <v>900000000</v>
      </c>
      <c r="AS402" s="54">
        <v>0</v>
      </c>
      <c r="AT402" s="54">
        <f t="shared" si="632"/>
        <v>900000000</v>
      </c>
      <c r="AU402" s="51">
        <v>900000000</v>
      </c>
      <c r="AV402" s="89">
        <v>1000000000</v>
      </c>
      <c r="AY402" s="89">
        <v>0</v>
      </c>
      <c r="AZ402" s="42">
        <f t="shared" si="640"/>
        <v>0.04</v>
      </c>
      <c r="BA402" s="44">
        <v>0</v>
      </c>
      <c r="BB402" s="44" t="s">
        <v>115</v>
      </c>
      <c r="BC402" s="42">
        <f t="shared" si="641"/>
        <v>0.2</v>
      </c>
      <c r="BD402" s="42" cm="1">
        <f t="array" ref="BD402">_xlfn.IFS(AD402=0,"NA",AD402&gt;0,AH402/AD402)</f>
        <v>0.1</v>
      </c>
      <c r="BE402" s="42">
        <f t="shared" si="642"/>
        <v>0.2</v>
      </c>
      <c r="BF402" s="44">
        <v>0</v>
      </c>
      <c r="BG402" s="42">
        <f t="shared" si="643"/>
        <v>0.6</v>
      </c>
      <c r="BH402" s="44">
        <v>0</v>
      </c>
      <c r="BI402" s="42">
        <f t="shared" si="644"/>
        <v>0</v>
      </c>
      <c r="BJ402" s="44" t="s">
        <v>115</v>
      </c>
      <c r="BK402" s="42">
        <f t="shared" si="633"/>
        <v>0.04</v>
      </c>
      <c r="BL402" s="44" t="s">
        <v>115</v>
      </c>
      <c r="BM402" s="42" cm="1">
        <f t="array" ref="BM402">_xlfn.IFS(BD402="NA","NA",BD402&gt;100%,"100%",BD402&lt;100,BD402)</f>
        <v>0.1</v>
      </c>
      <c r="BN402" s="42" cm="1">
        <f t="array" ref="BN402">_xlfn.IFS(BF402="NA","NA",BF402&gt;100%,"100%",BF402&lt;100,BF402)</f>
        <v>0</v>
      </c>
      <c r="BO402" s="42" cm="1">
        <f t="array" ref="BO402">_xlfn.IFS(BH402="NA","NA",BH402&gt;100%,"100%",BH402&lt;100,BH402)</f>
        <v>0</v>
      </c>
      <c r="BP402" s="42" t="str" cm="1">
        <f t="array" ref="BP402">_xlfn.IFS(BJ402="NA","NA",BJ402&gt;100%,"100%",BJ402&lt;100,BJ402)</f>
        <v>NA</v>
      </c>
      <c r="BQ402" s="45">
        <v>0.224</v>
      </c>
      <c r="BR402" s="43">
        <f t="shared" si="634"/>
        <v>8.9600000000000009E-3</v>
      </c>
      <c r="BS402" s="45">
        <v>0</v>
      </c>
      <c r="BT402" s="45" t="s">
        <v>115</v>
      </c>
      <c r="BU402" s="45">
        <v>0</v>
      </c>
      <c r="BV402" s="43">
        <f t="shared" si="645"/>
        <v>4.4800000000000006E-2</v>
      </c>
      <c r="BW402" s="43">
        <f t="shared" si="635"/>
        <v>4.4800000000000005E-3</v>
      </c>
      <c r="BX402" s="43">
        <f t="shared" si="636"/>
        <v>8.9600000000000009E-3</v>
      </c>
      <c r="BY402" s="43">
        <f t="shared" si="646"/>
        <v>4.4800000000000006E-2</v>
      </c>
      <c r="BZ402" s="43">
        <f t="shared" si="647"/>
        <v>0</v>
      </c>
      <c r="CA402" s="43">
        <f t="shared" si="637"/>
        <v>0</v>
      </c>
      <c r="CB402" s="43">
        <f t="shared" si="648"/>
        <v>0.13439999999999999</v>
      </c>
      <c r="CC402" s="43">
        <f t="shared" si="649"/>
        <v>0</v>
      </c>
      <c r="CD402" s="45">
        <v>0</v>
      </c>
      <c r="CE402" s="43">
        <f t="shared" si="650"/>
        <v>0</v>
      </c>
      <c r="CF402" s="43" t="str">
        <f t="shared" si="651"/>
        <v>NA</v>
      </c>
      <c r="CG402" s="45">
        <v>0</v>
      </c>
    </row>
    <row r="403" spans="1:90" ht="18" customHeight="1">
      <c r="A403" s="260" t="s">
        <v>2335</v>
      </c>
      <c r="B403" s="260" t="s">
        <v>2336</v>
      </c>
      <c r="C403" s="260" t="s">
        <v>2371</v>
      </c>
      <c r="D403" s="260" t="s">
        <v>2372</v>
      </c>
      <c r="E403" s="260" t="s">
        <v>2458</v>
      </c>
      <c r="F403" s="260" t="s">
        <v>2459</v>
      </c>
      <c r="G403" s="260" t="s">
        <v>2460</v>
      </c>
      <c r="H403" s="260" t="s">
        <v>2471</v>
      </c>
      <c r="I403" s="260"/>
      <c r="J403" s="260"/>
      <c r="K403" s="260" t="s">
        <v>2472</v>
      </c>
      <c r="L403" s="260" t="s">
        <v>2473</v>
      </c>
      <c r="M403" s="260" t="s">
        <v>2474</v>
      </c>
      <c r="N403" s="260" t="s">
        <v>111</v>
      </c>
      <c r="O403" s="260" t="s">
        <v>124</v>
      </c>
      <c r="P403" s="10">
        <v>1</v>
      </c>
      <c r="Q403" s="11">
        <v>1</v>
      </c>
      <c r="R403" s="11">
        <f t="shared" ref="R403:R408" si="652">(Z403+AH403)/CL403</f>
        <v>0.46250000000000002</v>
      </c>
      <c r="S403" s="11" t="str">
        <f>VLOOKUP(K403,'1113 Planeación'!$K$13:$AK$19,9,0)</f>
        <v> </v>
      </c>
      <c r="T403" s="11">
        <v>0</v>
      </c>
      <c r="U403" s="11">
        <v>1</v>
      </c>
      <c r="V403" s="11">
        <v>0</v>
      </c>
      <c r="W403" s="11">
        <v>1</v>
      </c>
      <c r="X403" s="11" t="s">
        <v>115</v>
      </c>
      <c r="Y403" s="11">
        <v>1</v>
      </c>
      <c r="Z403" s="11">
        <v>1</v>
      </c>
      <c r="AA403" s="11">
        <v>0</v>
      </c>
      <c r="AB403" s="11" t="s">
        <v>2475</v>
      </c>
      <c r="AC403" s="11">
        <v>0</v>
      </c>
      <c r="AD403" s="11">
        <v>0</v>
      </c>
      <c r="AE403" s="11">
        <v>1</v>
      </c>
      <c r="AF403" s="11">
        <f>VLOOKUP(K403,'1113 Planeación'!$K$13:$AK$19,22,0)</f>
        <v>1</v>
      </c>
      <c r="AG403" s="11">
        <f>VLOOKUP(K403,'1113 Planeación'!$K$13:$AK$19,23,0)</f>
        <v>0.85</v>
      </c>
      <c r="AH403" s="11">
        <f t="shared" ref="AH403:AH408" si="653">AG403</f>
        <v>0.85</v>
      </c>
      <c r="AI403" s="9" t="str">
        <f>VLOOKUP(K403,'1113 Planeación'!$K$13:$AK$19,25,0)</f>
        <v> El Plan de Fortalecimiento integral de capacidades de gestión de la administración departamental y sus municpios FIGAD y desde las actividades se presta asistencia técnica al nivel cerntral, descentralizado y los municipios priorizados del departamento.</v>
      </c>
      <c r="AJ403" s="9" t="str">
        <f>VLOOKUP(K403,'1113 Planeación'!$K$13:$AK$19,26,0)</f>
        <v> Se aprobó un Plan de Fortalecimiento integral de capacidades de gestión de la administración departamental y sus municpios FIGAD. Atención a las necesidades de asistencia tecnica a los 116 municipios y entidades del departamento con el fin de fortalecer sus procesos de planeación del territorio y gestión publica. En cuanto al proceso misional de Asistencia técnica se prestaron 1.113 asistencias técnicas derivadas de 64 temas establecidos en el plan de asistencia técnica, viendose beneficiados 4.133 personas. En la prestación de las asistencia técnicasde la secretaría de Planeación se tiene un nivel de satisfacción del 99%.</v>
      </c>
      <c r="AK403" s="9" t="str">
        <f>VLOOKUP(K403,'1113 Planeación'!$K$13:$AK$19,27,0)</f>
        <v> Debilidades en la articulación entre dependencias para la formulación de un plan de fortalecimiento que unifique criterios entorno a los propositos fundamentales de los acompañamientos, capacitaciones y asesorias y que impacten la meta de bienestar.</v>
      </c>
      <c r="AL403" s="11">
        <v>0</v>
      </c>
      <c r="AM403" s="11">
        <v>1</v>
      </c>
      <c r="AN403" s="11">
        <v>0</v>
      </c>
      <c r="AO403" s="11">
        <v>1</v>
      </c>
      <c r="AP403" s="11">
        <v>0</v>
      </c>
      <c r="AQ403" s="11">
        <v>0</v>
      </c>
      <c r="AR403" s="51">
        <v>366000000</v>
      </c>
      <c r="AS403" s="54">
        <v>0</v>
      </c>
      <c r="AT403" s="54">
        <f t="shared" si="632"/>
        <v>366000000</v>
      </c>
      <c r="AU403" s="51">
        <v>340050321</v>
      </c>
      <c r="AV403" s="89">
        <v>2100000000</v>
      </c>
      <c r="AY403" s="89">
        <v>995504959</v>
      </c>
      <c r="AZ403" s="44" cm="1">
        <f t="array" ref="AZ403">_xlfn.IFS((BA403=0),(BD403/CL403),(BA403&gt;0),((BB403+BD403)/CL403),(BE403&gt;0),((BB403+BD403+BE403)/CL403),(BG403&gt;0),((BB403+BD403+BE403+G403)/CL403))</f>
        <v>0.46250000000000002</v>
      </c>
      <c r="BA403" s="44">
        <v>0.25</v>
      </c>
      <c r="BB403" s="44">
        <v>1</v>
      </c>
      <c r="BC403" s="44">
        <f t="shared" ref="BC403:BC408" si="654">IF(AE403&gt;0,(1/CL403),0)</f>
        <v>0.25</v>
      </c>
      <c r="BD403" s="44" cm="1">
        <f t="array" ref="BD403">_xlfn.IFS(AE403=0,"NA",AE403&gt;0,AH403/AE403)</f>
        <v>0.85</v>
      </c>
      <c r="BE403" s="44">
        <f t="shared" ref="BE403:BE408" si="655">IF(AM403&gt;0,(1/CL403),0)</f>
        <v>0.25</v>
      </c>
      <c r="BF403" s="44">
        <v>0</v>
      </c>
      <c r="BG403" s="44">
        <f t="shared" ref="BG403:BG408" si="656">IF(AO403&gt;0,(1/CL403),0)</f>
        <v>0.25</v>
      </c>
      <c r="BH403" s="44">
        <v>0</v>
      </c>
      <c r="BI403" s="44">
        <v>0</v>
      </c>
      <c r="BJ403" s="44" t="s">
        <v>115</v>
      </c>
      <c r="BK403" s="44">
        <f t="shared" si="633"/>
        <v>0.46250000000000002</v>
      </c>
      <c r="BL403" s="44">
        <v>1</v>
      </c>
      <c r="BM403" s="42" cm="1">
        <f t="array" ref="BM403">_xlfn.IFS(BD403="NA","NA",BD403&gt;100%,"100%",BD403&lt;100,BD403)</f>
        <v>0.85</v>
      </c>
      <c r="BN403" s="44">
        <v>0</v>
      </c>
      <c r="BO403" s="44">
        <v>0</v>
      </c>
      <c r="BP403" s="44" t="s">
        <v>115</v>
      </c>
      <c r="BQ403" s="45">
        <v>0.224</v>
      </c>
      <c r="BR403" s="43">
        <f t="shared" si="634"/>
        <v>0.10360000000000001</v>
      </c>
      <c r="BS403" s="45">
        <v>5.6000000000000001E-2</v>
      </c>
      <c r="BT403" s="45">
        <v>5.6000000000000001E-2</v>
      </c>
      <c r="BU403" s="45">
        <v>5.6000000000000001E-2</v>
      </c>
      <c r="BV403" s="45">
        <v>5.6000000000000001E-2</v>
      </c>
      <c r="BW403" s="43">
        <f t="shared" si="635"/>
        <v>4.7599999999999996E-2</v>
      </c>
      <c r="BX403" s="43">
        <f t="shared" si="636"/>
        <v>4.760000000000001E-2</v>
      </c>
      <c r="BY403" s="45">
        <v>5.6000000000000001E-2</v>
      </c>
      <c r="BZ403" s="45">
        <v>0</v>
      </c>
      <c r="CA403" s="43">
        <f t="shared" si="637"/>
        <v>0</v>
      </c>
      <c r="CB403" s="45">
        <v>5.6000000000000001E-2</v>
      </c>
      <c r="CC403" s="45">
        <v>0</v>
      </c>
      <c r="CD403" s="45">
        <v>0</v>
      </c>
      <c r="CE403" s="45">
        <v>0</v>
      </c>
      <c r="CF403" s="45" t="s">
        <v>115</v>
      </c>
      <c r="CG403" s="45">
        <v>0</v>
      </c>
      <c r="CH403">
        <f t="shared" ref="CH403:CH408" si="657">IF(W403&gt;0,1,0)</f>
        <v>1</v>
      </c>
      <c r="CI403">
        <f t="shared" ref="CI403:CI408" si="658">IF(AE403&gt;0,1,0)</f>
        <v>1</v>
      </c>
      <c r="CJ403">
        <f t="shared" ref="CJ403:CJ408" si="659">IF(AM403&gt;0,1,0)</f>
        <v>1</v>
      </c>
      <c r="CK403">
        <f t="shared" ref="CK403:CK408" si="660">IF(AO403&gt;0,1,0)</f>
        <v>1</v>
      </c>
      <c r="CL403">
        <f t="shared" ref="CL403:CL408" si="661">CH403+CI403+CJ403+CK403</f>
        <v>4</v>
      </c>
    </row>
    <row r="404" spans="1:90" ht="18" customHeight="1">
      <c r="A404" s="260" t="s">
        <v>98</v>
      </c>
      <c r="B404" s="260" t="s">
        <v>99</v>
      </c>
      <c r="C404" s="260" t="s">
        <v>2371</v>
      </c>
      <c r="D404" s="260" t="s">
        <v>2372</v>
      </c>
      <c r="E404" s="260" t="s">
        <v>2458</v>
      </c>
      <c r="F404" s="260" t="s">
        <v>2459</v>
      </c>
      <c r="G404" s="260" t="s">
        <v>2460</v>
      </c>
      <c r="H404" s="260" t="s">
        <v>2476</v>
      </c>
      <c r="I404" s="260"/>
      <c r="J404" s="12" t="s">
        <v>2477</v>
      </c>
      <c r="K404" s="260" t="s">
        <v>2478</v>
      </c>
      <c r="L404" s="260" t="s">
        <v>2479</v>
      </c>
      <c r="M404" s="260" t="s">
        <v>2480</v>
      </c>
      <c r="N404" s="260" t="s">
        <v>123</v>
      </c>
      <c r="O404" s="260" t="s">
        <v>124</v>
      </c>
      <c r="P404" s="10">
        <v>90</v>
      </c>
      <c r="Q404" s="11">
        <v>90</v>
      </c>
      <c r="R404" s="11">
        <f t="shared" si="652"/>
        <v>45</v>
      </c>
      <c r="S404" s="9" t="str">
        <f>VLOOKUP(K404,'1197 Salud'!$K$13:$AK$54,9,0)</f>
        <v>Se mantienen las acciones de inspección de vigilancia y control en los objetos  sanitarios de los municipios categorías  4,5,6</v>
      </c>
      <c r="T404" s="11">
        <v>0</v>
      </c>
      <c r="U404" s="11">
        <v>90</v>
      </c>
      <c r="V404" s="11">
        <v>0</v>
      </c>
      <c r="W404" s="11">
        <v>90</v>
      </c>
      <c r="X404" s="11" t="s">
        <v>115</v>
      </c>
      <c r="Y404" s="11">
        <v>90</v>
      </c>
      <c r="Z404" s="11">
        <v>90</v>
      </c>
      <c r="AA404" s="11" t="s">
        <v>2480</v>
      </c>
      <c r="AB404" s="11" t="s">
        <v>2481</v>
      </c>
      <c r="AC404" s="11" t="s">
        <v>2482</v>
      </c>
      <c r="AD404" s="11">
        <v>0</v>
      </c>
      <c r="AE404" s="11">
        <v>90</v>
      </c>
      <c r="AF404" s="9">
        <f>VLOOKUP(K404,'1197 Salud'!$K$13:$AK$54,22,0)</f>
        <v>0</v>
      </c>
      <c r="AG404" s="9">
        <f>VLOOKUP(K404,'1197 Salud'!$K$13:$AK$54,23,0)</f>
        <v>90</v>
      </c>
      <c r="AH404" s="11">
        <f t="shared" si="653"/>
        <v>90</v>
      </c>
      <c r="AI404" s="9" t="str">
        <f>VLOOKUP(K404,'1197 Salud'!$K$13:$AK$54,25,0)</f>
        <v>Acciones de Inspección, Vigilancia y Control en los objetos sanitarios de los municipios categorías 4,5 y 6.</v>
      </c>
      <c r="AJ404" s="9" t="str">
        <f>VLOOKUP(K404,'1197 Salud'!$K$13:$AK$54,26,0)</f>
        <v>Se mantienen las  acciones de Inspección, Vigilancia y Control en los objetos sanitarios de los municipios categorías 4,5 y 6 en los sujetos de vigilancia de la linea de  aguas, seguridad quimica, alimentos , y establecimientos comerciales y especiales.</v>
      </c>
      <c r="AK404" s="9" t="str">
        <f>VLOOKUP(K404,'1197 Salud'!$K$13:$AK$54,27,0)</f>
        <v>Se presentó dificulta en la movilidad ocasionada por los paros realizados durante el año.</v>
      </c>
      <c r="AL404" s="11">
        <v>0</v>
      </c>
      <c r="AM404" s="11">
        <v>90</v>
      </c>
      <c r="AN404" s="11">
        <v>0</v>
      </c>
      <c r="AO404" s="11">
        <v>90</v>
      </c>
      <c r="AP404" s="11">
        <v>0</v>
      </c>
      <c r="AQ404" s="11">
        <v>0</v>
      </c>
      <c r="AR404" s="51">
        <v>1298000000</v>
      </c>
      <c r="AS404" s="54">
        <v>0</v>
      </c>
      <c r="AT404" s="54">
        <f t="shared" si="632"/>
        <v>1298000000</v>
      </c>
      <c r="AU404" s="51">
        <v>1154964746</v>
      </c>
      <c r="AV404" s="89">
        <v>2600000000</v>
      </c>
      <c r="AY404" s="89">
        <v>0</v>
      </c>
      <c r="AZ404" s="44" cm="1">
        <f t="array" ref="AZ404">_xlfn.IFS((BA404=0),(BD404/CL404),(BA404&gt;0),((BB404+BD404)/CL404),(BE404&gt;0),((BB404+BD404+BE404)/CL404),(BG404&gt;0),((BB404+BD404+BE404+G404)/CL404))</f>
        <v>0.5</v>
      </c>
      <c r="BA404" s="44">
        <v>0.25</v>
      </c>
      <c r="BB404" s="44">
        <v>1</v>
      </c>
      <c r="BC404" s="44">
        <f t="shared" si="654"/>
        <v>0.25</v>
      </c>
      <c r="BD404" s="44" cm="1">
        <f t="array" ref="BD404">_xlfn.IFS(AE404=0,"NA",AE404&gt;0,AH404/AE404)</f>
        <v>1</v>
      </c>
      <c r="BE404" s="44">
        <f t="shared" si="655"/>
        <v>0.25</v>
      </c>
      <c r="BF404" s="44">
        <v>0</v>
      </c>
      <c r="BG404" s="44">
        <f t="shared" si="656"/>
        <v>0.25</v>
      </c>
      <c r="BH404" s="44">
        <v>0</v>
      </c>
      <c r="BI404" s="44">
        <v>0</v>
      </c>
      <c r="BJ404" s="44" t="s">
        <v>115</v>
      </c>
      <c r="BK404" s="44">
        <f t="shared" si="633"/>
        <v>0.5</v>
      </c>
      <c r="BL404" s="44">
        <v>1</v>
      </c>
      <c r="BM404" s="42" cm="1">
        <f t="array" ref="BM404">_xlfn.IFS(BD404="NA","NA",BD404&gt;100%,"100%",BD404&lt;100,BD404)</f>
        <v>1</v>
      </c>
      <c r="BN404" s="44">
        <v>0</v>
      </c>
      <c r="BO404" s="44">
        <v>0</v>
      </c>
      <c r="BP404" s="44" t="s">
        <v>115</v>
      </c>
      <c r="BQ404" s="45">
        <v>0.224</v>
      </c>
      <c r="BR404" s="43">
        <f t="shared" si="634"/>
        <v>0.112</v>
      </c>
      <c r="BS404" s="45">
        <v>5.6000000000000001E-2</v>
      </c>
      <c r="BT404" s="45">
        <v>5.6000000000000001E-2</v>
      </c>
      <c r="BU404" s="45">
        <v>5.6000000000000001E-2</v>
      </c>
      <c r="BV404" s="45">
        <v>5.6000000000000001E-2</v>
      </c>
      <c r="BW404" s="43">
        <f t="shared" si="635"/>
        <v>5.6000000000000001E-2</v>
      </c>
      <c r="BX404" s="43">
        <f t="shared" si="636"/>
        <v>5.6000000000000001E-2</v>
      </c>
      <c r="BY404" s="45">
        <v>5.6000000000000001E-2</v>
      </c>
      <c r="BZ404" s="45">
        <v>0</v>
      </c>
      <c r="CA404" s="43">
        <f t="shared" si="637"/>
        <v>0</v>
      </c>
      <c r="CB404" s="45">
        <v>5.6000000000000001E-2</v>
      </c>
      <c r="CC404" s="45">
        <v>0</v>
      </c>
      <c r="CD404" s="45">
        <v>0</v>
      </c>
      <c r="CE404" s="45">
        <v>0</v>
      </c>
      <c r="CF404" s="45" t="s">
        <v>115</v>
      </c>
      <c r="CG404" s="45">
        <v>0</v>
      </c>
      <c r="CH404">
        <f t="shared" si="657"/>
        <v>1</v>
      </c>
      <c r="CI404">
        <f t="shared" si="658"/>
        <v>1</v>
      </c>
      <c r="CJ404">
        <f t="shared" si="659"/>
        <v>1</v>
      </c>
      <c r="CK404">
        <f t="shared" si="660"/>
        <v>1</v>
      </c>
      <c r="CL404">
        <f t="shared" si="661"/>
        <v>4</v>
      </c>
    </row>
    <row r="405" spans="1:90" ht="18" customHeight="1">
      <c r="A405" s="260" t="s">
        <v>98</v>
      </c>
      <c r="B405" s="260" t="s">
        <v>99</v>
      </c>
      <c r="C405" s="260" t="s">
        <v>2371</v>
      </c>
      <c r="D405" s="260" t="s">
        <v>2372</v>
      </c>
      <c r="E405" s="260" t="s">
        <v>2458</v>
      </c>
      <c r="F405" s="260" t="s">
        <v>2459</v>
      </c>
      <c r="G405" s="260" t="s">
        <v>2460</v>
      </c>
      <c r="H405" s="260" t="s">
        <v>2483</v>
      </c>
      <c r="I405" s="260"/>
      <c r="J405" s="260"/>
      <c r="K405" s="260" t="s">
        <v>2484</v>
      </c>
      <c r="L405" s="260" t="s">
        <v>2485</v>
      </c>
      <c r="M405" s="260" t="s">
        <v>2486</v>
      </c>
      <c r="N405" s="260" t="s">
        <v>123</v>
      </c>
      <c r="O405" s="260" t="s">
        <v>124</v>
      </c>
      <c r="P405" s="10">
        <v>100</v>
      </c>
      <c r="Q405" s="11">
        <v>100</v>
      </c>
      <c r="R405" s="11">
        <f t="shared" si="652"/>
        <v>47.5</v>
      </c>
      <c r="S405" s="9" t="str">
        <f>VLOOKUP(K405,'1197 Salud'!$K$13:$AK$54,9,0)</f>
        <v>Se realizó adición a los convenios de apalancamiento de los hospitales de: san juan de rio seco: ese hospital san vicente de paul de san juan de rioseco, medina: ese hospital nuestra sra del pilar de medinay puerto salgar: ese hospital diogenes troncoso de puerto salgar asi mismo se apalancaron financieramente anolaima: e.s.e ,hospital san antonio de anolaima,villeta: e.s.e hospital salazar de villeta,arbelaez: e.s.e hospital san antonio de arbelaez,tocaima ese hospital marco felipe afanador de tocaima, la palma :e.s.e hospital san jose de la palma, sasaima: e.s.e hospital hilarlo lugo,vergara:e.s.e hospital santa barbara de vergara, viota :el hospital san francisco de viota,tabio: e.s.e hospital nuestra señora de tabio,sesquile: empresa social del estado hospital san antonio de sesquile, silvania: e.s.e hospital ismael silva de silvania ,san antonio de tequendama:e.s.e. hospital san antonio del tequendama .samaritana zipaquira: e.s.e hospital universitario de la samaritana en la operación del nuevo hospital regional de zipaquirá,se realizó apalancamiento a las 53 E.S.E.s del departamento mediante transferencia de la resolución 970 del 27 de marzo del 2020, con el fin de mitigar en las E.S.E.s el efecto del covid 19, atendiendo la emergencia presentada por la pandemia y se realizo aplancamiento a  la EAPB CONVIDA y las 53 E.S.E.s del departamento para contribuir en el fortalecimiento, mejoramiento y cumplimiento para la prestación de servicios de salud a su cargo impactando en la calidad de los servicios a la población cundinamarquesa.se realizo apalancamiento financiero a ESE HOSPITAL MARIO GAITAN YANGUAS DE SOACHA, ESE HOSPITAL SAN VICENTE DE PAUL DE FOMEQUE.,ESE HOSPITAL MARCO FELIPE AFANADOR DE TOCAIMA,ESE HOSPITAL SAN VICENTE DE PAUL DE SAN JUAN DE RIOSECO,ESE HOSPITAL NUESTRA SEÑORA DEL ROSARIO DE SUESCA,ESE HOSPITAL SAN ANTONIO DE CHIA,ESE HOSPITAL DIOGENES TRONCOSO DE PUERTO SALGAR,ESE NUESTRA SEÑORA DEL PILAR DE MEDINA,ESE HOSPITAL SAN FRANCISCO DE SALES,ESE HOSPITAL SAN ANTONIO DEL TEQUENDAMA,ESE HOSPITAL SAN MARTIN DE PORRES DE CHOCONTA,ESE HOSPITAL  SAN ANTONIO DE SESQUILE,ES,E HOSPITAL SAN ANTONIO DE ANOLAIMA,ESE HOSPITAL UNIVERSITARIO DE LA SAMARITANA,ESE HOSPITAL SANTA MATILDE DE MADRID,ESE HOSPITAL SANTA ROSA DE TENJO,ESE HOSPITAL SAN RAFAEL DE FACATATIVA ,ESE HOSPITAL SAN FRANCISCO DE VIOTA,ESE HOSPITAL SAN RAFAEL DE PACHO,ESE HOSPITAL SAN JOSE DE LA PALMA,ESE HOSPITAL SALAZAR DE VILLETA,ESE HOSPITAL SAN JOSE DE GUACHETA,ESE HOSPITAL MERCEDES TELLEZ DE PRADILLA VIANI,,ESE HOSPITAL HABACUC CALDERON DEL CARMEN DE CARUPA,ESE HOSPITAL EL SALVADOR DE UBATE,ESE SAN ANTONIO DE GUATAVITA,ESE CENTRO DE SALUD SAN JOSE DE NIMAIMA,ESE HOSPITAL SAN RAFAEL DE CAQUEZA,ESE HOSPITAL NUESTRA SEÑORA DE LAS MERCEDES DEL MUNICIPIO DE FUNZA,ESE HOSPITAL SAN VICENTE DE PAUL DE FOMEQUE,ESE NUESTRA SEÑORA DEL CARMEN DEL COLEGIO,ESE CENTRO DE SALUD CUCUNUBA ,ESE HOSPITAL HILARIO LUGO DE SASAIMA,ESE HOSPITAL ISMAEL SILVA DE SILVANIA,ESE CENTRO DE SALUD RICAURTE,ESE HOSPITAL CAYETANO MARIA ROJAS DEL MUNICIPIO DEL PEÑON,ESE HOSPITAL SAN MARTIN DE PORRES DE CHOCONTA,ESE NUESTRA SEÑORA DEL CARMEN DEL COLEGIO,ESE HOSPITAL DIVINO SALVADOR DE SOPO,ESE HOSPITAL SAN RAFAEL DE FACATATIVA ,ESE HOSPITAL SALAZAR DE VILLETA,ESE HOSPITAL LA VEGA, ESES HOSPITAL MARIA AUXILIADORA DE MOSQUERA,ESE HOSPITAL SAN FRANCISCO DE GACHETA,ESE HOSPITAL SAN FRANCISCO DE VIOTA,ESE HOSPITAL SAN RAFAEL DE CAQUEZA,ESE HOSPITAL SAN FRANCISCO DE SALES,ESE HOSPITAL SALAZAR DE VILLETA,ESE NUESTRA SEÑORA DEL PILAR DE MEDINA,ESE HOSPITAL SANTA BARBARA DE VERGARA,ESE HOSPITAL DIOGENES TRONCOSO DE PUERTO SALGAR,ESE HOSPITAL SANTA ROSA DE TENJO</v>
      </c>
      <c r="T405" s="11">
        <v>0</v>
      </c>
      <c r="U405" s="11">
        <v>100</v>
      </c>
      <c r="V405" s="11">
        <v>0</v>
      </c>
      <c r="W405" s="11">
        <v>100</v>
      </c>
      <c r="X405" s="11" t="s">
        <v>115</v>
      </c>
      <c r="Y405" s="11">
        <v>100</v>
      </c>
      <c r="Z405" s="11">
        <v>100</v>
      </c>
      <c r="AA405" s="11" t="s">
        <v>2486</v>
      </c>
      <c r="AB405" s="11" t="s">
        <v>2487</v>
      </c>
      <c r="AC405" s="11" t="s">
        <v>2488</v>
      </c>
      <c r="AD405" s="11">
        <v>0</v>
      </c>
      <c r="AE405" s="11">
        <v>100</v>
      </c>
      <c r="AF405" s="9">
        <f>VLOOKUP(K405,'1197 Salud'!$K$13:$AK$54,22,0)</f>
        <v>0</v>
      </c>
      <c r="AG405" s="9">
        <f>VLOOKUP(K405,'1197 Salud'!$K$13:$AK$54,23,0)</f>
        <v>90</v>
      </c>
      <c r="AH405" s="11">
        <f t="shared" si="653"/>
        <v>90</v>
      </c>
      <c r="AI405" s="9" t="str">
        <f>VLOOKUP(K405,'1197 Salud'!$K$13:$AK$54,25,0)</f>
        <v>ESE apalancadas - EAPB apalancada</v>
      </c>
      <c r="AJ405" s="9" t="str">
        <f>VLOOKUP(K405,'1197 Salud'!$K$13:$AK$54,26,0)</f>
        <v>se realizo apalancamiento financiero a ESE HOSPITAL MARIO GAITAN YANGUAS DE SOACHA, ESE HOSPITAL SAN VICENTE DE PAUL DE FOMEQUE.,ESE HOSPITAL MARCO FELIPE AFANADOR DE TOCAIMA,ESE HOSPITAL SAN VICENTE DE PAUL DE SAN JUAN DE RIOSECO,ESE HOSPITAL NUESTRA SEÑORA DEL ROSARIO DE SUESCA,ESE HOSPITAL SAN ANTONIO DE CHIA,ESE HOSPITAL DIOGENES TRONCOSO DE PUERTO SALGAR,ESE NUESTRA SEÑORA DEL PILAR DE MEDINA,ESE HOSPITAL SAN FRANCISCO DE SALES,ESE HOSPITAL SAN ANTONIO DEL TEQUENDAMA,ESE HOSPITAL SAN MARTIN DE PORRES DE CHOCONTA,ESE HOSPITAL  SAN ANTONIO DE SESQUILE,ES,E HOSPITAL SAN ANTONIO DE ANOLAIMA,ESE HOSPITAL UNIVERSITARIO DE LA SAMARITANA,ESE HOSPITAL SANTA MATILDE DE MADRID,ESE HOSPITAL SANTA ROSA DE TENJO,ESE HOSPITAL SAN RAFAEL DE FACATATIVA ,ESE HOSPITAL SAN FRANCISCO DE VIOTA,ESE HOSPITAL SAN RAFAEL DE PACHO,ESE HOSPITAL SAN JOSE DE LA PALMA,ESE HOSPITAL SALAZAR DE VILLETA,ESE HOSPITAL SAN JOSE DE GUACHETA,ESE HOSPITAL MERCEDES TELLEZ DE PRADILLA VIANI,ESE HOSPITAL HABACUC CALDERON DEL CARMEN DE CARUPA,ESE HOSPITAL EL SALVADOR DE UBATE,ESE SAN ANTONIO DE GUATAVITA,ESE CENTRO DE SALUD SAN JOSE DE NIMAIMA,ESE HOSPITAL SAN RAFAEL DE CAQUEZA,ESE HOSPITAL NUESTRA SEÑORA DE LAS MERCEDES DEL MUNICIPIO DE FUNZA,ESE HOSPITAL SAN VICENTE DE PAUL DE FOMEQUE,ESE NUESTRA SEÑORA DEL CARMEN DEL COLEGIO,ESE CENTRO DE SALUD CUCUNUBA ,ESE HOSPITAL HILARIO LUGO DE SASAIMA,ESE HOSPITAL ISMAEL SILVA DE SILVANIA,ESE CENTRO DE SALUD RICAURTE,ESE HOSPITAL CAYETANO MARIA ROJAS DEL MUNICIPIO DEL PEÑON,ESE HOSPITAL SAN MARTIN DE PORRES DE CHOCONTA,ESE NUESTRA SEÑORA DEL CARMEN DEL COLEGIO,ESE HOSPITAL DIVINO SALVADOR DE SOPO,ESE HOSPITAL SAN RAFAEL DE FACATATIVA ,ESE HOSPITAL SALAZAR DE VILLETA,ESE HOSPITAL LA VEGA, ESES HOSPITAL MARIA AUXILIADORA DE MOSQUERA,ESE HOSPITAL SAN FRANCISCO DE GACHETA,ESE HOSPITAL SAN FRANCISCO DE VIOTA,ESE HOSPITAL SAN RAFAEL DE CAQUEZA,ESE HOSPITAL SAN FRANCISCO DE SALES,ESE HOSPITAL SALAZAR DE VILLETA,ESE NUESTRA SEÑORA DEL PILAR DE MEDINA,ESE HOSPITAL SANTA BARBARA DE VERGARA,ESE HOSPITAL DIOGENES TRONCOSO DE PUERTO SALGAR,ESE HOSPITAL SANTA ROSA DE TENJO,:   ESE HOSPITAL SAN ANTONIO DE SESQUILE,ESE HOSPITAL NUESTRA SRA DEL PILAR DE MEDINA,ESE HOSPITAL SAN ANTONIO DE ANOLAIMA,ESE HOSPITAL SAN ANTONIO DEL TEQUENDAMA,ESE HOSPITAL SAN FRANCISCO DE VIOTA,EMPRESA SOCIAL DEL ESTADO DEL MUNICIPIO DE MOSQUERA,ESE HOSPITAL NUESTRA SRA DE LAS MERCEDES DE FUNZA,ESE HOSPITAL SANTA MATILDE DE MADRID ,ESE HOSPITAL SAN VICENTE DE PAUL DE NEMOCON ,ESE HOSPITAL DIVINO SALVADOR DE SOPÓ,ESE HOSPITAL PEDRO LEON ALVAREZ DIAZ DE LA MESA,ESE HOSPITAL SAN RAFAEL DE PACHO,ESE HOSPITAL EL SALVADOR DE UBATE,ESE HOSPITAL SAN RAFAEL DE FUSAGASUGÁ,ESE HOSPITAL UNIVERSITARIO DE LA SAMARITANA ,ESE HOSPITAL DE LA VEGA 
ESE CENTRO DE SALUD DE FOSCA
ESE CENTRO DE SALUD DE TAUSA
ESE HOSPITAL NUESTRA SENORA DEL ROSARIO DE SUESCA 
ESE CENTRO DE SALUD TIMOTEO REYES DE UNE
ESE HOSPITAL REGIONAL DE ZIPAQUIRÁ – SAMARITANA</v>
      </c>
      <c r="AK405" s="9" t="str">
        <f>VLOOKUP(K405,'1197 Salud'!$K$13:$AK$54,27,0)</f>
        <v>bajo recaudo en los fondos con que se realiza el apalancamiento financiero a la ESE que conforman la red publica del departamento .</v>
      </c>
      <c r="AL405" s="11">
        <v>0</v>
      </c>
      <c r="AM405" s="11">
        <v>100</v>
      </c>
      <c r="AN405" s="11">
        <v>0</v>
      </c>
      <c r="AO405" s="11">
        <v>100</v>
      </c>
      <c r="AP405" s="11">
        <v>0</v>
      </c>
      <c r="AQ405" s="11">
        <v>0</v>
      </c>
      <c r="AR405" s="51">
        <v>91451935307</v>
      </c>
      <c r="AS405" s="54">
        <v>0</v>
      </c>
      <c r="AT405" s="54">
        <f t="shared" si="632"/>
        <v>91451935307</v>
      </c>
      <c r="AU405" s="51">
        <v>75616497714</v>
      </c>
      <c r="AV405" s="89">
        <v>63594224161</v>
      </c>
      <c r="AY405" s="89">
        <v>764000000</v>
      </c>
      <c r="AZ405" s="44" cm="1">
        <f t="array" ref="AZ405">_xlfn.IFS((BA405=0),(BD405/CL405),(BA405&gt;0),((BB405+BD405)/CL405),(BE405&gt;0),((BB405+BD405+BE405)/CL405),(BG405&gt;0),((BB405+BD405+BE405+G405)/CL405))</f>
        <v>0.47499999999999998</v>
      </c>
      <c r="BA405" s="44">
        <v>0.25</v>
      </c>
      <c r="BB405" s="44">
        <v>1</v>
      </c>
      <c r="BC405" s="44">
        <f t="shared" si="654"/>
        <v>0.25</v>
      </c>
      <c r="BD405" s="44" cm="1">
        <f t="array" ref="BD405">_xlfn.IFS(AE405=0,"NA",AE405&gt;0,AH405/AE405)</f>
        <v>0.9</v>
      </c>
      <c r="BE405" s="44">
        <f t="shared" si="655"/>
        <v>0.25</v>
      </c>
      <c r="BF405" s="44">
        <v>0</v>
      </c>
      <c r="BG405" s="44">
        <f t="shared" si="656"/>
        <v>0.25</v>
      </c>
      <c r="BH405" s="44">
        <v>0</v>
      </c>
      <c r="BI405" s="44">
        <v>0</v>
      </c>
      <c r="BJ405" s="44" t="s">
        <v>115</v>
      </c>
      <c r="BK405" s="44">
        <f t="shared" si="633"/>
        <v>0.47499999999999998</v>
      </c>
      <c r="BL405" s="44">
        <v>1</v>
      </c>
      <c r="BM405" s="42" cm="1">
        <f t="array" ref="BM405">_xlfn.IFS(BD405="NA","NA",BD405&gt;100%,"100%",BD405&lt;100,BD405)</f>
        <v>0.9</v>
      </c>
      <c r="BN405" s="44">
        <v>0</v>
      </c>
      <c r="BO405" s="44">
        <v>0</v>
      </c>
      <c r="BP405" s="44" t="s">
        <v>115</v>
      </c>
      <c r="BQ405" s="45">
        <v>0.224</v>
      </c>
      <c r="BR405" s="43">
        <f t="shared" si="634"/>
        <v>0.10639999999999999</v>
      </c>
      <c r="BS405" s="45">
        <v>5.6000000000000001E-2</v>
      </c>
      <c r="BT405" s="45">
        <v>5.6000000000000001E-2</v>
      </c>
      <c r="BU405" s="45">
        <v>5.6000000000000001E-2</v>
      </c>
      <c r="BV405" s="45">
        <v>5.6000000000000001E-2</v>
      </c>
      <c r="BW405" s="43">
        <f t="shared" si="635"/>
        <v>5.04E-2</v>
      </c>
      <c r="BX405" s="43">
        <f t="shared" si="636"/>
        <v>5.0399999999999993E-2</v>
      </c>
      <c r="BY405" s="45">
        <v>5.6000000000000001E-2</v>
      </c>
      <c r="BZ405" s="45">
        <v>0</v>
      </c>
      <c r="CA405" s="43">
        <f t="shared" si="637"/>
        <v>0</v>
      </c>
      <c r="CB405" s="45">
        <v>5.6000000000000001E-2</v>
      </c>
      <c r="CC405" s="45">
        <v>0</v>
      </c>
      <c r="CD405" s="45">
        <v>0</v>
      </c>
      <c r="CE405" s="45">
        <v>0</v>
      </c>
      <c r="CF405" s="45" t="s">
        <v>115</v>
      </c>
      <c r="CG405" s="45">
        <v>0</v>
      </c>
      <c r="CH405">
        <f t="shared" si="657"/>
        <v>1</v>
      </c>
      <c r="CI405">
        <f t="shared" si="658"/>
        <v>1</v>
      </c>
      <c r="CJ405">
        <f t="shared" si="659"/>
        <v>1</v>
      </c>
      <c r="CK405">
        <f t="shared" si="660"/>
        <v>1</v>
      </c>
      <c r="CL405">
        <f t="shared" si="661"/>
        <v>4</v>
      </c>
    </row>
    <row r="406" spans="1:90" ht="18" customHeight="1">
      <c r="A406" s="260" t="s">
        <v>98</v>
      </c>
      <c r="B406" s="260" t="s">
        <v>99</v>
      </c>
      <c r="C406" s="260" t="s">
        <v>2371</v>
      </c>
      <c r="D406" s="260" t="s">
        <v>2372</v>
      </c>
      <c r="E406" s="260" t="s">
        <v>2458</v>
      </c>
      <c r="F406" s="260" t="s">
        <v>2459</v>
      </c>
      <c r="G406" s="260" t="s">
        <v>2460</v>
      </c>
      <c r="H406" s="260" t="s">
        <v>2489</v>
      </c>
      <c r="I406" s="260" t="s">
        <v>106</v>
      </c>
      <c r="J406" s="260"/>
      <c r="K406" s="260" t="s">
        <v>2490</v>
      </c>
      <c r="L406" s="260" t="s">
        <v>2491</v>
      </c>
      <c r="M406" s="260" t="s">
        <v>2492</v>
      </c>
      <c r="N406" s="260" t="s">
        <v>123</v>
      </c>
      <c r="O406" s="260" t="s">
        <v>124</v>
      </c>
      <c r="P406" s="10">
        <v>100</v>
      </c>
      <c r="Q406" s="11">
        <v>100</v>
      </c>
      <c r="R406" s="11">
        <f t="shared" si="652"/>
        <v>46.25</v>
      </c>
      <c r="S406" s="9" t="str">
        <f>VLOOKUP(K406,'1197 Salud'!$K$13:$AK$54,9,0)</f>
        <v xml:space="preserve">Mediante las trasferencias de ley realizadas a los tribunales de ética médica, odontológica y enfermería aportamos al cumplimiento de los objetivos propuestos así mismo con las transferencias al hospital universitario de la samaritana y Colciencias para realizar mejores labores en contratos de prestación de servicios como apoyo a la gestión administrativa y financiera de la secretaria de salud </v>
      </c>
      <c r="T406" s="11">
        <v>0</v>
      </c>
      <c r="U406" s="11">
        <v>100</v>
      </c>
      <c r="V406" s="11">
        <v>0</v>
      </c>
      <c r="W406" s="11">
        <v>100</v>
      </c>
      <c r="X406" s="11" t="s">
        <v>115</v>
      </c>
      <c r="Y406" s="11">
        <v>100</v>
      </c>
      <c r="Z406" s="11">
        <v>100</v>
      </c>
      <c r="AA406" s="11" t="s">
        <v>2492</v>
      </c>
      <c r="AB406" s="11" t="s">
        <v>2493</v>
      </c>
      <c r="AC406" s="11" t="s">
        <v>2494</v>
      </c>
      <c r="AD406" s="11">
        <v>0</v>
      </c>
      <c r="AE406" s="11">
        <v>100</v>
      </c>
      <c r="AF406" s="9">
        <f>VLOOKUP(K406,'1197 Salud'!$K$13:$AK$54,22,0)</f>
        <v>0</v>
      </c>
      <c r="AG406" s="9">
        <f>VLOOKUP(K406,'1197 Salud'!$K$13:$AK$54,23,0)</f>
        <v>85</v>
      </c>
      <c r="AH406" s="11">
        <f t="shared" si="653"/>
        <v>85</v>
      </c>
      <c r="AI406" s="9" t="str">
        <f>VLOOKUP(K406,'1197 Salud'!$K$13:$AK$54,25,0)</f>
        <v>ESE con apoyo administrativo y financiero</v>
      </c>
      <c r="AJ406" s="9" t="str">
        <f>VLOOKUP(K406,'1197 Salud'!$K$13:$AK$54,26,0)</f>
        <v>Mediante las trasferencias de ley realizadas a los tribunales de ética médica, odontológica y enfermería aportamos al cumplimiento de los objetivos propuestos así mismo con las transferencias al hospital universitario de la samaritana y Colciencias; ademas se realizaron 39 contratos de prestación de servicios como apoyo a la gestión administrativa y financiera de la secretaria de salud y se realizo adición al convenio No.682 de 2020, para dar continuidad a  la interventoria en terminos de ley  al Contrato de Concesión No.002 de 2003</v>
      </c>
      <c r="AK406" s="9" t="str">
        <f>VLOOKUP(K406,'1197 Salud'!$K$13:$AK$54,27,0)</f>
        <v>se encontraba en recodificacion ante secretaria de hacienda , ya se solicito el respectivo precontractual , para realizar resoluciones.</v>
      </c>
      <c r="AL406" s="11">
        <v>0</v>
      </c>
      <c r="AM406" s="11">
        <v>100</v>
      </c>
      <c r="AN406" s="11">
        <v>0</v>
      </c>
      <c r="AO406" s="11">
        <v>100</v>
      </c>
      <c r="AP406" s="11">
        <v>0</v>
      </c>
      <c r="AQ406" s="11">
        <v>0</v>
      </c>
      <c r="AR406" s="51">
        <v>5424918697</v>
      </c>
      <c r="AS406" s="54">
        <v>0</v>
      </c>
      <c r="AT406" s="54">
        <f t="shared" si="632"/>
        <v>5424918697</v>
      </c>
      <c r="AU406" s="51">
        <v>3609717801</v>
      </c>
      <c r="AV406" s="89">
        <v>11885411688</v>
      </c>
      <c r="AY406" s="89">
        <v>1618093727</v>
      </c>
      <c r="AZ406" s="44" cm="1">
        <f t="array" ref="AZ406">_xlfn.IFS((BA406=0),(BD406/CL406),(BA406&gt;0),((BB406+BD406)/CL406),(BE406&gt;0),((BB406+BD406+BE406)/CL406),(BG406&gt;0),((BB406+BD406+BE406+G406)/CL406))</f>
        <v>0.46250000000000002</v>
      </c>
      <c r="BA406" s="44">
        <v>0.25</v>
      </c>
      <c r="BB406" s="44">
        <v>1</v>
      </c>
      <c r="BC406" s="44">
        <f t="shared" si="654"/>
        <v>0.25</v>
      </c>
      <c r="BD406" s="44" cm="1">
        <f t="array" ref="BD406">_xlfn.IFS(AE406=0,"NA",AE406&gt;0,AH406/AE406)</f>
        <v>0.85</v>
      </c>
      <c r="BE406" s="44">
        <f t="shared" si="655"/>
        <v>0.25</v>
      </c>
      <c r="BF406" s="44">
        <v>0</v>
      </c>
      <c r="BG406" s="44">
        <f t="shared" si="656"/>
        <v>0.25</v>
      </c>
      <c r="BH406" s="44">
        <v>0</v>
      </c>
      <c r="BI406" s="44">
        <v>0</v>
      </c>
      <c r="BJ406" s="44" t="s">
        <v>115</v>
      </c>
      <c r="BK406" s="44">
        <f t="shared" si="633"/>
        <v>0.46250000000000002</v>
      </c>
      <c r="BL406" s="44">
        <v>1</v>
      </c>
      <c r="BM406" s="42" cm="1">
        <f t="array" ref="BM406">_xlfn.IFS(BD406="NA","NA",BD406&gt;100%,"100%",BD406&lt;100,BD406)</f>
        <v>0.85</v>
      </c>
      <c r="BN406" s="44">
        <v>0</v>
      </c>
      <c r="BO406" s="44">
        <v>0</v>
      </c>
      <c r="BP406" s="44" t="s">
        <v>115</v>
      </c>
      <c r="BQ406" s="45">
        <v>0.224</v>
      </c>
      <c r="BR406" s="43">
        <f t="shared" si="634"/>
        <v>0.10360000000000001</v>
      </c>
      <c r="BS406" s="45">
        <v>5.6000000000000001E-2</v>
      </c>
      <c r="BT406" s="45">
        <v>5.6000000000000001E-2</v>
      </c>
      <c r="BU406" s="45">
        <v>5.6000000000000001E-2</v>
      </c>
      <c r="BV406" s="45">
        <v>5.6000000000000001E-2</v>
      </c>
      <c r="BW406" s="43">
        <f t="shared" si="635"/>
        <v>4.7599999999999996E-2</v>
      </c>
      <c r="BX406" s="43">
        <f t="shared" si="636"/>
        <v>4.760000000000001E-2</v>
      </c>
      <c r="BY406" s="45">
        <v>5.6000000000000001E-2</v>
      </c>
      <c r="BZ406" s="45">
        <v>0</v>
      </c>
      <c r="CA406" s="43">
        <f t="shared" si="637"/>
        <v>0</v>
      </c>
      <c r="CB406" s="45">
        <v>5.6000000000000001E-2</v>
      </c>
      <c r="CC406" s="45">
        <v>0</v>
      </c>
      <c r="CD406" s="45">
        <v>0</v>
      </c>
      <c r="CE406" s="45">
        <v>0</v>
      </c>
      <c r="CF406" s="45" t="s">
        <v>115</v>
      </c>
      <c r="CG406" s="45">
        <v>0</v>
      </c>
      <c r="CH406">
        <f t="shared" si="657"/>
        <v>1</v>
      </c>
      <c r="CI406">
        <f t="shared" si="658"/>
        <v>1</v>
      </c>
      <c r="CJ406">
        <f t="shared" si="659"/>
        <v>1</v>
      </c>
      <c r="CK406">
        <f t="shared" si="660"/>
        <v>1</v>
      </c>
      <c r="CL406">
        <f t="shared" si="661"/>
        <v>4</v>
      </c>
    </row>
    <row r="407" spans="1:90" ht="18" customHeight="1">
      <c r="A407" s="260" t="s">
        <v>98</v>
      </c>
      <c r="B407" s="260" t="s">
        <v>99</v>
      </c>
      <c r="C407" s="260" t="s">
        <v>2371</v>
      </c>
      <c r="D407" s="260" t="s">
        <v>2372</v>
      </c>
      <c r="E407" s="260" t="s">
        <v>2458</v>
      </c>
      <c r="F407" s="260" t="s">
        <v>2459</v>
      </c>
      <c r="G407" s="260" t="s">
        <v>2460</v>
      </c>
      <c r="H407" s="260" t="s">
        <v>2495</v>
      </c>
      <c r="I407" s="260" t="s">
        <v>106</v>
      </c>
      <c r="J407" s="260"/>
      <c r="K407" s="260" t="s">
        <v>2496</v>
      </c>
      <c r="L407" s="260" t="s">
        <v>2497</v>
      </c>
      <c r="M407" s="260" t="s">
        <v>2498</v>
      </c>
      <c r="N407" s="260" t="s">
        <v>123</v>
      </c>
      <c r="O407" s="260" t="s">
        <v>124</v>
      </c>
      <c r="P407" s="10">
        <v>100</v>
      </c>
      <c r="Q407" s="11">
        <v>100</v>
      </c>
      <c r="R407" s="11">
        <f t="shared" si="652"/>
        <v>50</v>
      </c>
      <c r="S407" s="9" t="str">
        <f>VLOOKUP(K407,'1197 Salud'!$K$13:$AK$54,9,0)</f>
        <v>1. Se LOGRA que los 52  hospitales de la red pública departamental cuenten con la formulación y seguimiento al Plan Indicativo y POA hospitalario 2020 y 2021.
2. Se ALCANZA que los 116 Entes territoriales municipales cuenten con la formulación del PTS, COAI, PAS y seguimiento al PAS reportada al Ministerio de Salud y Protección Social  en la plataforma web GESTION PDSP.
3. Se CONSIGUE que dependencias de la Secretaria de Salud Departamental cuenten con los los lineamentos para la formulación, y seguimiento de los proyectos y presupuestos;  los formatos para el reporte del SPI y la focalización de la inversión y los lineamentos para el  seguimiento de los planes departamentales (plan indicativo, plan de acción y plan de coherencia) PDD y PTS.</v>
      </c>
      <c r="T407" s="11">
        <v>0</v>
      </c>
      <c r="U407" s="11">
        <v>100</v>
      </c>
      <c r="V407" s="11">
        <v>0</v>
      </c>
      <c r="W407" s="11">
        <v>100</v>
      </c>
      <c r="X407" s="11" t="s">
        <v>115</v>
      </c>
      <c r="Y407" s="11">
        <v>100</v>
      </c>
      <c r="Z407" s="11">
        <v>100</v>
      </c>
      <c r="AA407" s="11" t="s">
        <v>2498</v>
      </c>
      <c r="AB407" s="11" t="s">
        <v>2499</v>
      </c>
      <c r="AC407" s="11" t="s">
        <v>2500</v>
      </c>
      <c r="AD407" s="11">
        <v>0</v>
      </c>
      <c r="AE407" s="11">
        <v>100</v>
      </c>
      <c r="AF407" s="9">
        <f>VLOOKUP(K407,'1197 Salud'!$K$13:$AK$54,22,0)</f>
        <v>0</v>
      </c>
      <c r="AG407" s="9">
        <f>VLOOKUP(K407,'1197 Salud'!$K$13:$AK$54,23,0)</f>
        <v>100</v>
      </c>
      <c r="AH407" s="11">
        <f t="shared" si="653"/>
        <v>100</v>
      </c>
      <c r="AI407" s="9" t="str">
        <f>VLOOKUP(K407,'1197 Salud'!$K$13:$AK$54,25,0)</f>
        <v>Entidades asistidas</v>
      </c>
      <c r="AJ407" s="9" t="str">
        <f>VLOOKUP(K407,'1197 Salud'!$K$13:$AK$54,26,0)</f>
        <v>1. Se LOGRA realizar asistencia técnica a los hospitales de la red pública departamental en el seguimiento al POA 2020, formulación y seguimiento al Plan Indicativo y POA 2021.
2. Se ALCANZA por medio de la asistencia técnica que los 116 Entes territoriales municipales cuenten con la planeación operativa reportada al Ministerio de Salud y Protección Social  en la plataforma web GESTION PDSP.
3. Se CONSIGUE a través de la asistencia técnica a las dependencias de la Secretaria de Salud Departamental socializar los lineamentos para la formulación y seguimiento de los proyectos y presupuestos;  socialización de los formatos para el reporte del SPI y la focalización de la inversión y los lineamentos para el  seguimiento de los planes departamentales (plan indicativo, plan de acción y plan de coherencia) PDD y PTS.</v>
      </c>
      <c r="AK407" s="9" t="str">
        <f>VLOOKUP(K407,'1197 Salud'!$K$13:$AK$54,27,0)</f>
        <v>N/A</v>
      </c>
      <c r="AL407" s="11">
        <v>0</v>
      </c>
      <c r="AM407" s="11">
        <v>100</v>
      </c>
      <c r="AN407" s="11">
        <v>0</v>
      </c>
      <c r="AO407" s="11">
        <v>100</v>
      </c>
      <c r="AP407" s="11">
        <v>0</v>
      </c>
      <c r="AQ407" s="11">
        <v>0</v>
      </c>
      <c r="AR407" s="51">
        <v>119195398</v>
      </c>
      <c r="AS407" s="54">
        <v>0</v>
      </c>
      <c r="AT407" s="54">
        <f t="shared" si="632"/>
        <v>119195398</v>
      </c>
      <c r="AU407" s="51">
        <v>49354905</v>
      </c>
      <c r="AV407" s="89">
        <v>575895019</v>
      </c>
      <c r="AY407" s="89">
        <v>418590831</v>
      </c>
      <c r="AZ407" s="44" cm="1">
        <f t="array" ref="AZ407">_xlfn.IFS((BA407=0),(BD407/CL407),(BA407&gt;0),((BB407+BD407)/CL407),(BE407&gt;0),((BB407+BD407+BE407)/CL407),(BG407&gt;0),((BB407+BD407+BE407+G407)/CL407))</f>
        <v>0.5</v>
      </c>
      <c r="BA407" s="44">
        <v>0.25</v>
      </c>
      <c r="BB407" s="44">
        <v>1</v>
      </c>
      <c r="BC407" s="44">
        <f t="shared" si="654"/>
        <v>0.25</v>
      </c>
      <c r="BD407" s="44" cm="1">
        <f t="array" ref="BD407">_xlfn.IFS(AE407=0,"NA",AE407&gt;0,AH407/AE407)</f>
        <v>1</v>
      </c>
      <c r="BE407" s="44">
        <f t="shared" si="655"/>
        <v>0.25</v>
      </c>
      <c r="BF407" s="44">
        <v>0</v>
      </c>
      <c r="BG407" s="44">
        <f t="shared" si="656"/>
        <v>0.25</v>
      </c>
      <c r="BH407" s="44">
        <v>0</v>
      </c>
      <c r="BI407" s="44">
        <v>0</v>
      </c>
      <c r="BJ407" s="44" t="s">
        <v>115</v>
      </c>
      <c r="BK407" s="44">
        <f t="shared" si="633"/>
        <v>0.5</v>
      </c>
      <c r="BL407" s="44">
        <v>1</v>
      </c>
      <c r="BM407" s="42" cm="1">
        <f t="array" ref="BM407">_xlfn.IFS(BD407="NA","NA",BD407&gt;100%,"100%",BD407&lt;100,BD407)</f>
        <v>1</v>
      </c>
      <c r="BN407" s="44">
        <v>0</v>
      </c>
      <c r="BO407" s="44">
        <v>0</v>
      </c>
      <c r="BP407" s="44" t="s">
        <v>115</v>
      </c>
      <c r="BQ407" s="45">
        <v>0.224</v>
      </c>
      <c r="BR407" s="43">
        <f t="shared" si="634"/>
        <v>0.112</v>
      </c>
      <c r="BS407" s="45">
        <v>5.6000000000000001E-2</v>
      </c>
      <c r="BT407" s="45">
        <v>5.6000000000000001E-2</v>
      </c>
      <c r="BU407" s="45">
        <v>5.6000000000000001E-2</v>
      </c>
      <c r="BV407" s="45">
        <v>5.6000000000000001E-2</v>
      </c>
      <c r="BW407" s="43">
        <f t="shared" si="635"/>
        <v>5.6000000000000001E-2</v>
      </c>
      <c r="BX407" s="43">
        <f t="shared" si="636"/>
        <v>5.6000000000000001E-2</v>
      </c>
      <c r="BY407" s="45">
        <v>5.6000000000000001E-2</v>
      </c>
      <c r="BZ407" s="45">
        <v>0</v>
      </c>
      <c r="CA407" s="43">
        <f t="shared" si="637"/>
        <v>0</v>
      </c>
      <c r="CB407" s="45">
        <v>5.6000000000000001E-2</v>
      </c>
      <c r="CC407" s="45">
        <v>0</v>
      </c>
      <c r="CD407" s="45">
        <v>0</v>
      </c>
      <c r="CE407" s="45">
        <v>0</v>
      </c>
      <c r="CF407" s="45" t="s">
        <v>115</v>
      </c>
      <c r="CG407" s="45">
        <v>0</v>
      </c>
      <c r="CH407">
        <f t="shared" si="657"/>
        <v>1</v>
      </c>
      <c r="CI407">
        <f t="shared" si="658"/>
        <v>1</v>
      </c>
      <c r="CJ407">
        <f t="shared" si="659"/>
        <v>1</v>
      </c>
      <c r="CK407">
        <f t="shared" si="660"/>
        <v>1</v>
      </c>
      <c r="CL407">
        <f t="shared" si="661"/>
        <v>4</v>
      </c>
    </row>
    <row r="408" spans="1:90" ht="18" customHeight="1">
      <c r="A408" s="260" t="s">
        <v>98</v>
      </c>
      <c r="B408" s="260" t="s">
        <v>99</v>
      </c>
      <c r="C408" s="260" t="s">
        <v>2371</v>
      </c>
      <c r="D408" s="260" t="s">
        <v>2372</v>
      </c>
      <c r="E408" s="260" t="s">
        <v>2458</v>
      </c>
      <c r="F408" s="260" t="s">
        <v>2459</v>
      </c>
      <c r="G408" s="260" t="s">
        <v>2460</v>
      </c>
      <c r="H408" s="260" t="s">
        <v>2501</v>
      </c>
      <c r="I408" s="260" t="s">
        <v>106</v>
      </c>
      <c r="J408" s="260" t="s">
        <v>119</v>
      </c>
      <c r="K408" s="260" t="s">
        <v>2502</v>
      </c>
      <c r="L408" s="260" t="s">
        <v>2503</v>
      </c>
      <c r="M408" s="260" t="s">
        <v>2504</v>
      </c>
      <c r="N408" s="260" t="s">
        <v>111</v>
      </c>
      <c r="O408" s="260" t="s">
        <v>124</v>
      </c>
      <c r="P408" s="10">
        <v>116</v>
      </c>
      <c r="Q408" s="11">
        <v>116</v>
      </c>
      <c r="R408" s="11">
        <f t="shared" si="652"/>
        <v>58</v>
      </c>
      <c r="S408" s="9" t="str">
        <f>VLOOKUP(K408,'1197 Salud'!$K$13:$AK$54,9,0)</f>
        <v>Se logra cofinanciar la unidad de pago por capacitación del Régimen Subsidiado (UPC-S) en los 116 municipios del departamento con el fin de garantizar la afiliación de la población al régimen subsidiado y se efectuó seguimiento para promover acceso a los servicios de salud con oportunidad y calidad en garantizar que sean atendidos en su totalidad los requerimientos de prestación de servicios de tecnologías en salud no incluidos dentro del plan de beneficios solicitados por los usuarios a cargo del departamento.  Y con respecto con el registro contable de la LMA, se debe fortalecer los conceptos. Se propuso la realización de un piloto para avanzar con los secretarios de Hacienda y Contadores de los municipios.</v>
      </c>
      <c r="T408" s="11">
        <v>0</v>
      </c>
      <c r="U408" s="11">
        <v>116</v>
      </c>
      <c r="V408" s="11">
        <v>0</v>
      </c>
      <c r="W408" s="11">
        <v>116</v>
      </c>
      <c r="X408" s="11" t="s">
        <v>115</v>
      </c>
      <c r="Y408" s="11">
        <v>116</v>
      </c>
      <c r="Z408" s="11">
        <v>116</v>
      </c>
      <c r="AA408" s="11" t="s">
        <v>2505</v>
      </c>
      <c r="AB408" s="11" t="s">
        <v>2506</v>
      </c>
      <c r="AC408" s="11">
        <v>0</v>
      </c>
      <c r="AD408" s="11">
        <v>0</v>
      </c>
      <c r="AE408" s="11">
        <v>116</v>
      </c>
      <c r="AF408" s="9">
        <f>VLOOKUP(K408,'1197 Salud'!$K$13:$AK$54,22,0)</f>
        <v>0</v>
      </c>
      <c r="AG408" s="9">
        <f>VLOOKUP(K408,'1197 Salud'!$K$13:$AK$54,23,0)</f>
        <v>116</v>
      </c>
      <c r="AH408" s="11">
        <f t="shared" si="653"/>
        <v>116</v>
      </c>
      <c r="AI408" s="9" t="str">
        <f>VLOOKUP(K408,'1197 Salud'!$K$13:$AK$54,25,0)</f>
        <v>municipios cofinanciados</v>
      </c>
      <c r="AJ408" s="9" t="str">
        <f>VLOOKUP(K408,'1197 Salud'!$K$13:$AK$54,26,0)</f>
        <v>Se logra en los 116 municipios del departamento con el fin ha garantizado la participación en la cofinanciación de la Unidad de Pago por Capitación del régimen Subsidiado UPC-S, con la transferencia de los recursos a la Administradora de los Recursos del Sistema General de Seguridad Social en Salud – ADRES, permitiendo la garantía continuada sobre la afiliación al Régimen Subsidiado y el acceso a los diferentes programas de promoción y mantenimiento de la salud.</v>
      </c>
      <c r="AK408" s="9" t="str">
        <f>VLOOKUP(K408,'1197 Salud'!$K$13:$AK$54,27,0)</f>
        <v xml:space="preserve">Las dificultades se han presentado  para contabilizar los recursos sin situación de fondos lo que ha generado retrasos en la solicitud de los correspondientes registros presupuestales. Esta es una situación que por no depender de la Dirección de Aseguramiento se ha escalado a la Dirección Administrativa y financiera. </v>
      </c>
      <c r="AL408" s="11">
        <v>0</v>
      </c>
      <c r="AM408" s="11">
        <v>116</v>
      </c>
      <c r="AN408" s="11">
        <v>0</v>
      </c>
      <c r="AO408" s="11">
        <v>116</v>
      </c>
      <c r="AP408" s="11">
        <v>0</v>
      </c>
      <c r="AQ408" s="11">
        <v>0</v>
      </c>
      <c r="AR408" s="51">
        <v>129388909334</v>
      </c>
      <c r="AS408" s="54">
        <v>0</v>
      </c>
      <c r="AT408" s="54">
        <f t="shared" si="632"/>
        <v>129388909334</v>
      </c>
      <c r="AU408" s="51">
        <v>92462636594</v>
      </c>
      <c r="AV408" s="89">
        <v>152792649388</v>
      </c>
      <c r="AY408" s="89">
        <v>35236713875</v>
      </c>
      <c r="AZ408" s="44" cm="1">
        <f t="array" ref="AZ408">_xlfn.IFS((BA408=0),(BD408/CL408),(BA408&gt;0),((BB408+BD408)/CL408),(BE408&gt;0),((BB408+BD408+BE408)/CL408),(BG408&gt;0),((BB408+BD408+BE408+G408)/CL408))</f>
        <v>0.5</v>
      </c>
      <c r="BA408" s="44">
        <v>0.25</v>
      </c>
      <c r="BB408" s="44">
        <v>1</v>
      </c>
      <c r="BC408" s="44">
        <f t="shared" si="654"/>
        <v>0.25</v>
      </c>
      <c r="BD408" s="44" cm="1">
        <f t="array" ref="BD408">_xlfn.IFS(AE408=0,"NA",AE408&gt;0,AH408/AE408)</f>
        <v>1</v>
      </c>
      <c r="BE408" s="44">
        <f t="shared" si="655"/>
        <v>0.25</v>
      </c>
      <c r="BF408" s="44">
        <v>0</v>
      </c>
      <c r="BG408" s="44">
        <f t="shared" si="656"/>
        <v>0.25</v>
      </c>
      <c r="BH408" s="44">
        <v>0</v>
      </c>
      <c r="BI408" s="44">
        <v>0</v>
      </c>
      <c r="BJ408" s="44" t="s">
        <v>115</v>
      </c>
      <c r="BK408" s="44">
        <f t="shared" si="633"/>
        <v>0.5</v>
      </c>
      <c r="BL408" s="44">
        <v>1</v>
      </c>
      <c r="BM408" s="42" cm="1">
        <f t="array" ref="BM408">_xlfn.IFS(BD408="NA","NA",BD408&gt;100%,"100%",BD408&lt;100,BD408)</f>
        <v>1</v>
      </c>
      <c r="BN408" s="44">
        <v>0</v>
      </c>
      <c r="BO408" s="44">
        <v>0</v>
      </c>
      <c r="BP408" s="44" t="s">
        <v>115</v>
      </c>
      <c r="BQ408" s="45">
        <v>0.224</v>
      </c>
      <c r="BR408" s="43">
        <f t="shared" si="634"/>
        <v>0.112</v>
      </c>
      <c r="BS408" s="45">
        <v>5.6000000000000001E-2</v>
      </c>
      <c r="BT408" s="45">
        <v>5.6000000000000001E-2</v>
      </c>
      <c r="BU408" s="45">
        <v>5.6000000000000001E-2</v>
      </c>
      <c r="BV408" s="45">
        <v>5.6000000000000001E-2</v>
      </c>
      <c r="BW408" s="43">
        <f t="shared" si="635"/>
        <v>5.6000000000000001E-2</v>
      </c>
      <c r="BX408" s="43">
        <f t="shared" si="636"/>
        <v>5.6000000000000001E-2</v>
      </c>
      <c r="BY408" s="45">
        <v>5.6000000000000001E-2</v>
      </c>
      <c r="BZ408" s="45">
        <v>0</v>
      </c>
      <c r="CA408" s="43">
        <f t="shared" si="637"/>
        <v>0</v>
      </c>
      <c r="CB408" s="45">
        <v>5.6000000000000001E-2</v>
      </c>
      <c r="CC408" s="45">
        <v>0</v>
      </c>
      <c r="CD408" s="45">
        <v>0</v>
      </c>
      <c r="CE408" s="45">
        <v>0</v>
      </c>
      <c r="CF408" s="45" t="s">
        <v>115</v>
      </c>
      <c r="CG408" s="45">
        <v>0</v>
      </c>
      <c r="CH408">
        <f t="shared" si="657"/>
        <v>1</v>
      </c>
      <c r="CI408">
        <f t="shared" si="658"/>
        <v>1</v>
      </c>
      <c r="CJ408">
        <f t="shared" si="659"/>
        <v>1</v>
      </c>
      <c r="CK408">
        <f t="shared" si="660"/>
        <v>1</v>
      </c>
      <c r="CL408">
        <f t="shared" si="661"/>
        <v>4</v>
      </c>
    </row>
    <row r="409" spans="1:90" ht="18" customHeight="1">
      <c r="A409" s="260" t="s">
        <v>2437</v>
      </c>
      <c r="B409" s="260" t="s">
        <v>2438</v>
      </c>
      <c r="C409" s="260" t="s">
        <v>2371</v>
      </c>
      <c r="D409" s="260" t="s">
        <v>2372</v>
      </c>
      <c r="E409" s="260" t="s">
        <v>2458</v>
      </c>
      <c r="F409" s="260" t="s">
        <v>2459</v>
      </c>
      <c r="G409" s="260" t="s">
        <v>2460</v>
      </c>
      <c r="H409" s="260" t="s">
        <v>2507</v>
      </c>
      <c r="I409" s="260"/>
      <c r="J409" s="260"/>
      <c r="K409" s="260" t="s">
        <v>2508</v>
      </c>
      <c r="L409" s="260" t="s">
        <v>2509</v>
      </c>
      <c r="M409" s="260" t="s">
        <v>2510</v>
      </c>
      <c r="N409" s="260" t="s">
        <v>111</v>
      </c>
      <c r="O409" s="260" t="s">
        <v>112</v>
      </c>
      <c r="P409" s="10">
        <v>10</v>
      </c>
      <c r="Q409" s="11">
        <v>6</v>
      </c>
      <c r="R409" s="9">
        <f t="shared" ref="R409:R410" si="662">Z409+AH409</f>
        <v>2</v>
      </c>
      <c r="S409" s="11">
        <f>VLOOKUP(K409,'1103 General'!$K$13:$S$21,9,0)</f>
        <v>0</v>
      </c>
      <c r="T409" s="11">
        <v>0</v>
      </c>
      <c r="U409" s="11">
        <v>0</v>
      </c>
      <c r="V409" s="11">
        <v>0</v>
      </c>
      <c r="W409" s="11">
        <v>0</v>
      </c>
      <c r="X409" s="11">
        <v>0</v>
      </c>
      <c r="Y409" s="11">
        <v>0</v>
      </c>
      <c r="Z409" s="11">
        <v>0</v>
      </c>
      <c r="AA409" s="11"/>
      <c r="AB409" s="11"/>
      <c r="AC409" s="11"/>
      <c r="AD409" s="11">
        <v>4</v>
      </c>
      <c r="AE409" s="11">
        <v>0</v>
      </c>
      <c r="AF409" s="11">
        <f>VLOOKUP(K409,'1103 General'!$K$13:$AK$21,22,0)</f>
        <v>2</v>
      </c>
      <c r="AG409" s="11">
        <f>VLOOKUP(K409,'1103 General'!$K$13:$AK$21,23,0)</f>
        <v>0</v>
      </c>
      <c r="AH409" s="9">
        <f t="shared" ref="AH409:AH410" si="663">AF409</f>
        <v>2</v>
      </c>
      <c r="AI409" s="9" t="str">
        <f>VLOOKUP(K409,'1103 General'!$K$13:$AK$21,25,0)</f>
        <v xml:space="preserve">bienes muebles adecuados </v>
      </c>
      <c r="AJ409" s="9" t="str">
        <f>VLOOKUP(K409,'1103 General'!$K$13:$AK$21,26,0)</f>
        <v xml:space="preserve">Se ha realizado a la fecha la adecuación de dos bienes inmuebles piso 9 y unidad administrativa especial de gestión del riesgo </v>
      </c>
      <c r="AK409" s="9">
        <f>VLOOKUP(K409,'1103 General'!$K$13:$AK$21,27,0)</f>
        <v>0</v>
      </c>
      <c r="AL409" s="11">
        <v>0</v>
      </c>
      <c r="AM409" s="11">
        <v>0</v>
      </c>
      <c r="AN409" s="11">
        <v>2</v>
      </c>
      <c r="AO409" s="11">
        <v>0</v>
      </c>
      <c r="AP409" s="11">
        <v>0</v>
      </c>
      <c r="AQ409" s="11">
        <v>0</v>
      </c>
      <c r="AR409" s="51">
        <v>400000000</v>
      </c>
      <c r="AS409" s="54">
        <v>-400000000</v>
      </c>
      <c r="AT409" s="54">
        <f t="shared" si="632"/>
        <v>0</v>
      </c>
      <c r="AU409" s="51">
        <v>400000000</v>
      </c>
      <c r="AV409" s="89">
        <v>3719923742</v>
      </c>
      <c r="AY409" s="89">
        <v>3719613178</v>
      </c>
      <c r="AZ409" s="42">
        <f t="shared" ref="AZ409:AZ410" si="664">R409/Q409</f>
        <v>0.33333333333333331</v>
      </c>
      <c r="BA409" s="44">
        <v>0</v>
      </c>
      <c r="BB409" s="44" t="s">
        <v>115</v>
      </c>
      <c r="BC409" s="42">
        <f t="shared" ref="BC409:BC410" si="665">AD409/Q409</f>
        <v>0.66666666666666663</v>
      </c>
      <c r="BD409" s="42" cm="1">
        <f t="array" ref="BD409">_xlfn.IFS(AD409=0,"NA",AD409&gt;0,AH409/AD409)</f>
        <v>0.5</v>
      </c>
      <c r="BE409" s="42">
        <f t="shared" ref="BE409:BE410" si="666">AL409/Q409</f>
        <v>0</v>
      </c>
      <c r="BF409" s="44">
        <v>0</v>
      </c>
      <c r="BG409" s="42">
        <f t="shared" ref="BG409:BG410" si="667">AN409/Q409</f>
        <v>0.33333333333333331</v>
      </c>
      <c r="BH409" s="44">
        <v>0</v>
      </c>
      <c r="BI409" s="42">
        <f t="shared" ref="BI409:BI410" si="668">AP409/Q409</f>
        <v>0</v>
      </c>
      <c r="BJ409" s="44" t="s">
        <v>115</v>
      </c>
      <c r="BK409" s="42">
        <f t="shared" si="633"/>
        <v>0.33333333333333331</v>
      </c>
      <c r="BL409" s="44" t="s">
        <v>115</v>
      </c>
      <c r="BM409" s="42" cm="1">
        <f t="array" ref="BM409">_xlfn.IFS(BD409="NA","NA",BD409&gt;100%,"100%",BD409&lt;100,BD409)</f>
        <v>0.5</v>
      </c>
      <c r="BN409" s="42" cm="1">
        <f t="array" ref="BN409">_xlfn.IFS(BF409="NA","NA",BF409&gt;100%,"100%",BF409&lt;100,BF409)</f>
        <v>0</v>
      </c>
      <c r="BO409" s="42" cm="1">
        <f t="array" ref="BO409">_xlfn.IFS(BH409="NA","NA",BH409&gt;100%,"100%",BH409&lt;100,BH409)</f>
        <v>0</v>
      </c>
      <c r="BP409" s="42" t="str" cm="1">
        <f t="array" ref="BP409">_xlfn.IFS(BJ409="NA","NA",BJ409&gt;100%,"100%",BJ409&lt;100,BJ409)</f>
        <v>NA</v>
      </c>
      <c r="BQ409" s="45">
        <v>0.224</v>
      </c>
      <c r="BR409" s="43">
        <f t="shared" si="634"/>
        <v>7.4666666666666659E-2</v>
      </c>
      <c r="BS409" s="45">
        <v>0</v>
      </c>
      <c r="BT409" s="45" t="s">
        <v>115</v>
      </c>
      <c r="BU409" s="45">
        <v>0</v>
      </c>
      <c r="BV409" s="43">
        <f t="shared" ref="BV409:BV410" si="669">(AD409*BQ409)/Q409</f>
        <v>0.14933333333333335</v>
      </c>
      <c r="BW409" s="43">
        <f t="shared" si="635"/>
        <v>7.4666666666666673E-2</v>
      </c>
      <c r="BX409" s="43">
        <f t="shared" si="636"/>
        <v>7.4666666666666659E-2</v>
      </c>
      <c r="BY409" s="43">
        <f t="shared" ref="BY409:BY410" si="670">(AL409*BQ409)/Q409</f>
        <v>0</v>
      </c>
      <c r="BZ409" s="43">
        <f t="shared" ref="BZ409:BZ410" si="671">IF(BN409="NA","NA",BN409*BY409)</f>
        <v>0</v>
      </c>
      <c r="CA409" s="43">
        <f t="shared" si="637"/>
        <v>0</v>
      </c>
      <c r="CB409" s="43">
        <f t="shared" ref="CB409:CB410" si="672">(AN409*BQ409)/Q409</f>
        <v>7.4666666666666673E-2</v>
      </c>
      <c r="CC409" s="43">
        <f t="shared" ref="CC409:CC410" si="673">IF(BO409="NA","NA",BO409*CB409)</f>
        <v>0</v>
      </c>
      <c r="CD409" s="45">
        <v>0</v>
      </c>
      <c r="CE409" s="43">
        <f t="shared" ref="CE409:CE410" si="674">(AP409*BQ409)/Q409</f>
        <v>0</v>
      </c>
      <c r="CF409" s="43" t="str">
        <f t="shared" ref="CF409:CF410" si="675">IF(BP409="NA","NA",BP409*CE409)</f>
        <v>NA</v>
      </c>
      <c r="CG409" s="45">
        <v>0</v>
      </c>
    </row>
    <row r="410" spans="1:90" ht="18" customHeight="1">
      <c r="A410" s="260" t="s">
        <v>2437</v>
      </c>
      <c r="B410" s="260" t="s">
        <v>2438</v>
      </c>
      <c r="C410" s="260" t="s">
        <v>2371</v>
      </c>
      <c r="D410" s="260" t="s">
        <v>2372</v>
      </c>
      <c r="E410" s="260" t="s">
        <v>2458</v>
      </c>
      <c r="F410" s="260" t="s">
        <v>2459</v>
      </c>
      <c r="G410" s="260" t="s">
        <v>2460</v>
      </c>
      <c r="H410" s="260" t="s">
        <v>2511</v>
      </c>
      <c r="I410" s="260"/>
      <c r="J410" s="260"/>
      <c r="K410" s="260" t="s">
        <v>2512</v>
      </c>
      <c r="L410" s="260" t="s">
        <v>2513</v>
      </c>
      <c r="M410" s="260" t="s">
        <v>2514</v>
      </c>
      <c r="N410" s="260" t="s">
        <v>111</v>
      </c>
      <c r="O410" s="260" t="s">
        <v>112</v>
      </c>
      <c r="P410" s="10">
        <v>1017</v>
      </c>
      <c r="Q410" s="11">
        <v>5</v>
      </c>
      <c r="R410" s="9">
        <f t="shared" si="662"/>
        <v>0</v>
      </c>
      <c r="S410" s="11">
        <f>VLOOKUP(K410,'1103 General'!$K$13:$S$21,9,0)</f>
        <v>0</v>
      </c>
      <c r="T410" s="11">
        <v>0</v>
      </c>
      <c r="U410" s="11">
        <v>0</v>
      </c>
      <c r="V410" s="11">
        <v>0</v>
      </c>
      <c r="W410" s="11">
        <v>0</v>
      </c>
      <c r="X410" s="11">
        <v>0</v>
      </c>
      <c r="Y410" s="11">
        <v>0</v>
      </c>
      <c r="Z410" s="11">
        <v>0</v>
      </c>
      <c r="AA410" s="11"/>
      <c r="AB410" s="11"/>
      <c r="AC410" s="11"/>
      <c r="AD410" s="11">
        <v>2</v>
      </c>
      <c r="AE410" s="11">
        <v>0</v>
      </c>
      <c r="AF410" s="11">
        <f>VLOOKUP(K410,'1103 General'!$K$13:$AK$21,22,0)</f>
        <v>0</v>
      </c>
      <c r="AG410" s="11">
        <f>VLOOKUP(K410,'1103 General'!$K$13:$AK$21,23,0)</f>
        <v>0</v>
      </c>
      <c r="AH410" s="9">
        <f t="shared" si="663"/>
        <v>0</v>
      </c>
      <c r="AI410" s="9">
        <f>VLOOKUP(K410,'1103 General'!$K$13:$AK$21,25,0)</f>
        <v>0</v>
      </c>
      <c r="AJ410" s="9">
        <f>VLOOKUP(K410,'1103 General'!$K$13:$AK$21,26,0)</f>
        <v>0</v>
      </c>
      <c r="AK410" s="9">
        <f>VLOOKUP(K410,'1103 General'!$K$13:$AK$21,27,0)</f>
        <v>0</v>
      </c>
      <c r="AL410" s="11">
        <v>2</v>
      </c>
      <c r="AM410" s="11">
        <v>0</v>
      </c>
      <c r="AN410" s="11">
        <v>1</v>
      </c>
      <c r="AO410" s="11">
        <v>0</v>
      </c>
      <c r="AP410" s="11">
        <v>0</v>
      </c>
      <c r="AQ410" s="11">
        <v>0</v>
      </c>
      <c r="AR410" s="52"/>
      <c r="AS410" s="54">
        <v>0</v>
      </c>
      <c r="AT410" s="54">
        <f t="shared" si="632"/>
        <v>0</v>
      </c>
      <c r="AU410" s="52"/>
      <c r="AV410" s="89">
        <v>0</v>
      </c>
      <c r="AY410" s="89">
        <v>0</v>
      </c>
      <c r="AZ410" s="42">
        <f t="shared" si="664"/>
        <v>0</v>
      </c>
      <c r="BA410" s="44">
        <v>0</v>
      </c>
      <c r="BB410" s="44" t="s">
        <v>115</v>
      </c>
      <c r="BC410" s="42">
        <f t="shared" si="665"/>
        <v>0.4</v>
      </c>
      <c r="BD410" s="42" cm="1">
        <f t="array" ref="BD410">_xlfn.IFS(AD410=0,"NA",AD410&gt;0,AH410/AD410)</f>
        <v>0</v>
      </c>
      <c r="BE410" s="42">
        <f t="shared" si="666"/>
        <v>0.4</v>
      </c>
      <c r="BF410" s="44">
        <v>0</v>
      </c>
      <c r="BG410" s="42">
        <f t="shared" si="667"/>
        <v>0.2</v>
      </c>
      <c r="BH410" s="44">
        <v>0</v>
      </c>
      <c r="BI410" s="42">
        <f t="shared" si="668"/>
        <v>0</v>
      </c>
      <c r="BJ410" s="44" t="s">
        <v>115</v>
      </c>
      <c r="BK410" s="42">
        <f t="shared" si="633"/>
        <v>0</v>
      </c>
      <c r="BL410" s="44" t="s">
        <v>115</v>
      </c>
      <c r="BM410" s="42" cm="1">
        <f t="array" ref="BM410">_xlfn.IFS(BD410="NA","NA",BD410&gt;100%,"100%",BD410&lt;100,BD410)</f>
        <v>0</v>
      </c>
      <c r="BN410" s="42" cm="1">
        <f t="array" ref="BN410">_xlfn.IFS(BF410="NA","NA",BF410&gt;100%,"100%",BF410&lt;100,BF410)</f>
        <v>0</v>
      </c>
      <c r="BO410" s="42" cm="1">
        <f t="array" ref="BO410">_xlfn.IFS(BH410="NA","NA",BH410&gt;100%,"100%",BH410&lt;100,BH410)</f>
        <v>0</v>
      </c>
      <c r="BP410" s="42" t="str" cm="1">
        <f t="array" ref="BP410">_xlfn.IFS(BJ410="NA","NA",BJ410&gt;100%,"100%",BJ410&lt;100,BJ410)</f>
        <v>NA</v>
      </c>
      <c r="BQ410" s="45">
        <v>0.224</v>
      </c>
      <c r="BR410" s="43">
        <f t="shared" si="634"/>
        <v>0</v>
      </c>
      <c r="BS410" s="45">
        <v>0</v>
      </c>
      <c r="BT410" s="45" t="s">
        <v>115</v>
      </c>
      <c r="BU410" s="45">
        <v>0</v>
      </c>
      <c r="BV410" s="43">
        <f t="shared" si="669"/>
        <v>8.9599999999999999E-2</v>
      </c>
      <c r="BW410" s="43">
        <f t="shared" si="635"/>
        <v>0</v>
      </c>
      <c r="BX410" s="43">
        <f t="shared" si="636"/>
        <v>0</v>
      </c>
      <c r="BY410" s="43">
        <f t="shared" si="670"/>
        <v>8.9599999999999999E-2</v>
      </c>
      <c r="BZ410" s="43">
        <f t="shared" si="671"/>
        <v>0</v>
      </c>
      <c r="CA410" s="43">
        <f t="shared" si="637"/>
        <v>0</v>
      </c>
      <c r="CB410" s="43">
        <f t="shared" si="672"/>
        <v>4.48E-2</v>
      </c>
      <c r="CC410" s="43">
        <f t="shared" si="673"/>
        <v>0</v>
      </c>
      <c r="CD410" s="45">
        <v>0</v>
      </c>
      <c r="CE410" s="43">
        <f t="shared" si="674"/>
        <v>0</v>
      </c>
      <c r="CF410" s="43" t="str">
        <f t="shared" si="675"/>
        <v>NA</v>
      </c>
      <c r="CG410" s="45">
        <v>0</v>
      </c>
    </row>
    <row r="411" spans="1:90" ht="18" customHeight="1">
      <c r="A411" s="260" t="s">
        <v>2437</v>
      </c>
      <c r="B411" s="260" t="s">
        <v>2438</v>
      </c>
      <c r="C411" s="260" t="s">
        <v>2371</v>
      </c>
      <c r="D411" s="260" t="s">
        <v>2372</v>
      </c>
      <c r="E411" s="260" t="s">
        <v>2515</v>
      </c>
      <c r="F411" s="260" t="s">
        <v>2516</v>
      </c>
      <c r="G411" s="260" t="s">
        <v>2517</v>
      </c>
      <c r="H411" s="260" t="s">
        <v>2518</v>
      </c>
      <c r="I411" s="260"/>
      <c r="J411" s="260"/>
      <c r="K411" s="260" t="s">
        <v>2519</v>
      </c>
      <c r="L411" s="260" t="s">
        <v>2520</v>
      </c>
      <c r="M411" s="260" t="s">
        <v>2521</v>
      </c>
      <c r="N411" s="260" t="s">
        <v>123</v>
      </c>
      <c r="O411" s="260" t="s">
        <v>124</v>
      </c>
      <c r="P411" s="10">
        <v>80</v>
      </c>
      <c r="Q411" s="11">
        <v>100</v>
      </c>
      <c r="R411" s="11">
        <f>(Z411+AH411)/CL411</f>
        <v>48.75</v>
      </c>
      <c r="S411" s="11">
        <f>VLOOKUP(K411,'1103 General'!$K$13:$S$21,9,0)</f>
        <v>0</v>
      </c>
      <c r="T411" s="11">
        <v>0</v>
      </c>
      <c r="U411" s="11">
        <v>100</v>
      </c>
      <c r="V411" s="11">
        <v>0</v>
      </c>
      <c r="W411" s="11">
        <v>100</v>
      </c>
      <c r="X411" s="11" t="s">
        <v>115</v>
      </c>
      <c r="Y411" s="11">
        <v>100</v>
      </c>
      <c r="Z411" s="11">
        <v>100</v>
      </c>
      <c r="AA411" s="11" t="s">
        <v>2522</v>
      </c>
      <c r="AB411" s="11" t="s">
        <v>2523</v>
      </c>
      <c r="AC411" s="11">
        <v>0</v>
      </c>
      <c r="AD411" s="11">
        <v>0</v>
      </c>
      <c r="AE411" s="11">
        <v>100</v>
      </c>
      <c r="AF411" s="11">
        <f>VLOOKUP(K411,'1103 General'!$K$13:$AK$21,22,0)</f>
        <v>0</v>
      </c>
      <c r="AG411" s="11">
        <f>VLOOKUP(K411,'1103 General'!$K$13:$AK$21,23,0)</f>
        <v>95</v>
      </c>
      <c r="AH411" s="11">
        <f>AG411</f>
        <v>95</v>
      </c>
      <c r="AI411" s="9" t="str">
        <f>VLOOKUP(K411,'1103 General'!$K$13:$AK$21,25,0)</f>
        <v>Asistencias técnicas a las dependencias del sector central de la Gobernación de Cundinamarca</v>
      </c>
      <c r="AJ411" s="9" t="str">
        <f>VLOOKUP(K411,'1103 General'!$K$13:$AK$21,26,0)</f>
        <v>La Secretaría General -Dirección de Gestión Documental, para el mes de noviembre 2021, se programaron 20 visitas a dependencias del sector central de la Gobernación de Cundinamarca, a las secretarias de:
• Secretaria de transporte y movilidad: Oficia asesora jurídica, dirección de política sectorial, gerencia de planeación de transporte e infraestructura, gerencia de seguridad vial y comportamiento de tránsito, gerencia de estudios sectoriales y de servicios, dirección de servicios de movilidad sedes operáticas en tránsito, gerencia de coordinación sedes operativas y servicios en tránsito, oficina de procesos administrativos, gerencia de control y vigilancia del transporte.
• Jefatura de gabinete: despacho del secretario, oficina de protocolo, gerencia de buen gobierno.
• Secretaria de privada: despacho del secretario.
• Despacho del gobernador: oficina de control interno disciplinario, oficina de control interno, alta consejería para la felicidad.
• Secretaria de hábitat y vivienda social: oficina financiera, dirección de planeación y gestión de proyectos, dirección de seguimiento y control a la inversión, dirección de política habitacional y titulación predial. Transporte de archivo de la sede central de la Gobernación de Cundinamarca a la bodega de custodia
Se ha realizado el proceso de custodia de 38.419 cajas
Se ha realizado inventario documental de 542 cajas</v>
      </c>
      <c r="AK411" s="9">
        <f>VLOOKUP(K411,'1103 General'!$K$13:$AK$21,27,0)</f>
        <v>0</v>
      </c>
      <c r="AL411" s="11">
        <v>0</v>
      </c>
      <c r="AM411" s="11">
        <v>100</v>
      </c>
      <c r="AN411" s="11">
        <v>0</v>
      </c>
      <c r="AO411" s="11">
        <v>100</v>
      </c>
      <c r="AP411" s="11">
        <v>0</v>
      </c>
      <c r="AQ411" s="11">
        <v>0</v>
      </c>
      <c r="AR411" s="51">
        <v>900000000</v>
      </c>
      <c r="AS411" s="54">
        <v>0</v>
      </c>
      <c r="AT411" s="54">
        <f t="shared" si="632"/>
        <v>900000000</v>
      </c>
      <c r="AU411" s="51">
        <v>900000000</v>
      </c>
      <c r="AV411" s="89">
        <v>1148000000</v>
      </c>
      <c r="AY411" s="89">
        <v>0</v>
      </c>
      <c r="AZ411" s="44" cm="1">
        <f t="array" ref="AZ411">_xlfn.IFS((BA411=0),(BD411/CL411),(BA411&gt;0),((BB411+BD411)/CL411),(BE411&gt;0),((BB411+BD411+BE411)/CL411),(BG411&gt;0),((BB411+BD411+BE411+G411)/CL411))</f>
        <v>0.48749999999999999</v>
      </c>
      <c r="BA411" s="44">
        <v>0.25</v>
      </c>
      <c r="BB411" s="44">
        <v>1</v>
      </c>
      <c r="BC411" s="44">
        <f>IF(AE411&gt;0,(1/CL411),0)</f>
        <v>0.25</v>
      </c>
      <c r="BD411" s="44" cm="1">
        <f t="array" ref="BD411">_xlfn.IFS(AE411=0,"NA",AE411&gt;0,AH411/AE411)</f>
        <v>0.95</v>
      </c>
      <c r="BE411" s="44">
        <f>IF(AM411&gt;0,(1/CL411),0)</f>
        <v>0.25</v>
      </c>
      <c r="BF411" s="44">
        <v>0</v>
      </c>
      <c r="BG411" s="44">
        <f>IF(AO411&gt;0,(1/CL411),0)</f>
        <v>0.25</v>
      </c>
      <c r="BH411" s="44">
        <v>0</v>
      </c>
      <c r="BI411" s="44">
        <v>0</v>
      </c>
      <c r="BJ411" s="44" t="s">
        <v>115</v>
      </c>
      <c r="BK411" s="44">
        <f t="shared" si="633"/>
        <v>0.48749999999999999</v>
      </c>
      <c r="BL411" s="44">
        <v>1</v>
      </c>
      <c r="BM411" s="42" cm="1">
        <f t="array" ref="BM411">_xlfn.IFS(BD411="NA","NA",BD411&gt;100%,"100%",BD411&lt;100,BD411)</f>
        <v>0.95</v>
      </c>
      <c r="BN411" s="44">
        <v>0</v>
      </c>
      <c r="BO411" s="44">
        <v>0</v>
      </c>
      <c r="BP411" s="44" t="s">
        <v>115</v>
      </c>
      <c r="BQ411" s="45">
        <v>0.224</v>
      </c>
      <c r="BR411" s="43">
        <f t="shared" si="634"/>
        <v>0.10920000000000001</v>
      </c>
      <c r="BS411" s="45">
        <v>5.6000000000000001E-2</v>
      </c>
      <c r="BT411" s="45">
        <v>5.6000000000000001E-2</v>
      </c>
      <c r="BU411" s="45">
        <v>5.6000000000000001E-2</v>
      </c>
      <c r="BV411" s="45">
        <v>5.6000000000000001E-2</v>
      </c>
      <c r="BW411" s="43">
        <f t="shared" si="635"/>
        <v>5.3199999999999997E-2</v>
      </c>
      <c r="BX411" s="43">
        <f t="shared" si="636"/>
        <v>5.3200000000000004E-2</v>
      </c>
      <c r="BY411" s="45">
        <v>5.6000000000000001E-2</v>
      </c>
      <c r="BZ411" s="45">
        <v>0</v>
      </c>
      <c r="CA411" s="43">
        <f t="shared" si="637"/>
        <v>0</v>
      </c>
      <c r="CB411" s="45">
        <v>5.6000000000000001E-2</v>
      </c>
      <c r="CC411" s="45">
        <v>0</v>
      </c>
      <c r="CD411" s="45">
        <v>0</v>
      </c>
      <c r="CE411" s="45">
        <v>0</v>
      </c>
      <c r="CF411" s="45" t="s">
        <v>115</v>
      </c>
      <c r="CG411" s="45">
        <v>0</v>
      </c>
      <c r="CH411">
        <f>IF(W411&gt;0,1,0)</f>
        <v>1</v>
      </c>
      <c r="CI411">
        <f>IF(AE411&gt;0,1,0)</f>
        <v>1</v>
      </c>
      <c r="CJ411">
        <f>IF(AM411&gt;0,1,0)</f>
        <v>1</v>
      </c>
      <c r="CK411">
        <f>IF(AO411&gt;0,1,0)</f>
        <v>1</v>
      </c>
      <c r="CL411">
        <f>CH411+CI411+CJ411+CK411</f>
        <v>4</v>
      </c>
    </row>
    <row r="412" spans="1:90" ht="18" customHeight="1">
      <c r="A412" s="260" t="s">
        <v>2437</v>
      </c>
      <c r="B412" s="260" t="s">
        <v>2438</v>
      </c>
      <c r="C412" s="260" t="s">
        <v>2371</v>
      </c>
      <c r="D412" s="260" t="s">
        <v>2372</v>
      </c>
      <c r="E412" s="260" t="s">
        <v>2515</v>
      </c>
      <c r="F412" s="260" t="s">
        <v>2516</v>
      </c>
      <c r="G412" s="260" t="s">
        <v>2517</v>
      </c>
      <c r="H412" s="260" t="s">
        <v>2524</v>
      </c>
      <c r="I412" s="260"/>
      <c r="J412" s="260"/>
      <c r="K412" s="260" t="s">
        <v>2525</v>
      </c>
      <c r="L412" s="260" t="s">
        <v>3053</v>
      </c>
      <c r="M412" s="260" t="s">
        <v>2527</v>
      </c>
      <c r="N412" s="260" t="s">
        <v>111</v>
      </c>
      <c r="O412" s="260" t="s">
        <v>112</v>
      </c>
      <c r="P412" s="10">
        <v>1200000</v>
      </c>
      <c r="Q412" s="11">
        <v>1600000</v>
      </c>
      <c r="R412" s="9">
        <f t="shared" ref="R412:R415" si="676">Z412+AH412</f>
        <v>0</v>
      </c>
      <c r="S412" s="11">
        <f>VLOOKUP(K412,'1103 General'!$K$13:$S$21,9,0)</f>
        <v>0</v>
      </c>
      <c r="T412" s="11">
        <v>0</v>
      </c>
      <c r="U412" s="11">
        <v>0</v>
      </c>
      <c r="V412" s="11">
        <v>0</v>
      </c>
      <c r="W412" s="11">
        <v>0</v>
      </c>
      <c r="X412" s="11">
        <v>0</v>
      </c>
      <c r="Y412" s="11">
        <v>0</v>
      </c>
      <c r="Z412" s="11">
        <v>0</v>
      </c>
      <c r="AA412" s="11"/>
      <c r="AB412" s="11"/>
      <c r="AC412" s="11"/>
      <c r="AD412" s="11">
        <v>800000</v>
      </c>
      <c r="AE412" s="11">
        <v>0</v>
      </c>
      <c r="AF412" s="11">
        <f>VLOOKUP(K412,'1103 General'!$K$13:$AK$21,22,0)</f>
        <v>0</v>
      </c>
      <c r="AG412" s="11">
        <f>VLOOKUP(K412,'1103 General'!$K$13:$AK$21,23,0)</f>
        <v>0</v>
      </c>
      <c r="AH412" s="9">
        <f t="shared" ref="AH412:AH415" si="677">AF412</f>
        <v>0</v>
      </c>
      <c r="AI412" s="9">
        <f>VLOOKUP(K412,'1103 General'!$K$13:$AK$21,25,0)</f>
        <v>0</v>
      </c>
      <c r="AJ412" s="9">
        <f>VLOOKUP(K412,'1103 General'!$K$13:$AK$21,26,0)</f>
        <v>0</v>
      </c>
      <c r="AK412" s="9">
        <f>VLOOKUP(K412,'1103 General'!$K$13:$AK$21,27,0)</f>
        <v>0</v>
      </c>
      <c r="AL412" s="11">
        <v>800000</v>
      </c>
      <c r="AM412" s="11">
        <v>0</v>
      </c>
      <c r="AN412" s="11">
        <v>0</v>
      </c>
      <c r="AO412" s="11">
        <v>0</v>
      </c>
      <c r="AP412" s="11">
        <v>0</v>
      </c>
      <c r="AQ412" s="11">
        <v>0</v>
      </c>
      <c r="AR412" s="52"/>
      <c r="AS412" s="54">
        <v>0</v>
      </c>
      <c r="AT412" s="54">
        <f t="shared" si="632"/>
        <v>0</v>
      </c>
      <c r="AU412" s="52"/>
      <c r="AV412" s="89">
        <v>0</v>
      </c>
      <c r="AY412" s="89">
        <v>0</v>
      </c>
      <c r="AZ412" s="42">
        <f t="shared" ref="AZ412:AZ415" si="678">R412/Q412</f>
        <v>0</v>
      </c>
      <c r="BA412" s="44">
        <v>0</v>
      </c>
      <c r="BB412" s="44" t="s">
        <v>115</v>
      </c>
      <c r="BC412" s="42">
        <f t="shared" ref="BC412:BC415" si="679">AD412/Q412</f>
        <v>0.5</v>
      </c>
      <c r="BD412" s="42" cm="1">
        <f t="array" ref="BD412">_xlfn.IFS(AD412=0,"NA",AD412&gt;0,AH412/AD412)</f>
        <v>0</v>
      </c>
      <c r="BE412" s="42">
        <f t="shared" ref="BE412:BE415" si="680">AL412/Q412</f>
        <v>0.5</v>
      </c>
      <c r="BF412" s="44">
        <v>0</v>
      </c>
      <c r="BG412" s="42">
        <f t="shared" ref="BG412:BG415" si="681">AN412/Q412</f>
        <v>0</v>
      </c>
      <c r="BH412" s="44" t="s">
        <v>115</v>
      </c>
      <c r="BI412" s="42">
        <f t="shared" ref="BI412:BI415" si="682">AP412/Q412</f>
        <v>0</v>
      </c>
      <c r="BJ412" s="44" t="s">
        <v>115</v>
      </c>
      <c r="BK412" s="42">
        <f t="shared" si="633"/>
        <v>0</v>
      </c>
      <c r="BL412" s="44" t="s">
        <v>115</v>
      </c>
      <c r="BM412" s="42" cm="1">
        <f t="array" ref="BM412">_xlfn.IFS(BD412="NA","NA",BD412&gt;100%,"100%",BD412&lt;100,BD412)</f>
        <v>0</v>
      </c>
      <c r="BN412" s="42" cm="1">
        <f t="array" ref="BN412">_xlfn.IFS(BF412="NA","NA",BF412&gt;100%,"100%",BF412&lt;100,BF412)</f>
        <v>0</v>
      </c>
      <c r="BO412" s="42" t="str" cm="1">
        <f t="array" ref="BO412">_xlfn.IFS(BH412="NA","NA",BH412&gt;100%,"100%",BH412&lt;100,BH412)</f>
        <v>NA</v>
      </c>
      <c r="BP412" s="42" t="str" cm="1">
        <f t="array" ref="BP412">_xlfn.IFS(BJ412="NA","NA",BJ412&gt;100%,"100%",BJ412&lt;100,BJ412)</f>
        <v>NA</v>
      </c>
      <c r="BQ412" s="45">
        <v>0.224</v>
      </c>
      <c r="BR412" s="43">
        <f t="shared" si="634"/>
        <v>0</v>
      </c>
      <c r="BS412" s="45">
        <v>0</v>
      </c>
      <c r="BT412" s="45" t="s">
        <v>115</v>
      </c>
      <c r="BU412" s="45">
        <v>0</v>
      </c>
      <c r="BV412" s="43">
        <f t="shared" ref="BV412:BV415" si="683">(AD412*BQ412)/Q412</f>
        <v>0.112</v>
      </c>
      <c r="BW412" s="43">
        <f t="shared" si="635"/>
        <v>0</v>
      </c>
      <c r="BX412" s="43">
        <f t="shared" si="636"/>
        <v>0</v>
      </c>
      <c r="BY412" s="43">
        <f t="shared" ref="BY412:BY415" si="684">(AL412*BQ412)/Q412</f>
        <v>0.112</v>
      </c>
      <c r="BZ412" s="43">
        <f t="shared" ref="BZ412:BZ415" si="685">IF(BN412="NA","NA",BN412*BY412)</f>
        <v>0</v>
      </c>
      <c r="CA412" s="43">
        <f t="shared" si="637"/>
        <v>0</v>
      </c>
      <c r="CB412" s="43">
        <f t="shared" ref="CB412:CB415" si="686">(AN412*BQ412)/Q412</f>
        <v>0</v>
      </c>
      <c r="CC412" s="43" t="str">
        <f t="shared" ref="CC412:CC415" si="687">IF(BO412="NA","NA",BO412*CB412)</f>
        <v>NA</v>
      </c>
      <c r="CD412" s="45">
        <v>0</v>
      </c>
      <c r="CE412" s="43">
        <f t="shared" ref="CE412:CE415" si="688">(AP412*BQ412)/Q412</f>
        <v>0</v>
      </c>
      <c r="CF412" s="43" t="str">
        <f t="shared" ref="CF412:CF415" si="689">IF(BP412="NA","NA",BP412*CE412)</f>
        <v>NA</v>
      </c>
      <c r="CG412" s="45">
        <v>0</v>
      </c>
    </row>
    <row r="413" spans="1:90" ht="18" customHeight="1">
      <c r="A413" s="260" t="s">
        <v>2437</v>
      </c>
      <c r="B413" s="260" t="s">
        <v>2438</v>
      </c>
      <c r="C413" s="260" t="s">
        <v>2371</v>
      </c>
      <c r="D413" s="260" t="s">
        <v>2372</v>
      </c>
      <c r="E413" s="260" t="s">
        <v>2515</v>
      </c>
      <c r="F413" s="260" t="s">
        <v>2516</v>
      </c>
      <c r="G413" s="260" t="s">
        <v>2517</v>
      </c>
      <c r="H413" s="260" t="s">
        <v>2528</v>
      </c>
      <c r="I413" s="260"/>
      <c r="J413" s="260"/>
      <c r="K413" s="260" t="s">
        <v>2529</v>
      </c>
      <c r="L413" s="260" t="s">
        <v>3054</v>
      </c>
      <c r="M413" s="260" t="s">
        <v>2531</v>
      </c>
      <c r="N413" s="260" t="s">
        <v>123</v>
      </c>
      <c r="O413" s="260" t="s">
        <v>112</v>
      </c>
      <c r="P413" s="10">
        <v>80</v>
      </c>
      <c r="Q413" s="11">
        <v>100</v>
      </c>
      <c r="R413" s="9">
        <f t="shared" si="676"/>
        <v>20</v>
      </c>
      <c r="S413" s="11">
        <f>VLOOKUP(K413,'1103 General'!$K$13:$S$21,9,0)</f>
        <v>0</v>
      </c>
      <c r="T413" s="11">
        <v>100</v>
      </c>
      <c r="U413" s="11">
        <v>0</v>
      </c>
      <c r="V413" s="11">
        <v>20</v>
      </c>
      <c r="W413" s="11">
        <v>0</v>
      </c>
      <c r="X413" s="11">
        <v>20</v>
      </c>
      <c r="Y413" s="11">
        <v>0</v>
      </c>
      <c r="Z413" s="11">
        <v>20</v>
      </c>
      <c r="AA413" s="11" t="s">
        <v>2532</v>
      </c>
      <c r="AB413" s="11" t="s">
        <v>2533</v>
      </c>
      <c r="AC413" s="11" t="s">
        <v>2534</v>
      </c>
      <c r="AD413" s="11">
        <v>80</v>
      </c>
      <c r="AE413" s="11">
        <v>0</v>
      </c>
      <c r="AF413" s="11">
        <f>VLOOKUP(K413,'1103 General'!$K$13:$AK$21,22,0)</f>
        <v>0</v>
      </c>
      <c r="AG413" s="11">
        <f>VLOOKUP(K413,'1103 General'!$K$13:$AK$21,23,0)</f>
        <v>49</v>
      </c>
      <c r="AH413" s="9">
        <f t="shared" si="677"/>
        <v>0</v>
      </c>
      <c r="AI413" s="9" t="str">
        <f>VLOOKUP(K413,'1103 General'!$K$13:$AK$21,25,0)</f>
        <v xml:space="preserve">Asistencias técnicas en implementación de la Politica de Gestión Documental </v>
      </c>
      <c r="AJ413" s="9" t="str">
        <f>VLOOKUP(K413,'1103 General'!$K$13:$AK$21,26,0)</f>
        <v>Se realizaron asistencias técnicas a las siguientes entidades: AsoGualiva, para un total de 1 asistencia técnica lo cual equivale a un 1,13% de avance.
Para el día 26 de mayo del presente año de forma conjunta las entidades municipales y descentralizadas, la Dirección de Gestión Documental y en alianza con el Archivo General de la Nación, se realizó una capacitación a entidades Municipales y descentralizadas del Departamento de Cundinamarca, cumpliendo con el 25% y un acumulado del 30,17%. De igual manera en el mes de mayo se realizó una asistencia técnica a la asociación de Gualivá con el objeto de identificar como se elaboran las tablas de retención documental.  En el tercer trimestre del año 2021, el Concejo Departamental de Archivo -CDA-, de acuerdo con una de sus funciones de evaluar Tablas de Retención Documental - TRD y las Tablas de Valoración Documental - TVD de las entidades públicas y privadas que cumplen funciones públicas en el departamento, incluyendo las de los municipios, aprobadas por los Comités Internos de Archivo.
Emitió el concepto favorable de cinco (5) Tablas de retención documental -TRD- y dos (2) Tablas de valoración documental -TVD-
 En el periodo de noviembre, se emitió el concepto favorable por parte del Concejo Departamental de Archivo -CDA- de cinco (10) Tablas de retención documental -TRD- correspondientes a: 
Instituto de vivienda de Chía
Alcaldía de municipal de Ubaté
Alcaldía municipal Zipacón
Concejo municipal de Zipacón
Inmobiliaria de Cundinamarca 
Instituto, deporte, cultura y turismo Subachoque
Empresa de servicios públicos emsertenjo S.A. E.S.P de tengo
Alcaldía municipal de Bituima 
Empresa de acueducto, alcantarillado y aseo de Madrid
Empresa de licores de Cundi
9 tablas de retención documental y 2 tablas de valoración documental al concejo Departamental de archivo a:
Alcaldía municipal de Gachancipa 
Empresa de acueducto y Alcantarillado Funza
Hospital la samaritana 
Empresa de servicios públicos emserchia de chia 
Concejo municipal Mosquera 
Personeria municipal de Funza
Hospital nuestra señora de las Mercedes Funza</v>
      </c>
      <c r="AK413" s="9">
        <f>VLOOKUP(K413,'1103 General'!$K$13:$AK$21,27,0)</f>
        <v>0</v>
      </c>
      <c r="AL413" s="11">
        <v>0</v>
      </c>
      <c r="AM413" s="11">
        <v>0</v>
      </c>
      <c r="AN413" s="11">
        <v>0</v>
      </c>
      <c r="AO413" s="11">
        <v>0</v>
      </c>
      <c r="AP413" s="11">
        <v>0</v>
      </c>
      <c r="AQ413" s="11">
        <v>0</v>
      </c>
      <c r="AR413" s="51">
        <v>120228373</v>
      </c>
      <c r="AS413" s="54">
        <v>0</v>
      </c>
      <c r="AT413" s="54">
        <f t="shared" si="632"/>
        <v>120228373</v>
      </c>
      <c r="AU413" s="51">
        <v>120228000</v>
      </c>
      <c r="AV413" s="89">
        <v>120000000</v>
      </c>
      <c r="AY413" s="89">
        <v>0</v>
      </c>
      <c r="AZ413" s="42">
        <f t="shared" si="678"/>
        <v>0.2</v>
      </c>
      <c r="BA413" s="44">
        <v>0.2</v>
      </c>
      <c r="BB413" s="44">
        <v>1</v>
      </c>
      <c r="BC413" s="42">
        <f t="shared" si="679"/>
        <v>0.8</v>
      </c>
      <c r="BD413" s="42" cm="1">
        <f t="array" ref="BD413">_xlfn.IFS(AD413=0,"NA",AD413&gt;0,AH413/AD413)</f>
        <v>0</v>
      </c>
      <c r="BE413" s="42">
        <f t="shared" si="680"/>
        <v>0</v>
      </c>
      <c r="BF413" s="44" t="s">
        <v>115</v>
      </c>
      <c r="BG413" s="42">
        <f t="shared" si="681"/>
        <v>0</v>
      </c>
      <c r="BH413" s="44" t="s">
        <v>115</v>
      </c>
      <c r="BI413" s="42">
        <f t="shared" si="682"/>
        <v>0</v>
      </c>
      <c r="BJ413" s="44" t="s">
        <v>115</v>
      </c>
      <c r="BK413" s="42">
        <f t="shared" si="633"/>
        <v>0.2</v>
      </c>
      <c r="BL413" s="44">
        <v>1</v>
      </c>
      <c r="BM413" s="42" cm="1">
        <f t="array" ref="BM413">_xlfn.IFS(BD413="NA","NA",BD413&gt;100%,"100%",BD413&lt;100,BD413)</f>
        <v>0</v>
      </c>
      <c r="BN413" s="42" t="str" cm="1">
        <f t="array" ref="BN413">_xlfn.IFS(BF413="NA","NA",BF413&gt;100%,"100%",BF413&lt;100,BF413)</f>
        <v>NA</v>
      </c>
      <c r="BO413" s="42" t="str" cm="1">
        <f t="array" ref="BO413">_xlfn.IFS(BH413="NA","NA",BH413&gt;100%,"100%",BH413&lt;100,BH413)</f>
        <v>NA</v>
      </c>
      <c r="BP413" s="42" t="str" cm="1">
        <f t="array" ref="BP413">_xlfn.IFS(BJ413="NA","NA",BJ413&gt;100%,"100%",BJ413&lt;100,BJ413)</f>
        <v>NA</v>
      </c>
      <c r="BQ413" s="45">
        <v>0.224</v>
      </c>
      <c r="BR413" s="43">
        <f t="shared" si="634"/>
        <v>4.4800000000000006E-2</v>
      </c>
      <c r="BS413" s="45">
        <v>4.48E-2</v>
      </c>
      <c r="BT413" s="45">
        <v>4.48E-2</v>
      </c>
      <c r="BU413" s="45">
        <v>4.48E-2</v>
      </c>
      <c r="BV413" s="43">
        <f t="shared" si="683"/>
        <v>0.17920000000000003</v>
      </c>
      <c r="BW413" s="43">
        <f t="shared" si="635"/>
        <v>0</v>
      </c>
      <c r="BX413" s="43">
        <f t="shared" si="636"/>
        <v>0</v>
      </c>
      <c r="BY413" s="43">
        <f t="shared" si="684"/>
        <v>0</v>
      </c>
      <c r="BZ413" s="43" t="str">
        <f t="shared" si="685"/>
        <v>NA</v>
      </c>
      <c r="CA413" s="43">
        <f t="shared" si="637"/>
        <v>6.9388939039072284E-18</v>
      </c>
      <c r="CB413" s="43">
        <f t="shared" si="686"/>
        <v>0</v>
      </c>
      <c r="CC413" s="43" t="str">
        <f t="shared" si="687"/>
        <v>NA</v>
      </c>
      <c r="CD413" s="45">
        <v>0</v>
      </c>
      <c r="CE413" s="43">
        <f t="shared" si="688"/>
        <v>0</v>
      </c>
      <c r="CF413" s="43" t="str">
        <f t="shared" si="689"/>
        <v>NA</v>
      </c>
      <c r="CG413" s="45">
        <v>0</v>
      </c>
    </row>
    <row r="414" spans="1:90" ht="18" customHeight="1">
      <c r="A414" s="260" t="s">
        <v>3041</v>
      </c>
      <c r="B414" s="260" t="s">
        <v>3042</v>
      </c>
      <c r="C414" s="260" t="s">
        <v>2371</v>
      </c>
      <c r="D414" s="260" t="s">
        <v>2372</v>
      </c>
      <c r="E414" s="260" t="s">
        <v>2535</v>
      </c>
      <c r="F414" s="260" t="s">
        <v>2536</v>
      </c>
      <c r="G414" s="260" t="s">
        <v>2537</v>
      </c>
      <c r="H414" s="260" t="s">
        <v>3055</v>
      </c>
      <c r="I414" s="260"/>
      <c r="J414" s="260"/>
      <c r="K414" s="260" t="s">
        <v>3056</v>
      </c>
      <c r="L414" s="260" t="s">
        <v>3057</v>
      </c>
      <c r="M414" s="260" t="s">
        <v>3058</v>
      </c>
      <c r="N414" s="260" t="s">
        <v>111</v>
      </c>
      <c r="O414" s="260" t="s">
        <v>112</v>
      </c>
      <c r="P414" s="10">
        <v>0</v>
      </c>
      <c r="Q414" s="11">
        <v>1</v>
      </c>
      <c r="R414" s="9" t="e">
        <f t="shared" si="676"/>
        <v>#REF!</v>
      </c>
      <c r="S414" s="11" t="e">
        <f>VLOOKUP(K414,#REF!,9,0)</f>
        <v>#REF!</v>
      </c>
      <c r="T414" s="11">
        <v>0.2</v>
      </c>
      <c r="U414" s="11">
        <v>0</v>
      </c>
      <c r="V414" s="11">
        <v>0.1</v>
      </c>
      <c r="W414" s="11">
        <v>0</v>
      </c>
      <c r="X414" s="11">
        <v>0.1</v>
      </c>
      <c r="Y414" s="11">
        <v>0</v>
      </c>
      <c r="Z414" s="11">
        <v>0.1</v>
      </c>
      <c r="AA414" s="11" t="s">
        <v>3059</v>
      </c>
      <c r="AB414" s="11" t="s">
        <v>3060</v>
      </c>
      <c r="AC414" s="11" t="s">
        <v>3061</v>
      </c>
      <c r="AD414" s="11">
        <v>0.3</v>
      </c>
      <c r="AE414" s="11">
        <v>0</v>
      </c>
      <c r="AF414" s="11" t="e">
        <f>VLOOKUP(K414,#REF!,22,0)</f>
        <v>#REF!</v>
      </c>
      <c r="AG414" s="11" t="e">
        <f>VLOOKUP(K414,#REF!,23,0)</f>
        <v>#REF!</v>
      </c>
      <c r="AH414" s="9" t="e">
        <f t="shared" si="677"/>
        <v>#REF!</v>
      </c>
      <c r="AI414" s="9" t="e">
        <f>VLOOKUP(K414,#REF!,25,0)</f>
        <v>#REF!</v>
      </c>
      <c r="AJ414" s="9" t="e">
        <f>VLOOKUP(K414,#REF!,26,0)</f>
        <v>#REF!</v>
      </c>
      <c r="AK414" s="9" t="e">
        <f>VLOOKUP(K414,#REF!,27,0)</f>
        <v>#REF!</v>
      </c>
      <c r="AL414" s="11">
        <v>0.3</v>
      </c>
      <c r="AM414" s="11">
        <v>0</v>
      </c>
      <c r="AN414" s="11">
        <v>0.3</v>
      </c>
      <c r="AO414" s="11">
        <v>0</v>
      </c>
      <c r="AP414" s="11">
        <v>0</v>
      </c>
      <c r="AQ414" s="11">
        <v>0</v>
      </c>
      <c r="AR414" s="51">
        <v>60596501</v>
      </c>
      <c r="AS414" s="54">
        <v>20000000</v>
      </c>
      <c r="AT414" s="54">
        <f t="shared" si="632"/>
        <v>80596501</v>
      </c>
      <c r="AU414" s="51">
        <v>0</v>
      </c>
      <c r="AV414" s="89">
        <v>0</v>
      </c>
      <c r="AY414" s="89">
        <v>0</v>
      </c>
      <c r="AZ414" s="42" t="e">
        <f t="shared" si="678"/>
        <v>#REF!</v>
      </c>
      <c r="BA414" s="44">
        <v>0.1</v>
      </c>
      <c r="BB414" s="44">
        <v>1</v>
      </c>
      <c r="BC414" s="42">
        <f t="shared" si="679"/>
        <v>0.3</v>
      </c>
      <c r="BD414" s="42" t="e" cm="1">
        <f t="array" ref="BD414">_xlfn.IFS(AD414=0,"NA",AD414&gt;0,AH414/AD414)</f>
        <v>#REF!</v>
      </c>
      <c r="BE414" s="42">
        <f t="shared" si="680"/>
        <v>0.3</v>
      </c>
      <c r="BF414" s="44">
        <v>0</v>
      </c>
      <c r="BG414" s="42">
        <f t="shared" si="681"/>
        <v>0.3</v>
      </c>
      <c r="BH414" s="44">
        <v>0</v>
      </c>
      <c r="BI414" s="42">
        <f t="shared" si="682"/>
        <v>0</v>
      </c>
      <c r="BJ414" s="44" t="s">
        <v>115</v>
      </c>
      <c r="BK414" s="42" t="e">
        <f t="shared" si="633"/>
        <v>#REF!</v>
      </c>
      <c r="BL414" s="44">
        <v>1</v>
      </c>
      <c r="BM414" s="42" t="e" cm="1">
        <f t="array" ref="BM414">_xlfn.IFS(BD414="NA","NA",BD414&gt;100%,"100%",BD414&lt;100,BD414)</f>
        <v>#REF!</v>
      </c>
      <c r="BN414" s="42" cm="1">
        <f t="array" ref="BN414">_xlfn.IFS(BF414="NA","NA",BF414&gt;100%,"100%",BF414&lt;100,BF414)</f>
        <v>0</v>
      </c>
      <c r="BO414" s="42" cm="1">
        <f t="array" ref="BO414">_xlfn.IFS(BH414="NA","NA",BH414&gt;100%,"100%",BH414&lt;100,BH414)</f>
        <v>0</v>
      </c>
      <c r="BP414" s="42" t="str" cm="1">
        <f t="array" ref="BP414">_xlfn.IFS(BJ414="NA","NA",BJ414&gt;100%,"100%",BJ414&lt;100,BJ414)</f>
        <v>NA</v>
      </c>
      <c r="BQ414" s="45">
        <v>0.224</v>
      </c>
      <c r="BR414" s="43" t="e">
        <f t="shared" si="634"/>
        <v>#REF!</v>
      </c>
      <c r="BS414" s="45">
        <v>2.24E-2</v>
      </c>
      <c r="BT414" s="45">
        <v>2.24E-2</v>
      </c>
      <c r="BU414" s="45">
        <v>2.24E-2</v>
      </c>
      <c r="BV414" s="43">
        <f t="shared" si="683"/>
        <v>6.7199999999999996E-2</v>
      </c>
      <c r="BW414" s="43" t="e">
        <f t="shared" si="635"/>
        <v>#REF!</v>
      </c>
      <c r="BX414" s="43" t="e">
        <f t="shared" si="636"/>
        <v>#REF!</v>
      </c>
      <c r="BY414" s="43">
        <f t="shared" si="684"/>
        <v>6.7199999999999996E-2</v>
      </c>
      <c r="BZ414" s="43">
        <f t="shared" si="685"/>
        <v>0</v>
      </c>
      <c r="CA414" s="43" t="e">
        <f t="shared" si="637"/>
        <v>#REF!</v>
      </c>
      <c r="CB414" s="43">
        <f t="shared" si="686"/>
        <v>6.7199999999999996E-2</v>
      </c>
      <c r="CC414" s="43">
        <f t="shared" si="687"/>
        <v>0</v>
      </c>
      <c r="CD414" s="45">
        <v>0</v>
      </c>
      <c r="CE414" s="43">
        <f t="shared" si="688"/>
        <v>0</v>
      </c>
      <c r="CF414" s="43" t="str">
        <f t="shared" si="689"/>
        <v>NA</v>
      </c>
      <c r="CG414" s="45">
        <v>0</v>
      </c>
    </row>
    <row r="415" spans="1:90" ht="18" customHeight="1">
      <c r="A415" s="260" t="s">
        <v>144</v>
      </c>
      <c r="B415" s="260" t="s">
        <v>145</v>
      </c>
      <c r="C415" s="260" t="s">
        <v>2371</v>
      </c>
      <c r="D415" s="260" t="s">
        <v>2372</v>
      </c>
      <c r="E415" s="260" t="s">
        <v>2535</v>
      </c>
      <c r="F415" s="260" t="s">
        <v>2536</v>
      </c>
      <c r="G415" s="260" t="s">
        <v>2537</v>
      </c>
      <c r="H415" s="260" t="s">
        <v>2538</v>
      </c>
      <c r="I415" s="260" t="s">
        <v>106</v>
      </c>
      <c r="J415" s="260"/>
      <c r="K415" s="260" t="s">
        <v>2539</v>
      </c>
      <c r="L415" s="260" t="s">
        <v>2540</v>
      </c>
      <c r="M415" s="260" t="s">
        <v>2541</v>
      </c>
      <c r="N415" s="260" t="s">
        <v>111</v>
      </c>
      <c r="O415" s="260" t="s">
        <v>112</v>
      </c>
      <c r="P415" s="10">
        <v>4</v>
      </c>
      <c r="Q415" s="11">
        <v>4</v>
      </c>
      <c r="R415" s="9">
        <f t="shared" si="676"/>
        <v>2</v>
      </c>
      <c r="S415" s="11" t="str">
        <f>VLOOKUP(K415,'1126 Desarrollo Social'!$K$13:$S$58,9,0)</f>
        <v>Se completo la fase 1 de alistamiento establecida en el decreto 311 de 2018Articulación con planeación del comité técnico de rendición publica de cuentas de NNAEl personal contratado para el desarrollo de las actividades de esta meta con vigencia del plan de desarrollo 2016-2020</v>
      </c>
      <c r="T415" s="11">
        <v>1</v>
      </c>
      <c r="U415" s="11">
        <v>0</v>
      </c>
      <c r="V415" s="11">
        <v>1</v>
      </c>
      <c r="W415" s="11">
        <v>0</v>
      </c>
      <c r="X415" s="11">
        <v>1</v>
      </c>
      <c r="Y415" s="11">
        <v>0</v>
      </c>
      <c r="Z415" s="11">
        <v>1</v>
      </c>
      <c r="AA415" s="11" t="s">
        <v>2542</v>
      </c>
      <c r="AB415" s="11" t="s">
        <v>2543</v>
      </c>
      <c r="AC415" s="11" t="s">
        <v>2544</v>
      </c>
      <c r="AD415" s="11">
        <v>1</v>
      </c>
      <c r="AE415" s="11">
        <v>0</v>
      </c>
      <c r="AF415" s="11">
        <f>VLOOKUP(K415,'1126 Desarrollo Social'!$K$13:$AK$58,22,0)</f>
        <v>1</v>
      </c>
      <c r="AG415" s="11">
        <f>VLOOKUP(K415,'1126 Desarrollo Social'!$K$13:$AK$58,23,0)</f>
        <v>0</v>
      </c>
      <c r="AH415" s="9">
        <f t="shared" si="677"/>
        <v>1</v>
      </c>
      <c r="AI415" s="9" t="str">
        <f>VLOOKUP(K415,'1126 Desarrollo Social'!$K$13:$AK$58,25,0)</f>
        <v>ENTREGABLE: UN INFORME DE REALIZACIONES PARA NIÑOS, NIÑAS, ADOLESCENTES Y JÓVENES publicado en la página web de la SDIS</v>
      </c>
      <c r="AJ415" s="9" t="str">
        <f>VLOOKUP(K415,'1126 Desarrollo Social'!$K$13:$AK$58,26,0)</f>
        <v>En ejecucion fases 1,2 y 3 del proceso, 100 municipios asistidos y dos sesiones mesa departamental NNA, ejecución socialización</v>
      </c>
      <c r="AK415" s="9">
        <f>VLOOKUP(K415,'1126 Desarrollo Social'!$K$13:$AK$58,27,0)</f>
        <v>0</v>
      </c>
      <c r="AL415" s="11">
        <v>1</v>
      </c>
      <c r="AM415" s="11">
        <v>0</v>
      </c>
      <c r="AN415" s="11">
        <v>1</v>
      </c>
      <c r="AO415" s="11">
        <v>0</v>
      </c>
      <c r="AP415" s="11">
        <v>0</v>
      </c>
      <c r="AQ415" s="11">
        <v>0</v>
      </c>
      <c r="AR415" s="51">
        <v>51314500</v>
      </c>
      <c r="AS415" s="54">
        <v>0</v>
      </c>
      <c r="AT415" s="54">
        <f t="shared" si="632"/>
        <v>51314500</v>
      </c>
      <c r="AU415" s="51">
        <v>45233346</v>
      </c>
      <c r="AV415" s="89">
        <v>100000000</v>
      </c>
      <c r="AY415" s="89">
        <v>41604000</v>
      </c>
      <c r="AZ415" s="42">
        <f t="shared" si="678"/>
        <v>0.5</v>
      </c>
      <c r="BA415" s="44">
        <v>0.25</v>
      </c>
      <c r="BB415" s="44">
        <v>1</v>
      </c>
      <c r="BC415" s="42">
        <f t="shared" si="679"/>
        <v>0.25</v>
      </c>
      <c r="BD415" s="42" cm="1">
        <f t="array" ref="BD415">_xlfn.IFS(AD415=0,"NA",AD415&gt;0,AH415/AD415)</f>
        <v>1</v>
      </c>
      <c r="BE415" s="42">
        <f t="shared" si="680"/>
        <v>0.25</v>
      </c>
      <c r="BF415" s="44">
        <v>0</v>
      </c>
      <c r="BG415" s="42">
        <f t="shared" si="681"/>
        <v>0.25</v>
      </c>
      <c r="BH415" s="44">
        <v>0</v>
      </c>
      <c r="BI415" s="42">
        <f t="shared" si="682"/>
        <v>0</v>
      </c>
      <c r="BJ415" s="44" t="s">
        <v>115</v>
      </c>
      <c r="BK415" s="42">
        <f t="shared" si="633"/>
        <v>0.5</v>
      </c>
      <c r="BL415" s="44">
        <v>1</v>
      </c>
      <c r="BM415" s="42" cm="1">
        <f t="array" ref="BM415">_xlfn.IFS(BD415="NA","NA",BD415&gt;100%,"100%",BD415&lt;100,BD415)</f>
        <v>1</v>
      </c>
      <c r="BN415" s="42" cm="1">
        <f t="array" ref="BN415">_xlfn.IFS(BF415="NA","NA",BF415&gt;100%,"100%",BF415&lt;100,BF415)</f>
        <v>0</v>
      </c>
      <c r="BO415" s="42" cm="1">
        <f t="array" ref="BO415">_xlfn.IFS(BH415="NA","NA",BH415&gt;100%,"100%",BH415&lt;100,BH415)</f>
        <v>0</v>
      </c>
      <c r="BP415" s="42" t="str" cm="1">
        <f t="array" ref="BP415">_xlfn.IFS(BJ415="NA","NA",BJ415&gt;100%,"100%",BJ415&lt;100,BJ415)</f>
        <v>NA</v>
      </c>
      <c r="BQ415" s="45">
        <v>0.224</v>
      </c>
      <c r="BR415" s="43">
        <f t="shared" si="634"/>
        <v>0.112</v>
      </c>
      <c r="BS415" s="45">
        <v>5.6000000000000001E-2</v>
      </c>
      <c r="BT415" s="45">
        <v>5.6000000000000001E-2</v>
      </c>
      <c r="BU415" s="45">
        <v>5.6000000000000001E-2</v>
      </c>
      <c r="BV415" s="43">
        <f t="shared" si="683"/>
        <v>5.6000000000000001E-2</v>
      </c>
      <c r="BW415" s="43">
        <f t="shared" si="635"/>
        <v>5.6000000000000001E-2</v>
      </c>
      <c r="BX415" s="43">
        <f t="shared" si="636"/>
        <v>5.6000000000000001E-2</v>
      </c>
      <c r="BY415" s="43">
        <f t="shared" si="684"/>
        <v>5.6000000000000001E-2</v>
      </c>
      <c r="BZ415" s="43">
        <f t="shared" si="685"/>
        <v>0</v>
      </c>
      <c r="CA415" s="43">
        <f t="shared" si="637"/>
        <v>0</v>
      </c>
      <c r="CB415" s="43">
        <f t="shared" si="686"/>
        <v>5.6000000000000001E-2</v>
      </c>
      <c r="CC415" s="43">
        <f t="shared" si="687"/>
        <v>0</v>
      </c>
      <c r="CD415" s="45">
        <v>0</v>
      </c>
      <c r="CE415" s="43">
        <f t="shared" si="688"/>
        <v>0</v>
      </c>
      <c r="CF415" s="43" t="str">
        <f t="shared" si="689"/>
        <v>NA</v>
      </c>
      <c r="CG415" s="45">
        <v>0</v>
      </c>
    </row>
    <row r="416" spans="1:90" ht="18" customHeight="1">
      <c r="A416" s="260" t="s">
        <v>2335</v>
      </c>
      <c r="B416" s="260" t="s">
        <v>2336</v>
      </c>
      <c r="C416" s="260" t="s">
        <v>2371</v>
      </c>
      <c r="D416" s="260" t="s">
        <v>2372</v>
      </c>
      <c r="E416" s="260" t="s">
        <v>2535</v>
      </c>
      <c r="F416" s="260" t="s">
        <v>2536</v>
      </c>
      <c r="G416" s="260" t="s">
        <v>2537</v>
      </c>
      <c r="H416" s="260" t="s">
        <v>2545</v>
      </c>
      <c r="I416" s="260"/>
      <c r="J416" s="260"/>
      <c r="K416" s="260" t="s">
        <v>2546</v>
      </c>
      <c r="L416" s="260" t="s">
        <v>2547</v>
      </c>
      <c r="M416" s="260" t="s">
        <v>2548</v>
      </c>
      <c r="N416" s="260" t="s">
        <v>123</v>
      </c>
      <c r="O416" s="260" t="s">
        <v>124</v>
      </c>
      <c r="P416" s="10">
        <v>100</v>
      </c>
      <c r="Q416" s="11">
        <v>100</v>
      </c>
      <c r="R416" s="11">
        <f>(Z416+AH416)/CL416</f>
        <v>47.5</v>
      </c>
      <c r="S416" s="11" t="str">
        <f>VLOOKUP(K416,'1113 Planeación'!$K$13:$AK$19,9,0)</f>
        <v>La Administración departamental estableció que para el cuatrienio la rendición de cuentas se realizaría bajo el eslogan "Desde Cundinamarca, Rendimos Cuentas", el año 2020 se implemento la estrategia con una satisfacción del 97% a partir de 5 espacios de diálogo y una audiencia General. En el año 2021 se continuó con el eslogan pero se ampliaron los espacios de rendición de cuentas, a la fecha hay una satisfacción del 95%, producto de 22 diálogos radiales y 2 diálogos temáticos virtuales.</v>
      </c>
      <c r="T416" s="11">
        <v>0</v>
      </c>
      <c r="U416" s="11">
        <v>100</v>
      </c>
      <c r="V416" s="11">
        <v>0</v>
      </c>
      <c r="W416" s="11">
        <v>100</v>
      </c>
      <c r="X416" s="11" t="s">
        <v>115</v>
      </c>
      <c r="Y416" s="11">
        <v>100</v>
      </c>
      <c r="Z416" s="11">
        <v>100</v>
      </c>
      <c r="AA416" s="11">
        <v>0</v>
      </c>
      <c r="AB416" s="11" t="s">
        <v>2549</v>
      </c>
      <c r="AC416" s="11">
        <v>0</v>
      </c>
      <c r="AD416" s="11">
        <v>0</v>
      </c>
      <c r="AE416" s="11">
        <v>100</v>
      </c>
      <c r="AF416" s="11">
        <f>VLOOKUP(K416,'1113 Planeación'!$K$13:$AK$19,22,0)</f>
        <v>0</v>
      </c>
      <c r="AG416" s="11">
        <f>VLOOKUP(K416,'1113 Planeación'!$K$13:$AK$19,23,0)</f>
        <v>90</v>
      </c>
      <c r="AH416" s="11">
        <f>AG416</f>
        <v>90</v>
      </c>
      <c r="AI416" s="9" t="str">
        <f>VLOOKUP(K416,'1113 Planeación'!$K$13:$AK$19,25,0)</f>
        <v>Se generaron para la comunidad 38 espacios participación ciudadana y  control social, a través de 34 diálogos radiales y 4 diálogos virtuales de rendición de cuentas en los que se habló de: Salud, Reactivación Económica, Región Metropolitana e Infraestructura. La implementación de la estrategia ha tenido una satisfacción del 95%</v>
      </c>
      <c r="AJ416" s="9" t="str">
        <f>VLOOKUP(K416,'1113 Planeación'!$K$13:$AK$19,26,0)</f>
        <v xml:space="preserve">En el año 2021 comprometidos con ampliar los espacios de participación y garantizar el control social, se desarrolló una estrategia que contempló 34 diálogos radiales y 4 diálogos virtuales en los que se habló de: Salud, Reactivación Económica, Región Metropolitana e Infraestructura y la preparación de una audiencia pública. En dichos espacios se dialogó con la ciudadania en lenguaje claro, se dio respuesta a las inquietudes de la ciudadania y se calificó la satisfacción respecto a estos espacios de rendición de cuentas. Los eventos virtuales contaron con interpretes de lengua de señas para llegar a la población con discapacidad auditiiva. </v>
      </c>
      <c r="AK416" s="9">
        <f>VLOOKUP(K416,'1113 Planeación'!$K$13:$AK$19,27,0)</f>
        <v>0</v>
      </c>
      <c r="AL416" s="11">
        <v>0</v>
      </c>
      <c r="AM416" s="11">
        <v>100</v>
      </c>
      <c r="AN416" s="11">
        <v>0</v>
      </c>
      <c r="AO416" s="11">
        <v>100</v>
      </c>
      <c r="AP416" s="11">
        <v>0</v>
      </c>
      <c r="AQ416" s="11">
        <v>0</v>
      </c>
      <c r="AR416" s="51">
        <v>49238020</v>
      </c>
      <c r="AS416" s="54">
        <v>0</v>
      </c>
      <c r="AT416" s="54">
        <f t="shared" si="632"/>
        <v>49238020</v>
      </c>
      <c r="AU416" s="51">
        <v>49042173</v>
      </c>
      <c r="AV416" s="89">
        <v>0</v>
      </c>
      <c r="AY416" s="89">
        <v>0</v>
      </c>
      <c r="AZ416" s="44" cm="1">
        <f t="array" ref="AZ416">_xlfn.IFS((BA416=0),(BD416/CL416),(BA416&gt;0),((BB416+BD416)/CL416),(BE416&gt;0),((BB416+BD416+BE416)/CL416),(BG416&gt;0),((BB416+BD416+BE416+G416)/CL416))</f>
        <v>0.47499999999999998</v>
      </c>
      <c r="BA416" s="44">
        <v>0.25</v>
      </c>
      <c r="BB416" s="44">
        <v>1</v>
      </c>
      <c r="BC416" s="44">
        <f>IF(AE416&gt;0,(1/CL416),0)</f>
        <v>0.25</v>
      </c>
      <c r="BD416" s="44" cm="1">
        <f t="array" ref="BD416">_xlfn.IFS(AE416=0,"NA",AE416&gt;0,AH416/AE416)</f>
        <v>0.9</v>
      </c>
      <c r="BE416" s="44">
        <f>IF(AM416&gt;0,(1/CL416),0)</f>
        <v>0.25</v>
      </c>
      <c r="BF416" s="44">
        <v>0</v>
      </c>
      <c r="BG416" s="44">
        <f>IF(AO416&gt;0,(1/CL416),0)</f>
        <v>0.25</v>
      </c>
      <c r="BH416" s="44">
        <v>0</v>
      </c>
      <c r="BI416" s="44">
        <v>0</v>
      </c>
      <c r="BJ416" s="44" t="s">
        <v>115</v>
      </c>
      <c r="BK416" s="44">
        <f t="shared" si="633"/>
        <v>0.47499999999999998</v>
      </c>
      <c r="BL416" s="44">
        <v>1</v>
      </c>
      <c r="BM416" s="42" cm="1">
        <f t="array" ref="BM416">_xlfn.IFS(BD416="NA","NA",BD416&gt;100%,"100%",BD416&lt;100,BD416)</f>
        <v>0.9</v>
      </c>
      <c r="BN416" s="44">
        <v>0</v>
      </c>
      <c r="BO416" s="44">
        <v>0</v>
      </c>
      <c r="BP416" s="44" t="s">
        <v>115</v>
      </c>
      <c r="BQ416" s="45">
        <v>0.224</v>
      </c>
      <c r="BR416" s="43">
        <f t="shared" si="634"/>
        <v>0.10639999999999999</v>
      </c>
      <c r="BS416" s="45">
        <v>5.6000000000000001E-2</v>
      </c>
      <c r="BT416" s="45">
        <v>5.6000000000000001E-2</v>
      </c>
      <c r="BU416" s="45">
        <v>5.6000000000000001E-2</v>
      </c>
      <c r="BV416" s="45">
        <v>5.6000000000000001E-2</v>
      </c>
      <c r="BW416" s="43">
        <f t="shared" si="635"/>
        <v>5.04E-2</v>
      </c>
      <c r="BX416" s="43">
        <f t="shared" si="636"/>
        <v>5.0399999999999993E-2</v>
      </c>
      <c r="BY416" s="45">
        <v>5.6000000000000001E-2</v>
      </c>
      <c r="BZ416" s="45">
        <v>0</v>
      </c>
      <c r="CA416" s="43">
        <f t="shared" si="637"/>
        <v>0</v>
      </c>
      <c r="CB416" s="45">
        <v>5.6000000000000001E-2</v>
      </c>
      <c r="CC416" s="45">
        <v>0</v>
      </c>
      <c r="CD416" s="45">
        <v>0</v>
      </c>
      <c r="CE416" s="45">
        <v>0</v>
      </c>
      <c r="CF416" s="45" t="s">
        <v>115</v>
      </c>
      <c r="CG416" s="45">
        <v>0</v>
      </c>
      <c r="CH416">
        <f>IF(W416&gt;0,1,0)</f>
        <v>1</v>
      </c>
      <c r="CI416">
        <f>IF(AE416&gt;0,1,0)</f>
        <v>1</v>
      </c>
      <c r="CJ416">
        <f>IF(AM416&gt;0,1,0)</f>
        <v>1</v>
      </c>
      <c r="CK416">
        <f>IF(AO416&gt;0,1,0)</f>
        <v>1</v>
      </c>
      <c r="CL416">
        <f>CH416+CI416+CJ416+CK416</f>
        <v>4</v>
      </c>
    </row>
    <row r="417" spans="1:90" ht="18" customHeight="1">
      <c r="A417" s="260" t="s">
        <v>2550</v>
      </c>
      <c r="B417" s="260" t="s">
        <v>2551</v>
      </c>
      <c r="C417" s="260" t="s">
        <v>2371</v>
      </c>
      <c r="D417" s="260" t="s">
        <v>2372</v>
      </c>
      <c r="E417" s="260" t="s">
        <v>2535</v>
      </c>
      <c r="F417" s="260" t="s">
        <v>2552</v>
      </c>
      <c r="G417" s="260" t="s">
        <v>2553</v>
      </c>
      <c r="H417" s="260" t="s">
        <v>2554</v>
      </c>
      <c r="I417" s="260"/>
      <c r="J417" s="260"/>
      <c r="K417" s="260" t="s">
        <v>2555</v>
      </c>
      <c r="L417" s="260" t="s">
        <v>2556</v>
      </c>
      <c r="M417" s="260" t="s">
        <v>2557</v>
      </c>
      <c r="N417" s="260" t="s">
        <v>111</v>
      </c>
      <c r="O417" s="260" t="s">
        <v>112</v>
      </c>
      <c r="P417" s="10">
        <v>1</v>
      </c>
      <c r="Q417" s="11">
        <v>1</v>
      </c>
      <c r="R417" s="9">
        <f t="shared" ref="R417" si="690">Z417+AH417</f>
        <v>0.65</v>
      </c>
      <c r="S417" s="11">
        <f>VLOOKUP(K417,'1104 Jurídica'!$K$13:$AK$13,9,0)</f>
        <v>0</v>
      </c>
      <c r="T417" s="11">
        <v>0.1</v>
      </c>
      <c r="U417" s="11">
        <v>0</v>
      </c>
      <c r="V417" s="11">
        <v>0.34</v>
      </c>
      <c r="W417" s="11">
        <v>0</v>
      </c>
      <c r="X417" s="11">
        <v>0.34</v>
      </c>
      <c r="Y417" s="11">
        <v>0.34</v>
      </c>
      <c r="Z417" s="11">
        <v>0.34</v>
      </c>
      <c r="AA417" s="11" t="s">
        <v>2558</v>
      </c>
      <c r="AB417" s="11" t="s">
        <v>2559</v>
      </c>
      <c r="AC417" s="11">
        <v>0</v>
      </c>
      <c r="AD417" s="11">
        <v>0.66</v>
      </c>
      <c r="AE417" s="11">
        <v>0</v>
      </c>
      <c r="AF417" s="11">
        <f>VLOOKUP(K417,'1104 Jurídica'!$K$13:$AK$13,22,0)</f>
        <v>0.31</v>
      </c>
      <c r="AG417" s="11">
        <f>VLOOKUP(K417,'1104 Jurídica'!$K$13:$AK$13,23,0)</f>
        <v>0</v>
      </c>
      <c r="AH417" s="9">
        <f t="shared" ref="AH417:AH418" si="691">AF417</f>
        <v>0.31</v>
      </c>
      <c r="AI417" s="9" t="str">
        <f>VLOOKUP(K417,'1104 Jurídica'!$K$13:$AK$13,25,0)</f>
        <v xml:space="preserve">Durante el mes de abril de 2021, se realizaron tres visitas guiadas virtuales al Congreso de la República, con la Asistencia de 154 estudiantes de 06 colegios de las provincias de Almeidas, Alto Magdalena y Bajo Magdalena. Los días 26, 27 y 28 de mayo de 2021, se realizaron tres visitas guiadas virtuales al Congreso de La República, con 200 estudiantes de IED de las Provincias de Gualivá, Guavio, Magdalena centro.En el mes de junio de 2021, se canceló la suma de $7.000.000 con cargo a la a la invitación pública de mínima cuantía SJ-CMC-001 de 2021. Desde el primero y en el segundo trimestre de 2021, dos estudiantes de las facultades de derecho de las Universidades Libre y de La Sabana, de conformidad con los Convenios Suscritos por la Secretaría de la Función Pública Nos. 046 y 039 de 2020, respectivamente, vienen realizando prácticas laborales en la Secretaría Jurídica. Durante los   días  28, 29 y 30 de julio de 2021, se realizarón tres (03) visitas guiadas virtuales al Congreso de la República, con la asistencia de 180 estudiantes  de IED de las Provincias de Médina, Oriente, Rionegro.   Realizaron prácticas laborales en la Secretaría Jurídica, dos estudiantes de las facultades de derecho de las Universidades Libre y de La Sabana, de conformidad con los Convenios Nos. 046 y 039 de 2020, suscritos por la Secretaría de la Función Pública.       
En el mes de agosto de 2021, los días 25, 26 Y 27 de  agosto de 2021: En cumplimiento de la actividad “Ruta de la Democracia”, se realizaron tres (03) visitas guiadas virtuales al Congreso de la República, con la asistencia de 183 estudiantes de las siguientes Provincias, Municipios y Colegios: Sabana Centro: Tocancipa: “IED Técnico Comercial Tocancipa; “IED Técnico Industrial”, “IED Rural La Fuente-Tocancipa  (30); Tabio: “IERD Diego Gómez de Mena, “IED José de San Martín (33). Sabana Occidente: Mosquera: “IE. Oficiales de Mosquera (30); El Rosal: “IED. Campo Alegre” (30); “IDE José María Obando” (30). Soacha: Sibaté: “Institución Educativa Departamental Sibaté” (30).   Se emitió la Segunda Edición del Boletín Jurídico Virtual,digido a los funcionarios del Sector Central, Descentralizado y a los 116 municipios del Departamento de Cundinamarca,Continene información sobre las Leyes Nos. 2138/2021;2088/2021; Estatutaria 2097 /2021; 2101/2021 ; 2140/ 2021; 2108/2021; Concepto 178131 del 21 de mayo de 2021 del DAFP;Ley 680/2021; Ley 2125/2021; Res.971/2021 MINSALD; Concepto 178131 del 21 de mayo de 2021 del DAFP; Concepto ANDJDE 20211030037751. Realizaron prácticas laborales en la Secretaría Jurídica, dos estudiantes de las facultades de derecho de las Universidades Libre y de La Sabana, de conformidad con los Convenios Nos. 046 y 039 de 2020, respectivamente,  suscritos por la Secretaría de la Función Pública.
En el mes de septiembre de 2021, los días 28, 29 Y 30 de  Septiembre de 2021: En cumplimiento de la actividad “Ruta de la Democracia”, se realizaron tres (03) visitas guiadas virtuales al Congreso de la República, con la asistencia de 176  estudiantes de las siguientes Provincias, Municipios y Colegios: SUMAPAZ: San Bernardo: “IED San Bernardo y IERD Andes”  (30); Silvania: “IED Silvania” (30). TEQUENDAMA:  San Antonio del Tequendama: “IED Mariano Santamaría” y I.E.D. San Antonio del Tequendama” (31); Tena: “IED Fidel Cano” (15). UBATE: Fúquene: “I.E.D. Nacionalizado y I. E Instituto Técnico Comercial Capellanía (40); Cucunubá “IED. Divino Salvador y Peñas” (30). 
(i) Se emitieron dos Boletines Jurídico Virtuales, a cargo de la Dirección de Conceptos y Estudios Jurídicos de la Secretaría Jurídica, dirigido a los funcionarios del Sector Central, Descentralizado y a los 116 municipios del Departamento de Cundinamarca, los cuales contienen información sobre: a) Decreto 952 de 2021, que reconoce la experiencia previa al título como experiencia profesional válida para efectos de los procesos de inserción laboral y productiva de jóvenes entre los 14 y 28 años en el sector público. b) Ley 2144 de 2021, dictó normas encaminadas a salvaguardar, fomentar y reconocer la gastronomía colombiana como integrante del patrimonio cultural. c) Ley 2129 del 4 de agosto de 2021 y la Sentencia C-519 de 2019 los padres podrán elegir el orden de los apellidos de sus hijos en el Registro Civil de Nacimiento. d) Ley 2148 del 24 de agosto de 2021 modificó el artículo 24 de la ley 1551 de 2012 de organización y funcionamiento de los municipios, entre otros. ii) Se realizaron prácticas laborales en la Secretaría Jurídica, dos estudiantes de las facultades de derecho de las Universidades Libre y de La Sabana, de conformidad con los Convenios Nos. 046 y 039 de 2020, suscritos por la Secretaría de la Función Pública, respectivamente,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En el mes de Octubre  de 2021:  i) El día 06 se pagó a través de la Tesorería del Departamento de Cundinamarca, la suma de veinticuatro millones novecientos noventa mil pesos m/cte ($24.990.000.oo), correspondiente a la invitación pública de mínima cuantía REDJURISTA SAS, SJ-CMC-002 de 2021, por la suma de $24.990.000, OBJETO: “Contratar la suscripción de una plataforma de actualización Jurídica, Tributaría, Laboral y Administrativa de interés general , con accerso a códigos, Jurisprudencia y Actualización en tiempo real de los portales Especializados que confdorman la solución informativa". 
ii) Realizaron prácticas laborales en la Secretaría Jurídica, dos estudiantes de las facultades de derecho de las Universidades del Bosque y Externado. 
El 18 de noviembre de 2021, El Secretario Jurídico Dr. Freddy Gustavo Orjuela Hernández, celebró Contrato de prestación de servicios profesionales No. SJ-CPS-024-2021, con la Cámara de Comercio de Bogotá, OBJETO: “PRESTACIÓN DE SERVICIOS PROFESIONALES PARA ADELANTAR TALLERES DE SENSIBILIZACIÓN EN LOS MECANISMOS ALTERNATIVOS DE SOLUCIÓN DE CONFLICTOS - MASC, EN EL MARCO DEL PLAN DEPARTAMENTAL DE DESARROLLO "CUNDINAMARCA, REGIÓN QUE PROGRESA”. Por valor de $ 7.873.299.
Durante el mes de noviembre de 2021: (i) Se emitieron dos Boletines Jurídico Semanales y uno mensual Virtuales, a cargo de la Dirección de Conceptos y Estudios Jurídicos de la Secretaría Jurídica, dirigido a los funcionarios del Sector Central, Descentralizado y a los 116 municipios del Departamento de Cundinamarca, los cuales contienen información sobre: a) Decreto 1408 de 2021, Obligatoria presentación del carnet de vacunación contra el Covid- 19. b) Decreto 1415 de 2021, se reglamenta la protección laboral reforzada para madres o padres cabeza de familia, personas con limitaciones físicas o mentales y los pre pensionados en el sector público. c) Ley 2157 de 2021 ley de “borrón y cuenta nueva”. d)Resolución 4286 de 2021, Reglamentación de las elecciones de Consejos Municipales de Juventudes. e) Fallo de 26/098/2021, Consejo de Estado, Inhabilidad para Contralores Territoriales. f)la incidencia de la ley 2159 de 2021 “ley de presupuesto” en las entidades territoriales. g) Circular 013 de 2021 expedida por el Gobernador del Departamento de Cundinamarca y Circular Conjunta 100-006 De 2021 expedida por el Departamento Administrativo de la Presidencia De La República y el director del Departamento Administrativo de la Función Pública, restricciones en la nómina y en la contratación estatal con ocasión de las elecciones a la presidencia, vicepresidencia y congreso.  entre otros. ii) Se realizó práctica laboral en la Secretaría Jurídica, por parte de una estudiante de la facultad de derecho de las Universidad Externado, de conformidad Convenio, suscrito por la Secretaría de la Función Pública,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v>
      </c>
      <c r="AJ417" s="9" t="str">
        <f>VLOOKUP(K417,'1104 Jurídica'!$K$13:$AK$13,26,0)</f>
        <v xml:space="preserve">En el primer trimestre 2021, se realizaron 04 capacitaciones, Asesoría y Acompañamiento, beneficiando 272 funcionarios de los 116 municipios y  397 del Sector Central y Descentralizado, 02 ESE`s del Deparrtamento de Cundinamarca. Temas: Calificación riesgos y provisión contable en procesos judiciales; diligenciamiento FURAG; liquidación sentencias judiciales;reforma Código  de procedimiento administrativo y de lo contencioso administrativo. Se emitieron 06 boletines jurídicos dirigidos a los 116 municipios, Sector Central y Descentralizado de Cundinamarca; con el ánimo de fortalecer la gestión de las administraciones municipales y departamental de Cundinamarca. Se aceptó la oferta de la firma REDJURISTAS SAS, SJ-CMC-016- de 2021, dentro de la invitación pública de mínima cuantía SJ-CMC-002 de 2021, por la suma de $24.990.000. Durante los días 8, 15 y 22 de junio de 2021, se realizaron tres capacitaciones, cuyo tema fue el Código General Discilinario Ley 1952 de 20219. Durante el segundo trimestre de 2021, se emitieron boletines jurídicos, dirigido a los funcionarios del Sector Central, Descentralizado y  los 116 municipios del Departamento de Cundinamarca. Durante los   días  28, 29 y 30 de julio de 2021, se realizarón tres (03) visitas guiadas virtuales al Congreso de la República, con la asistencia de 180 estudiantes  de IED de las Provincias de Médina, Oriente, Rionegro.   Realizaron prácticas laborales en la Secretaría Jurídica, dos estudiantes de las facultades de derecho de las Universidades Libre y de La Sabana, de conformidad con los Convenios Nos. 046 y 039 de 2020, suscritos por la Secretaría de la Función Pública. En el mes de agosto de 2021: Se realizaron 03 visitas guiadas al Congreso de la república, con la asistencia de 183 alumnos de IED de las Provincias de Sabana Centro, Sabana Occidente, Soacha . Se emitió el segundo boletín jurídico virtual, dirigdo a los funcionarios de la Gobernación y los 116 municipios de Cundinamarca. Dos Estudiantes de las Universidaes Libre y Sabana,  realizaron prácticas laborales en la Secretaría Jurídica.  
En el mes de septiembre de 2021, los días 28, 29 Y 30 de  Septiembre de 2021: En cumplimiento de la actividad “Ruta de la Democracia”, se realizaron tres (03) visitas guiadas virtuales al Congreso de la República, con la asistencia de 176  estudiantes de las siguientes Provincias, Municipios y Colegios: SUMAPAZ: San Bernardo: “IED San Bernardo y IERD Andes”  (30); Silvania: “IED Silvania” (30). TEQUENDAMA:  San Antonio del Tequendama: “IED Mariano Santamaría” y I.E.D. San Antonio del Tequendama” (31); Tena: “IED Fidel Cano” (15). UBATE: Fúquene: “I.E.D. Nacionalizado y I. E Instituto Técnico Comercial Capellanía (40); Cucunubá “IED. Divino Salvador y Peñas” (30). 
(i) Se emitieron dos Boletines Jurídico Virtuales, a cargo de la Dirección de Conceptos y Estudios Jurídicos de la Secretaría Jurídica, dirigido a los funcionarios del Sector Central, Descentralizado y a los 116 municipios del Departamento de Cundinamarca, los cuales contienen información sobre: a) Decreto 952 de 2021, que reconoce la experiencia previa al título como experiencia profesional válida para efectos de los procesos de inserción laboral y productiva de jóvenes entre los 14 y 28 años en el sector público. b) Ley 2144 de 2021, dictó normas encaminadas a salvaguardar, fomentar y reconocer la gastronomía colombiana como integrante del patrimonio cultural. c) Ley 2129 del 4 de agosto de 2021 y la Sentencia C-519 de 2019 los padres podrán elegir el orden de los apellidos de sus hijos en el Registro Civil de Nacimiento. d) Ley 2148 del 24 de agosto de 2021 modificó el artículo 24 de la ley 1551 de 2012 de organización y funcionamiento de los municipios, entre otros. ii) Se realizaron prácticas laborales en la Secretaría Jurídica, dos estudiantes de las facultades de derecho de las Universidades Libre y de La Sabana, de conformidad con los Convenios Nos. 046 y 039 de 2020, suscritos por la Secretaría de la Función Pública, respectivamente,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En el mes de Octubre  de 2021:  i) El día 06 se pagó a través de la Tesorería del Departamento de Cundinamarca, la suma de veinticuatro millones novecientos noventa mil pesos m/cte ($24.990.000.oo), correspondiente a la invitación pública de mínima cuantía REDJURISTA SAS, SJ-CMC-002 de 2021, por la suma de $24.990.000, OBJETO: “Contratar la suscripción de una plataforma de actualización Jurídica, Tributaría, Laboral y Administrativa de interés general , con accerso a códigos, Jurisprudencia y Actualización en tiempo real de los portales Especializados que confdorman la solución informativa". 
ii) Realizaron prácticas laborales en la Secretaría Jurídica, dos estudiantes de las facultades de derecho de las Universidades del Bosque y Externado. 
El 18 de noviembre de 2021, El Secretario Jurídico Dr. Freddy Gustavo Orjuela Hernández, celebró Contrato de prestación de servicios profesionales No. SJ-CPS-024-2021, con la Cámara de Comercio de Bogotá, OBJETO: “PRESTACIÓN DE SERVICIOS PROFESIONALES PARA ADELANTAR TALLERES DE SENSIBILIZACIÓN EN LOS MECANISMOS ALTERNATIVOS DE SOLUCIÓN DE CONFLICTOS - MASC, EN EL MARCO DEL PLAN DEPARTAMENTAL DE DESARROLLO "CUNDINAMARCA, REGIÓN QUE PROGRESA”. Por valor de $ 7.873.299.
Durante el mes de noviembre de 2021: (i) Se emitieron dos Boletines Jurídico Semanales y uno mensual Virtuales, a cargo de la Dirección de Conceptos y Estudios Jurídicos de la Secretaría Jurídica, dirigido a los funcionarios del Sector Central, Descentralizado y a los 116 municipios del Departamento de Cundinamarca, los cuales contienen información sobre: a) Decreto 1408 de 2021, Obligatoria presentación del carnet de vacunación contra el Covid- 19. b) Decreto 1415 de 2021, se reglamenta la protección laboral reforzada para madres o padres cabeza de familia, personas con limitaciones físicas o mentales y los pre pensionados en el sector público. c) Ley 2157 de 2021 ley de “borrón y cuenta nueva”. d)Resolución 4286 de 2021, Reglamentación de las elecciones de Consejos Municipales de Juventudes. e) Fallo de 26/098/2021, Consejo de Estado, Inhabilidad para Contralores Territoriales. f)la incidencia de la ley 2159 de 2021 “ley de presupuesto” en las entidades territoriales. g) Circular 013 de 2021 expedida por el Gobernador del Departamento de Cundinamarca y Circular Conjunta 100-006 De 2021 expedida por el Departamento Administrativo de la Presidencia De La República y el director del Departamento Administrativo de la Función Pública, restricciones en la nómina y en la contratación estatal con ocasión de las elecciones a la presidencia, vicepresidencia y congreso.  entre otros. ii) Se realizó práctica laboral en la Secretaría Jurídica, por parte de una estudiante de la facultad de derecho de las Universidad Externado, de conformidad Convenio, suscrito por la Secretaría de la Función Pública, con lo cual se da cumplimiento a la actividad de la meta 406 del PDD, denominada: “Suscribir convenios con las facultades de derecho de Universidades Públicas y/o Privadas, para que los estudiantes de derecho que hayan terminado su pensum académico realicen su judicatura, mediante el apoyo asistencial a la Secretaría Jurídica, para lograr satisfacer oportunamente los requerimientos judiciales.
</v>
      </c>
      <c r="AK417" s="9">
        <f>VLOOKUP(K417,'1104 Jurídica'!$K$13:$AK$13,27,0)</f>
        <v>0</v>
      </c>
      <c r="AL417" s="11">
        <v>0.3</v>
      </c>
      <c r="AM417" s="11">
        <v>0</v>
      </c>
      <c r="AN417" s="11">
        <v>0.3</v>
      </c>
      <c r="AO417" s="11">
        <v>0</v>
      </c>
      <c r="AP417" s="11">
        <v>0</v>
      </c>
      <c r="AQ417" s="11">
        <v>0</v>
      </c>
      <c r="AR417" s="52"/>
      <c r="AS417" s="54">
        <v>15000000</v>
      </c>
      <c r="AT417" s="54">
        <f t="shared" si="632"/>
        <v>15000000</v>
      </c>
      <c r="AU417" s="52"/>
      <c r="AV417" s="89">
        <v>100000000</v>
      </c>
      <c r="AY417" s="89">
        <v>7000000</v>
      </c>
      <c r="AZ417" s="42">
        <f t="shared" ref="AZ417:AZ418" si="692">R417/Q417</f>
        <v>0.65</v>
      </c>
      <c r="BA417" s="44">
        <v>0.34</v>
      </c>
      <c r="BB417" s="44">
        <v>1</v>
      </c>
      <c r="BC417" s="42">
        <f t="shared" ref="BC417:BC418" si="693">AD417/Q417</f>
        <v>0.66</v>
      </c>
      <c r="BD417" s="42" cm="1">
        <f t="array" ref="BD417">_xlfn.IFS(AD417=0,"NA",AD417&gt;0,AH417/AD417)</f>
        <v>0.46969696969696967</v>
      </c>
      <c r="BE417" s="42">
        <f t="shared" ref="BE417:BE418" si="694">AL417/Q417</f>
        <v>0.3</v>
      </c>
      <c r="BF417" s="44">
        <v>0</v>
      </c>
      <c r="BG417" s="42">
        <f t="shared" ref="BG417:BG418" si="695">AN417/Q417</f>
        <v>0.3</v>
      </c>
      <c r="BH417" s="44">
        <v>0</v>
      </c>
      <c r="BI417" s="42">
        <f t="shared" ref="BI417:BI418" si="696">AP417/Q417</f>
        <v>0</v>
      </c>
      <c r="BJ417" s="44" t="s">
        <v>115</v>
      </c>
      <c r="BK417" s="42">
        <f t="shared" si="633"/>
        <v>0.65</v>
      </c>
      <c r="BL417" s="44">
        <v>1</v>
      </c>
      <c r="BM417" s="42" cm="1">
        <f t="array" ref="BM417">_xlfn.IFS(BD417="NA","NA",BD417&gt;100%,"100%",BD417&lt;100,BD417)</f>
        <v>0.46969696969696967</v>
      </c>
      <c r="BN417" s="42" cm="1">
        <f t="array" ref="BN417">_xlfn.IFS(BF417="NA","NA",BF417&gt;100%,"100%",BF417&lt;100,BF417)</f>
        <v>0</v>
      </c>
      <c r="BO417" s="42" cm="1">
        <f t="array" ref="BO417">_xlfn.IFS(BH417="NA","NA",BH417&gt;100%,"100%",BH417&lt;100,BH417)</f>
        <v>0</v>
      </c>
      <c r="BP417" s="42" t="str" cm="1">
        <f t="array" ref="BP417">_xlfn.IFS(BJ417="NA","NA",BJ417&gt;100%,"100%",BJ417&lt;100,BJ417)</f>
        <v>NA</v>
      </c>
      <c r="BQ417" s="45">
        <v>0.224</v>
      </c>
      <c r="BR417" s="43">
        <f t="shared" si="634"/>
        <v>0.14560000000000001</v>
      </c>
      <c r="BS417" s="45">
        <v>7.6200000000000004E-2</v>
      </c>
      <c r="BT417" s="45">
        <v>7.6200000000000004E-2</v>
      </c>
      <c r="BU417" s="45">
        <v>7.6200000000000004E-2</v>
      </c>
      <c r="BV417" s="43">
        <f t="shared" ref="BV417:BV418" si="697">(AD417*BQ417)/Q417</f>
        <v>0.14784</v>
      </c>
      <c r="BW417" s="43">
        <f t="shared" si="635"/>
        <v>6.9440000000000002E-2</v>
      </c>
      <c r="BX417" s="43">
        <f t="shared" si="636"/>
        <v>6.9400000000000003E-2</v>
      </c>
      <c r="BY417" s="43">
        <f t="shared" ref="BY417:BY418" si="698">(AL417*BQ417)/Q417</f>
        <v>6.7199999999999996E-2</v>
      </c>
      <c r="BZ417" s="43">
        <f t="shared" ref="BZ417:BZ418" si="699">IF(BN417="NA","NA",BN417*BY417)</f>
        <v>0</v>
      </c>
      <c r="CA417" s="43">
        <f t="shared" si="637"/>
        <v>0</v>
      </c>
      <c r="CB417" s="43">
        <f t="shared" ref="CB417:CB418" si="700">(AN417*BQ417)/Q417</f>
        <v>6.7199999999999996E-2</v>
      </c>
      <c r="CC417" s="43">
        <f t="shared" ref="CC417:CC418" si="701">IF(BO417="NA","NA",BO417*CB417)</f>
        <v>0</v>
      </c>
      <c r="CD417" s="45">
        <v>0</v>
      </c>
      <c r="CE417" s="43">
        <f t="shared" ref="CE417:CE418" si="702">(AP417*BQ417)/Q417</f>
        <v>0</v>
      </c>
      <c r="CF417" s="43" t="str">
        <f t="shared" ref="CF417:CF418" si="703">IF(BP417="NA","NA",BP417*CE417)</f>
        <v>NA</v>
      </c>
      <c r="CG417" s="45">
        <v>0</v>
      </c>
    </row>
    <row r="418" spans="1:90" ht="18" customHeight="1">
      <c r="A418" s="260" t="s">
        <v>2560</v>
      </c>
      <c r="B418" s="260" t="s">
        <v>2561</v>
      </c>
      <c r="C418" s="260" t="s">
        <v>2371</v>
      </c>
      <c r="D418" s="260" t="s">
        <v>2372</v>
      </c>
      <c r="E418" s="260" t="s">
        <v>2562</v>
      </c>
      <c r="F418" s="260" t="s">
        <v>2563</v>
      </c>
      <c r="G418" s="260" t="s">
        <v>2564</v>
      </c>
      <c r="H418" s="260" t="s">
        <v>2565</v>
      </c>
      <c r="I418" s="260"/>
      <c r="J418" s="260"/>
      <c r="K418" s="260" t="s">
        <v>2566</v>
      </c>
      <c r="L418" s="260" t="s">
        <v>2567</v>
      </c>
      <c r="M418" s="260" t="s">
        <v>2568</v>
      </c>
      <c r="N418" s="260" t="s">
        <v>111</v>
      </c>
      <c r="O418" s="260" t="s">
        <v>112</v>
      </c>
      <c r="P418" s="10">
        <v>4</v>
      </c>
      <c r="Q418" s="11">
        <v>4</v>
      </c>
      <c r="R418" s="9">
        <f>Z418+AH418</f>
        <v>2</v>
      </c>
      <c r="S418" s="11" t="str">
        <f>VLOOKUP(K418,'1106 Hacienda'!$K$13:$AK$15,9,0)</f>
        <v>Continuidad durante el cuatrienio del plan de fiscalización tributaria para los tributos departamentales de forma constante, programada y sistemática con el objetivo de establecer que la administración ejerza el control contra la ilegalidad de las rentas departamentales, la lucha contra la evasión y el contrabando, que redunde en mejores ingresos para el departamento de Cundinamarca.</v>
      </c>
      <c r="T418" s="11">
        <v>1</v>
      </c>
      <c r="U418" s="11">
        <v>0</v>
      </c>
      <c r="V418" s="11">
        <v>1</v>
      </c>
      <c r="W418" s="11">
        <v>0</v>
      </c>
      <c r="X418" s="11">
        <v>1</v>
      </c>
      <c r="Y418" s="11">
        <v>1</v>
      </c>
      <c r="Z418" s="11">
        <v>1</v>
      </c>
      <c r="AA418" s="11" t="s">
        <v>2569</v>
      </c>
      <c r="AB418" s="11" t="s">
        <v>2570</v>
      </c>
      <c r="AC418" s="11" t="s">
        <v>2571</v>
      </c>
      <c r="AD418" s="11">
        <v>1</v>
      </c>
      <c r="AE418" s="11">
        <v>0</v>
      </c>
      <c r="AF418" s="11">
        <f>VLOOKUP(K418,'1106 Hacienda'!$K$13:$AK$15,22,0)</f>
        <v>1</v>
      </c>
      <c r="AG418" s="11">
        <f>VLOOKUP(K418,'1106 Hacienda'!$K$13:$AK$15,23,0)</f>
        <v>0</v>
      </c>
      <c r="AH418" s="9">
        <f t="shared" si="691"/>
        <v>1</v>
      </c>
      <c r="AI418" s="9" t="str">
        <f>VLOOKUP(K418,'1106 Hacienda'!$K$13:$AK$15,25,0)</f>
        <v>Servicio de fiscalización y procesos de auditarías tributaria -  se previene el riesgo la salud y la vida de los ciudadanos, se previene efectos en salud pública al controlar la ilegalidad.</v>
      </c>
      <c r="AJ418" s="9" t="str">
        <f>VLOOKUP(K418,'1106 Hacienda'!$K$13:$AK$15,26,0)</f>
        <v>Se implementaron las estrategias que permiten orientar el control de los fenómenos que afectan recaudo de los impuesto al consumo como la evasión, la adulteración, falsificación y contrabando y mantuvo los planes de fiscalización tributaria, se permitió promover, impulsar y establecer que la administración ejerza de manera directa el control contra la ilegalidad de las rentas departamentales</v>
      </c>
      <c r="AK418" s="9" t="str">
        <f>VLOOKUP(K418,'1106 Hacienda'!$K$13:$AK$15,27,0)</f>
        <v>Se retrasó los procesos por la pandemia covid -19  por la apertura selectiva de algunos establecimientos abiertos al público de cigarrillo y licor que dificultó el proceso de visitas de control, auditorias y demás procesos de fiscalización.</v>
      </c>
      <c r="AL418" s="11">
        <v>1</v>
      </c>
      <c r="AM418" s="11">
        <v>0</v>
      </c>
      <c r="AN418" s="11">
        <v>1</v>
      </c>
      <c r="AO418" s="11">
        <v>0</v>
      </c>
      <c r="AP418" s="11">
        <v>0</v>
      </c>
      <c r="AQ418" s="11">
        <v>0</v>
      </c>
      <c r="AR418" s="51">
        <v>3303045591</v>
      </c>
      <c r="AS418" s="54">
        <v>271854490</v>
      </c>
      <c r="AT418" s="54">
        <f t="shared" si="632"/>
        <v>3574900081</v>
      </c>
      <c r="AU418" s="51">
        <v>382435852</v>
      </c>
      <c r="AV418" s="89">
        <v>32958885064</v>
      </c>
      <c r="AY418" s="89">
        <v>9946840436</v>
      </c>
      <c r="AZ418" s="42">
        <f t="shared" si="692"/>
        <v>0.5</v>
      </c>
      <c r="BA418" s="44">
        <v>0.25</v>
      </c>
      <c r="BB418" s="44">
        <v>1</v>
      </c>
      <c r="BC418" s="42">
        <f t="shared" si="693"/>
        <v>0.25</v>
      </c>
      <c r="BD418" s="42" cm="1">
        <f t="array" ref="BD418">_xlfn.IFS(AD418=0,"NA",AD418&gt;0,AH418/AD418)</f>
        <v>1</v>
      </c>
      <c r="BE418" s="42">
        <f t="shared" si="694"/>
        <v>0.25</v>
      </c>
      <c r="BF418" s="44">
        <v>0</v>
      </c>
      <c r="BG418" s="42">
        <f t="shared" si="695"/>
        <v>0.25</v>
      </c>
      <c r="BH418" s="44">
        <v>0</v>
      </c>
      <c r="BI418" s="42">
        <f t="shared" si="696"/>
        <v>0</v>
      </c>
      <c r="BJ418" s="44" t="s">
        <v>115</v>
      </c>
      <c r="BK418" s="42">
        <f t="shared" si="633"/>
        <v>0.5</v>
      </c>
      <c r="BL418" s="44">
        <v>1</v>
      </c>
      <c r="BM418" s="42" cm="1">
        <f t="array" ref="BM418">_xlfn.IFS(BD418="NA","NA",BD418&gt;100%,"100%",BD418&lt;100,BD418)</f>
        <v>1</v>
      </c>
      <c r="BN418" s="42" cm="1">
        <f t="array" ref="BN418">_xlfn.IFS(BF418="NA","NA",BF418&gt;100%,"100%",BF418&lt;100,BF418)</f>
        <v>0</v>
      </c>
      <c r="BO418" s="42" cm="1">
        <f t="array" ref="BO418">_xlfn.IFS(BH418="NA","NA",BH418&gt;100%,"100%",BH418&lt;100,BH418)</f>
        <v>0</v>
      </c>
      <c r="BP418" s="42" t="str" cm="1">
        <f t="array" ref="BP418">_xlfn.IFS(BJ418="NA","NA",BJ418&gt;100%,"100%",BJ418&lt;100,BJ418)</f>
        <v>NA</v>
      </c>
      <c r="BQ418" s="45">
        <v>0.224</v>
      </c>
      <c r="BR418" s="43">
        <f t="shared" si="634"/>
        <v>0.112</v>
      </c>
      <c r="BS418" s="45">
        <v>5.6000000000000001E-2</v>
      </c>
      <c r="BT418" s="45">
        <v>5.6000000000000001E-2</v>
      </c>
      <c r="BU418" s="45">
        <v>5.6000000000000001E-2</v>
      </c>
      <c r="BV418" s="43">
        <f t="shared" si="697"/>
        <v>5.6000000000000001E-2</v>
      </c>
      <c r="BW418" s="43">
        <f t="shared" si="635"/>
        <v>5.6000000000000001E-2</v>
      </c>
      <c r="BX418" s="43">
        <f t="shared" si="636"/>
        <v>5.6000000000000001E-2</v>
      </c>
      <c r="BY418" s="43">
        <f t="shared" si="698"/>
        <v>5.6000000000000001E-2</v>
      </c>
      <c r="BZ418" s="43">
        <f t="shared" si="699"/>
        <v>0</v>
      </c>
      <c r="CA418" s="43">
        <f t="shared" si="637"/>
        <v>0</v>
      </c>
      <c r="CB418" s="43">
        <f t="shared" si="700"/>
        <v>5.6000000000000001E-2</v>
      </c>
      <c r="CC418" s="43">
        <f t="shared" si="701"/>
        <v>0</v>
      </c>
      <c r="CD418" s="45">
        <v>0</v>
      </c>
      <c r="CE418" s="43">
        <f t="shared" si="702"/>
        <v>0</v>
      </c>
      <c r="CF418" s="43" t="str">
        <f t="shared" si="703"/>
        <v>NA</v>
      </c>
      <c r="CG418" s="45">
        <v>0</v>
      </c>
    </row>
    <row r="419" spans="1:90" ht="18" customHeight="1">
      <c r="A419" s="260" t="s">
        <v>2560</v>
      </c>
      <c r="B419" s="260" t="s">
        <v>2561</v>
      </c>
      <c r="C419" s="260" t="s">
        <v>2371</v>
      </c>
      <c r="D419" s="260" t="s">
        <v>2372</v>
      </c>
      <c r="E419" s="260" t="s">
        <v>2562</v>
      </c>
      <c r="F419" s="260" t="s">
        <v>2563</v>
      </c>
      <c r="G419" s="260" t="s">
        <v>2564</v>
      </c>
      <c r="H419" s="260" t="s">
        <v>2572</v>
      </c>
      <c r="I419" s="260"/>
      <c r="J419" s="260"/>
      <c r="K419" s="260" t="s">
        <v>2573</v>
      </c>
      <c r="L419" s="260" t="s">
        <v>2574</v>
      </c>
      <c r="M419" s="260" t="s">
        <v>2575</v>
      </c>
      <c r="N419" s="260" t="s">
        <v>111</v>
      </c>
      <c r="O419" s="260" t="s">
        <v>302</v>
      </c>
      <c r="P419" s="10">
        <v>5</v>
      </c>
      <c r="Q419" s="11">
        <v>5</v>
      </c>
      <c r="R419" s="11">
        <f>(((Z419*4)+(AH419))/(3+2))</f>
        <v>5</v>
      </c>
      <c r="S419" s="11" t="str">
        <f>VLOOKUP(K419,'1106 Hacienda'!$K$13:$AK$15,9,0)</f>
        <v>Continuidad durante el cuatrienio de todas las herramientas y plataformas tecnológicas que faciliten la recaudación tributaria.</v>
      </c>
      <c r="T419" s="11">
        <v>0</v>
      </c>
      <c r="U419" s="11">
        <v>5</v>
      </c>
      <c r="V419" s="11">
        <v>0</v>
      </c>
      <c r="W419" s="11">
        <v>5</v>
      </c>
      <c r="X419" s="11" t="s">
        <v>115</v>
      </c>
      <c r="Y419" s="11">
        <v>5</v>
      </c>
      <c r="Z419" s="11">
        <v>5</v>
      </c>
      <c r="AA419" s="11" t="s">
        <v>2576</v>
      </c>
      <c r="AB419" s="11" t="s">
        <v>2577</v>
      </c>
      <c r="AC419" s="11" t="s">
        <v>2578</v>
      </c>
      <c r="AD419" s="11">
        <v>0</v>
      </c>
      <c r="AE419" s="11">
        <v>5</v>
      </c>
      <c r="AF419" s="11">
        <f>VLOOKUP(K419,'1106 Hacienda'!$K$13:$AK$15,22,0)</f>
        <v>0</v>
      </c>
      <c r="AG419" s="11">
        <f>VLOOKUP(K419,'1106 Hacienda'!$K$13:$AK$15,23,0)</f>
        <v>5</v>
      </c>
      <c r="AH419" s="11">
        <f t="shared" ref="AH419:AH420" si="704">AG419</f>
        <v>5</v>
      </c>
      <c r="AI419" s="9" t="str">
        <f>VLOOKUP(K419,'1106 Hacienda'!$K$13:$AK$15,25,0)</f>
        <v>Servicio a la ciudadanía de virtualidad de los servicios de la Secretaría de Hacienda - al recaudo de impuestos y cobro coactivo, aplicación de web service, pago PSE, y salas virtuales, facilitando a los contribuyentes la consulta, liquidación y pago de sus obligaciones tributarias.</v>
      </c>
      <c r="AJ419" s="9" t="str">
        <f>VLOOKUP(K419,'1106 Hacienda'!$K$13:$AK$15,26,0)</f>
        <v>Se logró el fortalecimiento y potenciar los sistemas de información de la Secretaría de Hacienda, que permiten el desarrollo y la continuidad en la operación tecnológica</v>
      </c>
      <c r="AK419" s="9" t="str">
        <f>VLOOKUP(K419,'1106 Hacienda'!$K$13:$AK$15,27,0)</f>
        <v>Se dificultó y retrasó los procesos contractuales relacionados con la meta, debido a la cuarentena nacional decretada por el Gobierno Nacional y Distrital, con ocasión de la pandemia mundial denominada coronavirus – covid -19.</v>
      </c>
      <c r="AL419" s="11">
        <v>0</v>
      </c>
      <c r="AM419" s="11">
        <v>5</v>
      </c>
      <c r="AN419" s="11">
        <v>0</v>
      </c>
      <c r="AO419" s="11">
        <v>5</v>
      </c>
      <c r="AP419" s="11">
        <v>0</v>
      </c>
      <c r="AQ419" s="11">
        <v>0</v>
      </c>
      <c r="AR419" s="51">
        <v>1800657484</v>
      </c>
      <c r="AS419" s="54">
        <v>0</v>
      </c>
      <c r="AT419" s="54">
        <f t="shared" si="632"/>
        <v>1800657484</v>
      </c>
      <c r="AU419" s="51">
        <v>1094187090</v>
      </c>
      <c r="AV419" s="89">
        <v>6088930070</v>
      </c>
      <c r="AY419" s="89">
        <v>5193604266</v>
      </c>
      <c r="AZ419" s="44" cm="1">
        <f t="array" ref="AZ419">_xlfn.IFS((BA419=0),(BD419/CL419),(BA419&gt;0),((BB419+BD419)/CL419),(BE419&gt;0),((BB419+BD419+BE419)/CL419),(BG419&gt;0),((BB419+BD419+BE419+G419)/CL419))</f>
        <v>0.3125</v>
      </c>
      <c r="BA419" s="44">
        <v>0.25</v>
      </c>
      <c r="BB419" s="44">
        <v>1</v>
      </c>
      <c r="BC419" s="44">
        <v>0.25</v>
      </c>
      <c r="BD419" s="44" cm="1">
        <f t="array" ref="BD419">_xlfn.IFS(AE419=0,"NA",AE419&gt;0,((AH419/AE419)/4))</f>
        <v>0.25</v>
      </c>
      <c r="BE419" s="44">
        <v>0.25</v>
      </c>
      <c r="BF419" s="44">
        <v>0</v>
      </c>
      <c r="BG419" s="44">
        <v>0.25</v>
      </c>
      <c r="BH419" s="44">
        <v>0</v>
      </c>
      <c r="BI419" s="44">
        <v>0</v>
      </c>
      <c r="BJ419" s="44" t="s">
        <v>115</v>
      </c>
      <c r="BK419" s="44">
        <f t="shared" si="633"/>
        <v>0.3125</v>
      </c>
      <c r="BL419" s="44">
        <v>1</v>
      </c>
      <c r="BM419" s="42" cm="1">
        <f t="array" ref="BM419">_xlfn.IFS(BD419="NA","NA",BD419&gt;100%,"100%",BD419&lt;100,BD419)</f>
        <v>0.25</v>
      </c>
      <c r="BN419" s="44">
        <v>0</v>
      </c>
      <c r="BO419" s="44">
        <v>0</v>
      </c>
      <c r="BP419" s="44" t="s">
        <v>115</v>
      </c>
      <c r="BQ419" s="45">
        <v>0.224</v>
      </c>
      <c r="BR419" s="43">
        <f t="shared" si="634"/>
        <v>7.0000000000000007E-2</v>
      </c>
      <c r="BS419" s="45">
        <v>5.6000000000000001E-2</v>
      </c>
      <c r="BT419" s="45">
        <v>5.6000000000000001E-2</v>
      </c>
      <c r="BU419" s="45">
        <v>5.6000000000000001E-2</v>
      </c>
      <c r="BV419" s="45">
        <v>5.6000000000000001E-2</v>
      </c>
      <c r="BW419" s="43">
        <f t="shared" si="635"/>
        <v>1.4E-2</v>
      </c>
      <c r="BX419" s="43">
        <f t="shared" si="636"/>
        <v>1.4000000000000005E-2</v>
      </c>
      <c r="BY419" s="45">
        <v>5.6000000000000001E-2</v>
      </c>
      <c r="BZ419" s="45">
        <v>0</v>
      </c>
      <c r="CA419" s="43">
        <f t="shared" si="637"/>
        <v>0</v>
      </c>
      <c r="CB419" s="45">
        <v>5.6000000000000001E-2</v>
      </c>
      <c r="CC419" s="45">
        <v>0</v>
      </c>
      <c r="CD419" s="45">
        <v>0</v>
      </c>
      <c r="CE419" s="45">
        <v>0</v>
      </c>
      <c r="CF419" s="45" t="s">
        <v>115</v>
      </c>
      <c r="CG419" s="45">
        <v>0</v>
      </c>
      <c r="CH419">
        <f>IF(W419&gt;0,1,0)</f>
        <v>1</v>
      </c>
      <c r="CI419">
        <f>IF(AE419&gt;0,1,0)</f>
        <v>1</v>
      </c>
      <c r="CJ419">
        <f>IF(AM419&gt;0,1,0)</f>
        <v>1</v>
      </c>
      <c r="CK419">
        <f>IF(AO419&gt;0,1,0)</f>
        <v>1</v>
      </c>
      <c r="CL419">
        <f>CH419+CI419+CJ419+CK419</f>
        <v>4</v>
      </c>
    </row>
    <row r="420" spans="1:90" ht="18" customHeight="1">
      <c r="A420" s="260" t="s">
        <v>2560</v>
      </c>
      <c r="B420" s="260" t="s">
        <v>2561</v>
      </c>
      <c r="C420" s="260" t="s">
        <v>2371</v>
      </c>
      <c r="D420" s="260" t="s">
        <v>2372</v>
      </c>
      <c r="E420" s="260" t="s">
        <v>2562</v>
      </c>
      <c r="F420" s="260" t="s">
        <v>2563</v>
      </c>
      <c r="G420" s="260" t="s">
        <v>2564</v>
      </c>
      <c r="H420" s="260" t="s">
        <v>2579</v>
      </c>
      <c r="I420" s="260"/>
      <c r="J420" s="260"/>
      <c r="K420" s="260" t="s">
        <v>2580</v>
      </c>
      <c r="L420" s="260" t="s">
        <v>2581</v>
      </c>
      <c r="M420" s="260" t="s">
        <v>2582</v>
      </c>
      <c r="N420" s="260" t="s">
        <v>111</v>
      </c>
      <c r="O420" s="260" t="s">
        <v>124</v>
      </c>
      <c r="P420" s="10">
        <v>5</v>
      </c>
      <c r="Q420" s="11">
        <v>5</v>
      </c>
      <c r="R420" s="11">
        <f>(Z420+AH420)/CL420</f>
        <v>2.5</v>
      </c>
      <c r="S420" s="11" t="str">
        <f>VLOOKUP(K420,'1106 Hacienda'!$K$13:$AK$15,9,0)</f>
        <v>Continuidad durante el cuatrienio de los procesos transversales de la gestión tributaría que permitan el mejoramiento constante en las finanzas departamentales.</v>
      </c>
      <c r="T420" s="11">
        <v>0</v>
      </c>
      <c r="U420" s="11">
        <v>5</v>
      </c>
      <c r="V420" s="11">
        <v>0</v>
      </c>
      <c r="W420" s="11">
        <v>5</v>
      </c>
      <c r="X420" s="11" t="s">
        <v>115</v>
      </c>
      <c r="Y420" s="11">
        <v>5</v>
      </c>
      <c r="Z420" s="11">
        <v>5</v>
      </c>
      <c r="AA420" s="11" t="s">
        <v>2583</v>
      </c>
      <c r="AB420" s="11" t="s">
        <v>2584</v>
      </c>
      <c r="AC420" s="11" t="s">
        <v>2585</v>
      </c>
      <c r="AD420" s="11">
        <v>0</v>
      </c>
      <c r="AE420" s="11">
        <v>5</v>
      </c>
      <c r="AF420" s="11">
        <f>VLOOKUP(K420,'1106 Hacienda'!$K$13:$AK$15,22,0)</f>
        <v>0</v>
      </c>
      <c r="AG420" s="11">
        <f>VLOOKUP(K420,'1106 Hacienda'!$K$13:$AK$15,23,0)</f>
        <v>5</v>
      </c>
      <c r="AH420" s="11">
        <f t="shared" si="704"/>
        <v>5</v>
      </c>
      <c r="AI420" s="9" t="str">
        <f>VLOOKUP(K420,'1106 Hacienda'!$K$13:$AK$15,25,0)</f>
        <v>Se logró potenciar la Secretaría de Hacienda en su gestión administrativa y financiera. Así mismo, se logra dinamizar la integración de los distintos procesos administrativos, logrando apoyar al talento humano disponible para contribuir al desarrollo de los procesos.</v>
      </c>
      <c r="AJ420" s="9" t="str">
        <f>VLOOKUP(K420,'1106 Hacienda'!$K$13:$AK$15,26,0)</f>
        <v>Se implementaron las principales estrategias para potencializar los Servicios administrativos de funcionamiento y gestión de la Secretaría de Hacienda</v>
      </c>
      <c r="AK420" s="9" t="str">
        <f>VLOOKUP(K420,'1106 Hacienda'!$K$13:$AK$15,27,0)</f>
        <v>Se dificultó y retrasó los procesos contractuales relacionados con la meta, en especial los de apoyo a la gestión y prestación de servicios, debido a la cuarentena nacional decretada por el Gobierno Nacional y Distrital.</v>
      </c>
      <c r="AL420" s="11">
        <v>0</v>
      </c>
      <c r="AM420" s="11">
        <v>5</v>
      </c>
      <c r="AN420" s="11">
        <v>0</v>
      </c>
      <c r="AO420" s="11">
        <v>5</v>
      </c>
      <c r="AP420" s="11">
        <v>0</v>
      </c>
      <c r="AQ420" s="11">
        <v>0</v>
      </c>
      <c r="AR420" s="51">
        <v>1439919525</v>
      </c>
      <c r="AS420" s="54">
        <v>0</v>
      </c>
      <c r="AT420" s="54">
        <f t="shared" si="632"/>
        <v>1439919525</v>
      </c>
      <c r="AU420" s="51">
        <v>242929122</v>
      </c>
      <c r="AV420" s="89">
        <v>2566876670</v>
      </c>
      <c r="AY420" s="89">
        <v>487600000</v>
      </c>
      <c r="AZ420" s="44" cm="1">
        <f t="array" ref="AZ420">_xlfn.IFS((BA420=0),(BD420/CL420),(BA420&gt;0),((BB420+BD420)/CL420),(BE420&gt;0),((BB420+BD420+BE420)/CL420),(BG420&gt;0),((BB420+BD420+BE420+G420)/CL420))</f>
        <v>0.5</v>
      </c>
      <c r="BA420" s="44">
        <v>0.25</v>
      </c>
      <c r="BB420" s="44">
        <v>1</v>
      </c>
      <c r="BC420" s="44">
        <f>IF(AE420&gt;0,(1/CL420),0)</f>
        <v>0.25</v>
      </c>
      <c r="BD420" s="44" cm="1">
        <f t="array" ref="BD420">_xlfn.IFS(AE420=0,"NA",AE420&gt;0,AH420/AE420)</f>
        <v>1</v>
      </c>
      <c r="BE420" s="44">
        <f>IF(AM420&gt;0,(1/CL420),0)</f>
        <v>0.25</v>
      </c>
      <c r="BF420" s="44">
        <v>0</v>
      </c>
      <c r="BG420" s="44">
        <f>IF(AO420&gt;0,(1/CL420),0)</f>
        <v>0.25</v>
      </c>
      <c r="BH420" s="44">
        <v>0</v>
      </c>
      <c r="BI420" s="44">
        <v>0</v>
      </c>
      <c r="BJ420" s="44" t="s">
        <v>115</v>
      </c>
      <c r="BK420" s="44">
        <f t="shared" si="633"/>
        <v>0.5</v>
      </c>
      <c r="BL420" s="44">
        <v>1</v>
      </c>
      <c r="BM420" s="42" cm="1">
        <f t="array" ref="BM420">_xlfn.IFS(BD420="NA","NA",BD420&gt;100%,"100%",BD420&lt;100,BD420)</f>
        <v>1</v>
      </c>
      <c r="BN420" s="44">
        <v>0</v>
      </c>
      <c r="BO420" s="44">
        <v>0</v>
      </c>
      <c r="BP420" s="44" t="s">
        <v>115</v>
      </c>
      <c r="BQ420" s="45">
        <v>0.224</v>
      </c>
      <c r="BR420" s="43">
        <f t="shared" si="634"/>
        <v>0.112</v>
      </c>
      <c r="BS420" s="45">
        <v>5.6000000000000001E-2</v>
      </c>
      <c r="BT420" s="45">
        <v>5.6000000000000001E-2</v>
      </c>
      <c r="BU420" s="45">
        <v>5.6000000000000001E-2</v>
      </c>
      <c r="BV420" s="45">
        <v>5.6000000000000001E-2</v>
      </c>
      <c r="BW420" s="43">
        <f t="shared" si="635"/>
        <v>5.6000000000000001E-2</v>
      </c>
      <c r="BX420" s="43">
        <f t="shared" si="636"/>
        <v>5.6000000000000001E-2</v>
      </c>
      <c r="BY420" s="45">
        <v>5.6000000000000001E-2</v>
      </c>
      <c r="BZ420" s="45">
        <v>0</v>
      </c>
      <c r="CA420" s="43">
        <f t="shared" si="637"/>
        <v>0</v>
      </c>
      <c r="CB420" s="45">
        <v>5.6000000000000001E-2</v>
      </c>
      <c r="CC420" s="45">
        <v>0</v>
      </c>
      <c r="CD420" s="45">
        <v>0</v>
      </c>
      <c r="CE420" s="45">
        <v>0</v>
      </c>
      <c r="CF420" s="45" t="s">
        <v>115</v>
      </c>
      <c r="CG420" s="45">
        <v>0</v>
      </c>
      <c r="CH420">
        <f>IF(W420&gt;0,1,0)</f>
        <v>1</v>
      </c>
      <c r="CI420">
        <f>IF(AE420&gt;0,1,0)</f>
        <v>1</v>
      </c>
      <c r="CJ420">
        <f>IF(AM420&gt;0,1,0)</f>
        <v>1</v>
      </c>
      <c r="CK420">
        <f>IF(AO420&gt;0,1,0)</f>
        <v>1</v>
      </c>
      <c r="CL420">
        <f>CH420+CI420+CJ420+CK420</f>
        <v>4</v>
      </c>
    </row>
    <row r="421" spans="1:90" ht="18" customHeight="1">
      <c r="A421" s="260" t="s">
        <v>2335</v>
      </c>
      <c r="B421" s="260" t="s">
        <v>2336</v>
      </c>
      <c r="C421" s="260" t="s">
        <v>2371</v>
      </c>
      <c r="D421" s="260" t="s">
        <v>2372</v>
      </c>
      <c r="E421" s="260" t="s">
        <v>2562</v>
      </c>
      <c r="F421" s="260" t="s">
        <v>2824</v>
      </c>
      <c r="G421" s="260" t="s">
        <v>2825</v>
      </c>
      <c r="H421" s="260" t="s">
        <v>3062</v>
      </c>
      <c r="I421" s="260"/>
      <c r="J421" s="260"/>
      <c r="K421" s="260" t="s">
        <v>3063</v>
      </c>
      <c r="L421" s="260" t="s">
        <v>3064</v>
      </c>
      <c r="M421" s="260" t="s">
        <v>3065</v>
      </c>
      <c r="N421" s="260" t="s">
        <v>111</v>
      </c>
      <c r="O421" s="260" t="s">
        <v>112</v>
      </c>
      <c r="P421" s="10">
        <v>1</v>
      </c>
      <c r="Q421" s="11">
        <v>1</v>
      </c>
      <c r="R421" s="9" t="e">
        <f t="shared" ref="R421:R424" si="705">Z421+AH421</f>
        <v>#N/A</v>
      </c>
      <c r="S421" s="11" t="e">
        <f>VLOOKUP(K421,'1113 Planeación'!$K$13:$AK$19,9,0)</f>
        <v>#N/A</v>
      </c>
      <c r="T421" s="11">
        <v>0</v>
      </c>
      <c r="U421" s="11">
        <v>0</v>
      </c>
      <c r="V421" s="11">
        <v>0</v>
      </c>
      <c r="W421" s="11">
        <v>0</v>
      </c>
      <c r="X421" s="11">
        <v>0</v>
      </c>
      <c r="Y421" s="11">
        <v>0</v>
      </c>
      <c r="Z421" s="11">
        <v>0</v>
      </c>
      <c r="AA421" s="11"/>
      <c r="AB421" s="11"/>
      <c r="AC421" s="11"/>
      <c r="AD421" s="11">
        <v>0.5</v>
      </c>
      <c r="AE421" s="11">
        <v>0</v>
      </c>
      <c r="AF421" s="11" t="e">
        <f>VLOOKUP(K421,'1113 Planeación'!$K$13:$AK$19,22,0)</f>
        <v>#N/A</v>
      </c>
      <c r="AG421" s="11" t="e">
        <f>VLOOKUP(K421,'1113 Planeación'!$K$13:$AK$19,23,0)</f>
        <v>#N/A</v>
      </c>
      <c r="AH421" s="9" t="e">
        <f t="shared" ref="AH421:AH424" si="706">AF421</f>
        <v>#N/A</v>
      </c>
      <c r="AI421" s="9" t="e">
        <f>VLOOKUP(K421,'1113 Planeación'!$K$13:$AK$19,25,0)</f>
        <v>#N/A</v>
      </c>
      <c r="AJ421" s="9" t="e">
        <f>VLOOKUP(K421,'1113 Planeación'!$K$13:$AK$19,26,0)</f>
        <v>#N/A</v>
      </c>
      <c r="AK421" s="9" t="e">
        <f>VLOOKUP(K421,'1113 Planeación'!$K$13:$AK$19,27,0)</f>
        <v>#N/A</v>
      </c>
      <c r="AL421" s="11">
        <v>0.5</v>
      </c>
      <c r="AM421" s="11">
        <v>0</v>
      </c>
      <c r="AN421" s="11">
        <v>0</v>
      </c>
      <c r="AO421" s="11">
        <v>0</v>
      </c>
      <c r="AP421" s="11">
        <v>0</v>
      </c>
      <c r="AQ421" s="11">
        <v>0</v>
      </c>
      <c r="AR421" s="52"/>
      <c r="AS421" s="54">
        <v>0</v>
      </c>
      <c r="AT421" s="54">
        <f t="shared" si="632"/>
        <v>0</v>
      </c>
      <c r="AU421" s="52"/>
      <c r="AV421" s="89">
        <v>0</v>
      </c>
      <c r="AY421" s="89">
        <v>0</v>
      </c>
      <c r="AZ421" s="42" t="e">
        <f t="shared" ref="AZ421:AZ424" si="707">R421/Q421</f>
        <v>#N/A</v>
      </c>
      <c r="BA421" s="44">
        <v>0</v>
      </c>
      <c r="BB421" s="44" t="s">
        <v>115</v>
      </c>
      <c r="BC421" s="42">
        <f t="shared" ref="BC421:BC424" si="708">AD421/Q421</f>
        <v>0.5</v>
      </c>
      <c r="BD421" s="42" t="e" cm="1">
        <f t="array" ref="BD421">_xlfn.IFS(AD421=0,"NA",AD421&gt;0,AH421/AD421)</f>
        <v>#N/A</v>
      </c>
      <c r="BE421" s="42">
        <f t="shared" ref="BE421:BE424" si="709">AL421/Q421</f>
        <v>0.5</v>
      </c>
      <c r="BF421" s="44">
        <v>0</v>
      </c>
      <c r="BG421" s="42">
        <f t="shared" ref="BG421:BG424" si="710">AN421/Q421</f>
        <v>0</v>
      </c>
      <c r="BH421" s="44" t="s">
        <v>115</v>
      </c>
      <c r="BI421" s="42">
        <f t="shared" ref="BI421:BI424" si="711">AP421/Q421</f>
        <v>0</v>
      </c>
      <c r="BJ421" s="44" t="s">
        <v>115</v>
      </c>
      <c r="BK421" s="42" t="e">
        <f t="shared" si="633"/>
        <v>#N/A</v>
      </c>
      <c r="BL421" s="44" t="s">
        <v>115</v>
      </c>
      <c r="BM421" s="42" t="e" cm="1">
        <f t="array" ref="BM421">_xlfn.IFS(BD421="NA","NA",BD421&gt;100%,"100%",BD421&lt;100,BD421)</f>
        <v>#N/A</v>
      </c>
      <c r="BN421" s="42" cm="1">
        <f t="array" ref="BN421">_xlfn.IFS(BF421="NA","NA",BF421&gt;100%,"100%",BF421&lt;100,BF421)</f>
        <v>0</v>
      </c>
      <c r="BO421" s="42" t="str" cm="1">
        <f t="array" ref="BO421">_xlfn.IFS(BH421="NA","NA",BH421&gt;100%,"100%",BH421&lt;100,BH421)</f>
        <v>NA</v>
      </c>
      <c r="BP421" s="42" t="str" cm="1">
        <f t="array" ref="BP421">_xlfn.IFS(BJ421="NA","NA",BJ421&gt;100%,"100%",BJ421&lt;100,BJ421)</f>
        <v>NA</v>
      </c>
      <c r="BQ421" s="45">
        <v>0.224</v>
      </c>
      <c r="BR421" s="43" t="e">
        <f t="shared" si="634"/>
        <v>#N/A</v>
      </c>
      <c r="BS421" s="45">
        <v>0</v>
      </c>
      <c r="BT421" s="45" t="s">
        <v>115</v>
      </c>
      <c r="BU421" s="45">
        <v>0</v>
      </c>
      <c r="BV421" s="43">
        <f t="shared" ref="BV421:BV424" si="712">(AD421*BQ421)/Q421</f>
        <v>0.112</v>
      </c>
      <c r="BW421" s="43" t="e">
        <f t="shared" si="635"/>
        <v>#N/A</v>
      </c>
      <c r="BX421" s="43" t="e">
        <f t="shared" si="636"/>
        <v>#N/A</v>
      </c>
      <c r="BY421" s="43">
        <f t="shared" ref="BY421:BY424" si="713">(AL421*BQ421)/Q421</f>
        <v>0.112</v>
      </c>
      <c r="BZ421" s="43">
        <f t="shared" ref="BZ421:BZ424" si="714">IF(BN421="NA","NA",BN421*BY421)</f>
        <v>0</v>
      </c>
      <c r="CA421" s="43" t="e">
        <f t="shared" si="637"/>
        <v>#N/A</v>
      </c>
      <c r="CB421" s="43">
        <f t="shared" ref="CB421:CB424" si="715">(AN421*BQ421)/Q421</f>
        <v>0</v>
      </c>
      <c r="CC421" s="43" t="str">
        <f t="shared" ref="CC421:CC424" si="716">IF(BO421="NA","NA",BO421*CB421)</f>
        <v>NA</v>
      </c>
      <c r="CD421" s="45">
        <v>0</v>
      </c>
      <c r="CE421" s="43">
        <f t="shared" ref="CE421:CE424" si="717">(AP421*BQ421)/Q421</f>
        <v>0</v>
      </c>
      <c r="CF421" s="43" t="str">
        <f t="shared" ref="CF421:CF424" si="718">IF(BP421="NA","NA",BP421*CE421)</f>
        <v>NA</v>
      </c>
      <c r="CG421" s="45">
        <v>0</v>
      </c>
    </row>
    <row r="422" spans="1:90" ht="18" customHeight="1">
      <c r="A422" s="260" t="s">
        <v>2335</v>
      </c>
      <c r="B422" s="260" t="s">
        <v>2336</v>
      </c>
      <c r="C422" s="260" t="s">
        <v>2371</v>
      </c>
      <c r="D422" s="260" t="s">
        <v>2372</v>
      </c>
      <c r="E422" s="260" t="s">
        <v>2562</v>
      </c>
      <c r="F422" s="260" t="s">
        <v>2824</v>
      </c>
      <c r="G422" s="260" t="s">
        <v>2825</v>
      </c>
      <c r="H422" s="260" t="s">
        <v>3066</v>
      </c>
      <c r="I422" s="260"/>
      <c r="J422" s="260"/>
      <c r="K422" s="260" t="s">
        <v>3067</v>
      </c>
      <c r="L422" s="260" t="s">
        <v>3068</v>
      </c>
      <c r="M422" s="260" t="s">
        <v>131</v>
      </c>
      <c r="N422" s="260" t="s">
        <v>111</v>
      </c>
      <c r="O422" s="260" t="s">
        <v>112</v>
      </c>
      <c r="P422" s="10">
        <v>0</v>
      </c>
      <c r="Q422" s="11">
        <v>1</v>
      </c>
      <c r="R422" s="9" t="e">
        <f t="shared" si="705"/>
        <v>#N/A</v>
      </c>
      <c r="S422" s="11" t="e">
        <f>VLOOKUP(K422,'1113 Planeación'!$K$13:$AK$19,9,0)</f>
        <v>#N/A</v>
      </c>
      <c r="T422" s="11">
        <v>1</v>
      </c>
      <c r="U422" s="11">
        <v>0</v>
      </c>
      <c r="V422" s="11">
        <v>1</v>
      </c>
      <c r="W422" s="11">
        <v>0</v>
      </c>
      <c r="X422" s="11">
        <v>1</v>
      </c>
      <c r="Y422" s="11">
        <v>0</v>
      </c>
      <c r="Z422" s="11">
        <v>1</v>
      </c>
      <c r="AA422" s="11" t="s">
        <v>3069</v>
      </c>
      <c r="AB422" s="11" t="s">
        <v>3070</v>
      </c>
      <c r="AC422" s="11">
        <v>0</v>
      </c>
      <c r="AD422" s="11">
        <v>0</v>
      </c>
      <c r="AE422" s="11">
        <v>0</v>
      </c>
      <c r="AF422" s="11" t="e">
        <f>VLOOKUP(K422,'1113 Planeación'!$K$13:$AK$19,22,0)</f>
        <v>#N/A</v>
      </c>
      <c r="AG422" s="11" t="e">
        <f>VLOOKUP(K422,'1113 Planeación'!$K$13:$AK$19,23,0)</f>
        <v>#N/A</v>
      </c>
      <c r="AH422" s="9" t="e">
        <f t="shared" si="706"/>
        <v>#N/A</v>
      </c>
      <c r="AI422" s="9" t="e">
        <f>VLOOKUP(K422,'1113 Planeación'!$K$13:$AK$19,25,0)</f>
        <v>#N/A</v>
      </c>
      <c r="AJ422" s="9" t="e">
        <f>VLOOKUP(K422,'1113 Planeación'!$K$13:$AK$19,26,0)</f>
        <v>#N/A</v>
      </c>
      <c r="AK422" s="9" t="e">
        <f>VLOOKUP(K422,'1113 Planeación'!$K$13:$AK$19,27,0)</f>
        <v>#N/A</v>
      </c>
      <c r="AL422" s="11">
        <v>0</v>
      </c>
      <c r="AM422" s="11">
        <v>0</v>
      </c>
      <c r="AN422" s="11">
        <v>0</v>
      </c>
      <c r="AO422" s="11">
        <v>0</v>
      </c>
      <c r="AP422" s="11">
        <v>0</v>
      </c>
      <c r="AQ422" s="11">
        <v>0</v>
      </c>
      <c r="AR422" s="52"/>
      <c r="AS422" s="54">
        <v>234000000</v>
      </c>
      <c r="AT422" s="54">
        <f t="shared" si="632"/>
        <v>234000000</v>
      </c>
      <c r="AU422" s="52"/>
      <c r="AV422" s="89">
        <v>0</v>
      </c>
      <c r="AY422" s="89">
        <v>0</v>
      </c>
      <c r="AZ422" s="42" t="e">
        <f t="shared" si="707"/>
        <v>#N/A</v>
      </c>
      <c r="BA422" s="44">
        <v>1</v>
      </c>
      <c r="BB422" s="44">
        <v>1</v>
      </c>
      <c r="BC422" s="42">
        <f t="shared" si="708"/>
        <v>0</v>
      </c>
      <c r="BD422" s="42" t="str" cm="1">
        <f t="array" ref="BD422">_xlfn.IFS(AD422=0,"NA",AD422&gt;0,AH422/AD422)</f>
        <v>NA</v>
      </c>
      <c r="BE422" s="42">
        <f t="shared" si="709"/>
        <v>0</v>
      </c>
      <c r="BF422" s="44" t="s">
        <v>115</v>
      </c>
      <c r="BG422" s="42">
        <f t="shared" si="710"/>
        <v>0</v>
      </c>
      <c r="BH422" s="44" t="s">
        <v>115</v>
      </c>
      <c r="BI422" s="42">
        <f t="shared" si="711"/>
        <v>0</v>
      </c>
      <c r="BJ422" s="44" t="s">
        <v>115</v>
      </c>
      <c r="BK422" s="94" t="e">
        <f t="shared" si="633"/>
        <v>#N/A</v>
      </c>
      <c r="BL422" s="44">
        <v>1</v>
      </c>
      <c r="BM422" s="42" t="str" cm="1">
        <f t="array" ref="BM422">_xlfn.IFS(BD422="NA","NA",BD422&gt;100%,"100%",BD422&lt;100,BD422)</f>
        <v>NA</v>
      </c>
      <c r="BN422" s="42" t="str" cm="1">
        <f t="array" ref="BN422">_xlfn.IFS(BF422="NA","NA",BF422&gt;100%,"100%",BF422&lt;100,BF422)</f>
        <v>NA</v>
      </c>
      <c r="BO422" s="42" t="str" cm="1">
        <f t="array" ref="BO422">_xlfn.IFS(BH422="NA","NA",BH422&gt;100%,"100%",BH422&lt;100,BH422)</f>
        <v>NA</v>
      </c>
      <c r="BP422" s="42" t="str" cm="1">
        <f t="array" ref="BP422">_xlfn.IFS(BJ422="NA","NA",BJ422&gt;100%,"100%",BJ422&lt;100,BJ422)</f>
        <v>NA</v>
      </c>
      <c r="BQ422" s="45">
        <v>0.224</v>
      </c>
      <c r="BR422" s="43" t="e">
        <f t="shared" si="634"/>
        <v>#N/A</v>
      </c>
      <c r="BS422" s="45">
        <v>0.224</v>
      </c>
      <c r="BT422" s="45">
        <v>0.224</v>
      </c>
      <c r="BU422" s="45">
        <v>0.224</v>
      </c>
      <c r="BV422" s="43">
        <f t="shared" si="712"/>
        <v>0</v>
      </c>
      <c r="BW422" s="43" t="str">
        <f t="shared" si="635"/>
        <v>NA</v>
      </c>
      <c r="BX422" s="43" t="e">
        <f t="shared" si="636"/>
        <v>#N/A</v>
      </c>
      <c r="BY422" s="43">
        <f t="shared" si="713"/>
        <v>0</v>
      </c>
      <c r="BZ422" s="43" t="str">
        <f t="shared" si="714"/>
        <v>NA</v>
      </c>
      <c r="CA422" s="43" t="e">
        <f t="shared" si="637"/>
        <v>#N/A</v>
      </c>
      <c r="CB422" s="43">
        <f t="shared" si="715"/>
        <v>0</v>
      </c>
      <c r="CC422" s="43" t="str">
        <f t="shared" si="716"/>
        <v>NA</v>
      </c>
      <c r="CD422" s="45">
        <v>0</v>
      </c>
      <c r="CE422" s="43">
        <f t="shared" si="717"/>
        <v>0</v>
      </c>
      <c r="CF422" s="43" t="str">
        <f t="shared" si="718"/>
        <v>NA</v>
      </c>
      <c r="CG422" s="45">
        <v>0</v>
      </c>
    </row>
    <row r="423" spans="1:90" ht="18" customHeight="1">
      <c r="A423" s="260" t="s">
        <v>2586</v>
      </c>
      <c r="B423" s="260" t="s">
        <v>2587</v>
      </c>
      <c r="C423" s="260" t="s">
        <v>2371</v>
      </c>
      <c r="D423" s="260" t="s">
        <v>2588</v>
      </c>
      <c r="E423" s="260" t="s">
        <v>2589</v>
      </c>
      <c r="F423" s="260" t="s">
        <v>2590</v>
      </c>
      <c r="G423" s="260" t="s">
        <v>2591</v>
      </c>
      <c r="H423" s="260" t="s">
        <v>2592</v>
      </c>
      <c r="I423" s="260"/>
      <c r="J423" s="260"/>
      <c r="K423" s="260" t="s">
        <v>2593</v>
      </c>
      <c r="L423" s="260" t="s">
        <v>2594</v>
      </c>
      <c r="M423" s="260" t="s">
        <v>2595</v>
      </c>
      <c r="N423" s="260" t="s">
        <v>111</v>
      </c>
      <c r="O423" s="260" t="s">
        <v>112</v>
      </c>
      <c r="P423" s="10">
        <v>0</v>
      </c>
      <c r="Q423" s="11">
        <v>1</v>
      </c>
      <c r="R423" s="9">
        <f t="shared" si="705"/>
        <v>0.38</v>
      </c>
      <c r="S423" s="11" t="str">
        <f>VLOOKUP(K423,'1184 Prensa'!$K$13:$AK$15,9,0)</f>
        <v>Con la misión de llegar a todo el departamento y en aras de articular a Cundinamarca por medio de una red departamental de radio, gracias al programa En Línea con el Gobernador logramos llegar a más de 53 emisoras comunitarias y 2 emisoras regionales. Además, ya tenemos conexión con más de 12 alcaldías municipales, las cuales ya están incluidas en la parrilla de programación del El Dorado Radio.</v>
      </c>
      <c r="T423" s="11">
        <v>0.1</v>
      </c>
      <c r="U423" s="11">
        <v>0</v>
      </c>
      <c r="V423" s="11">
        <v>0.1</v>
      </c>
      <c r="W423" s="11">
        <v>0</v>
      </c>
      <c r="X423" s="11">
        <v>0.1</v>
      </c>
      <c r="Y423" s="11">
        <v>0</v>
      </c>
      <c r="Z423" s="11">
        <v>0.1</v>
      </c>
      <c r="AA423" s="11">
        <v>0</v>
      </c>
      <c r="AB423" s="11" t="s">
        <v>2596</v>
      </c>
      <c r="AC423" s="11" t="s">
        <v>2597</v>
      </c>
      <c r="AD423" s="11">
        <v>0.3</v>
      </c>
      <c r="AE423" s="11">
        <v>0</v>
      </c>
      <c r="AF423" s="11">
        <f>VLOOKUP(K423,'1184 Prensa'!$K$13:$AK$15,22,0)</f>
        <v>0.28000000000000003</v>
      </c>
      <c r="AG423" s="11">
        <f>VLOOKUP(K423,'1184 Prensa'!$K$13:$AK$15,23,0)</f>
        <v>0</v>
      </c>
      <c r="AH423" s="9">
        <f t="shared" si="706"/>
        <v>0.28000000000000003</v>
      </c>
      <c r="AI423" s="9" t="str">
        <f>VLOOKUP(K423,'1184 Prensa'!$K$13:$AK$15,25,0)</f>
        <v xml:space="preserve">A la fecha contamos con 42 programas al aire en la Emisora “El Dorado Radio” divididos en noticieros, programas de entretenimiento, musicales, de emprendimiento, salud, empoderamiento, participación y de secretarías y direcciones de las diferentes entidades de la Gobernación de Cundinamarca; adicional a ello también se efectúan transmisiones de eventos especiales que realiza la gobernación, por ejemplo, Gobernador en Línea, ferias de servicios y rendición de cuentas.  Se han transmitido eventos especiales en la frecuencia 99.5FM y redes sociales (Instagram, Facebook, YouTube y Twitter) teniendo las siguientes estadísticas con tendencia al incremento de seguidores en redes sociales así: Resumen estadísticas Instagram:  Seguidores: 2019, Cuentas alcanzadas: 3.802 Cuentas que interactuaron: 87. Resumen estadísticas twitter: Twitter: 4.336. Resumen estadísticas Facebook: Seguidores: 12,48 k, alcance de publicaciones: 115,7 mil interacciones con las publicaciones: 20,9 mil, nuevos me gusta de la página: 145, nuevos seguidores: 209, alcance de la página: 158,6 mil, visitas a la página: 3.638. Adicional a ello se ha logrado la conexión con 15 municipios para transmisión de programas de interés de cada territorio en la Emisora El Dorado Radio. A través del programa “En línea Con El Gobernador” llegamos a 53 emisoras comunitarias y 2 emisoras regionales. Se ha promovido el apoyo a jóvenes emprendedores del municipio de Gachancipá con la apertura de un espacio radial en la Emisora “El Dorado Radio” en los días viernes de 8pm a 10pm y sábados de 8pm a 11pm. Por último, mencionar que en el marco de la suscripción del contrato interadministrativo con el Fondo de Desarrollo de Proyectos de Cundinamarca- FONDECUN vigencia 2021; se evidencia un avance de ejecución del 78% de los siguientes productos: Radio regional, radio nacional y programa en línea con el Gobernador. </v>
      </c>
      <c r="AJ423" s="9" t="str">
        <f>VLOOKUP(K423,'1184 Prensa'!$K$13:$AK$15,26,0)</f>
        <v xml:space="preserve">Al mes de  noviembre de 2021, la emisora de interés público "El Dorado Radio" tiene al aire 42 programas que están divididos en noticieros, programas de entretenimiento, musicales, de emprendimiento, salud, empoderamiento, participación y de secretarías y direcciones de las diferentes entidades de la Gobernación de Cundinamarca; adicional a ello también se realizan transmisiones de eventos especiales que adelanta la gobernación, por ejemplo, Gobernador en Línea, ferias de servicios, rendición de cuentas, entre otros; tanto en la frecuencia 99.5 FM, como por nuestros diferentes canales virtuales, teniendo las siguientes estadísticas con tendencia al incremento respecto a meses anteriores:             Resumen estadísticas Instagram:                                                                                                                                                                                         Seguidores: 2019                                                                                                                                                                                                                         Cuentas alcanzadas: 3.802                                                                                                                                                                                                         Cuentas que interactuaron: 87                                                                                                                                                                                               Resumen estadísticas twitter:                                                                                                                                                                                                    Twitter: 4.336                                                                                                                                                                                                                               Resumen estadísticas Facebook: 
Seguidores: 12,48 k
Alcance de publicaciones: 115,7 mil 
Interacciones con las publicaciones: 20,9 mil 
Nuevos me gusta de la página: 145 
Nuevos seguidores: 209 
Alcance de la página: 158,6 mil 
Visitas a la página: 3.638
Ahora bien, durante el desarrollo de mesas de dialogo de la Gobernación de Cundinamarca, jóvenes del municipio de Gachancipa con un emprendimiento denominado “Maxi Rumba”, solicitaron un programa radial en la Emisora “El Dorado Radio”, razón por la cual se abrió una franja para tal efecto los días viernes de 8pm a 10pm y sábados de 8pm a 11pm. Por ultima, en el marco de la suscripción del contrato interadministrativo con el Fondo de Desarrollo de Proyectos de Cundinamarca- FONDECUN vigencia 2021, a la fecha se evidencia un avance de ejecución del 77% correspondiente a la ejecución de los siguientes productos:                                                                                    
Radio regional.                                                                                                               
Radio nacional.                                                                                                                    
Programa en Línea con el Gobernador.
</v>
      </c>
      <c r="AK423" s="9">
        <f>VLOOKUP(K423,'1184 Prensa'!$K$13:$AK$15,27,0)</f>
        <v>0</v>
      </c>
      <c r="AL423" s="11">
        <v>0.3</v>
      </c>
      <c r="AM423" s="11">
        <v>0</v>
      </c>
      <c r="AN423" s="11">
        <v>0.3</v>
      </c>
      <c r="AO423" s="11">
        <v>0</v>
      </c>
      <c r="AP423" s="11">
        <v>0</v>
      </c>
      <c r="AQ423" s="11">
        <v>0</v>
      </c>
      <c r="AR423" s="51">
        <v>536723000</v>
      </c>
      <c r="AS423" s="54">
        <v>0</v>
      </c>
      <c r="AT423" s="54">
        <f t="shared" si="632"/>
        <v>536723000</v>
      </c>
      <c r="AU423" s="51">
        <v>512640756</v>
      </c>
      <c r="AV423" s="89">
        <v>1599700743</v>
      </c>
      <c r="AY423" s="89">
        <v>430276694</v>
      </c>
      <c r="AZ423" s="42">
        <f t="shared" si="707"/>
        <v>0.38</v>
      </c>
      <c r="BA423" s="44">
        <v>0.1</v>
      </c>
      <c r="BB423" s="44">
        <v>1</v>
      </c>
      <c r="BC423" s="42">
        <f t="shared" si="708"/>
        <v>0.3</v>
      </c>
      <c r="BD423" s="42" cm="1">
        <f t="array" ref="BD423">_xlfn.IFS(AD423=0,"NA",AD423&gt;0,AH423/AD423)</f>
        <v>0.93333333333333346</v>
      </c>
      <c r="BE423" s="42">
        <f t="shared" si="709"/>
        <v>0.3</v>
      </c>
      <c r="BF423" s="44">
        <v>0</v>
      </c>
      <c r="BG423" s="42">
        <f t="shared" si="710"/>
        <v>0.3</v>
      </c>
      <c r="BH423" s="44">
        <v>0</v>
      </c>
      <c r="BI423" s="42">
        <f t="shared" si="711"/>
        <v>0</v>
      </c>
      <c r="BJ423" s="44" t="s">
        <v>115</v>
      </c>
      <c r="BK423" s="42">
        <f t="shared" si="633"/>
        <v>0.38</v>
      </c>
      <c r="BL423" s="44">
        <v>1</v>
      </c>
      <c r="BM423" s="42" cm="1">
        <f t="array" ref="BM423">_xlfn.IFS(BD423="NA","NA",BD423&gt;100%,"100%",BD423&lt;100,BD423)</f>
        <v>0.93333333333333346</v>
      </c>
      <c r="BN423" s="42" cm="1">
        <f t="array" ref="BN423">_xlfn.IFS(BF423="NA","NA",BF423&gt;100%,"100%",BF423&lt;100,BF423)</f>
        <v>0</v>
      </c>
      <c r="BO423" s="42" cm="1">
        <f t="array" ref="BO423">_xlfn.IFS(BH423="NA","NA",BH423&gt;100%,"100%",BH423&lt;100,BH423)</f>
        <v>0</v>
      </c>
      <c r="BP423" s="42" t="str" cm="1">
        <f t="array" ref="BP423">_xlfn.IFS(BJ423="NA","NA",BJ423&gt;100%,"100%",BJ423&lt;100,BJ423)</f>
        <v>NA</v>
      </c>
      <c r="BQ423" s="45">
        <v>0.224</v>
      </c>
      <c r="BR423" s="43">
        <f t="shared" si="634"/>
        <v>8.5120000000000001E-2</v>
      </c>
      <c r="BS423" s="45">
        <v>2.24E-2</v>
      </c>
      <c r="BT423" s="45">
        <v>2.24E-2</v>
      </c>
      <c r="BU423" s="45">
        <v>2.24E-2</v>
      </c>
      <c r="BV423" s="43">
        <f t="shared" si="712"/>
        <v>6.7199999999999996E-2</v>
      </c>
      <c r="BW423" s="43">
        <f t="shared" si="635"/>
        <v>6.2719999999999998E-2</v>
      </c>
      <c r="BX423" s="43">
        <f t="shared" si="636"/>
        <v>6.2719999999999998E-2</v>
      </c>
      <c r="BY423" s="43">
        <f t="shared" si="713"/>
        <v>6.7199999999999996E-2</v>
      </c>
      <c r="BZ423" s="43">
        <f t="shared" si="714"/>
        <v>0</v>
      </c>
      <c r="CA423" s="43">
        <f t="shared" si="637"/>
        <v>0</v>
      </c>
      <c r="CB423" s="43">
        <f t="shared" si="715"/>
        <v>6.7199999999999996E-2</v>
      </c>
      <c r="CC423" s="43">
        <f t="shared" si="716"/>
        <v>0</v>
      </c>
      <c r="CD423" s="45">
        <v>0</v>
      </c>
      <c r="CE423" s="43">
        <f t="shared" si="717"/>
        <v>0</v>
      </c>
      <c r="CF423" s="43" t="str">
        <f t="shared" si="718"/>
        <v>NA</v>
      </c>
      <c r="CG423" s="45">
        <v>0</v>
      </c>
    </row>
    <row r="424" spans="1:90" ht="18" customHeight="1">
      <c r="A424" s="260" t="s">
        <v>2586</v>
      </c>
      <c r="B424" s="260" t="s">
        <v>2587</v>
      </c>
      <c r="C424" s="260" t="s">
        <v>2371</v>
      </c>
      <c r="D424" s="260" t="s">
        <v>2588</v>
      </c>
      <c r="E424" s="260" t="s">
        <v>2589</v>
      </c>
      <c r="F424" s="260" t="s">
        <v>2590</v>
      </c>
      <c r="G424" s="260" t="s">
        <v>2591</v>
      </c>
      <c r="H424" s="260" t="s">
        <v>2598</v>
      </c>
      <c r="I424" s="260"/>
      <c r="J424" s="260"/>
      <c r="K424" s="260" t="s">
        <v>2599</v>
      </c>
      <c r="L424" s="260" t="s">
        <v>3071</v>
      </c>
      <c r="M424" s="260" t="s">
        <v>3072</v>
      </c>
      <c r="N424" s="260" t="s">
        <v>123</v>
      </c>
      <c r="O424" s="260" t="s">
        <v>112</v>
      </c>
      <c r="P424" s="10">
        <v>0</v>
      </c>
      <c r="Q424" s="11">
        <v>50</v>
      </c>
      <c r="R424" s="9">
        <f t="shared" si="705"/>
        <v>20</v>
      </c>
      <c r="S424" s="11" t="str">
        <f>VLOOKUP(K424,'1184 Prensa'!$K$13:$AK$15,9,0)</f>
        <v>Durante la vigencia 2020 a través de la suscripción del Contrato Interadministrativo con el Fondo de Desarrollo de Proyectos de Cundinamarca- FONDECUN, se realizó la caracterización y diagnóstico de los medios de comunicación del departamento identificando 411 medios de comunicación de la región distribuidos de la siguiente manera: Radio 217, medios impresos (prensa) 112, televisión 22 y web y redes sociales 60.                                                                                                                                                                     En el marco de la celebración del día del periodista durante la vigencia 2021 se realizó el evento denominado Reconocimiento "Periodismo Vivo Antonio Nariño", donde se entregaron 7 tablets  Marca Lenovo Tab M8 HDpantalla HD y altavoz con tecnología Dolby Audio, procesador de cuatro núcleos y batería de larga duración  a los periodistas ganadores en las 8 categorías descritas.                                                                                                                                                                                                                                               Por último, en el marco del acompañamiento técnico realizado por la Secretaría de Prensa y Comunicaciones para que los medios de comunicación postularán sus propuestas ante el Ministerio de Tecnologías de la Información y las Comunicaciones- MinTIC para recibir apoyos en transformación digital,  a la fecha se ha logrado impactar a 120 medios regionales, de los cuales 4 culminaron el proceso satisfactoriamente en la plataforma de MinTIC.                                                                                                                                                                                                                                    Además, se dio inició al curso de redacción y ortografía con un total de 54 periodistas inscritos que a la fecha se encuentra en curso.                                                                                                                                                                                                                                      Seguido a ello, hemos logrado impactar a 25 medios de comunicación del departamento en el marco de la convocatoria para capacitar a periodistas; en dicho contexto se entregaron 19 certificaciones de participación y aprobación del Curso Marketing Digital en su primera convocatoria.</v>
      </c>
      <c r="T424" s="11">
        <v>5</v>
      </c>
      <c r="U424" s="11">
        <v>0</v>
      </c>
      <c r="V424" s="11">
        <v>5</v>
      </c>
      <c r="W424" s="11">
        <v>0</v>
      </c>
      <c r="X424" s="11">
        <v>5</v>
      </c>
      <c r="Y424" s="11">
        <v>0</v>
      </c>
      <c r="Z424" s="11">
        <v>5</v>
      </c>
      <c r="AA424" s="11">
        <v>0</v>
      </c>
      <c r="AB424" s="11"/>
      <c r="AC424" s="11">
        <v>0</v>
      </c>
      <c r="AD424" s="11">
        <v>20</v>
      </c>
      <c r="AE424" s="11">
        <v>0</v>
      </c>
      <c r="AF424" s="11">
        <f>VLOOKUP(K424,'1184 Prensa'!$K$13:$AK$15,22,0)</f>
        <v>15</v>
      </c>
      <c r="AG424" s="11">
        <f>VLOOKUP(K424,'1184 Prensa'!$K$13:$AK$15,23,0)</f>
        <v>0</v>
      </c>
      <c r="AH424" s="9">
        <f t="shared" si="706"/>
        <v>15</v>
      </c>
      <c r="AI424" s="9" t="str">
        <f>VLOOKUP(K424,'1184 Prensa'!$K$13:$AK$15,25,0)</f>
        <v>Se realizó la entrega de 7 tablets Marca Lenovo Tab M8 HD pantalla HD y altavoz con tecnología Dolby Audio, procesador de cuatro núcleos y batería a periodistas ganadores de 8 categorías en el marco de la celebración del día del periodista vigencia 2021 denominado Reconocimiento "Periodismo Vivo Antonio Nariño". En dicho contexto el día 04 de octubre de 2021, se dio apertura a la convocatoria de la 2ª versión de la condecoración ‘Periodismo vivo Antonio Nariño de Cundinamarca’ vigencia 2022, un reconocimiento a quienes, por su trabajo y servicio, a través del ejercicio del periodismo, aportan y exaltan el nombre del departamento.  Ahora bien, producto de una alianza estratégica con el Servicio Nacional de Aprendizaje- SENA se desarrollaron los cursos de marketing digital y redacción y ortografía donde se logró impactar a 25 y 41 periodistas de medios de comunicación del departamento. Por ultimo y en el marco de la alianza con la Casa Editorial El Tiempo S.A se desarrolló un taller enfocado en redes sociales, digital y edición de textos que permitió contribuir con la capacitación de 51 periodistas de medios de comunicación del departamento. Además, se realizó acompañamiento técnico a 120 medios de comunicación del departamento para la postulación de propuestas ante el Ministerio de Tecnologías de la Información y las Comunicaciones- MinTIC y así recibir apoyo en transformación digital; 4 de ellos culminaron el proceso exitosamente.</v>
      </c>
      <c r="AJ424" s="9" t="str">
        <f>VLOOKUP(K424,'1184 Prensa'!$K$13:$AK$15,26,0)</f>
        <v xml:space="preserve">En el mes de octubre de 2021 se culminó el cumplimiento a la programación física de la meta para la vigencia. </v>
      </c>
      <c r="AK424" s="9" t="str">
        <f>VLOOKUP(K424,'1184 Prensa'!$K$13:$AK$15,27,0)</f>
        <v xml:space="preserve">En el marco de la celebración del día del periodista, se realizó el evento denominado Reconocimiento "Periodismo Vivo Antonio Nariño", donde se entregaron 7 tablets  Marca Lenovo Tab M8 HDpantalla HD y altavoz con tecnología Dolby Audio, procesador de cuatro núcleos y batería de larga duración  a los periodistas ganadores en las 8 categorías descritas. En el marco de las covocatorias para capacitar a periodistas del departamento se inició con un proceso de preinscripción que culminó el 25 de junio de 2021, con el fin de determinar el número de postulados preinscritos que a la fecha son: 
1. Curso Redacción y ortografía: 180 postulados preinscritos 
2.Curso Marketing digital: 115 postulados preinscritos.
3.Curso Maketing digital (para enlaces de la gobernación): 40 postulados preinscritos. En el marco del acompañamiento técnico realizado por la Secretaría de Prensa y Comunicaciones para que los medios de comunición postulen sus propuestas ante el Ministerio de Tecnologías de la Información y las Comunicaciones- Mintic  y así recibir apoyos en transformación digital a la  fecha se ha logrado impactar a 130 medios regionales, de los cuales 2 han cargado sus documentos satisfactoriamente a la plataforma de Mintic y 4 están haciendo los ajustes pertinentes para postularse.
</v>
      </c>
      <c r="AL424" s="11">
        <v>15</v>
      </c>
      <c r="AM424" s="11">
        <v>0</v>
      </c>
      <c r="AN424" s="11">
        <v>10</v>
      </c>
      <c r="AO424" s="11">
        <v>0</v>
      </c>
      <c r="AP424" s="11">
        <v>0</v>
      </c>
      <c r="AQ424" s="11">
        <v>0</v>
      </c>
      <c r="AR424" s="51">
        <v>168751000</v>
      </c>
      <c r="AS424" s="54">
        <v>0</v>
      </c>
      <c r="AT424" s="54">
        <f t="shared" si="632"/>
        <v>168751000</v>
      </c>
      <c r="AU424" s="51">
        <v>168751000</v>
      </c>
      <c r="AV424" s="89">
        <v>150530333</v>
      </c>
      <c r="AY424" s="89">
        <v>145907500</v>
      </c>
      <c r="AZ424" s="42">
        <f t="shared" si="707"/>
        <v>0.4</v>
      </c>
      <c r="BA424" s="44">
        <v>0.1</v>
      </c>
      <c r="BB424" s="44">
        <v>1</v>
      </c>
      <c r="BC424" s="42">
        <f t="shared" si="708"/>
        <v>0.4</v>
      </c>
      <c r="BD424" s="42" cm="1">
        <f t="array" ref="BD424">_xlfn.IFS(AD424=0,"NA",AD424&gt;0,AH424/AD424)</f>
        <v>0.75</v>
      </c>
      <c r="BE424" s="42">
        <f t="shared" si="709"/>
        <v>0.3</v>
      </c>
      <c r="BF424" s="44">
        <v>0</v>
      </c>
      <c r="BG424" s="42">
        <f t="shared" si="710"/>
        <v>0.2</v>
      </c>
      <c r="BH424" s="44">
        <v>0</v>
      </c>
      <c r="BI424" s="42">
        <f t="shared" si="711"/>
        <v>0</v>
      </c>
      <c r="BJ424" s="44" t="s">
        <v>115</v>
      </c>
      <c r="BK424" s="42">
        <f t="shared" si="633"/>
        <v>0.4</v>
      </c>
      <c r="BL424" s="44">
        <v>1</v>
      </c>
      <c r="BM424" s="42" cm="1">
        <f t="array" ref="BM424">_xlfn.IFS(BD424="NA","NA",BD424&gt;100%,"100%",BD424&lt;100,BD424)</f>
        <v>0.75</v>
      </c>
      <c r="BN424" s="42" cm="1">
        <f t="array" ref="BN424">_xlfn.IFS(BF424="NA","NA",BF424&gt;100%,"100%",BF424&lt;100,BF424)</f>
        <v>0</v>
      </c>
      <c r="BO424" s="42" cm="1">
        <f t="array" ref="BO424">_xlfn.IFS(BH424="NA","NA",BH424&gt;100%,"100%",BH424&lt;100,BH424)</f>
        <v>0</v>
      </c>
      <c r="BP424" s="42" t="str" cm="1">
        <f t="array" ref="BP424">_xlfn.IFS(BJ424="NA","NA",BJ424&gt;100%,"100%",BJ424&lt;100,BJ424)</f>
        <v>NA</v>
      </c>
      <c r="BQ424" s="45">
        <v>0.224</v>
      </c>
      <c r="BR424" s="43">
        <f t="shared" si="634"/>
        <v>8.9600000000000013E-2</v>
      </c>
      <c r="BS424" s="45">
        <v>2.24E-2</v>
      </c>
      <c r="BT424" s="45">
        <v>2.24E-2</v>
      </c>
      <c r="BU424" s="45">
        <v>2.24E-2</v>
      </c>
      <c r="BV424" s="43">
        <f t="shared" si="712"/>
        <v>8.9600000000000013E-2</v>
      </c>
      <c r="BW424" s="43">
        <f t="shared" si="635"/>
        <v>6.720000000000001E-2</v>
      </c>
      <c r="BX424" s="43">
        <f t="shared" si="636"/>
        <v>6.720000000000001E-2</v>
      </c>
      <c r="BY424" s="43">
        <f t="shared" si="713"/>
        <v>6.7199999999999996E-2</v>
      </c>
      <c r="BZ424" s="43">
        <f t="shared" si="714"/>
        <v>0</v>
      </c>
      <c r="CA424" s="43">
        <f t="shared" si="637"/>
        <v>0</v>
      </c>
      <c r="CB424" s="43">
        <f t="shared" si="715"/>
        <v>4.4800000000000006E-2</v>
      </c>
      <c r="CC424" s="43">
        <f t="shared" si="716"/>
        <v>0</v>
      </c>
      <c r="CD424" s="45">
        <v>0</v>
      </c>
      <c r="CE424" s="43">
        <f t="shared" si="717"/>
        <v>0</v>
      </c>
      <c r="CF424" s="43" t="str">
        <f t="shared" si="718"/>
        <v>NA</v>
      </c>
      <c r="CG424" s="45">
        <v>0</v>
      </c>
    </row>
    <row r="425" spans="1:90" ht="18" customHeight="1">
      <c r="A425" s="260" t="s">
        <v>2586</v>
      </c>
      <c r="B425" s="260" t="s">
        <v>2587</v>
      </c>
      <c r="C425" s="260" t="s">
        <v>2371</v>
      </c>
      <c r="D425" s="260" t="s">
        <v>2588</v>
      </c>
      <c r="E425" s="260" t="s">
        <v>2589</v>
      </c>
      <c r="F425" s="260" t="s">
        <v>2590</v>
      </c>
      <c r="G425" s="260" t="s">
        <v>2591</v>
      </c>
      <c r="H425" s="260" t="s">
        <v>2602</v>
      </c>
      <c r="I425" s="260"/>
      <c r="J425" s="260"/>
      <c r="K425" s="260" t="s">
        <v>2603</v>
      </c>
      <c r="L425" s="260" t="s">
        <v>2604</v>
      </c>
      <c r="M425" s="260" t="s">
        <v>131</v>
      </c>
      <c r="N425" s="260" t="s">
        <v>111</v>
      </c>
      <c r="O425" s="260" t="s">
        <v>124</v>
      </c>
      <c r="P425" s="10">
        <v>1</v>
      </c>
      <c r="Q425" s="11">
        <v>1</v>
      </c>
      <c r="R425" s="11">
        <f>(Z425+AH425)/CL425</f>
        <v>0.47499999999999998</v>
      </c>
      <c r="S425" s="11" t="str">
        <f>VLOOKUP(K425,'1184 Prensa'!$K$13:$AK$15,9,0)</f>
        <v>La Secretaría de Prensa y Comunicaciones a la fecha ha brindado asistencia técnica a 1.305 solicitudes de las diferentes entidades del nivel central y descentralizado durante las vigencias 2020 y 2021 en temas como: acompañamiento de prensa y redes, apoyo de prensa, animación, aprobación y revisión gráfica, aprobación y revisión de piezas, archivo fotográfico y video, acompañamiento de camarógrafo, fotógrafo y presentador, copias fotográficas y de video, cuñas radiales, diseño, revisión y aprobación de piezas gráficas, revisión y edición de video, publicación en redes, entre otros.                                                           Además, se ha adelantado la suscripción de contratos de licencia de uso de la marca de Cundinamarca para productores de la región.                                                                                                                                    En el marco de la suscripción del contrato interadministrativo con el Fondo de Desarrollo de Proyectos de Cundinamarca- FONDECUN vigencia 2021, a la fecha se evidencia un avance de ejecución del 52% correspondiente a la ejecución de los siguientes productos: 
1.Plan de medios regionales y nacionales.                                                                
2.Material POP: Socialización gestión institucional en municipios, lanzamiento Agencia Comercial de Cundinamarca y material publicitario para el patrocinio de la marca “Cundinamarca- El Dorado, La Leyenda Vive” en el marco de la suscripción del Contrato No. SPC-CD-060-2021 con el Club Independiente Santafé S.A.                                                                    
3.Programa productora de televisión.  
La Secretaría de Prensa y Comunicaciones a través de una gestión interinstitucional con la Secretaría de Asuntos Internacionales ha desarrollado las siguientes actividades:                                                                   1. Avance para la suscripción de dos contratos interadministrativos en el fortalecimiento y posicionamiento de las marcas registradas del departamento a través de influencers y youtubers posicionados en redes sociales.
2.Realizar trabajos de campo a través del posicionamiento de la marca de Cundinamarca en el programa de televisión del canal RCN Master Chef con alto rating y transmitido en franja prime en sus dos emisiones en los municipios de Guatavita y Villeta.
3.Diseño y puesta en funcionamiento de un portal web de uso exclusivo de la marca Cundinamarca que permita promover ofertas gastronómicas, artesanales y turísticas del departamento.  
En el marco del posicionamiento y fortalecimiento de la imagen del departamento, se realizó el lanzamiento de la vitrina Kuna Mya donde se impulsan los productos de artesanos y agricultores de la región acompañados del sello dorado de la imagen departamental. Se suscribió Contrato No. SPC-CD-060-2021 con el Club Independiente Santafé S.A. para el patrocinio de la marca “Cundinamarca- El Dorado, La Leyenda Vive” en todos los partidos del equipo profesional femenino de Independiente Santafé en torneos oficiales y amistosos durante el año 2021. A través de la emisión del programa de televisión" Cundinamarca Región que Progresa" segunda temporada en el canal trece en franja prime, se han generado espacios para rendición de cuentas, avances en gestión institucional y promocionando de atractivos turísticos y gastronómicos de los diferentes municipios del departamento donde se realiza su transmisión.</v>
      </c>
      <c r="T425" s="11">
        <v>0</v>
      </c>
      <c r="U425" s="11">
        <v>1</v>
      </c>
      <c r="V425" s="11">
        <v>0</v>
      </c>
      <c r="W425" s="11">
        <v>1</v>
      </c>
      <c r="X425" s="11" t="s">
        <v>115</v>
      </c>
      <c r="Y425" s="11">
        <v>1</v>
      </c>
      <c r="Z425" s="11">
        <v>1</v>
      </c>
      <c r="AA425" s="11">
        <v>0</v>
      </c>
      <c r="AB425" s="11" t="s">
        <v>2605</v>
      </c>
      <c r="AC425" s="11">
        <v>0</v>
      </c>
      <c r="AD425" s="11">
        <v>0</v>
      </c>
      <c r="AE425" s="11">
        <v>1</v>
      </c>
      <c r="AF425" s="11">
        <f>VLOOKUP(K425,'1184 Prensa'!$K$13:$AK$15,22,0)</f>
        <v>0</v>
      </c>
      <c r="AG425" s="11">
        <f>VLOOKUP(K425,'1184 Prensa'!$K$13:$AK$15,23,0)</f>
        <v>0.9</v>
      </c>
      <c r="AH425" s="11">
        <f>AG425</f>
        <v>0.9</v>
      </c>
      <c r="AI425" s="9" t="str">
        <f>VLOOKUP(K425,'1184 Prensa'!$K$13:$AK$15,25,0)</f>
        <v xml:space="preserve">A la fecha se han atendido 1.772 solicitudes de entidades del nivel central y descentralizado atendidas durante la vigencia 2021. Se realizó apoyo técnico para la suscripción de dos contratos de licencia de uso de la marca Cundinamarca para productores de la región.  Se realizó registro ante la Superintendencia de Industria y Comercio de las siguientes marcas: El Sol Dorado de Cundinamarca (figurativa), El Sol Cundinamarca (mixta) y Emisora El Dorado Radio (mixta), en dicho contexto la Superintendencia de Industria y Comercio- SIC concedió los registros marcarios solicitados a nombre del departamento con lo cual se genera una propiedad más mediante estos intangibles, beneficiando a todos nuestros licenciatarios de marca puesto que se les da seguridad jurídica sobre el respectivo uso del sello Dorado. Se adelantó gestión interadministrativa con la Secretaría de Asuntos Internacionales para fortalecimiento y posicionamiento de las marcas registradas del departamento a través de influencers y youtubers posicionados en redes sociales, programa de televisión del canal RCN Master Chef en sus dos emisiones en los municipios de Guatavita y Villeta y diseño y puesta en funcionamiento de un portal web de uso exclusivo de la marca Cundinamarca que permita promover ofertas gastronómicas, artesanales y turísticas del departamento. En cuanto a la emisión del programa de televisión Cundinamarca ¡REGIÓN Que Progresa! durante la vigencia se han emitido 27 capítulos en Suesca, Sopó, San Juan de Rioseco, Anato, Ubaté, Girardot, Nemocón, Villeta, Villapinzón, Tienda Kuna Mya, Vergara, Subachoque, Gobernación de Cundinamarca (2 capitulos), Cáqueza, Silvania, Pacho, Sesquilé, San Francisco, Guachetá, La Mesa, Sibaté, AgroExpo, Ubaque, La Calera, Bojacá y Cogua. Ahora bien, en el marco de la suscripción del contrato interadministrativo con el Fondo de Desarrollo de Proyectos de Cundinamarca- FONDECUN vigencia 2021, a la fecha se evidencia un avance de ejecución del 78% correspondiente a la ejecución de los siguientes productos: 1. Plan de medios regionales y nacionales. 2. Material POP- Socialización gestión institucional en municipios y material publicitario para el patrocinio de la marca “Cundinamarca- El Dorado, La Leyenda Vive” en el marco de la suscripción del Contrato No. SPC-CD-060-2021 con el Club Independiente Santafé S.A. 3. Programa productora de televisión.               </v>
      </c>
      <c r="AJ425" s="9" t="str">
        <f>VLOOKUP(K425,'1184 Prensa'!$K$13:$AK$15,26,0)</f>
        <v xml:space="preserve">En el marco de la ejecución del Contrato No. SPC-CD-060-2021 con el Club Independiente Santafé S.A. para el patrocinio de la marca “Cundinamarca- El Dorado, La Leyenda Vive” el equipo femenino Club Independiente Santafé S.A. participó en la copa libertadores clasificando a la gran final lo que generó un impacto positivo para el departamento y para la marca toda vez que hicimos presencia en diferentes países de Sur América como lo fue Paraguay, Brasil y Ecuador. Una vez solicitados los registros de marca Cundinamarca tanto figurativo como mixto ante la autoridad nacional competente es decir la Superintendencia de Industria y Comercio-SIC se superaron los requisitos formales y se procedió con un estudio de fondo el cual arrojó resultados favorables para el Departamento de Cundinamarca toda vez que mediante los respectivos actos administrativos la SIC concedió los registros marcarios solicitados a nombre del departamento con lo cual se genera una propiedad más mediante estos intangibles, beneficiando a todos nuestros licenciatarios de marca puesto que se les da seguridad jurídica sobre el respectivo uso del sello Dorado. Ahora bien, durante el mes de noviembre se emitieron 4 capítulos del programa de televisión Cundinamarca ¡REGIÓN Que Progresa! en los municipios de Ubaque, La Calera, Bojacá y Cogua. Por último mencionar que durante el mes de noviembre de 2021 se han atendido 152 solicitudes de las diferentes entidades del nivel central y descentralizado en temas como: acompañamiento de prensa y redes,  apoyo de prensa,  animación, aprobación y revisión gráfica,  aprobación y revisión de piezas,  archivo fotográfico y video, acompañamiento de camarógrafo, fotógrafo y presentador, copias fotográficas y de video, cuñas radiales,  diseño, revisión y aprobación de piezas gráficas, revisión y  edición de video, publicación en redes, entre otros. Ahora bien, en el marco de la suscripción del contrato interadministrativo con el Fondo de Desarrollo de Proyectos de Cundinamarca- FONDECUN vigencia 2021, a la fecha se evidencia un avance de ejecución del 77% correspondiente a la ejecución de los siguientes productos: 
1. Plan de medios regionales y nacionales.                                                                
2. Material POP- Socialización gestión institucional en municipios y material publicitario para el patrocinio de la marca “Cundinamarca- El Dorado, La Leyenda Vive” en el marco de la suscripción del Contrato No. SPC-CD-060-2021 con el Club Independiente Santafé S.A.                                                                    
3. Programa productora de televisión.  
</v>
      </c>
      <c r="AK425" s="9">
        <f>VLOOKUP(K425,'1184 Prensa'!$K$13:$AK$15,27,0)</f>
        <v>0</v>
      </c>
      <c r="AL425" s="11">
        <v>0</v>
      </c>
      <c r="AM425" s="11">
        <v>1</v>
      </c>
      <c r="AN425" s="11">
        <v>0</v>
      </c>
      <c r="AO425" s="11">
        <v>1</v>
      </c>
      <c r="AP425" s="11">
        <v>0</v>
      </c>
      <c r="AQ425" s="11">
        <v>0</v>
      </c>
      <c r="AR425" s="51">
        <v>1190106000</v>
      </c>
      <c r="AS425" s="54">
        <v>0</v>
      </c>
      <c r="AT425" s="54">
        <f t="shared" si="632"/>
        <v>1190106000</v>
      </c>
      <c r="AU425" s="51">
        <v>1035942332</v>
      </c>
      <c r="AV425" s="89">
        <v>3152629611</v>
      </c>
      <c r="AY425" s="89">
        <v>829645500</v>
      </c>
      <c r="AZ425" s="44" cm="1">
        <f t="array" ref="AZ425">_xlfn.IFS((BA425=0),(BD425/CL425),(BA425&gt;0),((BB425+BD425)/CL425),(BE425&gt;0),((BB425+BD425+BE425)/CL425),(BG425&gt;0),((BB425+BD425+BE425+G425)/CL425))</f>
        <v>0.47499999999999998</v>
      </c>
      <c r="BA425" s="44">
        <v>0.25</v>
      </c>
      <c r="BB425" s="44">
        <v>1</v>
      </c>
      <c r="BC425" s="44">
        <f>IF(AE425&gt;0,(1/CL425),0)</f>
        <v>0.25</v>
      </c>
      <c r="BD425" s="44" cm="1">
        <f t="array" ref="BD425">_xlfn.IFS(AE425=0,"NA",AE425&gt;0,AH425/AE425)</f>
        <v>0.9</v>
      </c>
      <c r="BE425" s="44">
        <f>IF(AM425&gt;0,(1/CL425),0)</f>
        <v>0.25</v>
      </c>
      <c r="BF425" s="44">
        <v>0</v>
      </c>
      <c r="BG425" s="44">
        <f>IF(AO425&gt;0,(1/CL425),0)</f>
        <v>0.25</v>
      </c>
      <c r="BH425" s="44">
        <v>0</v>
      </c>
      <c r="BI425" s="44">
        <v>0</v>
      </c>
      <c r="BJ425" s="44" t="s">
        <v>115</v>
      </c>
      <c r="BK425" s="44">
        <f t="shared" si="633"/>
        <v>0.47499999999999998</v>
      </c>
      <c r="BL425" s="44">
        <v>1</v>
      </c>
      <c r="BM425" s="42" cm="1">
        <f t="array" ref="BM425">_xlfn.IFS(BD425="NA","NA",BD425&gt;100%,"100%",BD425&lt;100,BD425)</f>
        <v>0.9</v>
      </c>
      <c r="BN425" s="44">
        <v>0</v>
      </c>
      <c r="BO425" s="44">
        <v>0</v>
      </c>
      <c r="BP425" s="44" t="s">
        <v>115</v>
      </c>
      <c r="BQ425" s="45">
        <v>0.224</v>
      </c>
      <c r="BR425" s="43">
        <f t="shared" si="634"/>
        <v>0.10639999999999999</v>
      </c>
      <c r="BS425" s="45">
        <v>5.6000000000000001E-2</v>
      </c>
      <c r="BT425" s="45">
        <v>5.6000000000000001E-2</v>
      </c>
      <c r="BU425" s="45">
        <v>5.6000000000000001E-2</v>
      </c>
      <c r="BV425" s="45">
        <v>5.6000000000000001E-2</v>
      </c>
      <c r="BW425" s="43">
        <f t="shared" si="635"/>
        <v>5.04E-2</v>
      </c>
      <c r="BX425" s="43">
        <f t="shared" si="636"/>
        <v>5.0399999999999993E-2</v>
      </c>
      <c r="BY425" s="45">
        <v>5.6000000000000001E-2</v>
      </c>
      <c r="BZ425" s="45">
        <v>0</v>
      </c>
      <c r="CA425" s="43">
        <f t="shared" si="637"/>
        <v>0</v>
      </c>
      <c r="CB425" s="45">
        <v>5.6000000000000001E-2</v>
      </c>
      <c r="CC425" s="45">
        <v>0</v>
      </c>
      <c r="CD425" s="45">
        <v>0</v>
      </c>
      <c r="CE425" s="45">
        <v>0</v>
      </c>
      <c r="CF425" s="45" t="s">
        <v>115</v>
      </c>
      <c r="CG425" s="45">
        <v>0</v>
      </c>
      <c r="CH425">
        <f>IF(W425&gt;0,1,0)</f>
        <v>1</v>
      </c>
      <c r="CI425">
        <f>IF(AE425&gt;0,1,0)</f>
        <v>1</v>
      </c>
      <c r="CJ425">
        <f>IF(AM425&gt;0,1,0)</f>
        <v>1</v>
      </c>
      <c r="CK425">
        <f>IF(AO425&gt;0,1,0)</f>
        <v>1</v>
      </c>
      <c r="CL425">
        <f>CH425+CI425+CJ425+CK425</f>
        <v>4</v>
      </c>
    </row>
    <row r="426" spans="1:90" ht="18" customHeight="1">
      <c r="A426" s="260" t="s">
        <v>144</v>
      </c>
      <c r="B426" s="260" t="s">
        <v>145</v>
      </c>
      <c r="C426" s="260" t="s">
        <v>2371</v>
      </c>
      <c r="D426" s="260" t="s">
        <v>2588</v>
      </c>
      <c r="E426" s="260" t="s">
        <v>2606</v>
      </c>
      <c r="F426" s="260" t="s">
        <v>2607</v>
      </c>
      <c r="G426" s="260" t="s">
        <v>2608</v>
      </c>
      <c r="H426" s="260" t="s">
        <v>2609</v>
      </c>
      <c r="I426" s="260" t="s">
        <v>677</v>
      </c>
      <c r="J426" s="260"/>
      <c r="K426" s="260" t="s">
        <v>2610</v>
      </c>
      <c r="L426" s="260" t="s">
        <v>2611</v>
      </c>
      <c r="M426" s="260" t="s">
        <v>2612</v>
      </c>
      <c r="N426" s="260" t="s">
        <v>111</v>
      </c>
      <c r="O426" s="260" t="s">
        <v>112</v>
      </c>
      <c r="P426" s="10">
        <v>100</v>
      </c>
      <c r="Q426" s="11">
        <v>116</v>
      </c>
      <c r="R426" s="9">
        <f t="shared" ref="R426:R428" si="719">Z426+AH426</f>
        <v>42</v>
      </c>
      <c r="S426" s="11" t="str">
        <f>VLOOKUP(K426,'1126 Desarrollo Social'!$K$13:$S$58,9,0)</f>
        <v>Conformación de la plataforma departamental de juventudes. Actualización de las plataformas municipalesEl personal profesional contratado para las actividades de esta meta se realizo con recursos del plan de desarrollo unidos podemos mas</v>
      </c>
      <c r="T426" s="11">
        <v>9</v>
      </c>
      <c r="U426" s="11">
        <v>0</v>
      </c>
      <c r="V426" s="11">
        <v>12</v>
      </c>
      <c r="W426" s="11">
        <v>0</v>
      </c>
      <c r="X426" s="11">
        <v>12</v>
      </c>
      <c r="Y426" s="11">
        <v>0</v>
      </c>
      <c r="Z426" s="11">
        <v>12</v>
      </c>
      <c r="AA426" s="11" t="s">
        <v>2613</v>
      </c>
      <c r="AB426" s="11" t="s">
        <v>2614</v>
      </c>
      <c r="AC426" s="11" t="s">
        <v>2615</v>
      </c>
      <c r="AD426" s="11">
        <v>30</v>
      </c>
      <c r="AE426" s="11">
        <v>0</v>
      </c>
      <c r="AF426" s="11">
        <f>VLOOKUP(K426,'1126 Desarrollo Social'!$K$13:$AK$58,22,0)</f>
        <v>30</v>
      </c>
      <c r="AG426" s="11">
        <f>VLOOKUP(K426,'1126 Desarrollo Social'!$K$13:$AK$58,23,0)</f>
        <v>0</v>
      </c>
      <c r="AH426" s="9">
        <f t="shared" ref="AH426:AH428" si="720">AF426</f>
        <v>30</v>
      </c>
      <c r="AI426" s="9">
        <f>VLOOKUP(K426,'1126 Desarrollo Social'!$K$13:$AK$58,25,0)</f>
        <v>0</v>
      </c>
      <c r="AJ426" s="9" t="str">
        <f>VLOOKUP(K426,'1126 Desarrollo Social'!$K$13:$AK$58,26,0)</f>
        <v xml:space="preserve">Se realizó la primera Asamblea Departamental de las Juventudes, en el marco del desarrollo de la Semana de la Juventud y se presento apoyo ala las elecciones de los consejos municipales de Juventud en los 116
</v>
      </c>
      <c r="AK426" s="9">
        <f>VLOOKUP(K426,'1126 Desarrollo Social'!$K$13:$AK$58,27,0)</f>
        <v>0</v>
      </c>
      <c r="AL426" s="11">
        <v>40</v>
      </c>
      <c r="AM426" s="11">
        <v>0</v>
      </c>
      <c r="AN426" s="11">
        <v>34</v>
      </c>
      <c r="AO426" s="11">
        <v>0</v>
      </c>
      <c r="AP426" s="11">
        <v>0</v>
      </c>
      <c r="AQ426" s="11">
        <v>0</v>
      </c>
      <c r="AR426" s="51">
        <v>7800000</v>
      </c>
      <c r="AS426" s="54">
        <v>0</v>
      </c>
      <c r="AT426" s="54">
        <f t="shared" si="632"/>
        <v>7800000</v>
      </c>
      <c r="AU426" s="51">
        <v>7800000</v>
      </c>
      <c r="AV426" s="89">
        <v>105375419</v>
      </c>
      <c r="AY426" s="89">
        <v>22560000</v>
      </c>
      <c r="AZ426" s="42">
        <f t="shared" ref="AZ426" si="721">R426/Q426</f>
        <v>0.36206896551724138</v>
      </c>
      <c r="BA426" s="44">
        <v>0.10340000000000001</v>
      </c>
      <c r="BB426" s="44">
        <v>1</v>
      </c>
      <c r="BC426" s="42">
        <f t="shared" ref="BC426" si="722">AD426/Q426</f>
        <v>0.25862068965517243</v>
      </c>
      <c r="BD426" s="42" cm="1">
        <f t="array" ref="BD426">_xlfn.IFS(AD426=0,"NA",AD426&gt;0,AH426/AD426)</f>
        <v>1</v>
      </c>
      <c r="BE426" s="42">
        <f t="shared" ref="BE426" si="723">AL426/Q426</f>
        <v>0.34482758620689657</v>
      </c>
      <c r="BF426" s="44">
        <v>0</v>
      </c>
      <c r="BG426" s="42">
        <f t="shared" ref="BG426" si="724">AN426/Q426</f>
        <v>0.29310344827586204</v>
      </c>
      <c r="BH426" s="44">
        <v>0</v>
      </c>
      <c r="BI426" s="42">
        <f t="shared" ref="BI426:BI428" si="725">AP426/Q426</f>
        <v>0</v>
      </c>
      <c r="BJ426" s="44" t="s">
        <v>115</v>
      </c>
      <c r="BK426" s="42">
        <f t="shared" si="633"/>
        <v>0.36206896551724138</v>
      </c>
      <c r="BL426" s="44">
        <v>1</v>
      </c>
      <c r="BM426" s="42" cm="1">
        <f t="array" ref="BM426">_xlfn.IFS(BD426="NA","NA",BD426&gt;100%,"100%",BD426&lt;100,BD426)</f>
        <v>1</v>
      </c>
      <c r="BN426" s="42" cm="1">
        <f t="array" ref="BN426">_xlfn.IFS(BF426="NA","NA",BF426&gt;100%,"100%",BF426&lt;100,BF426)</f>
        <v>0</v>
      </c>
      <c r="BO426" s="42" cm="1">
        <f t="array" ref="BO426">_xlfn.IFS(BH426="NA","NA",BH426&gt;100%,"100%",BH426&lt;100,BH426)</f>
        <v>0</v>
      </c>
      <c r="BP426" s="42" t="str" cm="1">
        <f t="array" ref="BP426">_xlfn.IFS(BJ426="NA","NA",BJ426&gt;100%,"100%",BJ426&lt;100,BJ426)</f>
        <v>NA</v>
      </c>
      <c r="BQ426" s="45">
        <v>0.224</v>
      </c>
      <c r="BR426" s="43">
        <f t="shared" si="634"/>
        <v>8.1103448275862078E-2</v>
      </c>
      <c r="BS426" s="45">
        <v>2.3199999999999998E-2</v>
      </c>
      <c r="BT426" s="45">
        <v>2.3199999999999998E-2</v>
      </c>
      <c r="BU426" s="45">
        <v>2.3199999999999998E-2</v>
      </c>
      <c r="BV426" s="43">
        <f t="shared" ref="BV426:BV428" si="726">(AD426*BQ426)/Q426</f>
        <v>5.7931034482758617E-2</v>
      </c>
      <c r="BW426" s="43">
        <f t="shared" si="635"/>
        <v>5.7931034482758617E-2</v>
      </c>
      <c r="BX426" s="43">
        <f t="shared" si="636"/>
        <v>5.7903448275862079E-2</v>
      </c>
      <c r="BY426" s="43">
        <f t="shared" ref="BY426:BY428" si="727">(AL426*BQ426)/Q426</f>
        <v>7.7241379310344832E-2</v>
      </c>
      <c r="BZ426" s="43">
        <f t="shared" ref="BZ426:BZ428" si="728">IF(BN426="NA","NA",BN426*BY426)</f>
        <v>0</v>
      </c>
      <c r="CA426" s="43">
        <f t="shared" si="637"/>
        <v>0</v>
      </c>
      <c r="CB426" s="43">
        <f t="shared" ref="CB426:CB428" si="729">(AN426*BQ426)/Q426</f>
        <v>6.5655172413793109E-2</v>
      </c>
      <c r="CC426" s="43">
        <f t="shared" ref="CC426:CC428" si="730">IF(BO426="NA","NA",BO426*CB426)</f>
        <v>0</v>
      </c>
      <c r="CD426" s="45">
        <v>0</v>
      </c>
      <c r="CE426" s="43">
        <f t="shared" ref="CE426:CE428" si="731">(AP426*BQ426)/Q426</f>
        <v>0</v>
      </c>
      <c r="CF426" s="43" t="str">
        <f t="shared" ref="CF426:CF428" si="732">IF(BP426="NA","NA",BP426*CE426)</f>
        <v>NA</v>
      </c>
      <c r="CG426" s="45">
        <v>0</v>
      </c>
    </row>
    <row r="427" spans="1:90" ht="18" customHeight="1">
      <c r="A427" s="260" t="s">
        <v>144</v>
      </c>
      <c r="B427" s="260" t="s">
        <v>145</v>
      </c>
      <c r="C427" s="260" t="s">
        <v>2371</v>
      </c>
      <c r="D427" s="260" t="s">
        <v>2588</v>
      </c>
      <c r="E427" s="260" t="s">
        <v>2606</v>
      </c>
      <c r="F427" s="260" t="s">
        <v>2607</v>
      </c>
      <c r="G427" s="260" t="s">
        <v>2608</v>
      </c>
      <c r="H427" s="260" t="s">
        <v>2616</v>
      </c>
      <c r="I427" s="260" t="s">
        <v>677</v>
      </c>
      <c r="J427" s="260"/>
      <c r="K427" s="260" t="s">
        <v>2617</v>
      </c>
      <c r="L427" s="260" t="s">
        <v>2618</v>
      </c>
      <c r="M427" s="260" t="s">
        <v>2619</v>
      </c>
      <c r="N427" s="260" t="s">
        <v>111</v>
      </c>
      <c r="O427" s="260" t="s">
        <v>124</v>
      </c>
      <c r="P427" s="10">
        <v>14</v>
      </c>
      <c r="Q427" s="11">
        <v>15</v>
      </c>
      <c r="R427" s="9">
        <f>(Z427+AH427)/CL427</f>
        <v>5</v>
      </c>
      <c r="S427" s="11" t="str">
        <f>VLOOKUP(K427,'1126 Desarrollo Social'!$K$13:$S$58,9,0)</f>
        <v>Capacitación de jóvenes rurales con capacitaciónCapacitación a jóvenes de comunidades étnicasEl personal profesional contratado para las actividades de esta meta se realizo con recursos del plan de desarrollo unidos podemos mas</v>
      </c>
      <c r="T427" s="11">
        <v>2</v>
      </c>
      <c r="U427" s="11">
        <v>0</v>
      </c>
      <c r="V427" s="11">
        <v>2</v>
      </c>
      <c r="W427" s="11">
        <v>0</v>
      </c>
      <c r="X427" s="11">
        <v>14</v>
      </c>
      <c r="Y427" s="11">
        <v>0</v>
      </c>
      <c r="Z427" s="11">
        <v>14</v>
      </c>
      <c r="AA427" s="11" t="s">
        <v>2620</v>
      </c>
      <c r="AB427" s="11" t="s">
        <v>2621</v>
      </c>
      <c r="AC427" s="11" t="s">
        <v>2622</v>
      </c>
      <c r="AD427" s="11">
        <v>0</v>
      </c>
      <c r="AE427" s="11">
        <v>15</v>
      </c>
      <c r="AF427" s="11">
        <f>VLOOKUP(K427,'1126 Desarrollo Social'!$K$13:$AK$58,22,0)</f>
        <v>1</v>
      </c>
      <c r="AG427" s="11">
        <f>VLOOKUP(K427,'1126 Desarrollo Social'!$K$13:$AK$58,23,0)</f>
        <v>14</v>
      </c>
      <c r="AH427" s="9">
        <f t="shared" si="720"/>
        <v>1</v>
      </c>
      <c r="AI427" s="9">
        <f>VLOOKUP(K427,'1126 Desarrollo Social'!$K$13:$AK$58,25,0)</f>
        <v>0</v>
      </c>
      <c r="AJ427" s="9" t="str">
        <f>VLOOKUP(K427,'1126 Desarrollo Social'!$K$13:$AK$58,26,0)</f>
        <v>Se ha puesto en marcha la escuela de liderazgo, brindando capacitaciones a las y los jóvenes del Departamento en temas como Paz-conflicto, Derechos Humanos, Participación política, Ciudad Región, comunicación política</v>
      </c>
      <c r="AK427" s="9">
        <f>VLOOKUP(K427,'1126 Desarrollo Social'!$K$13:$AK$58,27,0)</f>
        <v>0</v>
      </c>
      <c r="AL427" s="11">
        <v>0</v>
      </c>
      <c r="AM427" s="11">
        <v>15</v>
      </c>
      <c r="AN427" s="11">
        <v>0</v>
      </c>
      <c r="AO427" s="11">
        <v>15</v>
      </c>
      <c r="AP427" s="11">
        <v>0</v>
      </c>
      <c r="AQ427" s="11">
        <v>0</v>
      </c>
      <c r="AR427" s="51">
        <v>15197667</v>
      </c>
      <c r="AS427" s="54">
        <v>0</v>
      </c>
      <c r="AT427" s="54">
        <f t="shared" si="632"/>
        <v>15197667</v>
      </c>
      <c r="AU427" s="51">
        <v>15197667</v>
      </c>
      <c r="AV427" s="89">
        <v>94352332</v>
      </c>
      <c r="AY427" s="89">
        <v>36593000</v>
      </c>
      <c r="AZ427" s="42" cm="1">
        <f t="array" ref="AZ427">_xlfn.IFS((BA427=0),(BD427/CL427),(BA427&gt;0),((BB427+BD427)/CL427),(BE427&gt;0),((BB427+BD427+BE427)/CL427),(BG427&gt;0),((BB427+BD427+BE427+G427)/CL427))</f>
        <v>2.3555555555555556</v>
      </c>
      <c r="BA427" s="44">
        <v>0.1333</v>
      </c>
      <c r="BB427" s="44">
        <v>7</v>
      </c>
      <c r="BC427" s="42">
        <f>IF(AE427&gt;0,(1/CL427),0)</f>
        <v>0.33333333333333331</v>
      </c>
      <c r="BD427" s="44" cm="1">
        <f t="array" ref="BD427">_xlfn.IFS(AE427=0,"NA",AE427&gt;0,AH427/AE427)</f>
        <v>6.6666666666666666E-2</v>
      </c>
      <c r="BE427" s="42">
        <f>IF(AM427&gt;0,(1/CL427),0)</f>
        <v>0.33333333333333331</v>
      </c>
      <c r="BF427" s="44">
        <v>0</v>
      </c>
      <c r="BG427" s="42">
        <f>IF(AO427&gt;0,(1/CL427),0)</f>
        <v>0.33333333333333331</v>
      </c>
      <c r="BH427" s="44">
        <v>0</v>
      </c>
      <c r="BI427" s="42">
        <f t="shared" si="725"/>
        <v>0</v>
      </c>
      <c r="BJ427" s="44" t="s">
        <v>115</v>
      </c>
      <c r="BK427" s="42" t="str">
        <f t="shared" si="633"/>
        <v>100%</v>
      </c>
      <c r="BL427" s="44">
        <v>1</v>
      </c>
      <c r="BM427" s="42" cm="1">
        <f t="array" ref="BM427">_xlfn.IFS(BD427="NA","NA",BD427&gt;100%,"100%",BD427&lt;100,BD427)</f>
        <v>6.6666666666666666E-2</v>
      </c>
      <c r="BN427" s="42" cm="1">
        <f t="array" ref="BN427">_xlfn.IFS(BF427="NA","NA",BF427&gt;100%,"100%",BF427&lt;100,BF427)</f>
        <v>0</v>
      </c>
      <c r="BO427" s="42" cm="1">
        <f t="array" ref="BO427">_xlfn.IFS(BH427="NA","NA",BH427&gt;100%,"100%",BH427&lt;100,BH427)</f>
        <v>0</v>
      </c>
      <c r="BP427" s="42" t="str" cm="1">
        <f t="array" ref="BP427">_xlfn.IFS(BJ427="NA","NA",BJ427&gt;100%,"100%",BJ427&lt;100,BJ427)</f>
        <v>NA</v>
      </c>
      <c r="BQ427" s="45">
        <v>0.224</v>
      </c>
      <c r="BR427" s="43">
        <f t="shared" si="634"/>
        <v>0.224</v>
      </c>
      <c r="BS427" s="45">
        <v>2.9899999999999999E-2</v>
      </c>
      <c r="BT427" s="45">
        <v>2.9899999999999999E-2</v>
      </c>
      <c r="BU427" s="45">
        <v>0.20910000000000001</v>
      </c>
      <c r="BV427" s="43">
        <f t="shared" si="726"/>
        <v>0</v>
      </c>
      <c r="BW427" s="43">
        <f t="shared" si="635"/>
        <v>0</v>
      </c>
      <c r="BX427" s="43">
        <f t="shared" si="636"/>
        <v>1.4899999999999997E-2</v>
      </c>
      <c r="BY427" s="43">
        <f t="shared" si="727"/>
        <v>0</v>
      </c>
      <c r="BZ427" s="43">
        <f t="shared" si="728"/>
        <v>0</v>
      </c>
      <c r="CA427" s="43">
        <f t="shared" si="637"/>
        <v>0</v>
      </c>
      <c r="CB427" s="43">
        <f t="shared" si="729"/>
        <v>0</v>
      </c>
      <c r="CC427" s="43">
        <f t="shared" si="730"/>
        <v>0</v>
      </c>
      <c r="CD427" s="45">
        <v>0</v>
      </c>
      <c r="CE427" s="43">
        <f t="shared" si="731"/>
        <v>0</v>
      </c>
      <c r="CF427" s="43" t="str">
        <f t="shared" si="732"/>
        <v>NA</v>
      </c>
      <c r="CG427" s="45">
        <v>0</v>
      </c>
      <c r="CH427">
        <f>IF(W427&gt;0,1,0)</f>
        <v>0</v>
      </c>
      <c r="CI427">
        <f>IF(AE427&gt;0,1,0)</f>
        <v>1</v>
      </c>
      <c r="CJ427">
        <f>IF(AM427&gt;0,1,0)</f>
        <v>1</v>
      </c>
      <c r="CK427">
        <f>IF(AO427&gt;0,1,0)</f>
        <v>1</v>
      </c>
      <c r="CL427">
        <f>CH427+CI427+CJ427+CK427</f>
        <v>3</v>
      </c>
    </row>
    <row r="428" spans="1:90" ht="18" customHeight="1">
      <c r="A428" s="260" t="s">
        <v>144</v>
      </c>
      <c r="B428" s="260" t="s">
        <v>145</v>
      </c>
      <c r="C428" s="260" t="s">
        <v>2371</v>
      </c>
      <c r="D428" s="260" t="s">
        <v>2588</v>
      </c>
      <c r="E428" s="260" t="s">
        <v>2606</v>
      </c>
      <c r="F428" s="260" t="s">
        <v>2607</v>
      </c>
      <c r="G428" s="260" t="s">
        <v>2608</v>
      </c>
      <c r="H428" s="260" t="s">
        <v>2623</v>
      </c>
      <c r="I428" s="260" t="s">
        <v>677</v>
      </c>
      <c r="J428" s="260"/>
      <c r="K428" s="260" t="s">
        <v>2624</v>
      </c>
      <c r="L428" s="260" t="s">
        <v>2625</v>
      </c>
      <c r="M428" s="260" t="s">
        <v>2626</v>
      </c>
      <c r="N428" s="260" t="s">
        <v>111</v>
      </c>
      <c r="O428" s="260" t="s">
        <v>112</v>
      </c>
      <c r="P428" s="10">
        <v>0</v>
      </c>
      <c r="Q428" s="11">
        <v>116</v>
      </c>
      <c r="R428" s="9">
        <f t="shared" si="719"/>
        <v>116</v>
      </c>
      <c r="S428" s="11" t="str">
        <f>VLOOKUP(K428,'1126 Desarrollo Social'!$K$13:$S$58,9,0)</f>
        <v>Capacitación en elección de concejos municipales de juventud en 20 municipios a los coordinadores de juventud</v>
      </c>
      <c r="T428" s="11">
        <v>30</v>
      </c>
      <c r="U428" s="11">
        <v>0</v>
      </c>
      <c r="V428" s="11">
        <v>30</v>
      </c>
      <c r="W428" s="11">
        <v>0</v>
      </c>
      <c r="X428" s="11">
        <v>30</v>
      </c>
      <c r="Y428" s="11">
        <v>0</v>
      </c>
      <c r="Z428" s="11">
        <v>30</v>
      </c>
      <c r="AA428" s="11" t="s">
        <v>2627</v>
      </c>
      <c r="AB428" s="11" t="s">
        <v>2628</v>
      </c>
      <c r="AC428" s="11" t="s">
        <v>2629</v>
      </c>
      <c r="AD428" s="11">
        <v>50</v>
      </c>
      <c r="AE428" s="11">
        <v>0</v>
      </c>
      <c r="AF428" s="11">
        <f>VLOOKUP(K428,'1126 Desarrollo Social'!$K$13:$AK$58,22,0)</f>
        <v>86</v>
      </c>
      <c r="AG428" s="11">
        <f>VLOOKUP(K428,'1126 Desarrollo Social'!$K$13:$AK$58,23,0)</f>
        <v>30</v>
      </c>
      <c r="AH428" s="9">
        <f t="shared" si="720"/>
        <v>86</v>
      </c>
      <c r="AI428" s="9">
        <f>VLOOKUP(K428,'1126 Desarrollo Social'!$K$13:$AK$58,25,0)</f>
        <v>0</v>
      </c>
      <c r="AJ428" s="9" t="str">
        <f>VLOOKUP(K428,'1126 Desarrollo Social'!$K$13:$AK$58,26,0)</f>
        <v>Capacitación de Consejos Municipales de Juventud en 44 municipios del departamento. Promoción de los consejos municipales de juventud en 111 municipios de Cundinamarca.</v>
      </c>
      <c r="AK428" s="9">
        <f>VLOOKUP(K428,'1126 Desarrollo Social'!$K$13:$AK$58,27,0)</f>
        <v>0</v>
      </c>
      <c r="AL428" s="11">
        <v>30</v>
      </c>
      <c r="AM428" s="11">
        <v>0</v>
      </c>
      <c r="AN428" s="11">
        <v>6</v>
      </c>
      <c r="AO428" s="11">
        <v>0</v>
      </c>
      <c r="AP428" s="11">
        <v>0</v>
      </c>
      <c r="AQ428" s="11">
        <v>0</v>
      </c>
      <c r="AR428" s="52"/>
      <c r="AS428" s="54">
        <v>0</v>
      </c>
      <c r="AT428" s="54">
        <f t="shared" si="632"/>
        <v>0</v>
      </c>
      <c r="AU428" s="52"/>
      <c r="AV428" s="89">
        <v>40000000</v>
      </c>
      <c r="AY428" s="89">
        <v>22195000</v>
      </c>
      <c r="AZ428" s="42">
        <f t="shared" ref="AZ428" si="733">R428/Q428</f>
        <v>1</v>
      </c>
      <c r="BA428" s="44">
        <v>0.2586</v>
      </c>
      <c r="BB428" s="44">
        <v>1</v>
      </c>
      <c r="BC428" s="42">
        <f t="shared" ref="BC428" si="734">AD428/Q428</f>
        <v>0.43103448275862066</v>
      </c>
      <c r="BD428" s="42" cm="1">
        <f t="array" ref="BD428">_xlfn.IFS(AD428=0,"NA",AD428&gt;0,AH428/AD428)</f>
        <v>1.72</v>
      </c>
      <c r="BE428" s="42">
        <f t="shared" ref="BE428" si="735">AL428/Q428</f>
        <v>0.25862068965517243</v>
      </c>
      <c r="BF428" s="44">
        <v>0</v>
      </c>
      <c r="BG428" s="42">
        <f t="shared" ref="BG428" si="736">AN428/Q428</f>
        <v>5.1724137931034482E-2</v>
      </c>
      <c r="BH428" s="44">
        <v>0</v>
      </c>
      <c r="BI428" s="42">
        <f t="shared" si="725"/>
        <v>0</v>
      </c>
      <c r="BJ428" s="44" t="s">
        <v>115</v>
      </c>
      <c r="BK428" s="42">
        <f t="shared" si="633"/>
        <v>1</v>
      </c>
      <c r="BL428" s="44">
        <v>1</v>
      </c>
      <c r="BM428" s="42" t="str" cm="1">
        <f t="array" ref="BM428">_xlfn.IFS(BD428="NA","NA",BD428&gt;100%,"100%",BD428&lt;100,BD428)</f>
        <v>100%</v>
      </c>
      <c r="BN428" s="42" cm="1">
        <f t="array" ref="BN428">_xlfn.IFS(BF428="NA","NA",BF428&gt;100%,"100%",BF428&lt;100,BF428)</f>
        <v>0</v>
      </c>
      <c r="BO428" s="42" cm="1">
        <f t="array" ref="BO428">_xlfn.IFS(BH428="NA","NA",BH428&gt;100%,"100%",BH428&lt;100,BH428)</f>
        <v>0</v>
      </c>
      <c r="BP428" s="42" t="str" cm="1">
        <f t="array" ref="BP428">_xlfn.IFS(BJ428="NA","NA",BJ428&gt;100%,"100%",BJ428&lt;100,BJ428)</f>
        <v>NA</v>
      </c>
      <c r="BQ428" s="45">
        <v>0.224</v>
      </c>
      <c r="BR428" s="43">
        <f t="shared" si="634"/>
        <v>0.224</v>
      </c>
      <c r="BS428" s="45">
        <v>5.79E-2</v>
      </c>
      <c r="BT428" s="45">
        <v>5.79E-2</v>
      </c>
      <c r="BU428" s="45">
        <v>5.79E-2</v>
      </c>
      <c r="BV428" s="43">
        <f t="shared" si="726"/>
        <v>9.6551724137931047E-2</v>
      </c>
      <c r="BW428" s="43">
        <f t="shared" si="635"/>
        <v>9.6551724137931047E-2</v>
      </c>
      <c r="BX428" s="43">
        <f t="shared" si="636"/>
        <v>0.1661</v>
      </c>
      <c r="BY428" s="43">
        <f t="shared" si="727"/>
        <v>5.7931034482758617E-2</v>
      </c>
      <c r="BZ428" s="43">
        <f t="shared" si="728"/>
        <v>0</v>
      </c>
      <c r="CA428" s="43">
        <f t="shared" si="637"/>
        <v>0</v>
      </c>
      <c r="CB428" s="43">
        <f t="shared" si="729"/>
        <v>1.1586206896551725E-2</v>
      </c>
      <c r="CC428" s="43">
        <f t="shared" si="730"/>
        <v>0</v>
      </c>
      <c r="CD428" s="45">
        <v>0</v>
      </c>
      <c r="CE428" s="43">
        <f t="shared" si="731"/>
        <v>0</v>
      </c>
      <c r="CF428" s="43" t="str">
        <f t="shared" si="732"/>
        <v>NA</v>
      </c>
      <c r="CG428" s="45">
        <v>0</v>
      </c>
    </row>
    <row r="429" spans="1:90" ht="18" customHeight="1">
      <c r="A429" s="260" t="s">
        <v>144</v>
      </c>
      <c r="B429" s="260" t="s">
        <v>145</v>
      </c>
      <c r="C429" s="260" t="s">
        <v>2371</v>
      </c>
      <c r="D429" s="260" t="s">
        <v>2588</v>
      </c>
      <c r="E429" s="260" t="s">
        <v>2606</v>
      </c>
      <c r="F429" s="260" t="s">
        <v>2607</v>
      </c>
      <c r="G429" s="260" t="s">
        <v>2608</v>
      </c>
      <c r="H429" s="260" t="s">
        <v>2630</v>
      </c>
      <c r="I429" s="260" t="s">
        <v>677</v>
      </c>
      <c r="J429" s="260"/>
      <c r="K429" s="260" t="s">
        <v>2631</v>
      </c>
      <c r="L429" s="260" t="s">
        <v>2632</v>
      </c>
      <c r="M429" s="260" t="s">
        <v>2633</v>
      </c>
      <c r="N429" s="260" t="s">
        <v>111</v>
      </c>
      <c r="O429" s="260" t="s">
        <v>124</v>
      </c>
      <c r="P429" s="10">
        <v>117</v>
      </c>
      <c r="Q429" s="11">
        <v>117</v>
      </c>
      <c r="R429" s="11">
        <f t="shared" ref="R429:R430" si="737">(Z429+AH429)/CL429</f>
        <v>53.25</v>
      </c>
      <c r="S429" s="11" t="str">
        <f>VLOOKUP(K429,'1126 Desarrollo Social'!$K$13:$S$58,9,0)</f>
        <v>Reunión del CODEPS DEPARTAMENTALActualización del link en la plataforma de la gobernación de Cundinamarca del CODEPS Convocatoria y conformación de la Mesa Departamental de Inclusión Social (se han realizado tres de las cuatro requeridas)Emisión de circular CODEPS 002 dirigida a los 116 MunicipiosAsistencias técnicas a los COMPOS Municipales Asistencia técnica a 19 COMPOS</v>
      </c>
      <c r="T429" s="11">
        <v>0</v>
      </c>
      <c r="U429" s="11">
        <v>117</v>
      </c>
      <c r="V429" s="11">
        <v>0</v>
      </c>
      <c r="W429" s="11">
        <v>117</v>
      </c>
      <c r="X429" s="11" t="s">
        <v>115</v>
      </c>
      <c r="Y429" s="11">
        <v>96</v>
      </c>
      <c r="Z429" s="11">
        <v>96</v>
      </c>
      <c r="AA429" s="11" t="s">
        <v>2634</v>
      </c>
      <c r="AB429" s="11" t="s">
        <v>2635</v>
      </c>
      <c r="AC429" s="11">
        <v>0</v>
      </c>
      <c r="AD429" s="11">
        <v>0</v>
      </c>
      <c r="AE429" s="11">
        <v>117</v>
      </c>
      <c r="AF429" s="11">
        <f>VLOOKUP(K429,'1126 Desarrollo Social'!$K$13:$AK$58,22,0)</f>
        <v>0</v>
      </c>
      <c r="AG429" s="11">
        <f>VLOOKUP(K429,'1126 Desarrollo Social'!$K$13:$AK$58,23,0)</f>
        <v>117</v>
      </c>
      <c r="AH429" s="11">
        <f t="shared" ref="AH429:AH430" si="738">AG429</f>
        <v>117</v>
      </c>
      <c r="AI429" s="9">
        <f>VLOOKUP(K429,'1126 Desarrollo Social'!$K$13:$AK$58,25,0)</f>
        <v>0</v>
      </c>
      <c r="AJ429" s="9" t="str">
        <f>VLOOKUP(K429,'1126 Desarrollo Social'!$K$13:$AK$58,26,0)</f>
        <v>Instalación de la primera sesión del consejo departamental de política social CODEPS. Fortalecimiento a los 116 Consejos de política social COMPOS del departamento a través del diseño de instrumentos para su actualización.
-Compilacion Normograma del sistema nacional de bienestar familiar. modelo reglamento interno COMPOS, ELABORACION CARTILLA DIGITAL COMPOS
-Decreto de actualización para 116 municipios
Resolución de funcionamiento para 116 COMPOS.</v>
      </c>
      <c r="AK429" s="9">
        <f>VLOOKUP(K429,'1126 Desarrollo Social'!$K$13:$AK$58,27,0)</f>
        <v>0</v>
      </c>
      <c r="AL429" s="11">
        <v>0</v>
      </c>
      <c r="AM429" s="11">
        <v>117</v>
      </c>
      <c r="AN429" s="11">
        <v>0</v>
      </c>
      <c r="AO429" s="11">
        <v>117</v>
      </c>
      <c r="AP429" s="11">
        <v>0</v>
      </c>
      <c r="AQ429" s="11">
        <v>0</v>
      </c>
      <c r="AR429" s="51">
        <v>8804333</v>
      </c>
      <c r="AS429" s="54">
        <v>0</v>
      </c>
      <c r="AT429" s="54">
        <f t="shared" si="632"/>
        <v>8804333</v>
      </c>
      <c r="AU429" s="51">
        <v>3350000</v>
      </c>
      <c r="AV429" s="89">
        <v>90000000</v>
      </c>
      <c r="AY429" s="89">
        <v>0</v>
      </c>
      <c r="AZ429" s="44" cm="1">
        <f t="array" ref="AZ429">_xlfn.IFS((BA429=0),(BD429/CL429),(BA429&gt;0),((BB429+BD429)/CL429),(BE429&gt;0),((BB429+BD429+BE429)/CL429),(BG429&gt;0),((BB429+BD429+BE429+G429)/CL429))</f>
        <v>0.455125</v>
      </c>
      <c r="BA429" s="44">
        <v>0.25</v>
      </c>
      <c r="BB429" s="44">
        <v>0.82050000000000001</v>
      </c>
      <c r="BC429" s="44">
        <f t="shared" ref="BC429:BC430" si="739">IF(AE429&gt;0,(1/CL429),0)</f>
        <v>0.25</v>
      </c>
      <c r="BD429" s="44" cm="1">
        <f t="array" ref="BD429">_xlfn.IFS(AE429=0,"NA",AE429&gt;0,AH429/AE429)</f>
        <v>1</v>
      </c>
      <c r="BE429" s="44">
        <f t="shared" ref="BE429:BE430" si="740">IF(AM429&gt;0,(1/CL429),0)</f>
        <v>0.25</v>
      </c>
      <c r="BF429" s="44">
        <v>0</v>
      </c>
      <c r="BG429" s="44">
        <f t="shared" ref="BG429:BG430" si="741">IF(AO429&gt;0,(1/CL429),0)</f>
        <v>0.25</v>
      </c>
      <c r="BH429" s="44">
        <v>0</v>
      </c>
      <c r="BI429" s="44">
        <v>0</v>
      </c>
      <c r="BJ429" s="44" t="s">
        <v>115</v>
      </c>
      <c r="BK429" s="44">
        <f t="shared" si="633"/>
        <v>0.455125</v>
      </c>
      <c r="BL429" s="44">
        <v>0.82050000000000001</v>
      </c>
      <c r="BM429" s="42" cm="1">
        <f t="array" ref="BM429">_xlfn.IFS(BD429="NA","NA",BD429&gt;100%,"100%",BD429&lt;100,BD429)</f>
        <v>1</v>
      </c>
      <c r="BN429" s="44">
        <v>0</v>
      </c>
      <c r="BO429" s="44">
        <v>0</v>
      </c>
      <c r="BP429" s="44" t="s">
        <v>115</v>
      </c>
      <c r="BQ429" s="45">
        <v>0.224</v>
      </c>
      <c r="BR429" s="43">
        <f t="shared" si="634"/>
        <v>0.101948</v>
      </c>
      <c r="BS429" s="45">
        <v>5.6000000000000001E-2</v>
      </c>
      <c r="BT429" s="45">
        <v>4.5900000000000003E-2</v>
      </c>
      <c r="BU429" s="45">
        <v>4.5900000000000003E-2</v>
      </c>
      <c r="BV429" s="45">
        <v>5.6000000000000001E-2</v>
      </c>
      <c r="BW429" s="43">
        <f t="shared" si="635"/>
        <v>5.6000000000000001E-2</v>
      </c>
      <c r="BX429" s="43">
        <f t="shared" si="636"/>
        <v>5.6047999999999994E-2</v>
      </c>
      <c r="BY429" s="45">
        <v>5.6000000000000001E-2</v>
      </c>
      <c r="BZ429" s="45">
        <v>0</v>
      </c>
      <c r="CA429" s="43">
        <f t="shared" si="637"/>
        <v>0</v>
      </c>
      <c r="CB429" s="45">
        <v>5.6000000000000001E-2</v>
      </c>
      <c r="CC429" s="45">
        <v>0</v>
      </c>
      <c r="CD429" s="45">
        <v>0</v>
      </c>
      <c r="CE429" s="45">
        <v>0</v>
      </c>
      <c r="CF429" s="45" t="s">
        <v>115</v>
      </c>
      <c r="CG429" s="45">
        <v>0</v>
      </c>
      <c r="CH429">
        <f t="shared" ref="CH429:CH430" si="742">IF(W429&gt;0,1,0)</f>
        <v>1</v>
      </c>
      <c r="CI429">
        <f t="shared" ref="CI429:CI430" si="743">IF(AE429&gt;0,1,0)</f>
        <v>1</v>
      </c>
      <c r="CJ429">
        <f t="shared" ref="CJ429:CJ430" si="744">IF(AM429&gt;0,1,0)</f>
        <v>1</v>
      </c>
      <c r="CK429">
        <f t="shared" ref="CK429:CK430" si="745">IF(AO429&gt;0,1,0)</f>
        <v>1</v>
      </c>
      <c r="CL429">
        <f t="shared" ref="CL429:CL430" si="746">CH429+CI429+CJ429+CK429</f>
        <v>4</v>
      </c>
    </row>
    <row r="430" spans="1:90" ht="18" customHeight="1">
      <c r="A430" s="260" t="s">
        <v>144</v>
      </c>
      <c r="B430" s="260" t="s">
        <v>145</v>
      </c>
      <c r="C430" s="260" t="s">
        <v>2371</v>
      </c>
      <c r="D430" s="260" t="s">
        <v>2588</v>
      </c>
      <c r="E430" s="260" t="s">
        <v>2606</v>
      </c>
      <c r="F430" s="260" t="s">
        <v>2607</v>
      </c>
      <c r="G430" s="260" t="s">
        <v>2608</v>
      </c>
      <c r="H430" s="260" t="s">
        <v>2636</v>
      </c>
      <c r="I430" s="260" t="s">
        <v>677</v>
      </c>
      <c r="J430" s="260"/>
      <c r="K430" s="260" t="s">
        <v>2637</v>
      </c>
      <c r="L430" s="260" t="s">
        <v>2638</v>
      </c>
      <c r="M430" s="260" t="s">
        <v>2639</v>
      </c>
      <c r="N430" s="260" t="s">
        <v>111</v>
      </c>
      <c r="O430" s="260" t="s">
        <v>124</v>
      </c>
      <c r="P430" s="10">
        <v>116</v>
      </c>
      <c r="Q430" s="11">
        <v>116</v>
      </c>
      <c r="R430" s="11">
        <f t="shared" si="737"/>
        <v>48.5</v>
      </c>
      <c r="S430" s="11" t="str">
        <f>VLOOKUP(K430,'1126 Desarrollo Social'!$K$13:$S$58,9,0)</f>
        <v>Activación de la mesa departamental Participación de NNASe garantizo la participación y asistencia de 6 niños de las instancias de participación al CODEPS departamental.Asistencia técnica a los municipios que no cuentan con la instancia de participación activa</v>
      </c>
      <c r="T430" s="11">
        <v>0</v>
      </c>
      <c r="U430" s="11">
        <v>116</v>
      </c>
      <c r="V430" s="11">
        <v>0</v>
      </c>
      <c r="W430" s="11">
        <v>116</v>
      </c>
      <c r="X430" s="11" t="s">
        <v>115</v>
      </c>
      <c r="Y430" s="11">
        <v>80</v>
      </c>
      <c r="Z430" s="11">
        <v>80</v>
      </c>
      <c r="AA430" s="11" t="s">
        <v>2640</v>
      </c>
      <c r="AB430" s="11" t="s">
        <v>2641</v>
      </c>
      <c r="AC430" s="11" t="s">
        <v>2642</v>
      </c>
      <c r="AD430" s="11">
        <v>0</v>
      </c>
      <c r="AE430" s="11">
        <v>116</v>
      </c>
      <c r="AF430" s="11">
        <f>VLOOKUP(K430,'1126 Desarrollo Social'!$K$13:$AK$58,22,0)</f>
        <v>0</v>
      </c>
      <c r="AG430" s="11">
        <f>VLOOKUP(K430,'1126 Desarrollo Social'!$K$13:$AK$58,23,0)</f>
        <v>114</v>
      </c>
      <c r="AH430" s="11">
        <f t="shared" si="738"/>
        <v>114</v>
      </c>
      <c r="AI430" s="9">
        <f>VLOOKUP(K430,'1126 Desarrollo Social'!$K$13:$AK$58,25,0)</f>
        <v>0</v>
      </c>
      <c r="AJ430" s="9" t="str">
        <f>VLOOKUP(K430,'1126 Desarrollo Social'!$K$13:$AK$58,26,0)</f>
        <v>Seguimiento a los municipios para la verificacion de actividad de las mesas de participación de niñas y adolescentes, asistencia a 11 municipios para establecer estrategias de fortalecimiento. 4 sesiones de la mesa de participacion de niños, niñas y adolescentes</v>
      </c>
      <c r="AK430" s="9">
        <f>VLOOKUP(K430,'1126 Desarrollo Social'!$K$13:$AK$58,27,0)</f>
        <v>0</v>
      </c>
      <c r="AL430" s="11">
        <v>0</v>
      </c>
      <c r="AM430" s="11">
        <v>116</v>
      </c>
      <c r="AN430" s="11">
        <v>0</v>
      </c>
      <c r="AO430" s="11">
        <v>116</v>
      </c>
      <c r="AP430" s="11">
        <v>0</v>
      </c>
      <c r="AQ430" s="11">
        <v>0</v>
      </c>
      <c r="AR430" s="51">
        <v>6500000</v>
      </c>
      <c r="AS430" s="54">
        <v>0</v>
      </c>
      <c r="AT430" s="54">
        <f t="shared" si="632"/>
        <v>6500000</v>
      </c>
      <c r="AU430" s="51">
        <v>6500000</v>
      </c>
      <c r="AV430" s="89">
        <v>20000000</v>
      </c>
      <c r="AY430" s="89">
        <v>0</v>
      </c>
      <c r="AZ430" s="44" cm="1">
        <f t="array" ref="AZ430">_xlfn.IFS((BA430=0),(BD430/CL430),(BA430&gt;0),((BB430+BD430)/CL430),(BE430&gt;0),((BB430+BD430+BE430)/CL430),(BG430&gt;0),((BB430+BD430+BE430+G430)/CL430))</f>
        <v>0.41811465517241375</v>
      </c>
      <c r="BA430" s="44">
        <v>0.25</v>
      </c>
      <c r="BB430" s="44">
        <v>0.68969999999999998</v>
      </c>
      <c r="BC430" s="44">
        <f t="shared" si="739"/>
        <v>0.25</v>
      </c>
      <c r="BD430" s="44" cm="1">
        <f t="array" ref="BD430">_xlfn.IFS(AE430=0,"NA",AE430&gt;0,AH430/AE430)</f>
        <v>0.98275862068965514</v>
      </c>
      <c r="BE430" s="44">
        <f t="shared" si="740"/>
        <v>0.25</v>
      </c>
      <c r="BF430" s="44">
        <v>0</v>
      </c>
      <c r="BG430" s="44">
        <f t="shared" si="741"/>
        <v>0.25</v>
      </c>
      <c r="BH430" s="44">
        <v>0</v>
      </c>
      <c r="BI430" s="44">
        <v>0</v>
      </c>
      <c r="BJ430" s="44" t="s">
        <v>115</v>
      </c>
      <c r="BK430" s="44">
        <f t="shared" si="633"/>
        <v>0.41811465517241375</v>
      </c>
      <c r="BL430" s="44">
        <v>0.68969999999999998</v>
      </c>
      <c r="BM430" s="42" cm="1">
        <f t="array" ref="BM430">_xlfn.IFS(BD430="NA","NA",BD430&gt;100%,"100%",BD430&lt;100,BD430)</f>
        <v>0.98275862068965514</v>
      </c>
      <c r="BN430" s="44">
        <v>0</v>
      </c>
      <c r="BO430" s="44">
        <v>0</v>
      </c>
      <c r="BP430" s="44" t="s">
        <v>115</v>
      </c>
      <c r="BQ430" s="45">
        <v>0.224</v>
      </c>
      <c r="BR430" s="43">
        <f t="shared" si="634"/>
        <v>9.3657682758620686E-2</v>
      </c>
      <c r="BS430" s="45">
        <v>5.6000000000000001E-2</v>
      </c>
      <c r="BT430" s="45">
        <v>3.8600000000000002E-2</v>
      </c>
      <c r="BU430" s="45">
        <v>3.8600000000000002E-2</v>
      </c>
      <c r="BV430" s="45">
        <v>5.6000000000000001E-2</v>
      </c>
      <c r="BW430" s="43">
        <f t="shared" si="635"/>
        <v>5.503448275862069E-2</v>
      </c>
      <c r="BX430" s="43">
        <f t="shared" si="636"/>
        <v>5.5057682758620684E-2</v>
      </c>
      <c r="BY430" s="45">
        <v>5.6000000000000001E-2</v>
      </c>
      <c r="BZ430" s="45">
        <v>0</v>
      </c>
      <c r="CA430" s="43">
        <f t="shared" si="637"/>
        <v>0</v>
      </c>
      <c r="CB430" s="45">
        <v>5.6000000000000001E-2</v>
      </c>
      <c r="CC430" s="45">
        <v>0</v>
      </c>
      <c r="CD430" s="45">
        <v>0</v>
      </c>
      <c r="CE430" s="45">
        <v>0</v>
      </c>
      <c r="CF430" s="45" t="s">
        <v>115</v>
      </c>
      <c r="CG430" s="45">
        <v>0</v>
      </c>
      <c r="CH430">
        <f t="shared" si="742"/>
        <v>1</v>
      </c>
      <c r="CI430">
        <f t="shared" si="743"/>
        <v>1</v>
      </c>
      <c r="CJ430">
        <f t="shared" si="744"/>
        <v>1</v>
      </c>
      <c r="CK430">
        <f t="shared" si="745"/>
        <v>1</v>
      </c>
      <c r="CL430">
        <f t="shared" si="746"/>
        <v>4</v>
      </c>
    </row>
    <row r="431" spans="1:90" ht="18" customHeight="1">
      <c r="A431" s="260" t="s">
        <v>992</v>
      </c>
      <c r="B431" s="260" t="s">
        <v>993</v>
      </c>
      <c r="C431" s="260" t="s">
        <v>2371</v>
      </c>
      <c r="D431" s="260" t="s">
        <v>2588</v>
      </c>
      <c r="E431" s="260" t="s">
        <v>2606</v>
      </c>
      <c r="F431" s="260" t="s">
        <v>2607</v>
      </c>
      <c r="G431" s="260" t="s">
        <v>2608</v>
      </c>
      <c r="H431" s="260" t="s">
        <v>2643</v>
      </c>
      <c r="I431" s="260"/>
      <c r="J431" s="260"/>
      <c r="K431" s="260" t="s">
        <v>2644</v>
      </c>
      <c r="L431" s="260" t="s">
        <v>2645</v>
      </c>
      <c r="M431" s="260" t="s">
        <v>2646</v>
      </c>
      <c r="N431" s="260" t="s">
        <v>123</v>
      </c>
      <c r="O431" s="260" t="s">
        <v>112</v>
      </c>
      <c r="P431" s="10">
        <v>0</v>
      </c>
      <c r="Q431" s="11">
        <v>40</v>
      </c>
      <c r="R431" s="9">
        <f t="shared" ref="R431:R432" si="747">Z431+AH431</f>
        <v>15</v>
      </c>
      <c r="S431" s="11" t="str">
        <f>VLOOKUP(K431,'1105 Gobierno'!$K$12:$AK$31,9,0)</f>
        <v>Cundinamarca llega al cuarto puesto del departamento con el mejor puntaje en la Política de Participación Ciudadana en la Gestión Pública a través de: Garantizar la apropiación de conocimientos y fortalecer de las capacidades de gestión a través de la asistencia técnica de mecanismos de participación, instancias de participación, veedurías ciudadanas y socialización de la política pública a los 116 municipios con 1.763 beneficiados. Posicionamiento del departamento de Cundinamarca entre los mejores a nivel nacional en las iniciativas de participación ciudadana.  premio de “Colombia Participa 2020” Nominados entre los 3 finalistas al premio “Colombia Participa 2020” del Ministerio del Interior Categoría Gobernación. Posicionamiento de los espacios de participación del departamento a través de 2 ferias de servicios realizadas en la provincia de Sumapaz y Tequendama con la presencia de más de 110 asistentes. Fortalecimiento de la participación ciudadana a través del diseño y formulación del Modelo estándar de presupuestos participativos. Creación, instalación y posesión del Consejo Departamental de Participación Ciudadana según decreto 010 de 2018. Acompañamiento técnico, humano y financiero a las elecciones atípicas del municipio de Sutatausa. Con la aplicación CUNCEJAPP se garantiza el acceso a 1.178 concejales y 257 ediles  del departamento con noticias, información de interés en la gestión pública, así como la creación de redes para el intercambio de información relevante.                                                                                                                                                                                                                                                                        Para el periodo 2021, Socialización de la política pública de participación ciudadana en los 116 municipios del Departamento de manera virtual, haciendo sen participes alcaldes, secretarios de gobierno, personeros y concejales de los municipios. Socialización de manera presencial en las provincias del Sumapaz, Tequendama, Gualivá, Bajo Magdalena, Rio Negro y Sabana Centro en todo lo que tiene que ver con los mecanismos de participación dando alcance a 800 personas. Actualización de la aplicación de Cuncejapp y contratación del personal que van a realizar las asesorías y acompañamientos a los concejales a través de la aplicación. Actualización de las bases de datos de los concejales y ediles del Departamento. Asistencias técnicas en tema de veeduría ciudadana. Reunión del primer comité de procesos electorales para la preparación de las próximas elecciones de Senado y Cámara. Alianza estratégica entre el departamento (Secretaría de Gobierno) con la Esap y Fenacon para llevar a cabo diplomado de participación ciudadana. Adelantos en diplomado conjunto con IDACO para los comunales de Departamento. Se han realizado cuatro ferias de servicios para fortalecer la participación ciudadana, contando con la participación de la Contraloría, Registraduría, Feacon y la Esap. Alianza estratégica con la oficina de participación ciudadana del Distrito para apoyar la construcción de un sistema Departamental de participación ciudadana. Diseño y envió del manual de funcionamiento del aplicativo Cuncejapp a personas interesadas en el Departamento de Cundinamarca. Actualización del micrositio en la página de la secretaría de Gobierno. Convocatoria y realización de la primera sesión del Consejo Departamental de Participación Ciudadana para iniciar trabajo con cada una de las mesas creadas en dicho órgano llegando a los 116 municipios del Departamento. Creación del grupo de trabajo que adelantará acciones en cuanto a la elección de Concejos Municipales de Juventud llegando a los 116 municipios del Departamento. Convocatoria a la mesa técnica de seguimiento a indicadores con el fin de acompañar la primera sesión del Consejo Departamental de Participación Ciudadana para continuar con la implementación de la Política Publica de Participación Ciudadana. Establecer las metas relacionadas con la implementación de la política publica de participación ciudadana con las demás secretarías de la gobernación. Adelanto de la creación del grupo de trabajo para la realización de la encuesta bienal sobre participación ciudadana. Adelantó el proceso para la creación del plan de Medios. Adelanto de la construcción del sistema Departamental de Participación Ciudadana. Adelanto de gestiones con la secretaría de las TICS para solicitud de acompañamiento a la creación de la plataforma WEB y la aplicación móvil PARTICIPAAP.                                                                                                                                                                                                                                                                                                                           Capacitación a (Diplomado) a 457 concejales, personeros y ediles del departamento. La fundación Solidaridad por Colombia realiza la socialización de la política publica de participación ciudadana. Revisión del plan de medios. La dirección de asuntos municipales esta al frente de encuesta bienal 2021 en el Departamento, organizando todo lo referente a la misma y realizo un borrador de la encuesta para el plan piloto. Se resuelven las solicitudes recibidas a través de la aplicación cuncejapp.</v>
      </c>
      <c r="T431" s="11">
        <v>5</v>
      </c>
      <c r="U431" s="11">
        <v>0</v>
      </c>
      <c r="V431" s="11">
        <v>5</v>
      </c>
      <c r="W431" s="11">
        <v>0</v>
      </c>
      <c r="X431" s="11">
        <v>5</v>
      </c>
      <c r="Y431" s="11">
        <v>0</v>
      </c>
      <c r="Z431" s="11">
        <v>5</v>
      </c>
      <c r="AA431" s="11" t="s">
        <v>1106</v>
      </c>
      <c r="AB431" s="11" t="s">
        <v>2647</v>
      </c>
      <c r="AC431" s="11" t="s">
        <v>2648</v>
      </c>
      <c r="AD431" s="11">
        <v>12</v>
      </c>
      <c r="AE431" s="11">
        <v>0</v>
      </c>
      <c r="AF431" s="11">
        <f>VLOOKUP(K431,'1105 Gobierno'!$K$12:$AK$31,22,0)</f>
        <v>10</v>
      </c>
      <c r="AG431" s="11" t="str">
        <f>VLOOKUP(K431,'1105 Gobierno'!$K$12:$AK$31,23,0)</f>
        <v> </v>
      </c>
      <c r="AH431" s="9">
        <f t="shared" ref="AH431:AH432" si="748">AF431</f>
        <v>10</v>
      </c>
      <c r="AI431" s="9" t="str">
        <f>VLOOKUP(K431,'1105 Gobierno'!$K$12:$AK$31,25,0)</f>
        <v>Asistencia técnica</v>
      </c>
      <c r="AJ431" s="9" t="str">
        <f>VLOOKUP(K431,'1105 Gobierno'!$K$12:$AK$31,26,0)</f>
        <v xml:space="preserve">Se inició la elaboración y divulgación del plan de medios de la participación ciudadana a través de cronograma provincial de la política pública. Adicional a ello se brindó asistencia técnica presencial a los municipios de la Peña y San Francisco a solicitud de los mismos, para revisar temas relacionados con veedurías ciudadanas. Se actualiza la aplicación Cuncejapp y se lleva a cabo la contratación del personal que va a realizar las asesorías y acompañamiento a los concejales a través de la aplicación, se adelanta la actualización de bases de datos de los concejos y ediles del Departamento. Se socializó La PPPC en cuatro provincias, las cuales son: Gualivá, Bajo Magdalena, Rio negro y sabana centro para un total de 4 socializaciones a 34 municipios. Se brindo asistencia técnica y acompañamiento a los municipios:  puerto salgar y La Peña y San Francisco, especialmente en veedurías ciudadanas. Se realizo el primer comité de procesos electorales para la preparación de las próximas elecciones de senado y cámara. Se realizo una alianza estratégica entre el departamento (secretaria de Gobierno) ESAP y FENACON con el fin de aunar esfuerzos y llevar a cabo el diplomado en participación ciudadana para toda la población que lo quiera adquirir, con el fin de fortalecer la participación ciudadana. Se adelantó un diplomado en conjunto con IDACO para fortalecer a los comunales del departamento.
Se llevaron a cabo 4 ferias de servicios para fortalecer la participación ciudadana en la cual contamos con la participación de la contraloría, Registraduría, Feancon y la ESAP - se realizó el acompañamiento al municipio de San Francisco en la socialización del proyecto 009 de 2020 que se aplicó en esta vigencia. Se adelanto alianza estratégica con la oficina de participación ciudadana del distrito para apoyar la construcción de un sistema departamental de participación ciudadana. Se realizó asistencia técnica incentivando a los municipios para la creación y dotación de las oficinas de participación ciudadana o crear un coordinador municipal de la misma. Para socializar la información con la comunidad en eventos como las rendiciones de cuentas se elaboró requerimiento dirigido a la secretaría de las TIC's solicitando la funcionalidad del aplicativo y pagina web Participapp.
Se inició la elaboración y divulgación del plan de medios de la participación ciudadana a través de cronograma provincial de la política pública. Se actualiza la aplicación Cuncejapp y se lleva a cabo la contratación del personal que va a realizar las asesorías y acompañamiento a los concejales a través de la aplicación. Se diseñó y envió el manual de funcionamiento del aplicativo Cuncejapp a cada uno de los miembros del grupo de trabajo y personas interesadas en el Departamento de Cundinamarca. Adicional se adelantó la actualización del micrositio en la página de la secretaria de Gobierno y se adelanta la actualización de bases de datos de los concejos y ediles del departamento. Se convocó y realizó la primera sesión del Consejo Departamental de Participación Ciudadana con el fin de iniciar el trabajo en cada una de las mesas creadas en dicho órgano llegando a los 116 municipios del Departamento. Se creó el grupo de trabajo que adelantara las acciones en cuanto a la elección de Concejos Municipales de juventud, logrando llegar a los 116 municipios. Se definieron actividades con el asesor a cargo del proceso de la puesta marcha del aplicativo participapp.
Se realizó contratación de profesional en comunicación social para proyectar el plan de medios de participación ciudadana para llegar a los 116 municipios del Departamento. Se realizó asistencia técnica a los municipios con el fin de fundamentar la necesidad de la creación de oficinas municipales que se dediquen a fomentar la participación ciudadana. Se convocó la mesa técnica de seguimiento a indicadores con el fin de acompañar la primera sesión del Consejo Departamental de Participación Ciudadana y continuar en el trabajo de la implementación de la Política Pública de Participación Ciudadana en el Departamento.
Se establecieron las metas relacionadas con la implementación de la política pública de participación ciudadana con las demás secretarias de la Gobernación con el fin de articular el trabajo con los enlaces de cada una de las secretarías. Se adelanto la creación del grupo de trabajo para la realización de la encuesta bienal sobre participación ciudadana en el departamento. Se creó el grupo de trabajo que adelantara las acciones en cuanto a la elección de Concejos Municipales de juventud. Se adelanto la creación del plan de medios.
Se adelanto la construcción del sistema departamental de participación ciudadana. se dio tramite a las solicitudes hechas a través de la aplicación Cuncejapp. 3 de manera telefónica y 11 por medio de WhatsApp. socialización PP participación ciudadana provincias de medina, oriente y alto Magdalena, beneficiando a 20 municipios. socialización elección consejos municipales de juventud, contando con la asistencia de 20 municipios. Se adelanto la creación del plan de medios con el que se busca llegar a los 116 municipios del departamento. Se adelanto la construcción del sistema departamental de participación ciudadana. Se realizó asistencia técnica a 20 municipios con el fin de comunicar y motivar sobre la importancia de la creación y dotación de las oficinas de participación ciudadana, o crear un coordinador municipal de la misma.                                                                                                                                                                                                                                                                                                                             
Se dio tramite a las solicitudes recibidas en el aplicativo cuncejapp. Se realizó seguimiento a la creación de consejos territoriales de planeación en los 116 municipios del Departamento. Se adelanto convenio interinstitucional para realizar la encuesta bianual sobre participación ciudadana. Se realizó sesión del comité para la coordinación y seguimiento de los procesos electorales de Cundinamarca con el fin de rendir informe sobre actualización del calendario electoral e informe de inscripción de listas a elección de consejo municipal y local de juventud. Se dio inicio al Diplomado para capacitar a 457 (concejales, personeros y ediles) del departamento. Se gestionó apoyo económico para la movilidad de los ediles del Departamento al Congreso Nacional de ediles que llevara cabo del 7 al 10 de octubre en Riohacha, se realizó entrega de carnets a los ediles del Departamento. Entrega plan de medios para revisión y socialización.                                                                                                                                                            Se esta llevando a cabo el Diplomado a 457 concejales, personeros y ediles del departamento. A través de la fundación Solidaridad por Colombia se han llevado a cabo socialización de la política publica de participación ciudadana. EL plan de medios se entregó y esta en revisión. La dirección de asuntos municipales  organizo el equipo de trabajo que llevara a cabo la encuesta bienal 2021 en el Departamento, con ello realizo un borrador de la encuesta para el plan piloto. Se dio tramite a las solicitudes realizadas por los municipios a través de la aplicación cuncejapp.                                                                                             </v>
      </c>
      <c r="AK431" s="9">
        <f>VLOOKUP(K431,'1105 Gobierno'!$K$12:$AK$31,27,0)</f>
        <v>0</v>
      </c>
      <c r="AL431" s="11">
        <v>10</v>
      </c>
      <c r="AM431" s="11">
        <v>0</v>
      </c>
      <c r="AN431" s="11">
        <v>13</v>
      </c>
      <c r="AO431" s="11">
        <v>0</v>
      </c>
      <c r="AP431" s="11">
        <v>0</v>
      </c>
      <c r="AQ431" s="11">
        <v>0</v>
      </c>
      <c r="AR431" s="51">
        <v>105475528</v>
      </c>
      <c r="AS431" s="54">
        <v>0</v>
      </c>
      <c r="AT431" s="54">
        <f t="shared" si="632"/>
        <v>105475528</v>
      </c>
      <c r="AU431" s="51">
        <v>105475528</v>
      </c>
      <c r="AV431" s="89">
        <v>1000000000</v>
      </c>
      <c r="AY431" s="89">
        <v>272242719</v>
      </c>
      <c r="AZ431" s="42">
        <f t="shared" ref="AZ431:AZ432" si="749">R431/Q431</f>
        <v>0.375</v>
      </c>
      <c r="BA431" s="44">
        <v>0.125</v>
      </c>
      <c r="BB431" s="44">
        <v>1</v>
      </c>
      <c r="BC431" s="42">
        <f t="shared" ref="BC431:BC432" si="750">AD431/Q431</f>
        <v>0.3</v>
      </c>
      <c r="BD431" s="42" cm="1">
        <f t="array" ref="BD431">_xlfn.IFS(AD431=0,"NA",AD431&gt;0,AH431/AD431)</f>
        <v>0.83333333333333337</v>
      </c>
      <c r="BE431" s="42">
        <f t="shared" ref="BE431:BE432" si="751">AL431/Q431</f>
        <v>0.25</v>
      </c>
      <c r="BF431" s="44">
        <v>0</v>
      </c>
      <c r="BG431" s="42">
        <f t="shared" ref="BG431:BG432" si="752">AN431/Q431</f>
        <v>0.32500000000000001</v>
      </c>
      <c r="BH431" s="44">
        <v>0</v>
      </c>
      <c r="BI431" s="42">
        <f t="shared" ref="BI431:BI432" si="753">AP431/Q431</f>
        <v>0</v>
      </c>
      <c r="BJ431" s="44" t="s">
        <v>115</v>
      </c>
      <c r="BK431" s="42">
        <f t="shared" si="633"/>
        <v>0.375</v>
      </c>
      <c r="BL431" s="44">
        <v>1</v>
      </c>
      <c r="BM431" s="42" cm="1">
        <f t="array" ref="BM431">_xlfn.IFS(BD431="NA","NA",BD431&gt;100%,"100%",BD431&lt;100,BD431)</f>
        <v>0.83333333333333337</v>
      </c>
      <c r="BN431" s="42" cm="1">
        <f t="array" ref="BN431">_xlfn.IFS(BF431="NA","NA",BF431&gt;100%,"100%",BF431&lt;100,BF431)</f>
        <v>0</v>
      </c>
      <c r="BO431" s="42" cm="1">
        <f t="array" ref="BO431">_xlfn.IFS(BH431="NA","NA",BH431&gt;100%,"100%",BH431&lt;100,BH431)</f>
        <v>0</v>
      </c>
      <c r="BP431" s="42" t="str" cm="1">
        <f t="array" ref="BP431">_xlfn.IFS(BJ431="NA","NA",BJ431&gt;100%,"100%",BJ431&lt;100,BJ431)</f>
        <v>NA</v>
      </c>
      <c r="BQ431" s="45">
        <v>0.224</v>
      </c>
      <c r="BR431" s="43">
        <f t="shared" si="634"/>
        <v>8.4000000000000005E-2</v>
      </c>
      <c r="BS431" s="45">
        <v>2.8000000000000001E-2</v>
      </c>
      <c r="BT431" s="45">
        <v>2.8000000000000001E-2</v>
      </c>
      <c r="BU431" s="45">
        <v>2.8000000000000001E-2</v>
      </c>
      <c r="BV431" s="43">
        <f t="shared" ref="BV431:BV432" si="754">(AD431*BQ431)/Q431</f>
        <v>6.720000000000001E-2</v>
      </c>
      <c r="BW431" s="43">
        <f t="shared" si="635"/>
        <v>5.6000000000000008E-2</v>
      </c>
      <c r="BX431" s="43">
        <f t="shared" si="636"/>
        <v>5.6000000000000008E-2</v>
      </c>
      <c r="BY431" s="43">
        <f t="shared" ref="BY431:BY432" si="755">(AL431*BQ431)/Q431</f>
        <v>5.6000000000000008E-2</v>
      </c>
      <c r="BZ431" s="43">
        <f t="shared" ref="BZ431:BZ432" si="756">IF(BN431="NA","NA",BN431*BY431)</f>
        <v>0</v>
      </c>
      <c r="CA431" s="43">
        <f t="shared" si="637"/>
        <v>0</v>
      </c>
      <c r="CB431" s="43">
        <f t="shared" ref="CB431:CB432" si="757">(AN431*BQ431)/Q431</f>
        <v>7.2800000000000004E-2</v>
      </c>
      <c r="CC431" s="43">
        <f t="shared" ref="CC431:CC432" si="758">IF(BO431="NA","NA",BO431*CB431)</f>
        <v>0</v>
      </c>
      <c r="CD431" s="45">
        <v>0</v>
      </c>
      <c r="CE431" s="43">
        <f t="shared" ref="CE431:CE432" si="759">(AP431*BQ431)/Q431</f>
        <v>0</v>
      </c>
      <c r="CF431" s="43" t="str">
        <f t="shared" ref="CF431:CF432" si="760">IF(BP431="NA","NA",BP431*CE431)</f>
        <v>NA</v>
      </c>
      <c r="CG431" s="45">
        <v>0</v>
      </c>
    </row>
    <row r="432" spans="1:90" ht="18" customHeight="1">
      <c r="A432" s="260" t="s">
        <v>992</v>
      </c>
      <c r="B432" s="260" t="s">
        <v>993</v>
      </c>
      <c r="C432" s="260" t="s">
        <v>2371</v>
      </c>
      <c r="D432" s="260" t="s">
        <v>2588</v>
      </c>
      <c r="E432" s="260" t="s">
        <v>2606</v>
      </c>
      <c r="F432" s="260" t="s">
        <v>2607</v>
      </c>
      <c r="G432" s="260" t="s">
        <v>2608</v>
      </c>
      <c r="H432" s="260" t="s">
        <v>2649</v>
      </c>
      <c r="I432" s="260"/>
      <c r="J432" s="260"/>
      <c r="K432" s="260" t="s">
        <v>2650</v>
      </c>
      <c r="L432" s="260" t="s">
        <v>2651</v>
      </c>
      <c r="M432" s="260" t="s">
        <v>2272</v>
      </c>
      <c r="N432" s="260" t="s">
        <v>111</v>
      </c>
      <c r="O432" s="260" t="s">
        <v>112</v>
      </c>
      <c r="P432" s="10">
        <v>0</v>
      </c>
      <c r="Q432" s="11">
        <v>1</v>
      </c>
      <c r="R432" s="9">
        <f t="shared" si="747"/>
        <v>0.25</v>
      </c>
      <c r="S432" s="11" t="str">
        <f>VLOOKUP(K432,'1105 Gobierno'!$K$12:$AK$31,9,0)</f>
        <v>Se realizó la contratación de personal para iniciar la consolidación de documento  del plan de fortalecimiento a la sana convivencia que se avanzó durante el año 2020 y se socializará durante el año 2021. Se elaboró plan de trabajo, se eligieron los municipios a intervenir teniendo en cuenta la existencia de conjuntos residenciales: Madrid, Mosquera, Facatativá, Funza, Fusagasugá, La Mesa, Ricaurte, Girardot, Soacha, Cajicá, Zipaquirá, Chía, Cota, Sopó, Tocancipá y Gachancipá</v>
      </c>
      <c r="T432" s="11">
        <v>0</v>
      </c>
      <c r="U432" s="11">
        <v>0</v>
      </c>
      <c r="V432" s="11">
        <v>0</v>
      </c>
      <c r="W432" s="11">
        <v>0</v>
      </c>
      <c r="X432" s="11">
        <v>0</v>
      </c>
      <c r="Y432" s="11">
        <v>0</v>
      </c>
      <c r="Z432" s="11">
        <v>0</v>
      </c>
      <c r="AA432" s="11"/>
      <c r="AB432" s="11"/>
      <c r="AC432" s="11"/>
      <c r="AD432" s="11">
        <v>0.33</v>
      </c>
      <c r="AE432" s="11">
        <v>0</v>
      </c>
      <c r="AF432" s="11">
        <f>VLOOKUP(K432,'1105 Gobierno'!$K$12:$AK$31,22,0)</f>
        <v>0.25</v>
      </c>
      <c r="AG432" s="11" t="str">
        <f>VLOOKUP(K432,'1105 Gobierno'!$K$12:$AK$31,23,0)</f>
        <v> </v>
      </c>
      <c r="AH432" s="9">
        <f t="shared" si="748"/>
        <v>0.25</v>
      </c>
      <c r="AI432" s="9" t="str">
        <f>VLOOKUP(K432,'1105 Gobierno'!$K$12:$AK$31,25,0)</f>
        <v>Asistencia técnica</v>
      </c>
      <c r="AJ432" s="9" t="str">
        <f>VLOOKUP(K432,'1105 Gobierno'!$K$12:$AK$31,26,0)</f>
        <v>Se realiza asistencia técnica al municipio de Silvania para que mejore su Plan Integral de Seguridad y Convivencia Ciudadana. Adicional a ello, se realizó un convenio interadministrativo para aunar esfuerzos técnicos, administrativos y financieros con el municipio de Fuquene para apoyar a la fuerza pùblica en combustible y mantenimiento del parque automotor garantizando la seguridad en el CAI ambiental del Fuquene en cumplimiento de la acción popular, se entregaron bonos a polícia del señor gobernador.
Durante estos primeros cuatro meses de la vigencia 2021 se ha hecho presencia en 10 provincias del Departamento mediante los Consejos de Seguridad, brindando asistencia técnica con cada uno de los programas y fortaleciendo la imagen institucional
Desde el inicio de año se elaboró un plan de accion que permitiera dar cumplimiento al PISCC Departamental dentro de los plazos concertados, para ello, se alimenta una matriz con cada una de las actividades desarrolladas, que permite evidenciar el porcentaje de avance en cada una de las lineas estrategicas, teniendo un consolidado final
1.El día 16 de abril de2021 se realizó reunión en las instalaciones de la alcaldia del municipio de Guaduas con el el doctor Pablo Andres Neussa Mestre Secretario de gobierno encargado y el doctor Pablo Alexis Ospina Inspector de Policia, en reperesentacion de la secretaria de Gobierno de Cundinamarca estuvo la doctora Lida JannethCaycedo.Se indago sobre la implementación del PISCC , el cual según infomación del doctor Pablo Ospina se implemento desde el mes de diciembre del 2020. Se le infoma a la doctora Lida el cronograma de actividades programadas para el mes de mayo dentro del marco de cumplimiento del PISCC municipal.
Nos encontramos realizando el levantamiento de información con el fin de obtener el diagnóstico de las necesidades de cámaras de seguridad
Se atendieron las diferentes solicitudes de los Municipios Anapoima, Tibacuy, Ubaque recepcionadas por el aplicativo mercurio en temas de fortalecimiento a la seguridad y el orden público , se ha realizado una visita para evaluar solicitud de dotación para el Concejo de Gachetá. La Secretaría  no ha definido recursos para este tipo de intervenciones, Se avanza en el seguimiento de cuatro proyectos de construcción, tres estaciones de policía con el Ministerio  en Cundinamarca en convenios tripartitos y la casa de gobierno de Nimaima que fue adicionada en 2020. Se han delegado contratistas de apoyo para la supervisión de cada uno de los convenios. Los cuatro proyectos son obras nuevas. Se tiene prevista una adición para el convenio de Guasca. Con estas obras se beneficiarán los siguinetes municipios Guasca, Villapinzón, Ricaurte, Nimaima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estudios:Supatá, Tibirita, el Peñon, La Palma, El Rosal, Villagómez. Paime, san Bernardo, Sasaima, Gama, San Antonio del Tequendama, Junín, Caparrapí, Guaduas, el Colegio, Puerto Salgar, Guayabetal
Se realiza supervisión a cuatro(4) convenios interadministrativos en ejecución :Guasca, Villapinzón, Ricaurte, Nimaima, una(1) interventoría de contrato de obra en liquidación SGO SAMC-228- 2019 , CAE- Girardot y  se adelantan venticuatro (24) procesos de liquidación de contratos interadministrativos realizados con los siguientes municipio: simijaca, Cogua, san Fracisco, La vega, gachetá, Zipacón , Une, Zipaquirá, Soacha, Vergara, Quipile, Arbelaez, Facatativá,Susa, Bituima, paratebueno  orientados a infraestructura procesos de liquidación de convenios interadministrativos
Se ha realizado visitas según compromisos del señor Gobernador en trámite de la gestión de proyectos a Diecinueve(19)  proyectos orientados a Casas de Gobierno, Comando Aereo, estaciones de Policía  y casa de Justicía,  en diecisiete (17) municipios de cundinamarca Supatá, Tibirita, el Peñon, La Palma, El Rosal, Villagómez. Paime, san Bernardo, Sasaima, Gama, San Antonio del Tequendama, Junín, Caparrapí, Guaduas, el Colegio, Puerto Salgar, Guayabetal
Se avanza en la evaluación de proyectos de adecuación par tres proyectos: Tibirita( comisaría de familia). San Antonio de tequendama ( casa de Gobierno), Caparrapí ( casa de Gobierno y estación de policía))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arquitectonicos para poder verificar la idoneidad del presupuesto.
 se ha realizado la verificación ambiental , según la resolución 29 de 2020 de la Secretaría de gobierno para adecuación de  dos proyectos San bernardo CASA DE GOBIERNO), sasaima (CASA DE GOBIERNO)
Se atendieron las diferentes solicitudes de los Municipios recepcionadas por el aplicativo mercurio en temas de fortalecimiento a la seguridad y el orden público
1.El día 16 de abril de 2021 se realizó una reunión en las instalaciones de la alcaldía del municipio de Guaduas con el  doctor Pablo Andrés Neussa Mestre Secretario de gobierno encargado y el doctor Pablo Alexis Ospina Inspector de Policía, en representación de la secretaria de Gobierno de Cundinamarca estuvo la doctora Lida JannethCaycedo.Se indago sobre la implementación del PISCC , el cual según información del doctor Pablo Ospina se implemento desde el mes de diciembre del 2020. Se le informa a la doctora Lida el cronograma de actividades programadas para el mes de mayo dentro del marco de cumplimiento del PISCC municipal.                         2.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3.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4.El día 10 de mayo de 2021 se realizo reunión en el municipio de San Antonio del Tequendama con el doctor Fabio Alberto Osuna y el doctor Hernán Tiberio Correa, en dicha reunión se evidencia que la implementación se esta realizando pero el seguimiento no se efectúa a través de la matriz de seguimiento, por lo que de manera inmediata el doctor Hernán propone una capacitación a los actores de manera urgente. 5.El día 10 de mayo de 2021 se lleva a cabo en la alcaldía de la Mesa con la doctora Angelica Cotrino secretaria de gobierno y el doctor Hernán Correa, en este municipio se han llevado acabo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6.El día 19 de mayo de 2021 se realiza capacitación sobre la implementación y seguimiento al PISCC en coordinación con secretaria de  gobierno  de la alcaldía de Zipacón y presidida por del doctor Hernán Correa. 7.El día 19 de mayo se brinda capacitación sobre la implementación y seguimiento al PISCC en la alcaldía de Anolaima por parte del doctor Hernán Correa. 8.El día 20 de mayo se brinda capacitación sobre la implementación y seguimiento al PISCC en la alcaldía de San Antonio del Tequendama por parte del doctor Hernán Correo. 9.El día 11 de mayo de 2021 se llevo acabo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10.El día 12 de mayo de 2021 se llevo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11.El día 14 de mayo se llevo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12. El día 14 de mayo de 2021 se realizo una reunión en la alcaldía de Mesitas del colegio entre secretaría de Gobierno doctora Martha Bibiana Parada Martínez y la doctora Angela Segura Atuesta,la doctora Martha Bibiana Parada Martínez realiza una breve reseña del PISCC y de las líneas estratégicas contempladas en el PISCC;se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trazadas.13.El día 12 de mayo del 2021 se realizo una reunión en la alcaldía del municipio de Nocaima en donde se realizo la presentación por parte del doctor Leoviceldo Beltrán contratista de la secretaria de Gobierno de la Gobernación, se indago con la doctora Paula Velásquez secretaria de gobierno d ella alcaldía respecto a los avances del PISCC municipal.14.El día 18 de mayo de 2021 se realiza reunión en le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mismo.15.El día 5 de mayo del 2021 se llevo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16.El día 15 de mayo de 2021 se llevo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17.El día 21 de mayo de 2021 se desarrolló una reunión en la alcaldía del municipio de la Palma entre la doctora María Paula Cárdenas secretaria de gobierno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18. El día 6 de mayo del 2021 se lleva a cabo una reunión en la alcaldía de Villagoméz,ha dicha reunión asiste la doctora Karen Fajardo Secretaría de Gobierno, el doctor Misael Duarte Alcalde del Municipio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19.El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 metas trazadas.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Se realizó el levantamiento de la información de los grupos de interes de la Dirección, por parte del equipo de territorio del Observatorio de Seguridad y orden Público
Se suscribieron los siguientes convenios: 1. SGO-CMC-290-2021- 2. SGO - CDCVI - 304-2021- 3. SGO-CDCVI-302-2021.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
PISCC JULIO "1-El día 9 de julio de 2021, se realizó reunión en el municipio de Viotá con la  doctora, Sandra Patricia Peñuela, quien se desempeña como secretaria de gobierno y asuntos administrativos y los contratista de la secretaria de Gobierno, Angela Segura y Luis Carlos contratistas de la secretaria de Gobierno,  la reunión se realizó en las instalaciones de la Alcaldía Municipal en donde se tuvo un primer acercamiento, la doctora González  está actualmente al frente del tema PISCC en el municipio. 2- El día 9 de julio, se realizó reunión en el municipio de Apulo  con la  doctora, Claudia Rosas Maldonado, quien se desempeña hace una semana como secretaria general y de gobierno  y los  contratistas Luis Carlos Pinzón  y Angela Segura quien presta asesoría en la implementación y seguimiento a los PISCC municipales, la reunión se realizó en las instalaciones de la Alcaldía Municipal donde se tuvo un primer acercamiento, la doctora Rosas  está actualmente al frente del tema PISCC en el municipio.  3-El día 9 se llevo a cabo una reunión con el doctor José Alfonso Mancera Guerrero quien se desempeña como inspector de policía en la inspección del Triunfo  y los contratistas de la secretaria de Gobierno, Luis Carlos Pinzón y Angela Segura quien hace parte del equipo de PISCC,la reunión se realizó en las instalaciones de la inspección de policía de la inspección del Triunfo Se socializo con el doctor Mancera la matriz de seguimientos de las líneas de acción del PISCC municipal la cual se había enviado el día 2 de junio de 2021.  4-El día 9 de Julio  se realizó reunión con el doctor Gilberto Moreno Vargas secretario de gobierno del municipio de Anapoima y los contratista de la secretaria de Gobierno, Luis Carlos Pinzón y Angela Segura quien brinda asistencia técnica a los PISCC municipales. La reunión se llevo acabo en las instalaciones de la alcaldía de Anapoima.  5-El día 14 de Julio de 2021 se llevo a cabo una reunión virtual con La doctora Carolyn Otalora trabajadora social de la comisaria de Familia, la   doctora, Sandra Patricia Peñuela, y los contratistas de la secretaria de Gobierno, Luis Carlos Pinzón  y Angela Segura quien brinda asistencia técnica en temas del PISCC. En esta reunión se socializo la matriz de seguimiento de las líneas estratégicas del PISCC municipal.  6-El día 10 de julio de 2021 se llevo a cabo la reunión virtual con e contratistas de la secretaria de gobierno de la Gobernación de Cundinamarca: Hernán Tiberio Correa, Jhon Ever Prieto, Diego Ramírez de y Leonardo Rivera, además el señor Secretario de gobierno de Cachipay Dr. Jorge Dicson Gama, la Inspectora de Policía, el Comandante de Policía, el Director de Deportes, y las juntas de acción comunal entre otros, donde se  presto asistencia técnica brindando conocimiento en la implementación y seguimiento del PISCC municipal. de Cachipay.  7-El día 14 de julio de 2021, se realizo reunión en  la Alcaldía de Simijaca, a fin de prestar la asistencia técnica en el tema de implementación y seguimiento del piscc municipal, visita atendida por el Alcalde Municipal, el señor Fiscal, la Comisaría de Familia, el –Comandante de Policía y, el Secretario de Gobierno. 8-El día 14 de Julio de 2021, se realizo reunión en  la Alcaldía de Guachetá, la reunión fue presidida por el contratista Hernán Tiberio Correa y conto con la participación  del señor Alcalde, el Secretario de Gobierno, el encargado del Enlace y Participación Ciudadana, la Almacenista y el Asesor Jurídico del Despacho, a quienes se les brindó asistencia técnica en el tema del PISCC municipal.  9-El día 21 de Julio de 2021, el contratista Hernán Tiberio Correa se reunió en  la Alcaldía del municipio del El Rosal, donde  brindó la asistencia técnica sobre el PISCC municipal. Asistieron el señor Secretario de Gobierno y su asistente.  10-El día 12 de julio del 2021  la contratista Lida Janneth Caycedo  realizó una reunión con la Secretaria de Gobierno del municipio de Guayabal de Siquima, doctora Juana Moreno y la doctora María Fernanda en su calidad de Comisaría de familia del municipio, se revisó el PISCC municipal, y se pactaron con la comisaria una serie de actividades que consisten en capacitaciones en temas que pretenden fortalecer temas tales como la prevención de casos de violencia intrafamiliar.  11- El día 22 de julio de 2021 se llevo a cabo una reunión con la contratista Lida Janneth Caycedo en las instalaciones de la alcaldía municipal de Bajaca, secretaría de gobierno, con el Dr.  Nelson Eduardo Cotes, en su calidad de asesor de despacho, se realizó reunión en compañía de los compañeros de las diferentes estrategias de sabana de occidente, en la cual cada uno presento su estrategia.  12- El día 22 de julio de 2021, se llevo a cabo una reunión  en las instalaciones de la alcaldía municipal de Facatativá, secretaría de gobierno, con el Dr. Oscar Ramírez  en su calidad de secretario de gobierno, la reunión conto con la presencia de  los contratistas  de las diferentes estrategias, por parte de la estrategia PISCC la contratista Lida Janneth Caycedo acordó una segunda reunión para conocer las estrategias a tratar en el municipio y saber el apoyo requerido. 13- El 1 de Julio  el contratista Pablo Bernal de la Secretaria de Gobierno brindo asistencia técnica en el municipio de Guasca por  solicitud de la Doctora Yuli Catherine Rodríguez secretaria de gobierno, asistieron el comandante de estación del municipio el teniente Edison Jiménez, la encargada del “PISCC” Angie Rodríguez Ortiz.  14- El día 08 de Julio se realizó mesa de trabajo presencial en el despacho de la alcaldía municipal de Vergara presidida por el contratista Leoviceldo Beltrán Ramírez, con la participación del secretario de gobierno y la directora de orden público.  15-El día 16 de julio se realizó reunión presencial en el despacho de la alcaldía municipal de Quebradanegra, con la participación del contratista Leoviceldo Beltrán Ramírez de la secretaria de gobierno. En dicha reunión se realizó la elaboración del borrador del POAI para el 2021 y su respectivo borrador del plan de acción para adelantar los procesos de implementación.  16-El día 28 de julio se realiza reunión en el municipio de Subachoque con la presencia del contratista Felipe Tovar de la secretaria de gobierno ,se hace la presentación de cada uno de los servicios ofertados por la Secretaria de Gobierno de Cundinamarca. Para el caso específico del PISCC, se resalta inicialmente el trabajo que se desarrolló en conjunto con la secretaria de gobierno municipal en el año 2020, que conllevo a la formulación del Plan Integral de Seguridad y Convivencia Ciudadana “SUBACHOQUE POR EL CAMINO CORRECTO 2020 – 2023”. 17- El día 28 de julio se reúnen en la alcaldía de Madrid los contratistas de la Secretaria Gobierno de Cundinamarca, para el tema de PISCC asiste el contratista Gerardo Mancera, manifiestan al Doctor Víctor Andrés Rusinque – Coordinador PISCC del Municipio de Madrid, las directrices de la Dirección de Seguridad y orden público de la Secretaria de Gobierno de Cundinamarca.  18- El día 21 de julio se reunieron en la alcaldía del municipio de Cáqueza la doctora Marylin Vergara secretaria de Gobierno y el contratista Xiomara González y Gerardo Mancera, este ultimo realiza su presentación y manifiesta la disposición para brindar las asistencia técnica para la implementación y seguimiento al PISCC municipal.  19-El día 28 de julio se reunieron la doctora Yenny Secretaria de Gobierno del Municipio de Paratebueno y el contratista Gerardo Mancera contratista de la secretaria de Gobierno. El motivo de esta visita es hacer un acompañamiento en la implementación y ejecución del PISCC municipal. 20-El día 29 de julio se llevo acabo una reunión en el municipio de Paime, asistió por parte de la secretaria de gobierno de Cundinamarca el contratista Hugo Chávez , el secretario general y de gobierno de la alcaldía el doctor Walter Riveros y la inspectora de policía Ingrid Díaz, en esta reunión el contratista ofrece sus servicios como asesor en e implementación y seguimiento al PISCC Municipal."
Se atendieron 12 solicitudes recepcionadas por el aplicativo mercurio en temas de fortalecimiento a la seguridad y el orden público
Se brindaron 14 asistencias técnicas en los municipios de Apulo, Anapoima, La Calera,Zipacón,  Cachipay, la mesa, San Antonio de Tequendama, el Rosal, Anolaima, Vergara, Nocaima y Mesitas del Colegio con temas de  seguimiento las actividades propuesta en el PISCC municipal, revisión de la matriz para  ajustar el PISCC, implementación del PISCC municipal,  capacitación sobre los instrumentos de seguimiento y evaluación del PISCC, elaboración del POAI para el 2021 del PISCC municipal.
Se realizo capacitación en el municipio de Mesitas del Colegio sobre Microtráfico, Conformación de frentes de seguridad ciudadana y cultura ciudadana, estas actividades están dentro de las líneas estratégicas contempladas en el PISCC municipal, la capacitación conto con la asistencia de los presidentes, vicepresidentes, secretarios, delegados de las juntas de acción comunal, la secretaria de gobierno de la alcaldía municipal la doctora Martha Parada, con la presencia del doctor Julián Quijano asesor de la secretaria de Gobierno de la Gobernación de Cundinamarca y los contratistas, Luis Carlos Pinzón de la meta de cultura ciudadana, Cesar Rivera microtráfico, Angela Segura PISCC.
INFRAESTRUCTURA Durante el periodo reportado se han realizado solicitudes de diferentes proyectos orientados a estaciones de policía. Se llevo a cabo reunión con el ministerio del interior para la estación de policía Guayabetal, adicionalmente se lleva a cabo el trámite de adición para un convenio con el ministerio del interior para aportar recursos en una adición. Se realizan visitas técnicas y levantamiento arquitectónico del CAI de Fúquene, evaluación de estudios de proyectos en trámite de estructuración. Se adelanta supervisiones de convenios en proceso de ejecución convenios tripartito ministerio del interior en guasca, villa pinzón y Ricaurte. Se realiza acompañamiento a municipios en procesos de gestión de recursos ante el ministerio. Se Brinda acompañamiento a la gestión predial del CAI de Girardot
Los temas ambientales son requisitos de verificación comprendidos en la resolución 029 de 2020 cai ambiental de Fúquene y Se realizan supervisiones a proyectos de vigencias 2017-2018-2019 en proceso de liquidación. trámites de seguimiento a la viabilizarían de proyectos, verificación de requisitos prediales frente a proyectos, verificación de cumplimiento de requisitos ambientales.
Convenios:  Proyecto convenios para aunar esfuerzos técnicos administrativos y financieros para el mantenimiento, combustible y dotación  de  la fuerza púbica.</v>
      </c>
      <c r="AK432" s="9">
        <f>VLOOKUP(K432,'1105 Gobierno'!$K$12:$AK$31,27,0)</f>
        <v>0</v>
      </c>
      <c r="AL432" s="11">
        <v>0.33</v>
      </c>
      <c r="AM432" s="11">
        <v>0</v>
      </c>
      <c r="AN432" s="11">
        <v>0.34</v>
      </c>
      <c r="AO432" s="11">
        <v>0</v>
      </c>
      <c r="AP432" s="11">
        <v>0</v>
      </c>
      <c r="AQ432" s="11">
        <v>0</v>
      </c>
      <c r="AR432" s="52"/>
      <c r="AS432" s="54">
        <v>0</v>
      </c>
      <c r="AT432" s="54">
        <f t="shared" si="632"/>
        <v>0</v>
      </c>
      <c r="AU432" s="52"/>
      <c r="AV432" s="89">
        <v>130000000</v>
      </c>
      <c r="AY432" s="89">
        <v>0</v>
      </c>
      <c r="AZ432" s="42">
        <f t="shared" si="749"/>
        <v>0.25</v>
      </c>
      <c r="BA432" s="44">
        <v>0</v>
      </c>
      <c r="BB432" s="44" t="s">
        <v>115</v>
      </c>
      <c r="BC432" s="42">
        <f t="shared" si="750"/>
        <v>0.33</v>
      </c>
      <c r="BD432" s="42" cm="1">
        <f t="array" ref="BD432">_xlfn.IFS(AD432=0,"NA",AD432&gt;0,AH432/AD432)</f>
        <v>0.75757575757575757</v>
      </c>
      <c r="BE432" s="42">
        <f t="shared" si="751"/>
        <v>0.33</v>
      </c>
      <c r="BF432" s="44">
        <v>0</v>
      </c>
      <c r="BG432" s="42">
        <f t="shared" si="752"/>
        <v>0.34</v>
      </c>
      <c r="BH432" s="44">
        <v>0</v>
      </c>
      <c r="BI432" s="42">
        <f t="shared" si="753"/>
        <v>0</v>
      </c>
      <c r="BJ432" s="44" t="s">
        <v>115</v>
      </c>
      <c r="BK432" s="42">
        <f t="shared" si="633"/>
        <v>0.25</v>
      </c>
      <c r="BL432" s="44" t="s">
        <v>115</v>
      </c>
      <c r="BM432" s="42" cm="1">
        <f t="array" ref="BM432">_xlfn.IFS(BD432="NA","NA",BD432&gt;100%,"100%",BD432&lt;100,BD432)</f>
        <v>0.75757575757575757</v>
      </c>
      <c r="BN432" s="42" cm="1">
        <f t="array" ref="BN432">_xlfn.IFS(BF432="NA","NA",BF432&gt;100%,"100%",BF432&lt;100,BF432)</f>
        <v>0</v>
      </c>
      <c r="BO432" s="42" cm="1">
        <f t="array" ref="BO432">_xlfn.IFS(BH432="NA","NA",BH432&gt;100%,"100%",BH432&lt;100,BH432)</f>
        <v>0</v>
      </c>
      <c r="BP432" s="42" t="str" cm="1">
        <f t="array" ref="BP432">_xlfn.IFS(BJ432="NA","NA",BJ432&gt;100%,"100%",BJ432&lt;100,BJ432)</f>
        <v>NA</v>
      </c>
      <c r="BQ432" s="45">
        <v>0.224</v>
      </c>
      <c r="BR432" s="43">
        <f t="shared" si="634"/>
        <v>5.6000000000000001E-2</v>
      </c>
      <c r="BS432" s="45">
        <v>0</v>
      </c>
      <c r="BT432" s="45" t="s">
        <v>115</v>
      </c>
      <c r="BU432" s="45">
        <v>0</v>
      </c>
      <c r="BV432" s="43">
        <f t="shared" si="754"/>
        <v>7.392E-2</v>
      </c>
      <c r="BW432" s="43">
        <f t="shared" si="635"/>
        <v>5.6000000000000001E-2</v>
      </c>
      <c r="BX432" s="43">
        <f t="shared" si="636"/>
        <v>5.6000000000000001E-2</v>
      </c>
      <c r="BY432" s="43">
        <f t="shared" si="755"/>
        <v>7.392E-2</v>
      </c>
      <c r="BZ432" s="43">
        <f t="shared" si="756"/>
        <v>0</v>
      </c>
      <c r="CA432" s="43">
        <f t="shared" si="637"/>
        <v>0</v>
      </c>
      <c r="CB432" s="43">
        <f t="shared" si="757"/>
        <v>7.6160000000000005E-2</v>
      </c>
      <c r="CC432" s="43">
        <f t="shared" si="758"/>
        <v>0</v>
      </c>
      <c r="CD432" s="45">
        <v>0</v>
      </c>
      <c r="CE432" s="43">
        <f t="shared" si="759"/>
        <v>0</v>
      </c>
      <c r="CF432" s="43" t="str">
        <f t="shared" si="760"/>
        <v>NA</v>
      </c>
      <c r="CG432" s="45">
        <v>0</v>
      </c>
    </row>
    <row r="433" spans="1:90" ht="18" customHeight="1">
      <c r="A433" s="260" t="s">
        <v>2335</v>
      </c>
      <c r="B433" s="260" t="s">
        <v>2336</v>
      </c>
      <c r="C433" s="260" t="s">
        <v>2371</v>
      </c>
      <c r="D433" s="260" t="s">
        <v>2588</v>
      </c>
      <c r="E433" s="260" t="s">
        <v>2606</v>
      </c>
      <c r="F433" s="260" t="s">
        <v>2607</v>
      </c>
      <c r="G433" s="260" t="s">
        <v>2608</v>
      </c>
      <c r="H433" s="260" t="s">
        <v>2652</v>
      </c>
      <c r="I433" s="260"/>
      <c r="J433" s="260"/>
      <c r="K433" s="260" t="s">
        <v>2653</v>
      </c>
      <c r="L433" s="260" t="s">
        <v>2654</v>
      </c>
      <c r="M433" s="260" t="s">
        <v>2655</v>
      </c>
      <c r="N433" s="260" t="s">
        <v>111</v>
      </c>
      <c r="O433" s="260" t="s">
        <v>124</v>
      </c>
      <c r="P433" s="10">
        <v>1</v>
      </c>
      <c r="Q433" s="11">
        <v>1</v>
      </c>
      <c r="R433" s="11">
        <f>(Z433+AH433)/CL433</f>
        <v>0.41249999999999998</v>
      </c>
      <c r="S433" s="11" t="str">
        <f>VLOOKUP(K433,'1113 Planeación'!$K$13:$AK$19,9,0)</f>
        <v>El Consejo Territorial de Planeación de Cundinamarca - CTPC, se ha renovado. se han venido capacitando los Consejeros Territoriales lo que ha permitido mayor conocimiento en temas como el Sistema General de Regalias - SGR, Rendición de Cuentas, Plan de Ordenamiento Departamental, Plan de Aguas, entre otras</v>
      </c>
      <c r="T433" s="11">
        <v>0</v>
      </c>
      <c r="U433" s="11">
        <v>1</v>
      </c>
      <c r="V433" s="11">
        <v>0</v>
      </c>
      <c r="W433" s="11">
        <v>1</v>
      </c>
      <c r="X433" s="11" t="s">
        <v>115</v>
      </c>
      <c r="Y433" s="11">
        <v>1</v>
      </c>
      <c r="Z433" s="11">
        <v>1</v>
      </c>
      <c r="AA433" s="11" t="s">
        <v>2656</v>
      </c>
      <c r="AB433" s="11" t="s">
        <v>2657</v>
      </c>
      <c r="AC433" s="11" t="s">
        <v>2658</v>
      </c>
      <c r="AD433" s="11">
        <v>0</v>
      </c>
      <c r="AE433" s="11">
        <v>1</v>
      </c>
      <c r="AF433" s="11">
        <f>VLOOKUP(K433,'1113 Planeación'!$K$13:$AK$19,22,0)</f>
        <v>0.65</v>
      </c>
      <c r="AG433" s="11">
        <f>VLOOKUP(K433,'1113 Planeación'!$K$13:$AK$19,23,0)</f>
        <v>0.65</v>
      </c>
      <c r="AH433" s="11">
        <f>AG433</f>
        <v>0.65</v>
      </c>
      <c r="AI433" s="9" t="str">
        <f>VLOOKUP(K433,'1113 Planeación'!$K$13:$AK$19,25,0)</f>
        <v>Consejeros Territoriales capacitados con mayores conocimientos en temas como el Sistema General de Regalías - SGR, Socialización de la Estrategia Desde Cundinamarca Rendimos Cuentas, Formulación Plan de Ordenamiento Departamental –POD y “Consejo Territorial de Planeación, en los procesos de participación Territorial”, Plan Departamental de Aguas.</v>
      </c>
      <c r="AJ433" s="9" t="str">
        <f>VLOOKUP(K433,'1113 Planeación'!$K$13:$AK$19,26,0)</f>
        <v>Consejo Territorial de Planeación de Cundinamarca - CTPC, renovado. Consejeros Territoriales capacitados y con mayor conocimiento en temas como el Sistema General de Regalías - SGR, Estrategia Desde Cundinamarca Rendimos Cuentas, Formulación Plan de Ordenamiento Departamental –POD y “Consejo Territorial de Planeación, en los procesos de participación Territorial” , Plan Departamental de Aguas. Se ha realizado el proceso contractual para la realización de las actividades; Realización del XV Congreso Departamental de Consejeros Territoriales de Planeación, participación de los Consejeros en el Congreso del Sistema Nacional de Planeación y Apoyo administrativo y logístico al CTPC</v>
      </c>
      <c r="AK433" s="9" t="str">
        <f>VLOOKUP(K433,'1113 Planeación'!$K$13:$AK$19,27,0)</f>
        <v>Bajo interés de participación de los Consejeros territoriales , no se conectan a las capacitaciones</v>
      </c>
      <c r="AL433" s="11">
        <v>0</v>
      </c>
      <c r="AM433" s="11">
        <v>1</v>
      </c>
      <c r="AN433" s="11">
        <v>0</v>
      </c>
      <c r="AO433" s="11">
        <v>1</v>
      </c>
      <c r="AP433" s="11">
        <v>0</v>
      </c>
      <c r="AQ433" s="11">
        <v>0</v>
      </c>
      <c r="AR433" s="52"/>
      <c r="AS433" s="54">
        <v>0</v>
      </c>
      <c r="AT433" s="54">
        <f t="shared" si="632"/>
        <v>0</v>
      </c>
      <c r="AU433" s="52"/>
      <c r="AV433" s="89">
        <v>100000000</v>
      </c>
      <c r="AY433" s="89">
        <v>0</v>
      </c>
      <c r="AZ433" s="44" cm="1">
        <f t="array" ref="AZ433">_xlfn.IFS((BA433=0),(BD433/CL433),(BA433&gt;0),((BB433+BD433)/CL433),(BE433&gt;0),((BB433+BD433+BE433)/CL433),(BG433&gt;0),((BB433+BD433+BE433+G433)/CL433))</f>
        <v>0.41249999999999998</v>
      </c>
      <c r="BA433" s="44">
        <v>0.25</v>
      </c>
      <c r="BB433" s="44">
        <v>1</v>
      </c>
      <c r="BC433" s="44">
        <f>IF(AE433&gt;0,(1/CL433),0)</f>
        <v>0.25</v>
      </c>
      <c r="BD433" s="44" cm="1">
        <f t="array" ref="BD433">_xlfn.IFS(AE433=0,"NA",AE433&gt;0,AH433/AE433)</f>
        <v>0.65</v>
      </c>
      <c r="BE433" s="44">
        <f>IF(AM433&gt;0,(1/CL433),0)</f>
        <v>0.25</v>
      </c>
      <c r="BF433" s="44">
        <v>0</v>
      </c>
      <c r="BG433" s="44">
        <f>IF(AO433&gt;0,(1/CL433),0)</f>
        <v>0.25</v>
      </c>
      <c r="BH433" s="44">
        <v>0</v>
      </c>
      <c r="BI433" s="44">
        <v>0</v>
      </c>
      <c r="BJ433" s="44" t="s">
        <v>115</v>
      </c>
      <c r="BK433" s="44">
        <f t="shared" si="633"/>
        <v>0.41249999999999998</v>
      </c>
      <c r="BL433" s="44">
        <v>1</v>
      </c>
      <c r="BM433" s="42" cm="1">
        <f t="array" ref="BM433">_xlfn.IFS(BD433="NA","NA",BD433&gt;100%,"100%",BD433&lt;100,BD433)</f>
        <v>0.65</v>
      </c>
      <c r="BN433" s="44">
        <v>0</v>
      </c>
      <c r="BO433" s="44">
        <v>0</v>
      </c>
      <c r="BP433" s="44" t="s">
        <v>115</v>
      </c>
      <c r="BQ433" s="45">
        <v>0.224</v>
      </c>
      <c r="BR433" s="43">
        <f t="shared" si="634"/>
        <v>9.2399999999999996E-2</v>
      </c>
      <c r="BS433" s="45">
        <v>5.6000000000000001E-2</v>
      </c>
      <c r="BT433" s="45">
        <v>5.6000000000000001E-2</v>
      </c>
      <c r="BU433" s="45">
        <v>5.6000000000000001E-2</v>
      </c>
      <c r="BV433" s="45">
        <v>5.6000000000000001E-2</v>
      </c>
      <c r="BW433" s="43">
        <f t="shared" si="635"/>
        <v>3.6400000000000002E-2</v>
      </c>
      <c r="BX433" s="43">
        <f t="shared" si="636"/>
        <v>3.6399999999999995E-2</v>
      </c>
      <c r="BY433" s="45">
        <v>5.6000000000000001E-2</v>
      </c>
      <c r="BZ433" s="45">
        <v>0</v>
      </c>
      <c r="CA433" s="43">
        <f t="shared" si="637"/>
        <v>0</v>
      </c>
      <c r="CB433" s="45">
        <v>5.6000000000000001E-2</v>
      </c>
      <c r="CC433" s="45">
        <v>0</v>
      </c>
      <c r="CD433" s="45">
        <v>0</v>
      </c>
      <c r="CE433" s="45">
        <v>0</v>
      </c>
      <c r="CF433" s="45" t="s">
        <v>115</v>
      </c>
      <c r="CG433" s="45">
        <v>0</v>
      </c>
      <c r="CH433">
        <f>IF(W433&gt;0,1,0)</f>
        <v>1</v>
      </c>
      <c r="CI433">
        <f>IF(AE433&gt;0,1,0)</f>
        <v>1</v>
      </c>
      <c r="CJ433">
        <f>IF(AM433&gt;0,1,0)</f>
        <v>1</v>
      </c>
      <c r="CK433">
        <f>IF(AO433&gt;0,1,0)</f>
        <v>1</v>
      </c>
      <c r="CL433">
        <f>CH433+CI433+CJ433+CK433</f>
        <v>4</v>
      </c>
    </row>
    <row r="434" spans="1:90" ht="18" customHeight="1">
      <c r="A434" s="260" t="s">
        <v>98</v>
      </c>
      <c r="B434" s="260" t="s">
        <v>99</v>
      </c>
      <c r="C434" s="260" t="s">
        <v>2371</v>
      </c>
      <c r="D434" s="260" t="s">
        <v>2588</v>
      </c>
      <c r="E434" s="260" t="s">
        <v>2606</v>
      </c>
      <c r="F434" s="260" t="s">
        <v>2607</v>
      </c>
      <c r="G434" s="260" t="s">
        <v>2608</v>
      </c>
      <c r="H434" s="260" t="s">
        <v>2659</v>
      </c>
      <c r="I434" s="260" t="s">
        <v>677</v>
      </c>
      <c r="J434" s="260" t="s">
        <v>1895</v>
      </c>
      <c r="K434" s="260" t="s">
        <v>2660</v>
      </c>
      <c r="L434" s="260" t="s">
        <v>2661</v>
      </c>
      <c r="M434" s="260" t="s">
        <v>2662</v>
      </c>
      <c r="N434" s="260" t="s">
        <v>111</v>
      </c>
      <c r="O434" s="260" t="s">
        <v>112</v>
      </c>
      <c r="P434" s="10">
        <v>0</v>
      </c>
      <c r="Q434" s="11">
        <v>53</v>
      </c>
      <c r="R434" s="9">
        <f t="shared" ref="R434:R441" si="761">Z434+AH434</f>
        <v>0</v>
      </c>
      <c r="S434" s="9" t="str">
        <f>VLOOKUP(K434,'1197 Salud'!$K$13:$AK$54,9,0)</f>
        <v xml:space="preserve">Se logra que los 53 hospitales y 116 municipios mantengan activas y funcionando las formas de participacion social en salud, mediante comunicacion y asistencia tecnica efectiva continua y permanente con la oficina de participacion social </v>
      </c>
      <c r="T434" s="11">
        <v>8</v>
      </c>
      <c r="U434" s="11">
        <v>0</v>
      </c>
      <c r="V434" s="11">
        <v>8</v>
      </c>
      <c r="W434" s="11">
        <v>0</v>
      </c>
      <c r="X434" s="11">
        <v>0</v>
      </c>
      <c r="Y434" s="11">
        <v>0</v>
      </c>
      <c r="Z434" s="11">
        <v>0</v>
      </c>
      <c r="AA434" s="11" t="s">
        <v>2662</v>
      </c>
      <c r="AB434" s="11" t="s">
        <v>2663</v>
      </c>
      <c r="AC434" s="11" t="s">
        <v>2664</v>
      </c>
      <c r="AD434" s="11">
        <v>23</v>
      </c>
      <c r="AE434" s="11">
        <v>0</v>
      </c>
      <c r="AF434" s="9">
        <f>VLOOKUP(K434,'1197 Salud'!$K$13:$AK$54,22,0)</f>
        <v>0</v>
      </c>
      <c r="AG434" s="9">
        <f>VLOOKUP(K434,'1197 Salud'!$K$13:$AK$54,23,0)</f>
        <v>0</v>
      </c>
      <c r="AH434" s="9">
        <f t="shared" ref="AH434:AH441" si="762">AF434</f>
        <v>0</v>
      </c>
      <c r="AI434" s="9" t="str">
        <f>VLOOKUP(K434,'1197 Salud'!$K$13:$AK$54,25,0)</f>
        <v>Juntas asesoras conformadas</v>
      </c>
      <c r="AJ434" s="9" t="str">
        <f>VLOOKUP(K434,'1197 Salud'!$K$13:$AK$54,26,0)</f>
        <v xml:space="preserve">Se logra adelantar asistencia tecnica a los hospitales y alcaldias del Departamento (169) según distribucion de regiones de salud, para que tengan creadas activas y funcionanado sus formas de participacion social en salud  </v>
      </c>
      <c r="AK434" s="9" t="str">
        <f>VLOOKUP(K434,'1197 Salud'!$K$13:$AK$54,27,0)</f>
        <v>Demoras  por parte del Ministerio, Secretaria Juridica de la Gobernacion, Oficina de asuntos juridicos de la Secretaria de Salud, Direccion de Desarrollo de Servicios, en la revision de aspectos tecnicos y juridicos de los documentos para reglamentar los aspectos de la reorganizacion de la red, ademas de dificultades de conectividad y de recursos que garanticen la continuidad del recurso humano de referentes en paticipacion y atencion a los usuarios y comunidad, en los hospitales y alcaldias.</v>
      </c>
      <c r="AL434" s="11">
        <v>15</v>
      </c>
      <c r="AM434" s="11">
        <v>0</v>
      </c>
      <c r="AN434" s="11">
        <v>15</v>
      </c>
      <c r="AO434" s="11">
        <v>0</v>
      </c>
      <c r="AP434" s="11">
        <v>0</v>
      </c>
      <c r="AQ434" s="11">
        <v>0</v>
      </c>
      <c r="AR434" s="51">
        <v>18463840</v>
      </c>
      <c r="AS434" s="54">
        <v>0</v>
      </c>
      <c r="AT434" s="54">
        <f t="shared" si="632"/>
        <v>18463840</v>
      </c>
      <c r="AU434" s="51">
        <v>13739868</v>
      </c>
      <c r="AV434" s="89">
        <v>370769050</v>
      </c>
      <c r="AY434" s="89">
        <v>147322860</v>
      </c>
      <c r="AZ434" s="42">
        <f t="shared" ref="AZ434:AZ441" si="763">R434/Q434</f>
        <v>0</v>
      </c>
      <c r="BA434" s="44">
        <v>0.15090000000000001</v>
      </c>
      <c r="BB434" s="44">
        <v>0</v>
      </c>
      <c r="BC434" s="42">
        <f t="shared" ref="BC434:BC441" si="764">AD434/Q434</f>
        <v>0.43396226415094341</v>
      </c>
      <c r="BD434" s="42" cm="1">
        <f t="array" ref="BD434">_xlfn.IFS(AD434=0,"NA",AD434&gt;0,AH434/AD434)</f>
        <v>0</v>
      </c>
      <c r="BE434" s="42">
        <f t="shared" ref="BE434:BE441" si="765">AL434/Q434</f>
        <v>0.28301886792452829</v>
      </c>
      <c r="BF434" s="44">
        <v>0</v>
      </c>
      <c r="BG434" s="42">
        <f t="shared" ref="BG434:BG441" si="766">AN434/Q434</f>
        <v>0.28301886792452829</v>
      </c>
      <c r="BH434" s="44">
        <v>0</v>
      </c>
      <c r="BI434" s="42">
        <f t="shared" ref="BI434:BI441" si="767">AP434/Q434</f>
        <v>0</v>
      </c>
      <c r="BJ434" s="44" t="s">
        <v>115</v>
      </c>
      <c r="BK434" s="42">
        <f t="shared" si="633"/>
        <v>0</v>
      </c>
      <c r="BL434" s="44">
        <v>0</v>
      </c>
      <c r="BM434" s="42" cm="1">
        <f t="array" ref="BM434">_xlfn.IFS(BD434="NA","NA",BD434&gt;100%,"100%",BD434&lt;100,BD434)</f>
        <v>0</v>
      </c>
      <c r="BN434" s="42" cm="1">
        <f t="array" ref="BN434">_xlfn.IFS(BF434="NA","NA",BF434&gt;100%,"100%",BF434&lt;100,BF434)</f>
        <v>0</v>
      </c>
      <c r="BO434" s="42" cm="1">
        <f t="array" ref="BO434">_xlfn.IFS(BH434="NA","NA",BH434&gt;100%,"100%",BH434&lt;100,BH434)</f>
        <v>0</v>
      </c>
      <c r="BP434" s="42" t="str" cm="1">
        <f t="array" ref="BP434">_xlfn.IFS(BJ434="NA","NA",BJ434&gt;100%,"100%",BJ434&lt;100,BJ434)</f>
        <v>NA</v>
      </c>
      <c r="BQ434" s="45">
        <v>0.224</v>
      </c>
      <c r="BR434" s="43">
        <f t="shared" si="634"/>
        <v>0</v>
      </c>
      <c r="BS434" s="45">
        <v>3.3799999999999997E-2</v>
      </c>
      <c r="BT434" s="45">
        <v>0</v>
      </c>
      <c r="BU434" s="45">
        <v>0</v>
      </c>
      <c r="BV434" s="43">
        <f t="shared" ref="BV434:BV441" si="768">(AD434*BQ434)/Q434</f>
        <v>9.7207547169811323E-2</v>
      </c>
      <c r="BW434" s="43">
        <f t="shared" si="635"/>
        <v>0</v>
      </c>
      <c r="BX434" s="43">
        <f t="shared" si="636"/>
        <v>0</v>
      </c>
      <c r="BY434" s="43">
        <f t="shared" ref="BY434:BY441" si="769">(AL434*BQ434)/Q434</f>
        <v>6.3396226415094334E-2</v>
      </c>
      <c r="BZ434" s="43">
        <f t="shared" ref="BZ434:BZ441" si="770">IF(BN434="NA","NA",BN434*BY434)</f>
        <v>0</v>
      </c>
      <c r="CA434" s="43">
        <f t="shared" si="637"/>
        <v>0</v>
      </c>
      <c r="CB434" s="43">
        <f t="shared" ref="CB434:CB441" si="771">(AN434*BQ434)/Q434</f>
        <v>6.3396226415094334E-2</v>
      </c>
      <c r="CC434" s="43">
        <f t="shared" ref="CC434:CC441" si="772">IF(BO434="NA","NA",BO434*CB434)</f>
        <v>0</v>
      </c>
      <c r="CD434" s="45">
        <v>0</v>
      </c>
      <c r="CE434" s="43">
        <f t="shared" ref="CE434:CE441" si="773">(AP434*BQ434)/Q434</f>
        <v>0</v>
      </c>
      <c r="CF434" s="43" t="str">
        <f t="shared" ref="CF434:CF441" si="774">IF(BP434="NA","NA",BP434*CE434)</f>
        <v>NA</v>
      </c>
      <c r="CG434" s="45">
        <v>0</v>
      </c>
    </row>
    <row r="435" spans="1:90" ht="18" customHeight="1">
      <c r="A435" s="260" t="s">
        <v>2665</v>
      </c>
      <c r="B435" s="260" t="s">
        <v>2666</v>
      </c>
      <c r="C435" s="260" t="s">
        <v>2371</v>
      </c>
      <c r="D435" s="260" t="s">
        <v>2588</v>
      </c>
      <c r="E435" s="260" t="s">
        <v>2667</v>
      </c>
      <c r="F435" s="260" t="s">
        <v>2668</v>
      </c>
      <c r="G435" s="260" t="s">
        <v>2669</v>
      </c>
      <c r="H435" s="260" t="s">
        <v>2670</v>
      </c>
      <c r="I435" s="260"/>
      <c r="J435" s="260"/>
      <c r="K435" s="260" t="s">
        <v>2671</v>
      </c>
      <c r="L435" s="260" t="s">
        <v>2672</v>
      </c>
      <c r="M435" s="260" t="s">
        <v>2673</v>
      </c>
      <c r="N435" s="260" t="s">
        <v>111</v>
      </c>
      <c r="O435" s="260" t="s">
        <v>112</v>
      </c>
      <c r="P435" s="10">
        <v>2000</v>
      </c>
      <c r="Q435" s="11">
        <v>3000</v>
      </c>
      <c r="R435" s="9">
        <f t="shared" si="761"/>
        <v>1312</v>
      </c>
      <c r="S435" s="11" t="str">
        <f>VLOOKUP(K435,'1204 IDACO'!$K$12:$AK$17,9,0)</f>
        <v>Se desarrollaron actividades de formación y capacitación dirigidas a afiliados de las organizaciones comunales del Departamento. Los temas tratados son relacionados con el proceso de elecciones comunales 2021, constitución de juntas, emprendimiento comunal, capacitación en convivencia y conciliación, asesorías y capacitación en temas legales.  Se llevaron a cabo jornadas de capacitación en 116 municipios del Departamento, en las cuales participaron 17446 personas afiliadas a 1312 organismos de acción comunal.</v>
      </c>
      <c r="T435" s="11">
        <v>0</v>
      </c>
      <c r="U435" s="11">
        <v>0</v>
      </c>
      <c r="V435" s="11">
        <v>200</v>
      </c>
      <c r="W435" s="11">
        <v>0</v>
      </c>
      <c r="X435" s="11">
        <v>217</v>
      </c>
      <c r="Y435" s="11">
        <v>0</v>
      </c>
      <c r="Z435" s="11">
        <v>217</v>
      </c>
      <c r="AA435" s="11" t="s">
        <v>2674</v>
      </c>
      <c r="AB435" s="11" t="s">
        <v>2675</v>
      </c>
      <c r="AC435" s="11" t="s">
        <v>2676</v>
      </c>
      <c r="AD435" s="11">
        <v>1000</v>
      </c>
      <c r="AE435" s="11">
        <v>0</v>
      </c>
      <c r="AF435" s="11">
        <f>VLOOKUP(K435,'1204 IDACO'!$K$12:$AK$17,22,0)</f>
        <v>1095</v>
      </c>
      <c r="AG435" s="11">
        <f>VLOOKUP(K435,'1204 IDACO'!$K$12:$AK$17,23,0)</f>
        <v>0</v>
      </c>
      <c r="AH435" s="9">
        <f t="shared" si="762"/>
        <v>1095</v>
      </c>
      <c r="AI435" s="9" t="str">
        <f>VLOOKUP(K435,'1204 IDACO'!$K$12:$AK$17,25,0)</f>
        <v>Capacitación y formación a afiliados de organizaciones comunales de Cundinamarca, en temas relacionados con el proceso de elecciones comunales 2021, constitución de juntas, emprendimiento comunal, capacitación en convivencia y conciliación, asesorías y capacitación en temas legales.</v>
      </c>
      <c r="AJ435" s="9" t="str">
        <f>VLOOKUP(K435,'1204 IDACO'!$K$12:$AK$17,26,0)</f>
        <v>Se desarrollaron actividades de formación y capacitación dirigidas a afiliados de las organizaciones comunales del Departamento. Los temas tratados son relacionados con el proceso de elecciones comunales 2021, constitución de juntas, emprendimiento comunal, capacitación en convivencia y conciliación, asesorías y capacitación en temas legales.  Se llevaron a cabo jornadas de capacitación en 116 municipios del Departamento, en las cuales participaron 15834 personas afiliadas a 1095 organismos de acción comunal</v>
      </c>
      <c r="AK435" s="9" t="str">
        <f>VLOOKUP(K435,'1204 IDACO'!$K$12:$AK$17,27,0)</f>
        <v>Limitados desplazamientos y participación de funcionarios y afiliados a organismos comunales por disposiciones gubernamentales, período de vacaciones de funcionarios.</v>
      </c>
      <c r="AL435" s="11">
        <v>900</v>
      </c>
      <c r="AM435" s="11">
        <v>0</v>
      </c>
      <c r="AN435" s="11">
        <v>900</v>
      </c>
      <c r="AO435" s="11">
        <v>0</v>
      </c>
      <c r="AP435" s="11">
        <v>0</v>
      </c>
      <c r="AQ435" s="11">
        <v>0</v>
      </c>
      <c r="AR435" s="52"/>
      <c r="AS435" s="54">
        <v>2000000</v>
      </c>
      <c r="AT435" s="54">
        <f t="shared" si="632"/>
        <v>2000000</v>
      </c>
      <c r="AU435" s="52"/>
      <c r="AV435" s="89">
        <v>100000000</v>
      </c>
      <c r="AY435" s="89">
        <v>76693500</v>
      </c>
      <c r="AZ435" s="42">
        <f t="shared" si="763"/>
        <v>0.43733333333333335</v>
      </c>
      <c r="BA435" s="44">
        <v>6.6699999999999995E-2</v>
      </c>
      <c r="BB435" s="44">
        <v>1.085</v>
      </c>
      <c r="BC435" s="42">
        <f t="shared" si="764"/>
        <v>0.33333333333333331</v>
      </c>
      <c r="BD435" s="42" cm="1">
        <f t="array" ref="BD435">_xlfn.IFS(AD435=0,"NA",AD435&gt;0,AH435/AD435)</f>
        <v>1.095</v>
      </c>
      <c r="BE435" s="42">
        <f t="shared" si="765"/>
        <v>0.3</v>
      </c>
      <c r="BF435" s="44">
        <v>0</v>
      </c>
      <c r="BG435" s="42">
        <f t="shared" si="766"/>
        <v>0.3</v>
      </c>
      <c r="BH435" s="44">
        <v>0</v>
      </c>
      <c r="BI435" s="42">
        <f t="shared" si="767"/>
        <v>0</v>
      </c>
      <c r="BJ435" s="44" t="s">
        <v>115</v>
      </c>
      <c r="BK435" s="42">
        <f t="shared" si="633"/>
        <v>0.43733333333333335</v>
      </c>
      <c r="BL435" s="44">
        <v>1</v>
      </c>
      <c r="BM435" s="42" t="str" cm="1">
        <f t="array" ref="BM435">_xlfn.IFS(BD435="NA","NA",BD435&gt;100%,"100%",BD435&lt;100,BD435)</f>
        <v>100%</v>
      </c>
      <c r="BN435" s="42" cm="1">
        <f t="array" ref="BN435">_xlfn.IFS(BF435="NA","NA",BF435&gt;100%,"100%",BF435&lt;100,BF435)</f>
        <v>0</v>
      </c>
      <c r="BO435" s="42" cm="1">
        <f t="array" ref="BO435">_xlfn.IFS(BH435="NA","NA",BH435&gt;100%,"100%",BH435&lt;100,BH435)</f>
        <v>0</v>
      </c>
      <c r="BP435" s="42" t="str" cm="1">
        <f t="array" ref="BP435">_xlfn.IFS(BJ435="NA","NA",BJ435&gt;100%,"100%",BJ435&lt;100,BJ435)</f>
        <v>NA</v>
      </c>
      <c r="BQ435" s="45">
        <v>0.224</v>
      </c>
      <c r="BR435" s="43">
        <f t="shared" si="634"/>
        <v>9.796266666666667E-2</v>
      </c>
      <c r="BS435" s="45">
        <v>1.49E-2</v>
      </c>
      <c r="BT435" s="45">
        <v>1.49E-2</v>
      </c>
      <c r="BU435" s="45">
        <v>1.6199999999999999E-2</v>
      </c>
      <c r="BV435" s="43">
        <f t="shared" si="768"/>
        <v>7.4666666666666673E-2</v>
      </c>
      <c r="BW435" s="43">
        <f t="shared" si="635"/>
        <v>7.4666666666666673E-2</v>
      </c>
      <c r="BX435" s="43">
        <f t="shared" si="636"/>
        <v>8.1762666666666678E-2</v>
      </c>
      <c r="BY435" s="43">
        <f t="shared" si="769"/>
        <v>6.7199999999999996E-2</v>
      </c>
      <c r="BZ435" s="43">
        <f t="shared" si="770"/>
        <v>0</v>
      </c>
      <c r="CA435" s="43">
        <f t="shared" si="637"/>
        <v>0</v>
      </c>
      <c r="CB435" s="43">
        <f t="shared" si="771"/>
        <v>6.7199999999999996E-2</v>
      </c>
      <c r="CC435" s="43">
        <f t="shared" si="772"/>
        <v>0</v>
      </c>
      <c r="CD435" s="45">
        <v>0</v>
      </c>
      <c r="CE435" s="43">
        <f t="shared" si="773"/>
        <v>0</v>
      </c>
      <c r="CF435" s="43" t="str">
        <f t="shared" si="774"/>
        <v>NA</v>
      </c>
      <c r="CG435" s="45">
        <v>0</v>
      </c>
    </row>
    <row r="436" spans="1:90" ht="18" customHeight="1">
      <c r="A436" s="260" t="s">
        <v>2665</v>
      </c>
      <c r="B436" s="260" t="s">
        <v>2666</v>
      </c>
      <c r="C436" s="260" t="s">
        <v>2371</v>
      </c>
      <c r="D436" s="260" t="s">
        <v>2588</v>
      </c>
      <c r="E436" s="260" t="s">
        <v>2667</v>
      </c>
      <c r="F436" s="260" t="s">
        <v>2668</v>
      </c>
      <c r="G436" s="260" t="s">
        <v>2669</v>
      </c>
      <c r="H436" s="260" t="s">
        <v>2677</v>
      </c>
      <c r="I436" s="260"/>
      <c r="J436" s="260"/>
      <c r="K436" s="260" t="s">
        <v>2678</v>
      </c>
      <c r="L436" s="260" t="s">
        <v>2679</v>
      </c>
      <c r="M436" s="260" t="s">
        <v>2680</v>
      </c>
      <c r="N436" s="260" t="s">
        <v>111</v>
      </c>
      <c r="O436" s="260" t="s">
        <v>112</v>
      </c>
      <c r="P436" s="10">
        <v>1</v>
      </c>
      <c r="Q436" s="11">
        <v>3</v>
      </c>
      <c r="R436" s="9">
        <f t="shared" si="761"/>
        <v>1</v>
      </c>
      <c r="S436" s="11" t="str">
        <f>VLOOKUP(K436,'1204 IDACO'!$K$12:$AK$17,9,0)</f>
        <v xml:space="preserve"> Teniendo en cuenta el llamado de las comunidades en torno al desarrollo e integración local, el Instituto lleva a cabo los V Juegos deportivos y recreativos comunales. </v>
      </c>
      <c r="T436" s="11">
        <v>0</v>
      </c>
      <c r="U436" s="11">
        <v>0</v>
      </c>
      <c r="V436" s="11">
        <v>0</v>
      </c>
      <c r="W436" s="11">
        <v>0</v>
      </c>
      <c r="X436" s="11">
        <v>0</v>
      </c>
      <c r="Y436" s="11">
        <v>0</v>
      </c>
      <c r="Z436" s="11">
        <v>0</v>
      </c>
      <c r="AA436" s="11"/>
      <c r="AB436" s="11"/>
      <c r="AC436" s="11"/>
      <c r="AD436" s="11">
        <v>1</v>
      </c>
      <c r="AE436" s="11">
        <v>0</v>
      </c>
      <c r="AF436" s="11">
        <f>VLOOKUP(K436,'1204 IDACO'!$K$12:$AK$17,22,0)</f>
        <v>1</v>
      </c>
      <c r="AG436" s="11">
        <f>VLOOKUP(K436,'1204 IDACO'!$K$12:$AK$17,23,0)</f>
        <v>0</v>
      </c>
      <c r="AH436" s="9">
        <f t="shared" si="762"/>
        <v>1</v>
      </c>
      <c r="AI436" s="9" t="str">
        <f>VLOOKUP(K436,'1204 IDACO'!$K$12:$AK$17,25,0)</f>
        <v>Encuentros comunales con participación de representantes de organizaciones de acción comunal del Departamento.</v>
      </c>
      <c r="AJ436" s="9" t="str">
        <f>VLOOKUP(K436,'1204 IDACO'!$K$12:$AK$17,26,0)</f>
        <v xml:space="preserve">Teniendo en cuenta el llamado de las comunidades en torno al desarrollo e integración local, el Instituto lleva a cabo los V Juegos deportivos y recreativos comunales. </v>
      </c>
      <c r="AK436" s="9" t="str">
        <f>VLOOKUP(K436,'1204 IDACO'!$K$12:$AK$17,27,0)</f>
        <v>Limitados desplazamientos y participación de funcionarios y afiliados a organismos comunales por disposiciones gubernamentales, período de vacaciones de funcionarios.</v>
      </c>
      <c r="AL436" s="11">
        <v>1</v>
      </c>
      <c r="AM436" s="11">
        <v>0</v>
      </c>
      <c r="AN436" s="11">
        <v>1</v>
      </c>
      <c r="AO436" s="11">
        <v>0</v>
      </c>
      <c r="AP436" s="11">
        <v>0</v>
      </c>
      <c r="AQ436" s="11">
        <v>0</v>
      </c>
      <c r="AR436" s="52"/>
      <c r="AS436" s="54">
        <v>0</v>
      </c>
      <c r="AT436" s="54">
        <f t="shared" si="632"/>
        <v>0</v>
      </c>
      <c r="AU436" s="52"/>
      <c r="AV436" s="89">
        <v>200000000</v>
      </c>
      <c r="AY436" s="89">
        <v>0</v>
      </c>
      <c r="AZ436" s="42">
        <f t="shared" si="763"/>
        <v>0.33333333333333331</v>
      </c>
      <c r="BA436" s="44">
        <v>0</v>
      </c>
      <c r="BB436" s="44" t="s">
        <v>115</v>
      </c>
      <c r="BC436" s="42">
        <f t="shared" si="764"/>
        <v>0.33333333333333331</v>
      </c>
      <c r="BD436" s="42" cm="1">
        <f t="array" ref="BD436">_xlfn.IFS(AD436=0,"NA",AD436&gt;0,AH436/AD436)</f>
        <v>1</v>
      </c>
      <c r="BE436" s="42">
        <f t="shared" si="765"/>
        <v>0.33333333333333331</v>
      </c>
      <c r="BF436" s="44">
        <v>0</v>
      </c>
      <c r="BG436" s="42">
        <f t="shared" si="766"/>
        <v>0.33333333333333331</v>
      </c>
      <c r="BH436" s="44">
        <v>0</v>
      </c>
      <c r="BI436" s="42">
        <f t="shared" si="767"/>
        <v>0</v>
      </c>
      <c r="BJ436" s="44" t="s">
        <v>115</v>
      </c>
      <c r="BK436" s="42">
        <f t="shared" si="633"/>
        <v>0.33333333333333331</v>
      </c>
      <c r="BL436" s="44" t="s">
        <v>115</v>
      </c>
      <c r="BM436" s="42" cm="1">
        <f t="array" ref="BM436">_xlfn.IFS(BD436="NA","NA",BD436&gt;100%,"100%",BD436&lt;100,BD436)</f>
        <v>1</v>
      </c>
      <c r="BN436" s="42" cm="1">
        <f t="array" ref="BN436">_xlfn.IFS(BF436="NA","NA",BF436&gt;100%,"100%",BF436&lt;100,BF436)</f>
        <v>0</v>
      </c>
      <c r="BO436" s="42" cm="1">
        <f t="array" ref="BO436">_xlfn.IFS(BH436="NA","NA",BH436&gt;100%,"100%",BH436&lt;100,BH436)</f>
        <v>0</v>
      </c>
      <c r="BP436" s="42" t="str" cm="1">
        <f t="array" ref="BP436">_xlfn.IFS(BJ436="NA","NA",BJ436&gt;100%,"100%",BJ436&lt;100,BJ436)</f>
        <v>NA</v>
      </c>
      <c r="BQ436" s="45">
        <v>0.224</v>
      </c>
      <c r="BR436" s="43">
        <f t="shared" si="634"/>
        <v>7.4666666666666659E-2</v>
      </c>
      <c r="BS436" s="45">
        <v>0</v>
      </c>
      <c r="BT436" s="45" t="s">
        <v>115</v>
      </c>
      <c r="BU436" s="45">
        <v>0</v>
      </c>
      <c r="BV436" s="43">
        <f t="shared" si="768"/>
        <v>7.4666666666666673E-2</v>
      </c>
      <c r="BW436" s="43">
        <f t="shared" si="635"/>
        <v>7.4666666666666673E-2</v>
      </c>
      <c r="BX436" s="43">
        <f t="shared" si="636"/>
        <v>7.4666666666666659E-2</v>
      </c>
      <c r="BY436" s="43">
        <f t="shared" si="769"/>
        <v>7.4666666666666673E-2</v>
      </c>
      <c r="BZ436" s="43">
        <f t="shared" si="770"/>
        <v>0</v>
      </c>
      <c r="CA436" s="43">
        <f t="shared" si="637"/>
        <v>0</v>
      </c>
      <c r="CB436" s="43">
        <f t="shared" si="771"/>
        <v>7.4666666666666673E-2</v>
      </c>
      <c r="CC436" s="43">
        <f t="shared" si="772"/>
        <v>0</v>
      </c>
      <c r="CD436" s="45">
        <v>0</v>
      </c>
      <c r="CE436" s="43">
        <f t="shared" si="773"/>
        <v>0</v>
      </c>
      <c r="CF436" s="43" t="str">
        <f t="shared" si="774"/>
        <v>NA</v>
      </c>
      <c r="CG436" s="45">
        <v>0</v>
      </c>
    </row>
    <row r="437" spans="1:90" ht="18" customHeight="1">
      <c r="A437" s="260" t="s">
        <v>2665</v>
      </c>
      <c r="B437" s="260" t="s">
        <v>2666</v>
      </c>
      <c r="C437" s="260" t="s">
        <v>2371</v>
      </c>
      <c r="D437" s="260" t="s">
        <v>2588</v>
      </c>
      <c r="E437" s="260" t="s">
        <v>2667</v>
      </c>
      <c r="F437" s="260" t="s">
        <v>2668</v>
      </c>
      <c r="G437" s="260" t="s">
        <v>2669</v>
      </c>
      <c r="H437" s="260" t="s">
        <v>2681</v>
      </c>
      <c r="I437" s="260"/>
      <c r="J437" s="260"/>
      <c r="K437" s="260" t="s">
        <v>2682</v>
      </c>
      <c r="L437" s="260" t="s">
        <v>2683</v>
      </c>
      <c r="M437" s="260" t="s">
        <v>2684</v>
      </c>
      <c r="N437" s="260" t="s">
        <v>123</v>
      </c>
      <c r="O437" s="260" t="s">
        <v>112</v>
      </c>
      <c r="P437" s="10">
        <v>0</v>
      </c>
      <c r="Q437" s="11">
        <v>1</v>
      </c>
      <c r="R437" s="9">
        <f t="shared" si="761"/>
        <v>1</v>
      </c>
      <c r="S437" s="11" t="str">
        <f>VLOOKUP(K437,'1204 IDACO'!$K$12:$AK$17,9,0)</f>
        <v xml:space="preserve">Se llevaron a cabo actividades de recolección de información en campo y levantamiento de un diagnostico  para el diseño e implementación de un modelo de gestión, control, vigilancia y red de apoyo para las organizaciones comunales.  Se ha llevado a cabo la etapa de diseño e implementación del modelo de gestión, la cual se encuentra ejecutada en un 100%  dando cumplimiento a lo programado y encontrandose en pleno funcionamiento el sistema de apoyo y gestión: Idaconecta. </v>
      </c>
      <c r="T437" s="11">
        <v>0</v>
      </c>
      <c r="U437" s="11">
        <v>0</v>
      </c>
      <c r="V437" s="11">
        <v>0.1</v>
      </c>
      <c r="W437" s="11">
        <v>0</v>
      </c>
      <c r="X437" s="11">
        <v>0.1</v>
      </c>
      <c r="Y437" s="11">
        <v>0</v>
      </c>
      <c r="Z437" s="11">
        <v>0.1</v>
      </c>
      <c r="AA437" s="11">
        <v>0</v>
      </c>
      <c r="AB437" s="11" t="s">
        <v>2685</v>
      </c>
      <c r="AC437" s="11" t="s">
        <v>2676</v>
      </c>
      <c r="AD437" s="11">
        <v>0.9</v>
      </c>
      <c r="AE437" s="11">
        <v>0</v>
      </c>
      <c r="AF437" s="11">
        <f>VLOOKUP(K437,'1204 IDACO'!$K$12:$AK$17,22,0)</f>
        <v>0.9</v>
      </c>
      <c r="AG437" s="11">
        <f>VLOOKUP(K437,'1204 IDACO'!$K$12:$AK$17,23,0)</f>
        <v>0</v>
      </c>
      <c r="AH437" s="9">
        <f t="shared" si="762"/>
        <v>0.9</v>
      </c>
      <c r="AI437" s="9" t="str">
        <f>VLOOKUP(K437,'1204 IDACO'!$K$12:$AK$17,25,0)</f>
        <v xml:space="preserve"> Modelo de gestión, control, vigilancia y red de apoyo para las organizaciones comunales.</v>
      </c>
      <c r="AJ437" s="9" t="str">
        <f>VLOOKUP(K437,'1204 IDACO'!$K$12:$AK$17,26,0)</f>
        <v xml:space="preserve">Se llevaron a cabo actividades de recolección de información en campo y levantamiento de un diagnostico  para el diseño e implementación de un modelo de gestión, control, vigilancia y red de apoyo para las organizaciones comunales.  En esta vigencia, se ha llevado a cabo la etapa de diseño e implementación del modelo de gestión, la cual se encuentra ejecutada en un  90%  dando cumplimiento en un 100% a lo programado para esta vigencia y encontrandose en pleno funcionamiento el sistema de apoyo y gestión Idaconecta. </v>
      </c>
      <c r="AK437" s="9" t="str">
        <f>VLOOKUP(K437,'1204 IDACO'!$K$12:$AK$17,27,0)</f>
        <v>Limitados desplazamientos y participación de funcionarios y afiliados a organismos comunales por disposiciones gubernamentales. Funcionarios en período de vacaciones.</v>
      </c>
      <c r="AL437" s="11">
        <v>0</v>
      </c>
      <c r="AM437" s="11">
        <v>0</v>
      </c>
      <c r="AN437" s="11">
        <v>0</v>
      </c>
      <c r="AO437" s="11">
        <v>0</v>
      </c>
      <c r="AP437" s="11">
        <v>0</v>
      </c>
      <c r="AQ437" s="11">
        <v>0</v>
      </c>
      <c r="AR437" s="52"/>
      <c r="AS437" s="54">
        <v>2000000</v>
      </c>
      <c r="AT437" s="54">
        <f t="shared" si="632"/>
        <v>2000000</v>
      </c>
      <c r="AU437" s="52"/>
      <c r="AV437" s="89">
        <v>100000000</v>
      </c>
      <c r="AY437" s="89">
        <v>49140000</v>
      </c>
      <c r="AZ437" s="42">
        <f t="shared" si="763"/>
        <v>1</v>
      </c>
      <c r="BA437" s="44">
        <v>0.1</v>
      </c>
      <c r="BB437" s="44">
        <v>1</v>
      </c>
      <c r="BC437" s="42">
        <f t="shared" si="764"/>
        <v>0.9</v>
      </c>
      <c r="BD437" s="42" cm="1">
        <f t="array" ref="BD437">_xlfn.IFS(AD437=0,"NA",AD437&gt;0,AH437/AD437)</f>
        <v>1</v>
      </c>
      <c r="BE437" s="42">
        <f t="shared" si="765"/>
        <v>0</v>
      </c>
      <c r="BF437" s="44" t="s">
        <v>115</v>
      </c>
      <c r="BG437" s="42">
        <f t="shared" si="766"/>
        <v>0</v>
      </c>
      <c r="BH437" s="44" t="s">
        <v>115</v>
      </c>
      <c r="BI437" s="42">
        <f t="shared" si="767"/>
        <v>0</v>
      </c>
      <c r="BJ437" s="44" t="s">
        <v>115</v>
      </c>
      <c r="BK437" s="42">
        <f t="shared" si="633"/>
        <v>1</v>
      </c>
      <c r="BL437" s="44">
        <v>1</v>
      </c>
      <c r="BM437" s="42" cm="1">
        <f t="array" ref="BM437">_xlfn.IFS(BD437="NA","NA",BD437&gt;100%,"100%",BD437&lt;100,BD437)</f>
        <v>1</v>
      </c>
      <c r="BN437" s="42" t="str" cm="1">
        <f t="array" ref="BN437">_xlfn.IFS(BF437="NA","NA",BF437&gt;100%,"100%",BF437&lt;100,BF437)</f>
        <v>NA</v>
      </c>
      <c r="BO437" s="42" t="str" cm="1">
        <f t="array" ref="BO437">_xlfn.IFS(BH437="NA","NA",BH437&gt;100%,"100%",BH437&lt;100,BH437)</f>
        <v>NA</v>
      </c>
      <c r="BP437" s="42" t="str" cm="1">
        <f t="array" ref="BP437">_xlfn.IFS(BJ437="NA","NA",BJ437&gt;100%,"100%",BJ437&lt;100,BJ437)</f>
        <v>NA</v>
      </c>
      <c r="BQ437" s="45">
        <v>0.224</v>
      </c>
      <c r="BR437" s="43">
        <f t="shared" si="634"/>
        <v>0.224</v>
      </c>
      <c r="BS437" s="45">
        <v>2.24E-2</v>
      </c>
      <c r="BT437" s="45">
        <v>2.24E-2</v>
      </c>
      <c r="BU437" s="45">
        <v>2.24E-2</v>
      </c>
      <c r="BV437" s="43">
        <f t="shared" si="768"/>
        <v>0.2016</v>
      </c>
      <c r="BW437" s="43">
        <f t="shared" si="635"/>
        <v>0.2016</v>
      </c>
      <c r="BX437" s="43">
        <f t="shared" si="636"/>
        <v>0.2016</v>
      </c>
      <c r="BY437" s="43">
        <f t="shared" si="769"/>
        <v>0</v>
      </c>
      <c r="BZ437" s="43" t="str">
        <f t="shared" si="770"/>
        <v>NA</v>
      </c>
      <c r="CA437" s="43">
        <f t="shared" si="637"/>
        <v>0</v>
      </c>
      <c r="CB437" s="43">
        <f t="shared" si="771"/>
        <v>0</v>
      </c>
      <c r="CC437" s="43" t="str">
        <f t="shared" si="772"/>
        <v>NA</v>
      </c>
      <c r="CD437" s="45">
        <v>0</v>
      </c>
      <c r="CE437" s="43">
        <f t="shared" si="773"/>
        <v>0</v>
      </c>
      <c r="CF437" s="43" t="str">
        <f t="shared" si="774"/>
        <v>NA</v>
      </c>
      <c r="CG437" s="45">
        <v>0</v>
      </c>
    </row>
    <row r="438" spans="1:90" ht="18" customHeight="1">
      <c r="A438" s="260" t="s">
        <v>2665</v>
      </c>
      <c r="B438" s="260" t="s">
        <v>2666</v>
      </c>
      <c r="C438" s="260" t="s">
        <v>2371</v>
      </c>
      <c r="D438" s="260" t="s">
        <v>2588</v>
      </c>
      <c r="E438" s="260" t="s">
        <v>2667</v>
      </c>
      <c r="F438" s="260" t="s">
        <v>2668</v>
      </c>
      <c r="G438" s="260" t="s">
        <v>2669</v>
      </c>
      <c r="H438" s="260" t="s">
        <v>2686</v>
      </c>
      <c r="I438" s="260"/>
      <c r="J438" s="260"/>
      <c r="K438" s="260" t="s">
        <v>2687</v>
      </c>
      <c r="L438" s="260" t="s">
        <v>3073</v>
      </c>
      <c r="M438" s="260" t="s">
        <v>2689</v>
      </c>
      <c r="N438" s="260" t="s">
        <v>111</v>
      </c>
      <c r="O438" s="260" t="s">
        <v>112</v>
      </c>
      <c r="P438" s="10">
        <v>620</v>
      </c>
      <c r="Q438" s="11">
        <v>650</v>
      </c>
      <c r="R438" s="9">
        <f t="shared" si="761"/>
        <v>254</v>
      </c>
      <c r="S438" s="11" t="str">
        <f>VLOOKUP(K438,'1204 IDACO'!$K$12:$AK$17,9,0)</f>
        <v xml:space="preserve">A 30 de Noviembre de 2021 se han entregado 254 obras ejecutadas en un 100 %.   Con el propósito de promover la participación y el desarrollo comunal, además de una reactivación económica de las Juntas de acción comunal y de los municipios del Departamento, a través de la ejecución de estas obras de desarrollo comunitario y de impacto social. En desarrollo del cronograma de las convocatorias 001 y 002 de 2021,  se llevó a cabo la firma de contrato interadministrativo de gerencia integral del proyecto con Fondecun.   A la fecha se han firmado convenios solidarios para la ejecución de 665 Placas huellas, 18 alcantarillas y/o Box Culvert, 28 escenarios deportivos, 35 mejoramientos
comunales, 33 parques andenes y alamedas, para un total de 779 obras en 114 municipios correspondientes a las provincias de: Almeidas, Alto Magdalena, Bajo Magdalena, Gualivá, Guavio, Magdalena Centro, Medina, Oriente, Rionegro, Sabana Centro, Sabana Occidente, Soacha, Sumapaz, Tequendama    y Ubaté.   Correspondientes a esta convocatoria se han ejecutado en un 100%,  93 obras en 41 municipios del departamento.
</v>
      </c>
      <c r="T438" s="11">
        <v>0</v>
      </c>
      <c r="U438" s="11">
        <v>0</v>
      </c>
      <c r="V438" s="11">
        <v>150</v>
      </c>
      <c r="W438" s="11">
        <v>0</v>
      </c>
      <c r="X438" s="11">
        <v>126</v>
      </c>
      <c r="Y438" s="11">
        <v>0</v>
      </c>
      <c r="Z438" s="11">
        <v>126</v>
      </c>
      <c r="AA438" s="11" t="s">
        <v>2690</v>
      </c>
      <c r="AB438" s="11" t="s">
        <v>2691</v>
      </c>
      <c r="AC438" s="11" t="s">
        <v>2676</v>
      </c>
      <c r="AD438" s="11">
        <v>200</v>
      </c>
      <c r="AE438" s="11">
        <v>0</v>
      </c>
      <c r="AF438" s="11">
        <f>VLOOKUP(K438,'1204 IDACO'!$K$12:$AK$17,22,0)</f>
        <v>128</v>
      </c>
      <c r="AG438" s="11">
        <f>VLOOKUP(K438,'1204 IDACO'!$K$12:$AK$17,23,0)</f>
        <v>0</v>
      </c>
      <c r="AH438" s="9">
        <f t="shared" si="762"/>
        <v>128</v>
      </c>
      <c r="AI438" s="9" t="str">
        <f>VLOOKUP(K438,'1204 IDACO'!$K$12:$AK$17,25,0)</f>
        <v>Desarrollo de las Juntas de acción comunal y de los municipios del Departamento, promoviendo la participación de los diferentes sectores de la comunidad, a través de la ejecución de obras de desarrollo comunitario y de impacto social.</v>
      </c>
      <c r="AJ438" s="9" t="str">
        <f>VLOOKUP(K438,'1204 IDACO'!$K$12:$AK$17,26,0)</f>
        <v xml:space="preserve">128 obras de impacto social y comunitario se entregaron con una ejecución del 100% y con la participación de los diferentes sectores que conforman las comunidades beneficiadas.  Con el propósito de promover la participación y el desarrollo comunal, además de una reactivación económica de las Juntas de acción comunal y de los municipios del Departamento, a través de la ejecución de estas obras de desarrollo comunitario y de impacto social. En desarrollo del cronograma de las convocatorias 001 y 002 de 2021,  se llevó a cabo la firma de contrato interadministrativo de gerencia integral del proyecto con Fondecun.   A la fecha se han firmado convenios solidarios para la ejecución de 665 Placas huellas, 18 alcantarillas y/o Box Culvert, 28 escenarios deportivos, 35 mejoramientos de espacios comunales, 33 parques andenes y alamedas, para un total de 779 obras en 114 municipios correspondientes a las provincias de: Almeidas, Alto Magdalena, Bajo Magdalena, Gualivá, Guavio, Magdalena Centro, Medina, Oriente, Rionegro, Sabana Centro, Sabana Occidente, Soacha, Sumapaz, Tequendama    y Ubaté.   Correspondientes a esta convocatoria se han ejecutado en un 100%,  93 obras en 41 municipios del departamento.
</v>
      </c>
      <c r="AK438" s="9" t="str">
        <f>VLOOKUP(K438,'1204 IDACO'!$K$12:$AK$17,27,0)</f>
        <v>Limitados desplazamientos y participación de funcionarios y afiliados a organismos comunales por disposiciones gubernamentales. Funcionarios en período de vacaciones.</v>
      </c>
      <c r="AL438" s="11">
        <v>200</v>
      </c>
      <c r="AM438" s="11">
        <v>0</v>
      </c>
      <c r="AN438" s="11">
        <v>100</v>
      </c>
      <c r="AO438" s="11">
        <v>0</v>
      </c>
      <c r="AP438" s="11">
        <v>0</v>
      </c>
      <c r="AQ438" s="11">
        <v>0</v>
      </c>
      <c r="AR438" s="51">
        <v>8000000000</v>
      </c>
      <c r="AS438" s="54">
        <v>0</v>
      </c>
      <c r="AT438" s="54">
        <f t="shared" si="632"/>
        <v>8000000000</v>
      </c>
      <c r="AU438" s="51">
        <v>8000000000</v>
      </c>
      <c r="AV438" s="89">
        <v>2800000000</v>
      </c>
      <c r="AY438" s="89">
        <v>139621500</v>
      </c>
      <c r="AZ438" s="42">
        <f t="shared" si="763"/>
        <v>0.39076923076923076</v>
      </c>
      <c r="BA438" s="44">
        <v>0.23080000000000001</v>
      </c>
      <c r="BB438" s="44">
        <v>0.84</v>
      </c>
      <c r="BC438" s="42">
        <f t="shared" si="764"/>
        <v>0.30769230769230771</v>
      </c>
      <c r="BD438" s="42" cm="1">
        <f t="array" ref="BD438">_xlfn.IFS(AD438=0,"NA",AD438&gt;0,AH438/AD438)</f>
        <v>0.64</v>
      </c>
      <c r="BE438" s="42">
        <f t="shared" si="765"/>
        <v>0.30769230769230771</v>
      </c>
      <c r="BF438" s="44">
        <v>0</v>
      </c>
      <c r="BG438" s="42">
        <f t="shared" si="766"/>
        <v>0.15384615384615385</v>
      </c>
      <c r="BH438" s="44">
        <v>0</v>
      </c>
      <c r="BI438" s="42">
        <f t="shared" si="767"/>
        <v>0</v>
      </c>
      <c r="BJ438" s="44" t="s">
        <v>115</v>
      </c>
      <c r="BK438" s="42">
        <f t="shared" si="633"/>
        <v>0.39076923076923076</v>
      </c>
      <c r="BL438" s="44">
        <v>0.84</v>
      </c>
      <c r="BM438" s="42" cm="1">
        <f t="array" ref="BM438">_xlfn.IFS(BD438="NA","NA",BD438&gt;100%,"100%",BD438&lt;100,BD438)</f>
        <v>0.64</v>
      </c>
      <c r="BN438" s="42" cm="1">
        <f t="array" ref="BN438">_xlfn.IFS(BF438="NA","NA",BF438&gt;100%,"100%",BF438&lt;100,BF438)</f>
        <v>0</v>
      </c>
      <c r="BO438" s="42" cm="1">
        <f t="array" ref="BO438">_xlfn.IFS(BH438="NA","NA",BH438&gt;100%,"100%",BH438&lt;100,BH438)</f>
        <v>0</v>
      </c>
      <c r="BP438" s="42" t="str" cm="1">
        <f t="array" ref="BP438">_xlfn.IFS(BJ438="NA","NA",BJ438&gt;100%,"100%",BJ438&lt;100,BJ438)</f>
        <v>NA</v>
      </c>
      <c r="BQ438" s="45">
        <v>0.224</v>
      </c>
      <c r="BR438" s="43">
        <f t="shared" si="634"/>
        <v>8.7532307692307687E-2</v>
      </c>
      <c r="BS438" s="45">
        <v>5.1700000000000003E-2</v>
      </c>
      <c r="BT438" s="45">
        <v>4.3400000000000001E-2</v>
      </c>
      <c r="BU438" s="45">
        <v>4.3400000000000001E-2</v>
      </c>
      <c r="BV438" s="43">
        <f t="shared" si="768"/>
        <v>6.8923076923076934E-2</v>
      </c>
      <c r="BW438" s="43">
        <f t="shared" si="635"/>
        <v>4.4110769230769238E-2</v>
      </c>
      <c r="BX438" s="43">
        <f t="shared" si="636"/>
        <v>4.4132307692307686E-2</v>
      </c>
      <c r="BY438" s="43">
        <f t="shared" si="769"/>
        <v>6.8923076923076934E-2</v>
      </c>
      <c r="BZ438" s="43">
        <f t="shared" si="770"/>
        <v>0</v>
      </c>
      <c r="CA438" s="43">
        <f t="shared" si="637"/>
        <v>0</v>
      </c>
      <c r="CB438" s="43">
        <f t="shared" si="771"/>
        <v>3.4461538461538467E-2</v>
      </c>
      <c r="CC438" s="43">
        <f t="shared" si="772"/>
        <v>0</v>
      </c>
      <c r="CD438" s="45">
        <v>0</v>
      </c>
      <c r="CE438" s="43">
        <f t="shared" si="773"/>
        <v>0</v>
      </c>
      <c r="CF438" s="43" t="str">
        <f t="shared" si="774"/>
        <v>NA</v>
      </c>
      <c r="CG438" s="45">
        <v>0</v>
      </c>
    </row>
    <row r="439" spans="1:90" ht="18" customHeight="1">
      <c r="A439" s="260" t="s">
        <v>2665</v>
      </c>
      <c r="B439" s="260" t="s">
        <v>2666</v>
      </c>
      <c r="C439" s="260" t="s">
        <v>2371</v>
      </c>
      <c r="D439" s="260" t="s">
        <v>2588</v>
      </c>
      <c r="E439" s="260" t="s">
        <v>2667</v>
      </c>
      <c r="F439" s="260" t="s">
        <v>2668</v>
      </c>
      <c r="G439" s="260" t="s">
        <v>2669</v>
      </c>
      <c r="H439" s="260" t="s">
        <v>2692</v>
      </c>
      <c r="I439" s="260"/>
      <c r="J439" s="260"/>
      <c r="K439" s="260" t="s">
        <v>2693</v>
      </c>
      <c r="L439" s="260" t="s">
        <v>2694</v>
      </c>
      <c r="M439" s="260" t="s">
        <v>2695</v>
      </c>
      <c r="N439" s="260" t="s">
        <v>111</v>
      </c>
      <c r="O439" s="260" t="s">
        <v>112</v>
      </c>
      <c r="P439" s="10">
        <v>2000</v>
      </c>
      <c r="Q439" s="11">
        <v>2200</v>
      </c>
      <c r="R439" s="9">
        <f t="shared" si="761"/>
        <v>777</v>
      </c>
      <c r="S439" s="11" t="str">
        <f>VLOOKUP(K439,'1204 IDACO'!$K$12:$AK$17,9,0)</f>
        <v>Se han realizado 777 dotaciones a organizaciones comunales del Departamento:  106 organismos comunales (Asojuntas municipales) de 106 municipios, dotados con elementos, herramientas, materiales y equipos para la  gestión, funcionamiento y el ejercicio pleno de la acción comunal. Teniendo en cuenta el llamado de las comunidades en torno al desarrollo e integración local, el Instituto lleva a cabo los V Juegos deportivos y recreativos comunales. Para lo cual  se realizó la dotación de uniformes y elementos deportivos con destino a  671 organizaciones comunales que participan en el mencionado evento.
Se han realizado 310 dotaciones a organizaciones comunales del Departamento:  106 organismos comunales (Asojuntas municipales) de 106 municipios, dotados con elementos, herramientas, materiales y equipos para la  gestión, funcionamiento y el ejercicio pleno de la acción comunal. En 2021, teniendo en cuenta el llamado de las comunidades en torno al desarrollo e integración local, el Instituto lleva a cabo los V Juegos deportivos y recreativos comunales. Para lo cual  se realizó la dotación de uniformes y elementos deportivos con destino a  204 organizaciones comunales que participan en el mencionado evento.</v>
      </c>
      <c r="T439" s="11">
        <v>0</v>
      </c>
      <c r="U439" s="11">
        <v>0</v>
      </c>
      <c r="V439" s="11">
        <v>40</v>
      </c>
      <c r="W439" s="11">
        <v>0</v>
      </c>
      <c r="X439" s="11">
        <v>0</v>
      </c>
      <c r="Y439" s="11">
        <v>0</v>
      </c>
      <c r="Z439" s="11">
        <v>0</v>
      </c>
      <c r="AA439" s="11">
        <v>0</v>
      </c>
      <c r="AB439" s="11" t="s">
        <v>2696</v>
      </c>
      <c r="AC439" s="11" t="s">
        <v>2676</v>
      </c>
      <c r="AD439" s="11">
        <v>760</v>
      </c>
      <c r="AE439" s="11">
        <v>0</v>
      </c>
      <c r="AF439" s="11">
        <f>VLOOKUP(K439,'1204 IDACO'!$K$12:$AK$17,22,0)</f>
        <v>777</v>
      </c>
      <c r="AG439" s="11">
        <f>VLOOKUP(K439,'1204 IDACO'!$K$12:$AK$17,23,0)</f>
        <v>0</v>
      </c>
      <c r="AH439" s="9">
        <f t="shared" si="762"/>
        <v>777</v>
      </c>
      <c r="AI439" s="9" t="str">
        <f>VLOOKUP(K439,'1204 IDACO'!$K$12:$AK$17,25,0)</f>
        <v xml:space="preserve">Elementos, herramientas, materiales y equipos para la  gestión, funcionamiento y el ejercicio pleno de la acción comunal y  la participación por parte de las organizaciones comunales de Cundinamarca. </v>
      </c>
      <c r="AJ439" s="9" t="str">
        <f>VLOOKUP(K439,'1204 IDACO'!$K$12:$AK$17,26,0)</f>
        <v>Se han realizado 777 dotaciones a organizaciones comunales del Departamento:  106 organismos comunales (Asojuntas municipales) de 106 municipios, dotados con elementos, herramientas, materiales y equipos para la  gestión, funcionamiento y el ejercicio pleno de la acción comunal. Teniendo en cuenta el llamado de las comunidades en torno al desarrollo e integración local, el Instituto lleva a cabo los V Juegos deportivos y recreativos comunales. Para lo cual  se realizó la dotación de uniformes y elementos deportivos con destino a  671 organizaciones comunales que participan en el mencionado evento.</v>
      </c>
      <c r="AK439" s="9" t="str">
        <f>VLOOKUP(K439,'1204 IDACO'!$K$12:$AK$17,27,0)</f>
        <v>Limitados desplazamientos y participación de funcionarios y afiliados a organismos comunales por disposiciones gubernamentales. Funcionarios en período de vacaciones.</v>
      </c>
      <c r="AL439" s="11">
        <v>700</v>
      </c>
      <c r="AM439" s="11">
        <v>0</v>
      </c>
      <c r="AN439" s="11">
        <v>700</v>
      </c>
      <c r="AO439" s="11">
        <v>0</v>
      </c>
      <c r="AP439" s="11">
        <v>0</v>
      </c>
      <c r="AQ439" s="11">
        <v>0</v>
      </c>
      <c r="AR439" s="51">
        <v>200000000</v>
      </c>
      <c r="AS439" s="54">
        <v>0</v>
      </c>
      <c r="AT439" s="54">
        <f t="shared" si="632"/>
        <v>200000000</v>
      </c>
      <c r="AU439" s="51">
        <v>200000000</v>
      </c>
      <c r="AV439" s="89">
        <v>600000000</v>
      </c>
      <c r="AY439" s="89">
        <v>0</v>
      </c>
      <c r="AZ439" s="42">
        <f t="shared" si="763"/>
        <v>0.35318181818181821</v>
      </c>
      <c r="BA439" s="44">
        <v>1.8200000000000001E-2</v>
      </c>
      <c r="BB439" s="44">
        <v>0</v>
      </c>
      <c r="BC439" s="42">
        <f t="shared" si="764"/>
        <v>0.34545454545454546</v>
      </c>
      <c r="BD439" s="42" cm="1">
        <f t="array" ref="BD439">_xlfn.IFS(AD439=0,"NA",AD439&gt;0,AH439/AD439)</f>
        <v>1.0223684210526316</v>
      </c>
      <c r="BE439" s="42">
        <f t="shared" si="765"/>
        <v>0.31818181818181818</v>
      </c>
      <c r="BF439" s="44">
        <v>0</v>
      </c>
      <c r="BG439" s="42">
        <f t="shared" si="766"/>
        <v>0.31818181818181818</v>
      </c>
      <c r="BH439" s="44">
        <v>0</v>
      </c>
      <c r="BI439" s="42">
        <f t="shared" si="767"/>
        <v>0</v>
      </c>
      <c r="BJ439" s="44" t="s">
        <v>115</v>
      </c>
      <c r="BK439" s="42">
        <f t="shared" si="633"/>
        <v>0.35318181818181821</v>
      </c>
      <c r="BL439" s="44">
        <v>0</v>
      </c>
      <c r="BM439" s="42" t="str" cm="1">
        <f t="array" ref="BM439">_xlfn.IFS(BD439="NA","NA",BD439&gt;100%,"100%",BD439&lt;100,BD439)</f>
        <v>100%</v>
      </c>
      <c r="BN439" s="42" cm="1">
        <f t="array" ref="BN439">_xlfn.IFS(BF439="NA","NA",BF439&gt;100%,"100%",BF439&lt;100,BF439)</f>
        <v>0</v>
      </c>
      <c r="BO439" s="42" cm="1">
        <f t="array" ref="BO439">_xlfn.IFS(BH439="NA","NA",BH439&gt;100%,"100%",BH439&lt;100,BH439)</f>
        <v>0</v>
      </c>
      <c r="BP439" s="42" t="str" cm="1">
        <f t="array" ref="BP439">_xlfn.IFS(BJ439="NA","NA",BJ439&gt;100%,"100%",BJ439&lt;100,BJ439)</f>
        <v>NA</v>
      </c>
      <c r="BQ439" s="45">
        <v>0.224</v>
      </c>
      <c r="BR439" s="43">
        <f t="shared" si="634"/>
        <v>7.9112727272727279E-2</v>
      </c>
      <c r="BS439" s="45">
        <v>4.1000000000000003E-3</v>
      </c>
      <c r="BT439" s="45">
        <v>0</v>
      </c>
      <c r="BU439" s="45">
        <v>0</v>
      </c>
      <c r="BV439" s="43">
        <f t="shared" si="768"/>
        <v>7.738181818181819E-2</v>
      </c>
      <c r="BW439" s="43">
        <f t="shared" si="635"/>
        <v>7.738181818181819E-2</v>
      </c>
      <c r="BX439" s="43">
        <f t="shared" si="636"/>
        <v>7.9112727272727279E-2</v>
      </c>
      <c r="BY439" s="43">
        <f t="shared" si="769"/>
        <v>7.1272727272727279E-2</v>
      </c>
      <c r="BZ439" s="43">
        <f t="shared" si="770"/>
        <v>0</v>
      </c>
      <c r="CA439" s="43">
        <f t="shared" si="637"/>
        <v>0</v>
      </c>
      <c r="CB439" s="43">
        <f t="shared" si="771"/>
        <v>7.1272727272727279E-2</v>
      </c>
      <c r="CC439" s="43">
        <f t="shared" si="772"/>
        <v>0</v>
      </c>
      <c r="CD439" s="45">
        <v>0</v>
      </c>
      <c r="CE439" s="43">
        <f t="shared" si="773"/>
        <v>0</v>
      </c>
      <c r="CF439" s="43" t="str">
        <f t="shared" si="774"/>
        <v>NA</v>
      </c>
      <c r="CG439" s="45">
        <v>0</v>
      </c>
    </row>
    <row r="440" spans="1:90" ht="18" customHeight="1">
      <c r="A440" s="260" t="s">
        <v>2665</v>
      </c>
      <c r="B440" s="260" t="s">
        <v>2666</v>
      </c>
      <c r="C440" s="260" t="s">
        <v>2371</v>
      </c>
      <c r="D440" s="260" t="s">
        <v>2588</v>
      </c>
      <c r="E440" s="260" t="s">
        <v>2667</v>
      </c>
      <c r="F440" s="260" t="s">
        <v>2668</v>
      </c>
      <c r="G440" s="260" t="s">
        <v>2669</v>
      </c>
      <c r="H440" s="260" t="s">
        <v>2697</v>
      </c>
      <c r="I440" s="260"/>
      <c r="J440" s="260"/>
      <c r="K440" s="260" t="s">
        <v>2698</v>
      </c>
      <c r="L440" s="260" t="s">
        <v>2699</v>
      </c>
      <c r="M440" s="260" t="s">
        <v>2700</v>
      </c>
      <c r="N440" s="260" t="s">
        <v>111</v>
      </c>
      <c r="O440" s="260" t="s">
        <v>112</v>
      </c>
      <c r="P440" s="10">
        <v>165</v>
      </c>
      <c r="Q440" s="11">
        <v>170</v>
      </c>
      <c r="R440" s="9">
        <f t="shared" si="761"/>
        <v>44</v>
      </c>
      <c r="S440" s="11" t="str">
        <f>VLOOKUP(K440,'1204 IDACO'!$K$12:$AK$17,9,0)</f>
        <v>Se ejecutó en un 100%  el proyecto de innovación comunal, conformación de empresa y buenas practicas para el desarrollo sostenible presentado por la Asociación de Juntas de acción comunal ASORURALVI del municipio de Villeta.  En 2021 se han ejecutado en un 100% , 44 proyectos de innovación comunal, conformación de empresa y buenas practicas para el desarrollo sostenible presentados por Juntas de acción comunal del Departamento.  Se llevó a cabo la  Convocatoria Nº 003 de 2021 “PROYECTO DE FOMENTO Y FORTALECIMIENTO DEL EMPRENDIMIENTO PRODUCTIVO COMUNAL” , a la cual se postularon organizaciones comunales.  Actualmente se han ejecutado 44 proyectos.</v>
      </c>
      <c r="T440" s="11">
        <v>0</v>
      </c>
      <c r="U440" s="11">
        <v>0</v>
      </c>
      <c r="V440" s="11">
        <v>1</v>
      </c>
      <c r="W440" s="11">
        <v>0</v>
      </c>
      <c r="X440" s="11">
        <v>0</v>
      </c>
      <c r="Y440" s="11">
        <v>0</v>
      </c>
      <c r="Z440" s="11">
        <v>0</v>
      </c>
      <c r="AA440" s="11">
        <v>0</v>
      </c>
      <c r="AB440" s="11" t="s">
        <v>2701</v>
      </c>
      <c r="AC440" s="11" t="s">
        <v>2676</v>
      </c>
      <c r="AD440" s="11">
        <v>69</v>
      </c>
      <c r="AE440" s="11">
        <v>0</v>
      </c>
      <c r="AF440" s="11">
        <f>VLOOKUP(K440,'1204 IDACO'!$K$12:$AK$17,22,0)</f>
        <v>44</v>
      </c>
      <c r="AG440" s="11">
        <f>VLOOKUP(K440,'1204 IDACO'!$K$12:$AK$17,23,0)</f>
        <v>0</v>
      </c>
      <c r="AH440" s="9">
        <f t="shared" si="762"/>
        <v>44</v>
      </c>
      <c r="AI440" s="9" t="str">
        <f>VLOOKUP(K440,'1204 IDACO'!$K$12:$AK$17,25,0)</f>
        <v>Realización de proyectos de innovación comunal, conformación de empresa y buenas practicas para el desarrollo sostenible presentados por organizaciones de acción comunal.</v>
      </c>
      <c r="AJ440" s="9" t="str">
        <f>VLOOKUP(K440,'1204 IDACO'!$K$12:$AK$17,26,0)</f>
        <v>Se han ejecutado en un 100% , 44 proyectos de innovación comunal, conformación de empresa y buenas practicas para el desarrollo sostenible presentados por Juntas de acción comunal del Departamento.  Se dió apertura a la Convocatoria Nº 003 de 2021 del “PROYECTO DE FOMENTO Y FORTALECIMIENTO DEL EMPRENDIMIENTO PRODUCTIVO COMUNAL” , a la cual se postularon organizaciones comunales.  Actualmente se han ejecutado 44 proyectos.</v>
      </c>
      <c r="AK440" s="9" t="str">
        <f>VLOOKUP(K440,'1204 IDACO'!$K$12:$AK$17,27,0)</f>
        <v>Limitados desplazamientos y participación de funcionarios y afiliados a organismos comunales por disposiciones gubernamentales. Funcionarios en período de vacaciones.</v>
      </c>
      <c r="AL440" s="11">
        <v>50</v>
      </c>
      <c r="AM440" s="11">
        <v>0</v>
      </c>
      <c r="AN440" s="11">
        <v>50</v>
      </c>
      <c r="AO440" s="11">
        <v>0</v>
      </c>
      <c r="AP440" s="11">
        <v>0</v>
      </c>
      <c r="AQ440" s="11">
        <v>0</v>
      </c>
      <c r="AR440" s="51">
        <v>300000000</v>
      </c>
      <c r="AS440" s="54">
        <v>0</v>
      </c>
      <c r="AT440" s="54">
        <f t="shared" si="632"/>
        <v>300000000</v>
      </c>
      <c r="AU440" s="51">
        <v>300000000</v>
      </c>
      <c r="AV440" s="89">
        <v>400000000</v>
      </c>
      <c r="AY440" s="89">
        <v>159630638</v>
      </c>
      <c r="AZ440" s="42">
        <f t="shared" si="763"/>
        <v>0.25882352941176473</v>
      </c>
      <c r="BA440" s="44">
        <v>5.8999999999999999E-3</v>
      </c>
      <c r="BB440" s="44">
        <v>0</v>
      </c>
      <c r="BC440" s="42">
        <f t="shared" si="764"/>
        <v>0.40588235294117647</v>
      </c>
      <c r="BD440" s="42" cm="1">
        <f t="array" ref="BD440">_xlfn.IFS(AD440=0,"NA",AD440&gt;0,AH440/AD440)</f>
        <v>0.6376811594202898</v>
      </c>
      <c r="BE440" s="42">
        <f t="shared" si="765"/>
        <v>0.29411764705882354</v>
      </c>
      <c r="BF440" s="44">
        <v>0</v>
      </c>
      <c r="BG440" s="42">
        <f t="shared" si="766"/>
        <v>0.29411764705882354</v>
      </c>
      <c r="BH440" s="44">
        <v>0</v>
      </c>
      <c r="BI440" s="42">
        <f t="shared" si="767"/>
        <v>0</v>
      </c>
      <c r="BJ440" s="44" t="s">
        <v>115</v>
      </c>
      <c r="BK440" s="42">
        <f t="shared" si="633"/>
        <v>0.25882352941176473</v>
      </c>
      <c r="BL440" s="44">
        <v>0</v>
      </c>
      <c r="BM440" s="42" cm="1">
        <f t="array" ref="BM440">_xlfn.IFS(BD440="NA","NA",BD440&gt;100%,"100%",BD440&lt;100,BD440)</f>
        <v>0.6376811594202898</v>
      </c>
      <c r="BN440" s="42" cm="1">
        <f t="array" ref="BN440">_xlfn.IFS(BF440="NA","NA",BF440&gt;100%,"100%",BF440&lt;100,BF440)</f>
        <v>0</v>
      </c>
      <c r="BO440" s="42" cm="1">
        <f t="array" ref="BO440">_xlfn.IFS(BH440="NA","NA",BH440&gt;100%,"100%",BH440&lt;100,BH440)</f>
        <v>0</v>
      </c>
      <c r="BP440" s="42" t="str" cm="1">
        <f t="array" ref="BP440">_xlfn.IFS(BJ440="NA","NA",BJ440&gt;100%,"100%",BJ440&lt;100,BJ440)</f>
        <v>NA</v>
      </c>
      <c r="BQ440" s="45">
        <v>0.224</v>
      </c>
      <c r="BR440" s="43">
        <f t="shared" si="634"/>
        <v>5.7976470588235303E-2</v>
      </c>
      <c r="BS440" s="45">
        <v>1.2999999999999999E-3</v>
      </c>
      <c r="BT440" s="45">
        <v>0</v>
      </c>
      <c r="BU440" s="45">
        <v>0</v>
      </c>
      <c r="BV440" s="43">
        <f t="shared" si="768"/>
        <v>9.091764705882352E-2</v>
      </c>
      <c r="BW440" s="43">
        <f t="shared" si="635"/>
        <v>5.7976470588235282E-2</v>
      </c>
      <c r="BX440" s="43">
        <f t="shared" si="636"/>
        <v>5.7976470588235303E-2</v>
      </c>
      <c r="BY440" s="43">
        <f t="shared" si="769"/>
        <v>6.5882352941176475E-2</v>
      </c>
      <c r="BZ440" s="43">
        <f t="shared" si="770"/>
        <v>0</v>
      </c>
      <c r="CA440" s="43">
        <f t="shared" si="637"/>
        <v>0</v>
      </c>
      <c r="CB440" s="43">
        <f t="shared" si="771"/>
        <v>6.5882352941176475E-2</v>
      </c>
      <c r="CC440" s="43">
        <f t="shared" si="772"/>
        <v>0</v>
      </c>
      <c r="CD440" s="45">
        <v>0</v>
      </c>
      <c r="CE440" s="43">
        <f t="shared" si="773"/>
        <v>0</v>
      </c>
      <c r="CF440" s="43" t="str">
        <f t="shared" si="774"/>
        <v>NA</v>
      </c>
      <c r="CG440" s="45">
        <v>0</v>
      </c>
    </row>
    <row r="441" spans="1:90" ht="18" customHeight="1">
      <c r="A441" s="260" t="s">
        <v>98</v>
      </c>
      <c r="B441" s="260" t="s">
        <v>99</v>
      </c>
      <c r="C441" s="260" t="s">
        <v>2371</v>
      </c>
      <c r="D441" s="260" t="s">
        <v>2702</v>
      </c>
      <c r="E441" s="260" t="s">
        <v>2703</v>
      </c>
      <c r="F441" s="260" t="s">
        <v>2704</v>
      </c>
      <c r="G441" s="260" t="s">
        <v>2705</v>
      </c>
      <c r="H441" s="260" t="s">
        <v>2706</v>
      </c>
      <c r="I441" s="260" t="s">
        <v>106</v>
      </c>
      <c r="J441" s="12" t="s">
        <v>2707</v>
      </c>
      <c r="K441" s="260" t="s">
        <v>2708</v>
      </c>
      <c r="L441" s="260" t="s">
        <v>2709</v>
      </c>
      <c r="M441" s="260" t="s">
        <v>2710</v>
      </c>
      <c r="N441" s="260" t="s">
        <v>123</v>
      </c>
      <c r="O441" s="260" t="s">
        <v>112</v>
      </c>
      <c r="P441" s="10">
        <v>50</v>
      </c>
      <c r="Q441" s="11">
        <v>30</v>
      </c>
      <c r="R441" s="9">
        <f t="shared" si="761"/>
        <v>19.100000000000001</v>
      </c>
      <c r="S441" s="9" t="str">
        <f>VLOOKUP(K441,'1197 Salud'!$K$13:$AK$54,9,0)</f>
        <v>1. Se logró el  apoyo en la revisión de las actividades propuestas en la matriz del plan de acción de acuerdo a las competencias del equipo de sistemas de información de la secretaria de salud en lo referente a la construcción e implementación de las RIAS, proponiendo la modificación de las actividades relacionadas inicialmente, elaboración de la encuesta para el seguimiento de la implementación de las RIAS en las IPS´S, a través de un formulario de Google.
2. Se realizó el  seguimiento de evidencias  a las ESEs del departamento en la instalación y adecuación de los equipos entregados por la gobernación,  
3. Se logró  el levantamiento de las condiciones y requerimientos de la infraestructura tecnológica del  Fondo Rotatorio de Estupefacientes de Cundinamarca, como soporte del proceso de venta y distribución de medicamentos controlados.
4. Se realizó el proceso de contratación del mantenimiento y soporte del sistema de gestión documental "DATADOC", utilizado por la dirección administrativa y financiera de la Secretaria de Salud.  
5. Se realizó la entrega y seguimiento de 1344 computadores para la optimización de la prestación del servicio, procesamiento de información y fortalecimiento de la infraestructura tecnológica en los hospitales de la red pública departamental, que serán insumo fundamental para cada una de las etapas del proceso de vacunación contra el Covid-19. 
6. Se logró la depuración y adaptación de los datos referentes a las dosis entregadas, dosis aplicadas y discriminación de primeras y segundas dosis, por cada uno de los Municipios del Departamento, del proceso de vacunación contra la covid-19, para el cargue de la información a la base de datos de la plataforma radar salud. 
7. Se realizó el levantamiento del inventario del software y la actualización de los servicios tics de la red pública del departamento, se da inicio a la nueva funcionalidad de la plataforma radar salud las cuales serán para el tema de brindar datos sobre el plan maestro de vacunación.
8. Se hizo entrega formal de los formatos de metadatos de los indicadores SALUDATA propuestos por el distrito además de  reuniones  de  TICs en la implementación de SALUD DATA DIGITAL a las redes  RED  DE SALUD NORORIENTE, NOROCCIDENTE,  RED REGIÓN DE SALUD MEDINA, RED REGIÓN DE SALUD SOACHA, REDES DE SABANA CENTRO, REDES DE SALUD BAJO MAGDALENA Y LA RED DE SALUD SUR. 
9. Se consolido el  soporte y seguimiento al aplicativo SIUS, Mango, ficha familiar y telemedicina, por parte de las ESES del departamento, garantizando la estabilidad y disponibilidad de la aplicación.
10. Se realizó apoyo en asistencia técnica en el modelo de prestación de servicios bajo la modalidad de telemedicina 2021 para centros de referencia en la nueva red pública de prestadores de salud del departamento de Cundinamarca. 
11. Se apoyó en la implementación del tablero de control crue y formulario uci, se realizó el seguimiento al proceso de adquisición de equipos, por parte de la dirección de IVC, para la implementación del fondo rotatorio de estupefacientes de Cundinamarca.</v>
      </c>
      <c r="T441" s="11">
        <v>10</v>
      </c>
      <c r="U441" s="11">
        <v>0</v>
      </c>
      <c r="V441" s="11">
        <v>10</v>
      </c>
      <c r="W441" s="11">
        <v>0</v>
      </c>
      <c r="X441" s="11">
        <v>10</v>
      </c>
      <c r="Y441" s="11">
        <v>0</v>
      </c>
      <c r="Z441" s="11">
        <v>10</v>
      </c>
      <c r="AA441" s="11" t="s">
        <v>2711</v>
      </c>
      <c r="AB441" s="11" t="s">
        <v>2712</v>
      </c>
      <c r="AC441" s="11" t="s">
        <v>2713</v>
      </c>
      <c r="AD441" s="11">
        <v>10</v>
      </c>
      <c r="AE441" s="11">
        <v>0</v>
      </c>
      <c r="AF441" s="9">
        <f>VLOOKUP(K441,'1197 Salud'!$K$13:$AK$54,22,0)</f>
        <v>9.1</v>
      </c>
      <c r="AG441" s="9">
        <f>VLOOKUP(K441,'1197 Salud'!$K$13:$AK$54,23,0)</f>
        <v>0</v>
      </c>
      <c r="AH441" s="9">
        <f t="shared" si="762"/>
        <v>9.1</v>
      </c>
      <c r="AI441" s="9" t="str">
        <f>VLOOKUP(K441,'1197 Salud'!$K$13:$AK$54,25,0)</f>
        <v>Plan de acción implementado</v>
      </c>
      <c r="AJ441" s="9" t="str">
        <f>VLOOKUP(K441,'1197 Salud'!$K$13:$AK$54,26,0)</f>
        <v xml:space="preserve">1. Se logró el  apoyo en la revisión de las actividades propuestas en la matriz del plan de acción de acuerdo a las competencias del equipo de sistemas de información de la secretaria de salud en lo referente a la construcción e implementación de las RIAS, proponiendo la modificación de las actividades relacionadas inicialmente, elaboración de la encuesta para el seguimiento de la implementación de las RIAS en las IPS´S, a través de un formulario de Google.
2.  Se realizó el  seguimiento de evidencias  a las ESEs del departamento en la instalación y adecuación de los equipos entregados por la gobernación,  
3. Se logró  el levantamiento de las condiciones y requerimientos de la infraestructura tecnológica del  Fondo Rotatorio de Estupefacientes de Cundinamarca, como soporte del proceso de venta y distribución de medicamentos controlados.
4.  Se realizó el proceso de contratación del mantenimiento y soporte del sistema de gestión documental "DATADOC", utilizado por la dirección administrativa y financiera de la Secretaria de Salud.  
5. Se realizó la entrega y seguimiento de 1344 computadores para la optimización de la prestación del servicio, procesamiento de información y fortalecimiento de la infraestructura tecnológica en los hospitales de la red pública departamental, que serán insumo fundamental para cada una de las etapas del proceso de vacunación contra el Covid-19. 
6. Se logró la depuración y adaptación de los datos referentes a las dosis entregadas, dosis aplicadas y discriminación de primeras y segundas dosis, por cada uno de los Municipios del Departamento, del proceso de vacunación contra la covid-19, para el cargue de la información a la base de datos de la plataforma radar salud. 
7. Se realizó el levantamiento del inventario del software y la actualización de los servicios tics de la red pública del departamento, se da inicio a la nueva funcionalidad de la plataforma radar salud las cuales serán para el tema de brindar datos sobre el plan maestro de vacunación.
8. Se hizo entrega formal de los formatos de metadatos de los indicadores SALUDATA propuestos por el distrito además de  reuniones  de  TICs en la implementación de SALUD DATA DIGITAL a las redes  RED  DE SALUD NORORIENTE, NOROCCIDENTE,  RED REGIÓN DE SALUD MEDINA, RED REGIÓN DE SALUD SOACHA, REDES DE SABANA CENTRO, REDES DE SALUD BAJO MAGDALENA Y LA RED DE SALUD SUR. 
9. Se consolido el  soporte y seguimiento al aplicativo SIUS, Mango, ficha familiar y telemedicina, por parte de las ESES del departamento, garantizando la estabilidad y disponibilidad de la aplicación. </v>
      </c>
      <c r="AK441" s="9" t="str">
        <f>VLOOKUP(K441,'1197 Salud'!$K$13:$AK$54,27,0)</f>
        <v xml:space="preserve">Levantamiento de informacion </v>
      </c>
      <c r="AL441" s="11">
        <v>5</v>
      </c>
      <c r="AM441" s="11">
        <v>0</v>
      </c>
      <c r="AN441" s="11">
        <v>5</v>
      </c>
      <c r="AO441" s="11">
        <v>0</v>
      </c>
      <c r="AP441" s="11">
        <v>0</v>
      </c>
      <c r="AQ441" s="11">
        <v>0</v>
      </c>
      <c r="AR441" s="51">
        <v>9906862374</v>
      </c>
      <c r="AS441" s="54">
        <v>0</v>
      </c>
      <c r="AT441" s="54">
        <f t="shared" si="632"/>
        <v>9906862374</v>
      </c>
      <c r="AU441" s="51">
        <v>9889317758</v>
      </c>
      <c r="AV441" s="89">
        <v>10393437314</v>
      </c>
      <c r="AY441" s="89">
        <v>254899864</v>
      </c>
      <c r="AZ441" s="42">
        <f t="shared" si="763"/>
        <v>0.63666666666666671</v>
      </c>
      <c r="BA441" s="44">
        <v>0.33329999999999999</v>
      </c>
      <c r="BB441" s="44">
        <v>1</v>
      </c>
      <c r="BC441" s="42">
        <f t="shared" si="764"/>
        <v>0.33333333333333331</v>
      </c>
      <c r="BD441" s="42" cm="1">
        <f t="array" ref="BD441">_xlfn.IFS(AD441=0,"NA",AD441&gt;0,AH441/AD441)</f>
        <v>0.90999999999999992</v>
      </c>
      <c r="BE441" s="42">
        <f t="shared" si="765"/>
        <v>0.16666666666666666</v>
      </c>
      <c r="BF441" s="44">
        <v>0</v>
      </c>
      <c r="BG441" s="42">
        <f t="shared" si="766"/>
        <v>0.16666666666666666</v>
      </c>
      <c r="BH441" s="44">
        <v>0</v>
      </c>
      <c r="BI441" s="42">
        <f t="shared" si="767"/>
        <v>0</v>
      </c>
      <c r="BJ441" s="44" t="s">
        <v>115</v>
      </c>
      <c r="BK441" s="42">
        <f t="shared" si="633"/>
        <v>0.63666666666666671</v>
      </c>
      <c r="BL441" s="44">
        <v>1</v>
      </c>
      <c r="BM441" s="42" cm="1">
        <f t="array" ref="BM441">_xlfn.IFS(BD441="NA","NA",BD441&gt;100%,"100%",BD441&lt;100,BD441)</f>
        <v>0.90999999999999992</v>
      </c>
      <c r="BN441" s="42" cm="1">
        <f t="array" ref="BN441">_xlfn.IFS(BF441="NA","NA",BF441&gt;100%,"100%",BF441&lt;100,BF441)</f>
        <v>0</v>
      </c>
      <c r="BO441" s="42" cm="1">
        <f t="array" ref="BO441">_xlfn.IFS(BH441="NA","NA",BH441&gt;100%,"100%",BH441&lt;100,BH441)</f>
        <v>0</v>
      </c>
      <c r="BP441" s="42" t="str" cm="1">
        <f t="array" ref="BP441">_xlfn.IFS(BJ441="NA","NA",BJ441&gt;100%,"100%",BJ441&lt;100,BJ441)</f>
        <v>NA</v>
      </c>
      <c r="BQ441" s="45">
        <v>0.224</v>
      </c>
      <c r="BR441" s="43">
        <f t="shared" si="634"/>
        <v>0.14261333333333334</v>
      </c>
      <c r="BS441" s="45">
        <v>7.4700000000000003E-2</v>
      </c>
      <c r="BT441" s="45">
        <v>7.4700000000000003E-2</v>
      </c>
      <c r="BU441" s="45">
        <v>7.4700000000000003E-2</v>
      </c>
      <c r="BV441" s="43">
        <f t="shared" si="768"/>
        <v>7.4666666666666673E-2</v>
      </c>
      <c r="BW441" s="43">
        <f t="shared" si="635"/>
        <v>6.7946666666666669E-2</v>
      </c>
      <c r="BX441" s="43">
        <f t="shared" si="636"/>
        <v>6.7913333333333339E-2</v>
      </c>
      <c r="BY441" s="43">
        <f t="shared" si="769"/>
        <v>3.7333333333333336E-2</v>
      </c>
      <c r="BZ441" s="43">
        <f t="shared" si="770"/>
        <v>0</v>
      </c>
      <c r="CA441" s="43">
        <f t="shared" si="637"/>
        <v>0</v>
      </c>
      <c r="CB441" s="43">
        <f t="shared" si="771"/>
        <v>3.7333333333333336E-2</v>
      </c>
      <c r="CC441" s="43">
        <f t="shared" si="772"/>
        <v>0</v>
      </c>
      <c r="CD441" s="45">
        <v>0</v>
      </c>
      <c r="CE441" s="43">
        <f t="shared" si="773"/>
        <v>0</v>
      </c>
      <c r="CF441" s="43" t="str">
        <f t="shared" si="774"/>
        <v>NA</v>
      </c>
      <c r="CG441" s="45">
        <v>0</v>
      </c>
    </row>
    <row r="442" spans="1:90" ht="18" customHeight="1">
      <c r="A442" s="260" t="s">
        <v>1434</v>
      </c>
      <c r="B442" s="260" t="s">
        <v>1435</v>
      </c>
      <c r="C442" s="260" t="s">
        <v>2371</v>
      </c>
      <c r="D442" s="260" t="s">
        <v>2702</v>
      </c>
      <c r="E442" s="260" t="s">
        <v>2703</v>
      </c>
      <c r="F442" s="260" t="s">
        <v>2704</v>
      </c>
      <c r="G442" s="260" t="s">
        <v>2705</v>
      </c>
      <c r="H442" s="260" t="s">
        <v>2714</v>
      </c>
      <c r="I442" s="260"/>
      <c r="J442" s="260"/>
      <c r="K442" s="260" t="s">
        <v>2715</v>
      </c>
      <c r="L442" s="260" t="s">
        <v>2716</v>
      </c>
      <c r="M442" s="260" t="s">
        <v>2717</v>
      </c>
      <c r="N442" s="260" t="s">
        <v>123</v>
      </c>
      <c r="O442" s="260" t="s">
        <v>124</v>
      </c>
      <c r="P442" s="10">
        <v>100</v>
      </c>
      <c r="Q442" s="11">
        <v>100</v>
      </c>
      <c r="R442" s="11">
        <f t="shared" ref="R442:R444" si="775">(Z442+AH442)/CL442</f>
        <v>50</v>
      </c>
      <c r="S442" s="11" t="str">
        <f>VLOOKUP(K442,'1128 TICS'!$K$13:$AK$27,9,0)</f>
        <v>Articulación con 25 dependencias del sector central de la Gobernación de Cundinamarca, se desarrollaron actividades de capacitación, soporte técnico en micrositios del portal web institucional, y revisión de proyectos TIC.</v>
      </c>
      <c r="T442" s="11">
        <v>0</v>
      </c>
      <c r="U442" s="11">
        <v>100</v>
      </c>
      <c r="V442" s="11">
        <v>0</v>
      </c>
      <c r="W442" s="11">
        <v>100</v>
      </c>
      <c r="X442" s="11" t="s">
        <v>115</v>
      </c>
      <c r="Y442" s="11">
        <v>100</v>
      </c>
      <c r="Z442" s="11">
        <v>100</v>
      </c>
      <c r="AA442" s="11" t="s">
        <v>2718</v>
      </c>
      <c r="AB442" s="11" t="s">
        <v>2719</v>
      </c>
      <c r="AC442" s="11">
        <v>0</v>
      </c>
      <c r="AD442" s="11">
        <v>0</v>
      </c>
      <c r="AE442" s="11">
        <v>100</v>
      </c>
      <c r="AF442" s="11">
        <f>VLOOKUP(K442,'1128 TICS'!$K$13:$AK$27,22,0)</f>
        <v>0</v>
      </c>
      <c r="AG442" s="11">
        <f>VLOOKUP(K442,'1128 TICS'!$K$13:$AK$27,23,0)</f>
        <v>100</v>
      </c>
      <c r="AH442" s="11">
        <f t="shared" ref="AH442:AH444" si="776">AG442</f>
        <v>100</v>
      </c>
      <c r="AI442" s="9" t="str">
        <f>VLOOKUP(K442,'1128 TICS'!$K$13:$AK$27,25,0)</f>
        <v>Todas las 26 entidades del departamento se han atendido con capacitación en temas de Gobierno Digital</v>
      </c>
      <c r="AJ442" s="9" t="str">
        <f>VLOOKUP(K442,'1128 TICS'!$K$13:$AK$27,26,0)</f>
        <v>Todas las 26 entidades del departamento se han atendido con capacitación en temas de Gobierno Digital</v>
      </c>
      <c r="AK442" s="9">
        <f>VLOOKUP(K442,'1128 TICS'!$K$13:$AK$27,27,0)</f>
        <v>0</v>
      </c>
      <c r="AL442" s="11">
        <v>0</v>
      </c>
      <c r="AM442" s="11">
        <v>100</v>
      </c>
      <c r="AN442" s="11">
        <v>0</v>
      </c>
      <c r="AO442" s="11">
        <v>100</v>
      </c>
      <c r="AP442" s="11">
        <v>0</v>
      </c>
      <c r="AQ442" s="11">
        <v>0</v>
      </c>
      <c r="AR442" s="51">
        <v>262500000</v>
      </c>
      <c r="AS442" s="54">
        <v>0</v>
      </c>
      <c r="AT442" s="54">
        <f t="shared" si="632"/>
        <v>262500000</v>
      </c>
      <c r="AU442" s="51">
        <v>262466667</v>
      </c>
      <c r="AV442" s="89">
        <v>440000000</v>
      </c>
      <c r="AY442" s="89">
        <v>80330000</v>
      </c>
      <c r="AZ442" s="44" cm="1">
        <f t="array" ref="AZ442">_xlfn.IFS((BA442=0),(BD442/CL442),(BA442&gt;0),((BB442+BD442)/CL442),(BE442&gt;0),((BB442+BD442+BE442)/CL442),(BG442&gt;0),((BB442+BD442+BE442+G442)/CL442))</f>
        <v>0.5</v>
      </c>
      <c r="BA442" s="44">
        <v>0.25</v>
      </c>
      <c r="BB442" s="44">
        <v>1</v>
      </c>
      <c r="BC442" s="44">
        <f t="shared" ref="BC442:BC444" si="777">IF(AE442&gt;0,(1/CL442),0)</f>
        <v>0.25</v>
      </c>
      <c r="BD442" s="44" cm="1">
        <f t="array" ref="BD442">_xlfn.IFS(AE442=0,"NA",AE442&gt;0,AH442/AE442)</f>
        <v>1</v>
      </c>
      <c r="BE442" s="44">
        <f t="shared" ref="BE442:BE444" si="778">IF(AM442&gt;0,(1/CL442),0)</f>
        <v>0.25</v>
      </c>
      <c r="BF442" s="44">
        <v>0</v>
      </c>
      <c r="BG442" s="44">
        <f t="shared" ref="BG442:BG444" si="779">IF(AO442&gt;0,(1/CL442),0)</f>
        <v>0.25</v>
      </c>
      <c r="BH442" s="44">
        <v>0</v>
      </c>
      <c r="BI442" s="44">
        <v>0</v>
      </c>
      <c r="BJ442" s="44" t="s">
        <v>115</v>
      </c>
      <c r="BK442" s="44">
        <f t="shared" si="633"/>
        <v>0.5</v>
      </c>
      <c r="BL442" s="44">
        <v>1</v>
      </c>
      <c r="BM442" s="42" cm="1">
        <f t="array" ref="BM442">_xlfn.IFS(BD442="NA","NA",BD442&gt;100%,"100%",BD442&lt;100,BD442)</f>
        <v>1</v>
      </c>
      <c r="BN442" s="44">
        <v>0</v>
      </c>
      <c r="BO442" s="44">
        <v>0</v>
      </c>
      <c r="BP442" s="44" t="s">
        <v>115</v>
      </c>
      <c r="BQ442" s="45">
        <v>0.224</v>
      </c>
      <c r="BR442" s="43">
        <f t="shared" si="634"/>
        <v>0.112</v>
      </c>
      <c r="BS442" s="45">
        <v>5.6000000000000001E-2</v>
      </c>
      <c r="BT442" s="45">
        <v>5.6000000000000001E-2</v>
      </c>
      <c r="BU442" s="45">
        <v>5.6000000000000001E-2</v>
      </c>
      <c r="BV442" s="45">
        <v>5.6000000000000001E-2</v>
      </c>
      <c r="BW442" s="43">
        <f t="shared" si="635"/>
        <v>5.6000000000000001E-2</v>
      </c>
      <c r="BX442" s="43">
        <f t="shared" si="636"/>
        <v>5.6000000000000001E-2</v>
      </c>
      <c r="BY442" s="45">
        <v>5.6000000000000001E-2</v>
      </c>
      <c r="BZ442" s="45">
        <v>0</v>
      </c>
      <c r="CA442" s="43">
        <f t="shared" si="637"/>
        <v>0</v>
      </c>
      <c r="CB442" s="45">
        <v>5.6000000000000001E-2</v>
      </c>
      <c r="CC442" s="45">
        <v>0</v>
      </c>
      <c r="CD442" s="45">
        <v>0</v>
      </c>
      <c r="CE442" s="45">
        <v>0</v>
      </c>
      <c r="CF442" s="45" t="s">
        <v>115</v>
      </c>
      <c r="CG442" s="45">
        <v>0</v>
      </c>
      <c r="CH442">
        <f t="shared" ref="CH442:CH444" si="780">IF(W442&gt;0,1,0)</f>
        <v>1</v>
      </c>
      <c r="CI442">
        <f t="shared" ref="CI442:CI444" si="781">IF(AE442&gt;0,1,0)</f>
        <v>1</v>
      </c>
      <c r="CJ442">
        <f t="shared" ref="CJ442:CJ444" si="782">IF(AM442&gt;0,1,0)</f>
        <v>1</v>
      </c>
      <c r="CK442">
        <f t="shared" ref="CK442:CK444" si="783">IF(AO442&gt;0,1,0)</f>
        <v>1</v>
      </c>
      <c r="CL442">
        <f t="shared" ref="CL442:CL444" si="784">CH442+CI442+CJ442+CK442</f>
        <v>4</v>
      </c>
    </row>
    <row r="443" spans="1:90" ht="18" customHeight="1">
      <c r="A443" s="260" t="s">
        <v>1434</v>
      </c>
      <c r="B443" s="260" t="s">
        <v>1435</v>
      </c>
      <c r="C443" s="260" t="s">
        <v>2371</v>
      </c>
      <c r="D443" s="260" t="s">
        <v>2702</v>
      </c>
      <c r="E443" s="260" t="s">
        <v>2703</v>
      </c>
      <c r="F443" s="260" t="s">
        <v>2704</v>
      </c>
      <c r="G443" s="260" t="s">
        <v>2705</v>
      </c>
      <c r="H443" s="260" t="s">
        <v>2720</v>
      </c>
      <c r="I443" s="260"/>
      <c r="J443" s="260"/>
      <c r="K443" s="260" t="s">
        <v>2721</v>
      </c>
      <c r="L443" s="260" t="s">
        <v>2722</v>
      </c>
      <c r="M443" s="260" t="s">
        <v>2723</v>
      </c>
      <c r="N443" s="260" t="s">
        <v>111</v>
      </c>
      <c r="O443" s="260" t="s">
        <v>124</v>
      </c>
      <c r="P443" s="10">
        <v>116</v>
      </c>
      <c r="Q443" s="11">
        <v>116</v>
      </c>
      <c r="R443" s="11">
        <f t="shared" si="775"/>
        <v>58</v>
      </c>
      <c r="S443" s="11" t="str">
        <f>VLOOKUP(K443,'1128 TICS'!$K$13:$AK$27,9,0)</f>
        <v>Se desarrollan capacitaciones, relacionadas con los componentes de la Política de Gobierno Digital, en todos los Municipios del Departamento</v>
      </c>
      <c r="T443" s="11">
        <v>0</v>
      </c>
      <c r="U443" s="11">
        <v>116</v>
      </c>
      <c r="V443" s="11">
        <v>0</v>
      </c>
      <c r="W443" s="11">
        <v>116</v>
      </c>
      <c r="X443" s="11" t="s">
        <v>115</v>
      </c>
      <c r="Y443" s="11">
        <v>116</v>
      </c>
      <c r="Z443" s="11">
        <v>116</v>
      </c>
      <c r="AA443" s="11" t="s">
        <v>2724</v>
      </c>
      <c r="AB443" s="11" t="s">
        <v>2725</v>
      </c>
      <c r="AC443" s="11">
        <v>0</v>
      </c>
      <c r="AD443" s="11">
        <v>0</v>
      </c>
      <c r="AE443" s="11">
        <v>116</v>
      </c>
      <c r="AF443" s="11">
        <f>VLOOKUP(K443,'1128 TICS'!$K$13:$AK$27,22,0)</f>
        <v>0</v>
      </c>
      <c r="AG443" s="11">
        <f>VLOOKUP(K443,'1128 TICS'!$K$13:$AK$27,23,0)</f>
        <v>116</v>
      </c>
      <c r="AH443" s="11">
        <f t="shared" si="776"/>
        <v>116</v>
      </c>
      <c r="AI443" s="9" t="str">
        <f>VLOOKUP(K443,'1128 TICS'!$K$13:$AK$27,25,0)</f>
        <v>Se han atendido las solicitudes efectuadas por los 116 municipios</v>
      </c>
      <c r="AJ443" s="9" t="str">
        <f>VLOOKUP(K443,'1128 TICS'!$K$13:$AK$27,26,0)</f>
        <v>Se han atendido las solicitudes efectuadas por los 116 municipios</v>
      </c>
      <c r="AK443" s="9">
        <f>VLOOKUP(K443,'1128 TICS'!$K$13:$AK$27,27,0)</f>
        <v>0</v>
      </c>
      <c r="AL443" s="11">
        <v>0</v>
      </c>
      <c r="AM443" s="11">
        <v>116</v>
      </c>
      <c r="AN443" s="11">
        <v>0</v>
      </c>
      <c r="AO443" s="11">
        <v>116</v>
      </c>
      <c r="AP443" s="11">
        <v>0</v>
      </c>
      <c r="AQ443" s="11">
        <v>0</v>
      </c>
      <c r="AR443" s="51">
        <v>26385545</v>
      </c>
      <c r="AS443" s="54">
        <v>0</v>
      </c>
      <c r="AT443" s="54">
        <f t="shared" si="632"/>
        <v>26385545</v>
      </c>
      <c r="AU443" s="51">
        <v>26385545</v>
      </c>
      <c r="AV443" s="89">
        <v>130000000</v>
      </c>
      <c r="AY443" s="89">
        <v>0</v>
      </c>
      <c r="AZ443" s="44" cm="1">
        <f t="array" ref="AZ443">_xlfn.IFS((BA443=0),(BD443/CL443),(BA443&gt;0),((BB443+BD443)/CL443),(BE443&gt;0),((BB443+BD443+BE443)/CL443),(BG443&gt;0),((BB443+BD443+BE443+G443)/CL443))</f>
        <v>0.5</v>
      </c>
      <c r="BA443" s="44">
        <v>0.25</v>
      </c>
      <c r="BB443" s="44">
        <v>1</v>
      </c>
      <c r="BC443" s="44">
        <f t="shared" si="777"/>
        <v>0.25</v>
      </c>
      <c r="BD443" s="44" cm="1">
        <f t="array" ref="BD443">_xlfn.IFS(AE443=0,"NA",AE443&gt;0,AH443/AE443)</f>
        <v>1</v>
      </c>
      <c r="BE443" s="44">
        <f t="shared" si="778"/>
        <v>0.25</v>
      </c>
      <c r="BF443" s="44">
        <v>0</v>
      </c>
      <c r="BG443" s="44">
        <f t="shared" si="779"/>
        <v>0.25</v>
      </c>
      <c r="BH443" s="44">
        <v>0</v>
      </c>
      <c r="BI443" s="44">
        <v>0</v>
      </c>
      <c r="BJ443" s="44" t="s">
        <v>115</v>
      </c>
      <c r="BK443" s="44">
        <f t="shared" si="633"/>
        <v>0.5</v>
      </c>
      <c r="BL443" s="44">
        <v>1</v>
      </c>
      <c r="BM443" s="42" cm="1">
        <f t="array" ref="BM443">_xlfn.IFS(BD443="NA","NA",BD443&gt;100%,"100%",BD443&lt;100,BD443)</f>
        <v>1</v>
      </c>
      <c r="BN443" s="44">
        <v>0</v>
      </c>
      <c r="BO443" s="44">
        <v>0</v>
      </c>
      <c r="BP443" s="44" t="s">
        <v>115</v>
      </c>
      <c r="BQ443" s="45">
        <v>0.224</v>
      </c>
      <c r="BR443" s="43">
        <f t="shared" si="634"/>
        <v>0.112</v>
      </c>
      <c r="BS443" s="45">
        <v>5.6000000000000001E-2</v>
      </c>
      <c r="BT443" s="45">
        <v>5.6000000000000001E-2</v>
      </c>
      <c r="BU443" s="45">
        <v>5.6000000000000001E-2</v>
      </c>
      <c r="BV443" s="45">
        <v>5.6000000000000001E-2</v>
      </c>
      <c r="BW443" s="43">
        <f t="shared" si="635"/>
        <v>5.6000000000000001E-2</v>
      </c>
      <c r="BX443" s="43">
        <f t="shared" si="636"/>
        <v>5.6000000000000001E-2</v>
      </c>
      <c r="BY443" s="45">
        <v>5.6000000000000001E-2</v>
      </c>
      <c r="BZ443" s="45">
        <v>0</v>
      </c>
      <c r="CA443" s="43">
        <f t="shared" si="637"/>
        <v>0</v>
      </c>
      <c r="CB443" s="45">
        <v>5.6000000000000001E-2</v>
      </c>
      <c r="CC443" s="45">
        <v>0</v>
      </c>
      <c r="CD443" s="45">
        <v>0</v>
      </c>
      <c r="CE443" s="45">
        <v>0</v>
      </c>
      <c r="CF443" s="45" t="s">
        <v>115</v>
      </c>
      <c r="CG443" s="45">
        <v>0</v>
      </c>
      <c r="CH443">
        <f t="shared" si="780"/>
        <v>1</v>
      </c>
      <c r="CI443">
        <f t="shared" si="781"/>
        <v>1</v>
      </c>
      <c r="CJ443">
        <f t="shared" si="782"/>
        <v>1</v>
      </c>
      <c r="CK443">
        <f t="shared" si="783"/>
        <v>1</v>
      </c>
      <c r="CL443">
        <f t="shared" si="784"/>
        <v>4</v>
      </c>
    </row>
    <row r="444" spans="1:90" ht="18" customHeight="1">
      <c r="A444" s="260" t="s">
        <v>1434</v>
      </c>
      <c r="B444" s="260" t="s">
        <v>1435</v>
      </c>
      <c r="C444" s="260" t="s">
        <v>2371</v>
      </c>
      <c r="D444" s="260" t="s">
        <v>2702</v>
      </c>
      <c r="E444" s="260" t="s">
        <v>2703</v>
      </c>
      <c r="F444" s="260" t="s">
        <v>2704</v>
      </c>
      <c r="G444" s="260" t="s">
        <v>2705</v>
      </c>
      <c r="H444" s="260" t="s">
        <v>2726</v>
      </c>
      <c r="I444" s="260"/>
      <c r="J444" s="260"/>
      <c r="K444" s="260" t="s">
        <v>2727</v>
      </c>
      <c r="L444" s="260" t="s">
        <v>2728</v>
      </c>
      <c r="M444" s="260" t="s">
        <v>2729</v>
      </c>
      <c r="N444" s="260" t="s">
        <v>111</v>
      </c>
      <c r="O444" s="260" t="s">
        <v>124</v>
      </c>
      <c r="P444" s="10">
        <v>9</v>
      </c>
      <c r="Q444" s="11">
        <v>9</v>
      </c>
      <c r="R444" s="11">
        <f t="shared" si="775"/>
        <v>4.5</v>
      </c>
      <c r="S444" s="11" t="str">
        <f>VLOOKUP(K444,'1128 TICS'!$K$13:$AK$27,9,0)</f>
        <v>Se han mantenido disponibles los servicios soportados en los sistemas de información: mercurio, isolución, Sistema de seguimiento al plan de desarrollo,  kactus, SAGA, integración registraduría, supervisa y banco de proyectos.</v>
      </c>
      <c r="T444" s="11">
        <v>0</v>
      </c>
      <c r="U444" s="11">
        <v>9</v>
      </c>
      <c r="V444" s="11">
        <v>0</v>
      </c>
      <c r="W444" s="11">
        <v>9</v>
      </c>
      <c r="X444" s="11" t="s">
        <v>115</v>
      </c>
      <c r="Y444" s="11">
        <v>9</v>
      </c>
      <c r="Z444" s="11">
        <v>9</v>
      </c>
      <c r="AA444" s="11" t="s">
        <v>2730</v>
      </c>
      <c r="AB444" s="11" t="s">
        <v>2731</v>
      </c>
      <c r="AC444" s="11">
        <v>0</v>
      </c>
      <c r="AD444" s="11">
        <v>0</v>
      </c>
      <c r="AE444" s="11">
        <v>9</v>
      </c>
      <c r="AF444" s="11">
        <f>VLOOKUP(K444,'1128 TICS'!$K$13:$AK$27,22,0)</f>
        <v>0</v>
      </c>
      <c r="AG444" s="11">
        <f>VLOOKUP(K444,'1128 TICS'!$K$13:$AK$27,23,0)</f>
        <v>9</v>
      </c>
      <c r="AH444" s="11">
        <f t="shared" si="776"/>
        <v>9</v>
      </c>
      <c r="AI444" s="9" t="str">
        <f>VLOOKUP(K444,'1128 TICS'!$K$13:$AK$27,25,0)</f>
        <v>Se han mantenido disponibles los servicios asociados a los 9  sistemas de información: 1. MERCURIO, 2. ISOLUCIÓN, 3. SISTEMA DE SEGUIMIENTO AL PLAN DE DESARROLLO, 4. KACTUS, 5. SAGA, 6. INTEGRACIÓN REGISTRADURÍA, 7. SUPERVISA, 8. BANCO DE PROYECTOS, 9. SWIM. Mediante la renovación de los contratos de soporte y mantenimiento con los proveedores y/o fabricantes. y la contratación del personal capacitado que brindan el soporte y administración de las plataformas que lo requieran.</v>
      </c>
      <c r="AJ444" s="9" t="str">
        <f>VLOOKUP(K444,'1128 TICS'!$K$13:$AK$27,26,0)</f>
        <v>Se han mantenido disponibles los servicios asociados a los 9  sistemas de información: 1. MERCURIO, 2. ISOLUCIÓN, 3. SISTEMA DE SEGUIMIENTO AL PLAN DE DESARROLLO, 4. KACTUS, 5. SAGA, 6. INTEGRACIÓN REGISTRADURÍA, 7. SUPERVISA, 8. BANCO DE PROYECTOS, 9. SWIM. Mediante la renovación de los contratos de soporte y mantenimiento con los proveedores y/o fabricantes. y la contratación del personal capacitado que brindan el soporte y administración de las plataformas que lo requieran.</v>
      </c>
      <c r="AK444" s="9">
        <f>VLOOKUP(K444,'1128 TICS'!$K$13:$AK$27,27,0)</f>
        <v>0</v>
      </c>
      <c r="AL444" s="11">
        <v>0</v>
      </c>
      <c r="AM444" s="11">
        <v>9</v>
      </c>
      <c r="AN444" s="11">
        <v>0</v>
      </c>
      <c r="AO444" s="11">
        <v>9</v>
      </c>
      <c r="AP444" s="11">
        <v>0</v>
      </c>
      <c r="AQ444" s="11">
        <v>0</v>
      </c>
      <c r="AR444" s="51">
        <v>546000000</v>
      </c>
      <c r="AS444" s="54">
        <v>0</v>
      </c>
      <c r="AT444" s="54">
        <f t="shared" si="632"/>
        <v>546000000</v>
      </c>
      <c r="AU444" s="51">
        <v>422692950</v>
      </c>
      <c r="AV444" s="89">
        <v>1550000000</v>
      </c>
      <c r="AY444" s="89">
        <v>500114936</v>
      </c>
      <c r="AZ444" s="44" cm="1">
        <f t="array" ref="AZ444">_xlfn.IFS((BA444=0),(BD444/CL444),(BA444&gt;0),((BB444+BD444)/CL444),(BE444&gt;0),((BB444+BD444+BE444)/CL444),(BG444&gt;0),((BB444+BD444+BE444+G444)/CL444))</f>
        <v>0.5</v>
      </c>
      <c r="BA444" s="44">
        <v>0.25</v>
      </c>
      <c r="BB444" s="44">
        <v>1</v>
      </c>
      <c r="BC444" s="44">
        <f t="shared" si="777"/>
        <v>0.25</v>
      </c>
      <c r="BD444" s="44" cm="1">
        <f t="array" ref="BD444">_xlfn.IFS(AE444=0,"NA",AE444&gt;0,AH444/AE444)</f>
        <v>1</v>
      </c>
      <c r="BE444" s="44">
        <f t="shared" si="778"/>
        <v>0.25</v>
      </c>
      <c r="BF444" s="44">
        <v>0</v>
      </c>
      <c r="BG444" s="44">
        <f t="shared" si="779"/>
        <v>0.25</v>
      </c>
      <c r="BH444" s="44">
        <v>0</v>
      </c>
      <c r="BI444" s="44">
        <v>0</v>
      </c>
      <c r="BJ444" s="44" t="s">
        <v>115</v>
      </c>
      <c r="BK444" s="44">
        <f t="shared" si="633"/>
        <v>0.5</v>
      </c>
      <c r="BL444" s="44">
        <v>1</v>
      </c>
      <c r="BM444" s="42" cm="1">
        <f t="array" ref="BM444">_xlfn.IFS(BD444="NA","NA",BD444&gt;100%,"100%",BD444&lt;100,BD444)</f>
        <v>1</v>
      </c>
      <c r="BN444" s="44">
        <v>0</v>
      </c>
      <c r="BO444" s="44">
        <v>0</v>
      </c>
      <c r="BP444" s="44" t="s">
        <v>115</v>
      </c>
      <c r="BQ444" s="45">
        <v>0.224</v>
      </c>
      <c r="BR444" s="43">
        <f t="shared" si="634"/>
        <v>0.112</v>
      </c>
      <c r="BS444" s="45">
        <v>5.6000000000000001E-2</v>
      </c>
      <c r="BT444" s="45">
        <v>5.6000000000000001E-2</v>
      </c>
      <c r="BU444" s="45">
        <v>5.6000000000000001E-2</v>
      </c>
      <c r="BV444" s="45">
        <v>5.6000000000000001E-2</v>
      </c>
      <c r="BW444" s="43">
        <f t="shared" si="635"/>
        <v>5.6000000000000001E-2</v>
      </c>
      <c r="BX444" s="43">
        <f t="shared" si="636"/>
        <v>5.6000000000000001E-2</v>
      </c>
      <c r="BY444" s="45">
        <v>5.6000000000000001E-2</v>
      </c>
      <c r="BZ444" s="45">
        <v>0</v>
      </c>
      <c r="CA444" s="43">
        <f t="shared" si="637"/>
        <v>0</v>
      </c>
      <c r="CB444" s="45">
        <v>5.6000000000000001E-2</v>
      </c>
      <c r="CC444" s="45">
        <v>0</v>
      </c>
      <c r="CD444" s="45">
        <v>0</v>
      </c>
      <c r="CE444" s="45">
        <v>0</v>
      </c>
      <c r="CF444" s="45" t="s">
        <v>115</v>
      </c>
      <c r="CG444" s="45">
        <v>0</v>
      </c>
      <c r="CH444">
        <f t="shared" si="780"/>
        <v>1</v>
      </c>
      <c r="CI444">
        <f t="shared" si="781"/>
        <v>1</v>
      </c>
      <c r="CJ444">
        <f t="shared" si="782"/>
        <v>1</v>
      </c>
      <c r="CK444">
        <f t="shared" si="783"/>
        <v>1</v>
      </c>
      <c r="CL444">
        <f t="shared" si="784"/>
        <v>4</v>
      </c>
    </row>
    <row r="445" spans="1:90" ht="18" customHeight="1">
      <c r="A445" s="260" t="s">
        <v>1434</v>
      </c>
      <c r="B445" s="260" t="s">
        <v>1435</v>
      </c>
      <c r="C445" s="260" t="s">
        <v>2371</v>
      </c>
      <c r="D445" s="260" t="s">
        <v>2702</v>
      </c>
      <c r="E445" s="260" t="s">
        <v>2703</v>
      </c>
      <c r="F445" s="260" t="s">
        <v>2704</v>
      </c>
      <c r="G445" s="260" t="s">
        <v>2705</v>
      </c>
      <c r="H445" s="260" t="s">
        <v>2732</v>
      </c>
      <c r="I445" s="260"/>
      <c r="J445" s="260"/>
      <c r="K445" s="260" t="s">
        <v>2733</v>
      </c>
      <c r="L445" s="260" t="s">
        <v>3074</v>
      </c>
      <c r="M445" s="260" t="s">
        <v>3075</v>
      </c>
      <c r="N445" s="260" t="s">
        <v>111</v>
      </c>
      <c r="O445" s="260" t="s">
        <v>112</v>
      </c>
      <c r="P445" s="10">
        <v>1</v>
      </c>
      <c r="Q445" s="11">
        <v>1</v>
      </c>
      <c r="R445" s="9">
        <f t="shared" ref="R445:R447" si="785">Z445+AH445</f>
        <v>0</v>
      </c>
      <c r="S445" s="11" t="str">
        <f>VLOOKUP(K445,'1128 TICS'!$K$13:$AK$27,9,0)</f>
        <v>Se ha dado continuidad a la atención de requerimientos por concepto técnico o de viabilidad técnica de proyectos estructurados por dependencias del sector central desde la PMO.
Se avanza con actividades incluidas en plan de actualización del Petic.</v>
      </c>
      <c r="T445" s="11">
        <v>0.05</v>
      </c>
      <c r="U445" s="11">
        <v>0</v>
      </c>
      <c r="V445" s="11">
        <v>0.05</v>
      </c>
      <c r="W445" s="11">
        <v>0</v>
      </c>
      <c r="X445" s="11">
        <v>0</v>
      </c>
      <c r="Y445" s="11">
        <v>0</v>
      </c>
      <c r="Z445" s="11">
        <v>0</v>
      </c>
      <c r="AA445" s="11"/>
      <c r="AB445" s="11"/>
      <c r="AC445" s="11"/>
      <c r="AD445" s="11">
        <v>0.45</v>
      </c>
      <c r="AE445" s="11">
        <v>0</v>
      </c>
      <c r="AF445" s="11">
        <f>VLOOKUP(K445,'1128 TICS'!$K$13:$AK$27,22,0)</f>
        <v>0</v>
      </c>
      <c r="AG445" s="11">
        <f>VLOOKUP(K445,'1128 TICS'!$K$13:$AK$27,23,0)</f>
        <v>1</v>
      </c>
      <c r="AH445" s="9">
        <f t="shared" ref="AH445:AH447" si="786">AF445</f>
        <v>0</v>
      </c>
      <c r="AI445" s="9" t="str">
        <f>VLOOKUP(K445,'1128 TICS'!$K$13:$AK$27,25,0)</f>
        <v>Se han atendido requerimientos por concepto técnico o de viabilidad técnica de proyectos estructurados por entidades del sector central.</v>
      </c>
      <c r="AJ445" s="9" t="str">
        <f>VLOOKUP(K445,'1128 TICS'!$K$13:$AK$27,26,0)</f>
        <v>Se han atendido requerimientos por concepto técnico o de viabilidad técnica de proyectos estructurados por entidades del sector central.</v>
      </c>
      <c r="AK445" s="9">
        <f>VLOOKUP(K445,'1128 TICS'!$K$13:$AK$27,27,0)</f>
        <v>0</v>
      </c>
      <c r="AL445" s="11">
        <v>0.45</v>
      </c>
      <c r="AM445" s="11">
        <v>0</v>
      </c>
      <c r="AN445" s="11">
        <v>0.05</v>
      </c>
      <c r="AO445" s="11">
        <v>0</v>
      </c>
      <c r="AP445" s="11">
        <v>0</v>
      </c>
      <c r="AQ445" s="11">
        <v>0</v>
      </c>
      <c r="AR445" s="52"/>
      <c r="AS445" s="54">
        <v>0</v>
      </c>
      <c r="AT445" s="54">
        <f t="shared" si="632"/>
        <v>0</v>
      </c>
      <c r="AU445" s="52"/>
      <c r="AV445" s="89">
        <v>80000000</v>
      </c>
      <c r="AY445" s="89">
        <v>0</v>
      </c>
      <c r="AZ445" s="42">
        <f t="shared" ref="AZ445:AZ447" si="787">R445/Q445</f>
        <v>0</v>
      </c>
      <c r="BA445" s="44">
        <v>0.05</v>
      </c>
      <c r="BB445" s="44">
        <v>0</v>
      </c>
      <c r="BC445" s="42">
        <f t="shared" ref="BC445:BC447" si="788">AD445/Q445</f>
        <v>0.45</v>
      </c>
      <c r="BD445" s="42" cm="1">
        <f t="array" ref="BD445">_xlfn.IFS(AD445=0,"NA",AD445&gt;0,AH445/AD445)</f>
        <v>0</v>
      </c>
      <c r="BE445" s="42">
        <f t="shared" ref="BE445:BE447" si="789">AL445/Q445</f>
        <v>0.45</v>
      </c>
      <c r="BF445" s="44">
        <v>0</v>
      </c>
      <c r="BG445" s="42">
        <f t="shared" ref="BG445:BG447" si="790">AN445/Q445</f>
        <v>0.05</v>
      </c>
      <c r="BH445" s="44">
        <v>0</v>
      </c>
      <c r="BI445" s="42">
        <f t="shared" ref="BI445:BI447" si="791">AP445/Q445</f>
        <v>0</v>
      </c>
      <c r="BJ445" s="44" t="s">
        <v>115</v>
      </c>
      <c r="BK445" s="42">
        <f t="shared" si="633"/>
        <v>0</v>
      </c>
      <c r="BL445" s="44">
        <v>0</v>
      </c>
      <c r="BM445" s="42" cm="1">
        <f t="array" ref="BM445">_xlfn.IFS(BD445="NA","NA",BD445&gt;100%,"100%",BD445&lt;100,BD445)</f>
        <v>0</v>
      </c>
      <c r="BN445" s="42" cm="1">
        <f t="array" ref="BN445">_xlfn.IFS(BF445="NA","NA",BF445&gt;100%,"100%",BF445&lt;100,BF445)</f>
        <v>0</v>
      </c>
      <c r="BO445" s="42" cm="1">
        <f t="array" ref="BO445">_xlfn.IFS(BH445="NA","NA",BH445&gt;100%,"100%",BH445&lt;100,BH445)</f>
        <v>0</v>
      </c>
      <c r="BP445" s="42" t="str" cm="1">
        <f t="array" ref="BP445">_xlfn.IFS(BJ445="NA","NA",BJ445&gt;100%,"100%",BJ445&lt;100,BJ445)</f>
        <v>NA</v>
      </c>
      <c r="BQ445" s="45">
        <v>0.224</v>
      </c>
      <c r="BR445" s="43">
        <f t="shared" si="634"/>
        <v>0</v>
      </c>
      <c r="BS445" s="45">
        <v>1.12E-2</v>
      </c>
      <c r="BT445" s="45">
        <v>0</v>
      </c>
      <c r="BU445" s="45">
        <v>0</v>
      </c>
      <c r="BV445" s="43">
        <f t="shared" ref="BV445:BV447" si="792">(AD445*BQ445)/Q445</f>
        <v>0.1008</v>
      </c>
      <c r="BW445" s="43">
        <f t="shared" si="635"/>
        <v>0</v>
      </c>
      <c r="BX445" s="43">
        <f t="shared" si="636"/>
        <v>0</v>
      </c>
      <c r="BY445" s="43">
        <f t="shared" ref="BY445:BY447" si="793">(AL445*BQ445)/Q445</f>
        <v>0.1008</v>
      </c>
      <c r="BZ445" s="43">
        <f t="shared" ref="BZ445:BZ447" si="794">IF(BN445="NA","NA",BN445*BY445)</f>
        <v>0</v>
      </c>
      <c r="CA445" s="43">
        <f t="shared" si="637"/>
        <v>0</v>
      </c>
      <c r="CB445" s="43">
        <f t="shared" ref="CB445:CB447" si="795">(AN445*BQ445)/Q445</f>
        <v>1.1200000000000002E-2</v>
      </c>
      <c r="CC445" s="43">
        <f t="shared" ref="CC445:CC447" si="796">IF(BO445="NA","NA",BO445*CB445)</f>
        <v>0</v>
      </c>
      <c r="CD445" s="45">
        <v>0</v>
      </c>
      <c r="CE445" s="43">
        <f t="shared" ref="CE445:CE447" si="797">(AP445*BQ445)/Q445</f>
        <v>0</v>
      </c>
      <c r="CF445" s="43" t="str">
        <f t="shared" ref="CF445:CF447" si="798">IF(BP445="NA","NA",BP445*CE445)</f>
        <v>NA</v>
      </c>
      <c r="CG445" s="45">
        <v>0</v>
      </c>
    </row>
    <row r="446" spans="1:90" ht="18" customHeight="1">
      <c r="A446" s="260" t="s">
        <v>1434</v>
      </c>
      <c r="B446" s="260" t="s">
        <v>1435</v>
      </c>
      <c r="C446" s="260" t="s">
        <v>2371</v>
      </c>
      <c r="D446" s="260" t="s">
        <v>2702</v>
      </c>
      <c r="E446" s="260" t="s">
        <v>2736</v>
      </c>
      <c r="F446" s="260" t="s">
        <v>2737</v>
      </c>
      <c r="G446" s="260" t="s">
        <v>2738</v>
      </c>
      <c r="H446" s="260" t="s">
        <v>2739</v>
      </c>
      <c r="I446" s="260"/>
      <c r="J446" s="260"/>
      <c r="K446" s="260" t="s">
        <v>2740</v>
      </c>
      <c r="L446" s="260" t="s">
        <v>3076</v>
      </c>
      <c r="M446" s="260" t="s">
        <v>3077</v>
      </c>
      <c r="N446" s="260" t="s">
        <v>123</v>
      </c>
      <c r="O446" s="260" t="s">
        <v>112</v>
      </c>
      <c r="P446" s="10">
        <v>0</v>
      </c>
      <c r="Q446" s="11">
        <v>10</v>
      </c>
      <c r="R446" s="9">
        <f t="shared" si="785"/>
        <v>2</v>
      </c>
      <c r="S446" s="11" t="str">
        <f>VLOOKUP(K446,'1128 TICS'!$K$13:$AK$27,9,0)</f>
        <v>SE EXTIENDE LA GARANTÍA DE LOS EQUIPOS DEL DATACENTER PRINCIPAL.  SE ADQUIRIERON CINTAS CINTAS BACKUP. Y SE ADJUDICÓ EL PROCESO EXTENSIÓN DE GARANTÍAS DE LA UNIDAD DE POTENCIA ININTERRUMPIDA (UPS) QUE ALIMENTA EL DATACENTER PRINCIPAL</v>
      </c>
      <c r="T446" s="11">
        <v>2</v>
      </c>
      <c r="U446" s="11">
        <v>0</v>
      </c>
      <c r="V446" s="11">
        <v>2</v>
      </c>
      <c r="W446" s="11">
        <v>0</v>
      </c>
      <c r="X446" s="11">
        <v>2</v>
      </c>
      <c r="Y446" s="11">
        <v>0</v>
      </c>
      <c r="Z446" s="11">
        <v>2</v>
      </c>
      <c r="AA446" s="11" t="s">
        <v>2743</v>
      </c>
      <c r="AB446" s="11" t="s">
        <v>2744</v>
      </c>
      <c r="AC446" s="11">
        <v>0</v>
      </c>
      <c r="AD446" s="11">
        <v>3</v>
      </c>
      <c r="AE446" s="11">
        <v>0</v>
      </c>
      <c r="AF446" s="11">
        <f>VLOOKUP(K446,'1128 TICS'!$K$13:$AK$27,22,0)</f>
        <v>0</v>
      </c>
      <c r="AG446" s="11">
        <f>VLOOKUP(K446,'1128 TICS'!$K$13:$AK$27,23,0)</f>
        <v>100</v>
      </c>
      <c r="AH446" s="9">
        <f t="shared" si="786"/>
        <v>0</v>
      </c>
      <c r="AI446" s="9" t="str">
        <f>VLOOKUP(K446,'1128 TICS'!$K$13:$AK$27,25,0)</f>
        <v>SE MANTIENE PERMENETEMENTE EL FUNCIONAMIENTO DEL 100% DE LOS DATACENTER PRINCIPAL Y ALTERNO, ESTA EN PROCESO LA CONTRATACIÓN DE MANERA INTEGRADA DEL LICENCIAMIENTO DE EXTENSIÓN DE GARANTÍAS PARA LOS DIFERENTES SISTEMAS UBICADOS EN EL DATACENTER PRINCIPAL DE LA GOBERNACIÓN.</v>
      </c>
      <c r="AJ446" s="9" t="str">
        <f>VLOOKUP(K446,'1128 TICS'!$K$13:$AK$27,26,0)</f>
        <v>SE MANTIENE PERMENETEMENTE EL FUNCIONAMIENTO DEL 100% DE LOS DATACENTER PRINCIPAL Y ALTERNO, ESTA EN PROCESO LA CONTRATACIÓN DE MANERA INTEGRADA DEL LICENCIAMIENTO DE EXTENSIÓN DE GARANTÍAS PARA LOS DIFERENTES SISTEMAS UBICADOS EN EL DATACENTER PRINCIPAL DE LA GOBERNACIÓN.</v>
      </c>
      <c r="AK446" s="9">
        <f>VLOOKUP(K446,'1128 TICS'!$K$13:$AK$27,27,0)</f>
        <v>0</v>
      </c>
      <c r="AL446" s="11">
        <v>3</v>
      </c>
      <c r="AM446" s="11">
        <v>0</v>
      </c>
      <c r="AN446" s="11">
        <v>2</v>
      </c>
      <c r="AO446" s="11">
        <v>0</v>
      </c>
      <c r="AP446" s="11">
        <v>0</v>
      </c>
      <c r="AQ446" s="11">
        <v>0</v>
      </c>
      <c r="AR446" s="51">
        <v>893901000</v>
      </c>
      <c r="AS446" s="54">
        <v>0</v>
      </c>
      <c r="AT446" s="54">
        <f t="shared" si="632"/>
        <v>893901000</v>
      </c>
      <c r="AU446" s="51">
        <v>832231140</v>
      </c>
      <c r="AV446" s="89">
        <v>1000000000</v>
      </c>
      <c r="AY446" s="89">
        <v>0</v>
      </c>
      <c r="AZ446" s="42">
        <f t="shared" si="787"/>
        <v>0.2</v>
      </c>
      <c r="BA446" s="44">
        <v>0.2</v>
      </c>
      <c r="BB446" s="44">
        <v>1</v>
      </c>
      <c r="BC446" s="42">
        <f t="shared" si="788"/>
        <v>0.3</v>
      </c>
      <c r="BD446" s="42" cm="1">
        <f t="array" ref="BD446">_xlfn.IFS(AD446=0,"NA",AD446&gt;0,AH446/AD446)</f>
        <v>0</v>
      </c>
      <c r="BE446" s="42">
        <f t="shared" si="789"/>
        <v>0.3</v>
      </c>
      <c r="BF446" s="44">
        <v>0</v>
      </c>
      <c r="BG446" s="42">
        <f t="shared" si="790"/>
        <v>0.2</v>
      </c>
      <c r="BH446" s="44">
        <v>0</v>
      </c>
      <c r="BI446" s="42">
        <f t="shared" si="791"/>
        <v>0</v>
      </c>
      <c r="BJ446" s="44" t="s">
        <v>115</v>
      </c>
      <c r="BK446" s="42">
        <f t="shared" si="633"/>
        <v>0.2</v>
      </c>
      <c r="BL446" s="44">
        <v>1</v>
      </c>
      <c r="BM446" s="42" cm="1">
        <f t="array" ref="BM446">_xlfn.IFS(BD446="NA","NA",BD446&gt;100%,"100%",BD446&lt;100,BD446)</f>
        <v>0</v>
      </c>
      <c r="BN446" s="42" cm="1">
        <f t="array" ref="BN446">_xlfn.IFS(BF446="NA","NA",BF446&gt;100%,"100%",BF446&lt;100,BF446)</f>
        <v>0</v>
      </c>
      <c r="BO446" s="42" cm="1">
        <f t="array" ref="BO446">_xlfn.IFS(BH446="NA","NA",BH446&gt;100%,"100%",BH446&lt;100,BH446)</f>
        <v>0</v>
      </c>
      <c r="BP446" s="42" t="str" cm="1">
        <f t="array" ref="BP446">_xlfn.IFS(BJ446="NA","NA",BJ446&gt;100%,"100%",BJ446&lt;100,BJ446)</f>
        <v>NA</v>
      </c>
      <c r="BQ446" s="45">
        <v>0.224</v>
      </c>
      <c r="BR446" s="43">
        <f t="shared" si="634"/>
        <v>4.4800000000000006E-2</v>
      </c>
      <c r="BS446" s="45">
        <v>4.48E-2</v>
      </c>
      <c r="BT446" s="45">
        <v>4.48E-2</v>
      </c>
      <c r="BU446" s="45">
        <v>4.48E-2</v>
      </c>
      <c r="BV446" s="43">
        <f t="shared" si="792"/>
        <v>6.720000000000001E-2</v>
      </c>
      <c r="BW446" s="43">
        <f t="shared" si="635"/>
        <v>0</v>
      </c>
      <c r="BX446" s="43">
        <f t="shared" si="636"/>
        <v>0</v>
      </c>
      <c r="BY446" s="43">
        <f t="shared" si="793"/>
        <v>6.720000000000001E-2</v>
      </c>
      <c r="BZ446" s="43">
        <f t="shared" si="794"/>
        <v>0</v>
      </c>
      <c r="CA446" s="43">
        <f t="shared" si="637"/>
        <v>6.9388939039072284E-18</v>
      </c>
      <c r="CB446" s="43">
        <f t="shared" si="795"/>
        <v>4.48E-2</v>
      </c>
      <c r="CC446" s="43">
        <f t="shared" si="796"/>
        <v>0</v>
      </c>
      <c r="CD446" s="45">
        <v>0</v>
      </c>
      <c r="CE446" s="43">
        <f t="shared" si="797"/>
        <v>0</v>
      </c>
      <c r="CF446" s="43" t="str">
        <f t="shared" si="798"/>
        <v>NA</v>
      </c>
      <c r="CG446" s="45">
        <v>0</v>
      </c>
    </row>
    <row r="447" spans="1:90" ht="18" customHeight="1">
      <c r="A447" s="260" t="s">
        <v>1434</v>
      </c>
      <c r="B447" s="260" t="s">
        <v>1435</v>
      </c>
      <c r="C447" s="260" t="s">
        <v>2371</v>
      </c>
      <c r="D447" s="260" t="s">
        <v>2702</v>
      </c>
      <c r="E447" s="260" t="s">
        <v>2736</v>
      </c>
      <c r="F447" s="260" t="s">
        <v>2737</v>
      </c>
      <c r="G447" s="260" t="s">
        <v>2738</v>
      </c>
      <c r="H447" s="260" t="s">
        <v>2745</v>
      </c>
      <c r="I447" s="260"/>
      <c r="J447" s="260"/>
      <c r="K447" s="260" t="s">
        <v>2746</v>
      </c>
      <c r="L447" s="260" t="s">
        <v>3078</v>
      </c>
      <c r="M447" s="260" t="s">
        <v>3079</v>
      </c>
      <c r="N447" s="260" t="s">
        <v>123</v>
      </c>
      <c r="O447" s="260" t="s">
        <v>112</v>
      </c>
      <c r="P447" s="10">
        <v>20</v>
      </c>
      <c r="Q447" s="11">
        <v>20</v>
      </c>
      <c r="R447" s="9">
        <f t="shared" si="785"/>
        <v>1.74</v>
      </c>
      <c r="S447" s="11" t="str">
        <f>VLOOKUP(K447,'1128 TICS'!$K$13:$AK$27,9,0)</f>
        <v>SE ADQUIRIERON 35 COMPUTADORES PARA EL SERVICIO DE LOS FUNCIONARIOS DEL NIVEL CENTRAL DE LA GOBERNACIÓN</v>
      </c>
      <c r="T447" s="11">
        <v>2.48</v>
      </c>
      <c r="U447" s="11">
        <v>0</v>
      </c>
      <c r="V447" s="11">
        <v>2.48</v>
      </c>
      <c r="W447" s="11">
        <v>0</v>
      </c>
      <c r="X447" s="11">
        <v>1.74</v>
      </c>
      <c r="Y447" s="11">
        <v>0</v>
      </c>
      <c r="Z447" s="11">
        <v>1.74</v>
      </c>
      <c r="AA447" s="11" t="s">
        <v>2749</v>
      </c>
      <c r="AB447" s="11" t="s">
        <v>2750</v>
      </c>
      <c r="AC447" s="11">
        <v>0</v>
      </c>
      <c r="AD447" s="11">
        <v>5.94</v>
      </c>
      <c r="AE447" s="11">
        <v>0</v>
      </c>
      <c r="AF447" s="11">
        <f>VLOOKUP(K447,'1128 TICS'!$K$13:$AK$27,22,0)</f>
        <v>0</v>
      </c>
      <c r="AG447" s="11">
        <f>VLOOKUP(K447,'1128 TICS'!$K$13:$AK$27,23,0)</f>
        <v>0</v>
      </c>
      <c r="AH447" s="9">
        <f t="shared" si="786"/>
        <v>0</v>
      </c>
      <c r="AI447" s="9" t="str">
        <f>VLOOKUP(K447,'1128 TICS'!$K$13:$AK$27,25,0)</f>
        <v>SE ESTA ESTRUCTURANDO LA DOCUMENTACIÓN NECESARIA PARA ADQUIRIR INFRAESTRUCTURA COMPUTACIONAL, UNA VEZ TERMINADA SE  ENVIARÁ A LA UNIDAD DE CONTRATACIÓN PARA REVISIÓN.</v>
      </c>
      <c r="AJ447" s="9" t="str">
        <f>VLOOKUP(K447,'1128 TICS'!$K$13:$AK$27,26,0)</f>
        <v>SE ESTA ESTRUCTURANDO LA DOCUMENTACIÓN NECESARIA PARA ADQUIRIR INFRAESTRUCTURA COMPUTACIONAL, UNA VEZ TERMINADA SE  ENVIARÁ A LA UNIDAD DE CONTRATACIÓN PARA REVISIÓN.</v>
      </c>
      <c r="AK447" s="9">
        <f>VLOOKUP(K447,'1128 TICS'!$K$13:$AK$27,27,0)</f>
        <v>0</v>
      </c>
      <c r="AL447" s="11">
        <v>5.94</v>
      </c>
      <c r="AM447" s="11">
        <v>0</v>
      </c>
      <c r="AN447" s="11">
        <v>5.64</v>
      </c>
      <c r="AO447" s="11">
        <v>0</v>
      </c>
      <c r="AP447" s="11">
        <v>0</v>
      </c>
      <c r="AQ447" s="11">
        <v>0</v>
      </c>
      <c r="AR447" s="51">
        <v>197118951</v>
      </c>
      <c r="AS447" s="54">
        <v>0</v>
      </c>
      <c r="AT447" s="54">
        <f t="shared" si="632"/>
        <v>197118951</v>
      </c>
      <c r="AU447" s="51">
        <v>158955315</v>
      </c>
      <c r="AV447" s="89">
        <v>31000000</v>
      </c>
      <c r="AY447" s="89">
        <v>0</v>
      </c>
      <c r="AZ447" s="42">
        <f t="shared" si="787"/>
        <v>8.6999999999999994E-2</v>
      </c>
      <c r="BA447" s="44">
        <v>0.124</v>
      </c>
      <c r="BB447" s="44">
        <v>0.7016</v>
      </c>
      <c r="BC447" s="42">
        <f t="shared" si="788"/>
        <v>0.29700000000000004</v>
      </c>
      <c r="BD447" s="42" cm="1">
        <f t="array" ref="BD447">_xlfn.IFS(AD447=0,"NA",AD447&gt;0,AH447/AD447)</f>
        <v>0</v>
      </c>
      <c r="BE447" s="42">
        <f t="shared" si="789"/>
        <v>0.29700000000000004</v>
      </c>
      <c r="BF447" s="44">
        <v>0</v>
      </c>
      <c r="BG447" s="42">
        <f t="shared" si="790"/>
        <v>0.28199999999999997</v>
      </c>
      <c r="BH447" s="44">
        <v>0</v>
      </c>
      <c r="BI447" s="42">
        <f t="shared" si="791"/>
        <v>0</v>
      </c>
      <c r="BJ447" s="44" t="s">
        <v>115</v>
      </c>
      <c r="BK447" s="42">
        <f t="shared" si="633"/>
        <v>8.6999999999999994E-2</v>
      </c>
      <c r="BL447" s="44">
        <v>0.7016</v>
      </c>
      <c r="BM447" s="42" cm="1">
        <f t="array" ref="BM447">_xlfn.IFS(BD447="NA","NA",BD447&gt;100%,"100%",BD447&lt;100,BD447)</f>
        <v>0</v>
      </c>
      <c r="BN447" s="42" cm="1">
        <f t="array" ref="BN447">_xlfn.IFS(BF447="NA","NA",BF447&gt;100%,"100%",BF447&lt;100,BF447)</f>
        <v>0</v>
      </c>
      <c r="BO447" s="42" cm="1">
        <f t="array" ref="BO447">_xlfn.IFS(BH447="NA","NA",BH447&gt;100%,"100%",BH447&lt;100,BH447)</f>
        <v>0</v>
      </c>
      <c r="BP447" s="42" t="str" cm="1">
        <f t="array" ref="BP447">_xlfn.IFS(BJ447="NA","NA",BJ447&gt;100%,"100%",BJ447&lt;100,BJ447)</f>
        <v>NA</v>
      </c>
      <c r="BQ447" s="45">
        <v>0.224</v>
      </c>
      <c r="BR447" s="43">
        <f t="shared" si="634"/>
        <v>1.9487999999999998E-2</v>
      </c>
      <c r="BS447" s="45">
        <v>2.7799999999999998E-2</v>
      </c>
      <c r="BT447" s="45">
        <v>1.95E-2</v>
      </c>
      <c r="BU447" s="45">
        <v>1.95E-2</v>
      </c>
      <c r="BV447" s="43">
        <f t="shared" si="792"/>
        <v>6.6528000000000004E-2</v>
      </c>
      <c r="BW447" s="43">
        <f t="shared" si="635"/>
        <v>0</v>
      </c>
      <c r="BX447" s="43">
        <f t="shared" si="636"/>
        <v>-1.2000000000001593E-5</v>
      </c>
      <c r="BY447" s="43">
        <f t="shared" si="793"/>
        <v>6.6528000000000004E-2</v>
      </c>
      <c r="BZ447" s="43">
        <f t="shared" si="794"/>
        <v>0</v>
      </c>
      <c r="CA447" s="43">
        <f t="shared" si="637"/>
        <v>0</v>
      </c>
      <c r="CB447" s="43">
        <f t="shared" si="795"/>
        <v>6.3168000000000002E-2</v>
      </c>
      <c r="CC447" s="43">
        <f t="shared" si="796"/>
        <v>0</v>
      </c>
      <c r="CD447" s="45">
        <v>0</v>
      </c>
      <c r="CE447" s="43">
        <f t="shared" si="797"/>
        <v>0</v>
      </c>
      <c r="CF447" s="43" t="str">
        <f t="shared" si="798"/>
        <v>NA</v>
      </c>
      <c r="CG447" s="45">
        <v>0</v>
      </c>
    </row>
    <row r="448" spans="1:90" ht="18" customHeight="1">
      <c r="A448" s="260" t="s">
        <v>1434</v>
      </c>
      <c r="B448" s="260" t="s">
        <v>1435</v>
      </c>
      <c r="C448" s="260" t="s">
        <v>2371</v>
      </c>
      <c r="D448" s="260" t="s">
        <v>2702</v>
      </c>
      <c r="E448" s="260" t="s">
        <v>2736</v>
      </c>
      <c r="F448" s="260" t="s">
        <v>2737</v>
      </c>
      <c r="G448" s="260" t="s">
        <v>2738</v>
      </c>
      <c r="H448" s="260" t="s">
        <v>2751</v>
      </c>
      <c r="I448" s="260"/>
      <c r="J448" s="260"/>
      <c r="K448" s="260" t="s">
        <v>2752</v>
      </c>
      <c r="L448" s="260" t="s">
        <v>2753</v>
      </c>
      <c r="M448" s="260" t="s">
        <v>2754</v>
      </c>
      <c r="N448" s="260" t="s">
        <v>111</v>
      </c>
      <c r="O448" s="260" t="s">
        <v>124</v>
      </c>
      <c r="P448" s="10">
        <v>4</v>
      </c>
      <c r="Q448" s="11">
        <v>6</v>
      </c>
      <c r="R448" s="11">
        <f t="shared" ref="R448:R449" si="799">(Z448+AH448)/CL448</f>
        <v>3</v>
      </c>
      <c r="S448" s="11" t="str">
        <f>VLOOKUP(K448,'1128 TICS'!$K$13:$AK$27,9,0)</f>
        <v>SE HA DADO SOPORTE PARA GARANTIZAR EL FUNCIONAMIENTO DE LAS SIGUIENTES PLATAFORMAS    1. VIDEOCONFERENCIA DEPARTAMENTAL. 2. SEGRIDAD INFORMATICA. 3. REPUESTOS PARA LA INFRAESTRUCTURA DE CÓMPUTO DEL NIVEL CENTRAL, 4.  LICENCIAMIENTO PARA EL DEPARTAMENTO DE CUNDINAMARCA. 5. CORREO ELECTRÓNICO (ALMACENAMIENTO) 6. INFRAESTRUCTURA DE DATOS (IPV6)</v>
      </c>
      <c r="T448" s="11">
        <v>0</v>
      </c>
      <c r="U448" s="11">
        <v>6</v>
      </c>
      <c r="V448" s="11">
        <v>0</v>
      </c>
      <c r="W448" s="11">
        <v>6</v>
      </c>
      <c r="X448" s="11" t="s">
        <v>115</v>
      </c>
      <c r="Y448" s="11">
        <v>6</v>
      </c>
      <c r="Z448" s="11">
        <v>6</v>
      </c>
      <c r="AA448" s="11" t="s">
        <v>2755</v>
      </c>
      <c r="AB448" s="11" t="s">
        <v>2756</v>
      </c>
      <c r="AC448" s="11">
        <v>0</v>
      </c>
      <c r="AD448" s="11">
        <v>0</v>
      </c>
      <c r="AE448" s="11">
        <v>6</v>
      </c>
      <c r="AF448" s="11">
        <f>VLOOKUP(K448,'1128 TICS'!$K$13:$AK$27,22,0)</f>
        <v>0</v>
      </c>
      <c r="AG448" s="11">
        <f>VLOOKUP(K448,'1128 TICS'!$K$13:$AK$27,23,0)</f>
        <v>6</v>
      </c>
      <c r="AH448" s="11">
        <f t="shared" ref="AH448:AH449" si="800">AG448</f>
        <v>6</v>
      </c>
      <c r="AI448" s="9" t="str">
        <f>VLOOKUP(K448,'1128 TICS'!$K$13:$AK$27,25,0)</f>
        <v>se soportan permanentemente las 6 plataformas de uso de la Gobernación.  1. VIDEOCONFERENCIA DEPARTAMENTAL. 2. SEGURIDAD INFORMATICA. 3. MESA DE AYUDA DE LA INFRAESTRUCTURA DE CÓMPUTO DEL NIVEL CENTRAL, 4.  LICENCIAMIENTO SOFTWARE  5. CORREO ELECTRÓNICO (ALMACENAMIENTO) 6. IMPLEMENTACION INFRAESTRUCTURA DE DATOS (IPV6). Mediante la renovación de los contratos de soporte y mantenimiento con los proveedores y/o fabricantes. y la contratación del personal capacitado que brindan el soporte y administración de las plataformas que lo requieran.</v>
      </c>
      <c r="AJ448" s="9" t="str">
        <f>VLOOKUP(K448,'1128 TICS'!$K$13:$AK$27,26,0)</f>
        <v>se soportan permanentemente las 6 plataformas de uso de la Gobernación.  1. VIDEOCONFERENCIA DEPARTAMENTAL. 2. SEGURIDAD INFORMATICA. 3. MESA DE AYUDA DE LA INFRAESTRUCTURA DE CÓMPUTO DEL NIVEL CENTRAL, 4.  LICENCIAMIENTO SOFTWARE  5. CORREO ELECTRÓNICO (ALMACENAMIENTO) 6. IMPLEMENTACION INFRAESTRUCTURA DE DATOS (IPV6). Mediante la renovación de los contratos de soporte y mantenimiento con los proveedores y/o fabricantes. y la contratación del personal capacitado que brindan el soporte y administración de las plataformas que lo requieran.</v>
      </c>
      <c r="AK448" s="9">
        <f>VLOOKUP(K448,'1128 TICS'!$K$13:$AK$27,27,0)</f>
        <v>0</v>
      </c>
      <c r="AL448" s="11">
        <v>0</v>
      </c>
      <c r="AM448" s="11">
        <v>6</v>
      </c>
      <c r="AN448" s="11">
        <v>0</v>
      </c>
      <c r="AO448" s="11">
        <v>6</v>
      </c>
      <c r="AP448" s="11">
        <v>0</v>
      </c>
      <c r="AQ448" s="11">
        <v>0</v>
      </c>
      <c r="AR448" s="51">
        <v>869000000</v>
      </c>
      <c r="AS448" s="54">
        <v>0</v>
      </c>
      <c r="AT448" s="54">
        <f t="shared" si="632"/>
        <v>869000000</v>
      </c>
      <c r="AU448" s="51">
        <v>749738410</v>
      </c>
      <c r="AV448" s="89">
        <v>1290000000</v>
      </c>
      <c r="AY448" s="89">
        <v>122192920</v>
      </c>
      <c r="AZ448" s="44" cm="1">
        <f t="array" ref="AZ448">_xlfn.IFS((BA448=0),(BD448/CL448),(BA448&gt;0),((BB448+BD448)/CL448),(BE448&gt;0),((BB448+BD448+BE448)/CL448),(BG448&gt;0),((BB448+BD448+BE448+G448)/CL448))</f>
        <v>0.5</v>
      </c>
      <c r="BA448" s="44">
        <v>0.25</v>
      </c>
      <c r="BB448" s="44">
        <v>1</v>
      </c>
      <c r="BC448" s="44">
        <f t="shared" ref="BC448:BC449" si="801">IF(AE448&gt;0,(1/CL448),0)</f>
        <v>0.25</v>
      </c>
      <c r="BD448" s="44" cm="1">
        <f t="array" ref="BD448">_xlfn.IFS(AE448=0,"NA",AE448&gt;0,AH448/AE448)</f>
        <v>1</v>
      </c>
      <c r="BE448" s="44">
        <f t="shared" ref="BE448:BE449" si="802">IF(AM448&gt;0,(1/CL448),0)</f>
        <v>0.25</v>
      </c>
      <c r="BF448" s="44">
        <v>0</v>
      </c>
      <c r="BG448" s="44">
        <f t="shared" ref="BG448:BG449" si="803">IF(AO448&gt;0,(1/CL448),0)</f>
        <v>0.25</v>
      </c>
      <c r="BH448" s="44">
        <v>0</v>
      </c>
      <c r="BI448" s="44">
        <v>0</v>
      </c>
      <c r="BJ448" s="44" t="s">
        <v>115</v>
      </c>
      <c r="BK448" s="44">
        <f t="shared" si="633"/>
        <v>0.5</v>
      </c>
      <c r="BL448" s="44">
        <v>1</v>
      </c>
      <c r="BM448" s="42" cm="1">
        <f t="array" ref="BM448">_xlfn.IFS(BD448="NA","NA",BD448&gt;100%,"100%",BD448&lt;100,BD448)</f>
        <v>1</v>
      </c>
      <c r="BN448" s="44">
        <v>0</v>
      </c>
      <c r="BO448" s="44">
        <v>0</v>
      </c>
      <c r="BP448" s="44" t="s">
        <v>115</v>
      </c>
      <c r="BQ448" s="45">
        <v>0.224</v>
      </c>
      <c r="BR448" s="43">
        <f t="shared" si="634"/>
        <v>0.112</v>
      </c>
      <c r="BS448" s="45">
        <v>5.6000000000000001E-2</v>
      </c>
      <c r="BT448" s="45">
        <v>5.6000000000000001E-2</v>
      </c>
      <c r="BU448" s="45">
        <v>5.6000000000000001E-2</v>
      </c>
      <c r="BV448" s="45">
        <v>5.6000000000000001E-2</v>
      </c>
      <c r="BW448" s="43">
        <f t="shared" si="635"/>
        <v>5.6000000000000001E-2</v>
      </c>
      <c r="BX448" s="43">
        <f t="shared" si="636"/>
        <v>5.6000000000000001E-2</v>
      </c>
      <c r="BY448" s="45">
        <v>5.6000000000000001E-2</v>
      </c>
      <c r="BZ448" s="45">
        <v>0</v>
      </c>
      <c r="CA448" s="43">
        <f t="shared" si="637"/>
        <v>0</v>
      </c>
      <c r="CB448" s="45">
        <v>5.6000000000000001E-2</v>
      </c>
      <c r="CC448" s="45">
        <v>0</v>
      </c>
      <c r="CD448" s="45">
        <v>0</v>
      </c>
      <c r="CE448" s="45">
        <v>0</v>
      </c>
      <c r="CF448" s="45" t="s">
        <v>115</v>
      </c>
      <c r="CG448" s="45">
        <v>0</v>
      </c>
      <c r="CH448">
        <f t="shared" ref="CH448:CH449" si="804">IF(W448&gt;0,1,0)</f>
        <v>1</v>
      </c>
      <c r="CI448">
        <f t="shared" ref="CI448:CI449" si="805">IF(AE448&gt;0,1,0)</f>
        <v>1</v>
      </c>
      <c r="CJ448">
        <f t="shared" ref="CJ448:CJ449" si="806">IF(AM448&gt;0,1,0)</f>
        <v>1</v>
      </c>
      <c r="CK448">
        <f t="shared" ref="CK448:CK449" si="807">IF(AO448&gt;0,1,0)</f>
        <v>1</v>
      </c>
      <c r="CL448">
        <f t="shared" ref="CL448:CL449" si="808">CH448+CI448+CJ448+CK448</f>
        <v>4</v>
      </c>
    </row>
    <row r="449" spans="1:90" ht="18" customHeight="1">
      <c r="A449" s="260" t="s">
        <v>1434</v>
      </c>
      <c r="B449" s="260" t="s">
        <v>1435</v>
      </c>
      <c r="C449" s="260" t="s">
        <v>2371</v>
      </c>
      <c r="D449" s="260" t="s">
        <v>2702</v>
      </c>
      <c r="E449" s="260" t="s">
        <v>2736</v>
      </c>
      <c r="F449" s="260" t="s">
        <v>2737</v>
      </c>
      <c r="G449" s="260" t="s">
        <v>2738</v>
      </c>
      <c r="H449" s="260" t="s">
        <v>2757</v>
      </c>
      <c r="I449" s="260"/>
      <c r="J449" s="260"/>
      <c r="K449" s="260" t="s">
        <v>2758</v>
      </c>
      <c r="L449" s="260" t="s">
        <v>2759</v>
      </c>
      <c r="M449" s="260" t="s">
        <v>2760</v>
      </c>
      <c r="N449" s="260" t="s">
        <v>111</v>
      </c>
      <c r="O449" s="260" t="s">
        <v>124</v>
      </c>
      <c r="P449" s="10">
        <v>9</v>
      </c>
      <c r="Q449" s="11">
        <v>9</v>
      </c>
      <c r="R449" s="11">
        <f t="shared" si="799"/>
        <v>4.5</v>
      </c>
      <c r="S449" s="11" t="str">
        <f>VLOOKUP(K449,'1128 TICS'!$K$13:$AK$27,9,0)</f>
        <v>SE HAN MANTENIDO DISPONIBLES LOS SERVICIOS ASOCIADOS A LAS PLATAFORMAS:  1. BUS DE INTEGRACIÓN. 2. ORACLE. 3. BIZAGI. 4. SAP (SOPORTE CON EL FABRICANTE). 5. PRIMER Y SEGUNDO NIVEL DE SOPORTE SAP. 6. MOODLE 7. SOPORTE PORTAL WEB 8. SQLSERVER 9. OVM</v>
      </c>
      <c r="T449" s="11">
        <v>0</v>
      </c>
      <c r="U449" s="11">
        <v>9</v>
      </c>
      <c r="V449" s="11">
        <v>0</v>
      </c>
      <c r="W449" s="11">
        <v>9</v>
      </c>
      <c r="X449" s="11" t="s">
        <v>115</v>
      </c>
      <c r="Y449" s="11">
        <v>9</v>
      </c>
      <c r="Z449" s="11">
        <v>9</v>
      </c>
      <c r="AA449" s="11" t="s">
        <v>2761</v>
      </c>
      <c r="AB449" s="11" t="s">
        <v>2762</v>
      </c>
      <c r="AC449" s="11">
        <v>0</v>
      </c>
      <c r="AD449" s="11">
        <v>0</v>
      </c>
      <c r="AE449" s="11">
        <v>9</v>
      </c>
      <c r="AF449" s="11">
        <f>VLOOKUP(K449,'1128 TICS'!$K$13:$AK$27,22,0)</f>
        <v>0</v>
      </c>
      <c r="AG449" s="11">
        <f>VLOOKUP(K449,'1128 TICS'!$K$13:$AK$27,23,0)</f>
        <v>9</v>
      </c>
      <c r="AH449" s="11">
        <f t="shared" si="800"/>
        <v>9</v>
      </c>
      <c r="AI449" s="9" t="str">
        <f>VLOOKUP(K449,'1128 TICS'!$K$13:$AK$27,25,0)</f>
        <v>Se han mantenido disponibles los servicios asociados a las 9 plataformas. . BUS DE INTEGRACIÓN. 2. ORACLE. 3. BIZAGI. 4. SAP (SOPORTE CON EL FABRICANTE). 5. PRIMER Y SEGUNDO NIVEL DE SOPORTE SAP. 6. MOODLE 7. SOPORTE PORTAL WEB 8. SQLSERVER 9. OVM. Mediante la renovación de los contratos de soporte y mantenimiento con los proveedores y/o fabricantes. y la contratación del personal capacitado que brindan el soporte y administración de las plataformas que lo requieran.</v>
      </c>
      <c r="AJ449" s="9" t="str">
        <f>VLOOKUP(K449,'1128 TICS'!$K$13:$AK$27,26,0)</f>
        <v>Se han mantenido disponibles los servicios asociados a las 9 plataformas. . BUS DE INTEGRACIÓN. 2. ORACLE. 3. BIZAGI. 4. SAP (SOPORTE CON EL FABRICANTE). 5. PRIMER Y SEGUNDO NIVEL DE SOPORTE SAP. 6. MOODLE 7. SOPORTE PORTAL WEB 8. SQLSERVER 9. OVM. Mediante la renovación de los contratos de soporte y mantenimiento con los proveedores y/o fabricantes. y la contratación del personal capacitado que brindan el soporte y administración de las plataformas que lo requieran.</v>
      </c>
      <c r="AK449" s="9">
        <f>VLOOKUP(K449,'1128 TICS'!$K$13:$AK$27,27,0)</f>
        <v>0</v>
      </c>
      <c r="AL449" s="11">
        <v>0</v>
      </c>
      <c r="AM449" s="11">
        <v>9</v>
      </c>
      <c r="AN449" s="11">
        <v>0</v>
      </c>
      <c r="AO449" s="11">
        <v>9</v>
      </c>
      <c r="AP449" s="11">
        <v>0</v>
      </c>
      <c r="AQ449" s="11">
        <v>0</v>
      </c>
      <c r="AR449" s="51">
        <v>609214000</v>
      </c>
      <c r="AS449" s="54">
        <v>0</v>
      </c>
      <c r="AT449" s="54">
        <f t="shared" si="632"/>
        <v>609214000</v>
      </c>
      <c r="AU449" s="51">
        <v>504394696</v>
      </c>
      <c r="AV449" s="89">
        <v>2708004500</v>
      </c>
      <c r="AY449" s="89">
        <v>1235599339</v>
      </c>
      <c r="AZ449" s="44" cm="1">
        <f t="array" ref="AZ449">_xlfn.IFS((BA449=0),(BD449/CL449),(BA449&gt;0),((BB449+BD449)/CL449),(BE449&gt;0),((BB449+BD449+BE449)/CL449),(BG449&gt;0),((BB449+BD449+BE449+G449)/CL449))</f>
        <v>0.5</v>
      </c>
      <c r="BA449" s="44">
        <v>0.25</v>
      </c>
      <c r="BB449" s="44">
        <v>1</v>
      </c>
      <c r="BC449" s="44">
        <f t="shared" si="801"/>
        <v>0.25</v>
      </c>
      <c r="BD449" s="44" cm="1">
        <f t="array" ref="BD449">_xlfn.IFS(AE449=0,"NA",AE449&gt;0,AH449/AE449)</f>
        <v>1</v>
      </c>
      <c r="BE449" s="44">
        <f t="shared" si="802"/>
        <v>0.25</v>
      </c>
      <c r="BF449" s="44">
        <v>0</v>
      </c>
      <c r="BG449" s="44">
        <f t="shared" si="803"/>
        <v>0.25</v>
      </c>
      <c r="BH449" s="44">
        <v>0</v>
      </c>
      <c r="BI449" s="44">
        <v>0</v>
      </c>
      <c r="BJ449" s="44" t="s">
        <v>115</v>
      </c>
      <c r="BK449" s="44">
        <f t="shared" si="633"/>
        <v>0.5</v>
      </c>
      <c r="BL449" s="44">
        <v>1</v>
      </c>
      <c r="BM449" s="42" cm="1">
        <f t="array" ref="BM449">_xlfn.IFS(BD449="NA","NA",BD449&gt;100%,"100%",BD449&lt;100,BD449)</f>
        <v>1</v>
      </c>
      <c r="BN449" s="44">
        <v>0</v>
      </c>
      <c r="BO449" s="44">
        <v>0</v>
      </c>
      <c r="BP449" s="44" t="s">
        <v>115</v>
      </c>
      <c r="BQ449" s="45">
        <v>0.224</v>
      </c>
      <c r="BR449" s="43">
        <f t="shared" si="634"/>
        <v>0.112</v>
      </c>
      <c r="BS449" s="45">
        <v>5.6000000000000001E-2</v>
      </c>
      <c r="BT449" s="45">
        <v>5.6000000000000001E-2</v>
      </c>
      <c r="BU449" s="45">
        <v>5.6000000000000001E-2</v>
      </c>
      <c r="BV449" s="45">
        <v>5.6000000000000001E-2</v>
      </c>
      <c r="BW449" s="43">
        <f t="shared" si="635"/>
        <v>5.6000000000000001E-2</v>
      </c>
      <c r="BX449" s="43">
        <f t="shared" si="636"/>
        <v>5.6000000000000001E-2</v>
      </c>
      <c r="BY449" s="45">
        <v>5.6000000000000001E-2</v>
      </c>
      <c r="BZ449" s="45">
        <v>0</v>
      </c>
      <c r="CA449" s="43">
        <f t="shared" si="637"/>
        <v>0</v>
      </c>
      <c r="CB449" s="45">
        <v>5.6000000000000001E-2</v>
      </c>
      <c r="CC449" s="45">
        <v>0</v>
      </c>
      <c r="CD449" s="45">
        <v>0</v>
      </c>
      <c r="CE449" s="45">
        <v>0</v>
      </c>
      <c r="CF449" s="45" t="s">
        <v>115</v>
      </c>
      <c r="CG449" s="45">
        <v>0</v>
      </c>
      <c r="CH449">
        <f t="shared" si="804"/>
        <v>1</v>
      </c>
      <c r="CI449">
        <f t="shared" si="805"/>
        <v>1</v>
      </c>
      <c r="CJ449">
        <f t="shared" si="806"/>
        <v>1</v>
      </c>
      <c r="CK449">
        <f t="shared" si="807"/>
        <v>1</v>
      </c>
      <c r="CL449">
        <f t="shared" si="808"/>
        <v>4</v>
      </c>
    </row>
    <row r="450" spans="1:90" ht="18" customHeight="1">
      <c r="A450" s="260" t="s">
        <v>1434</v>
      </c>
      <c r="B450" s="260" t="s">
        <v>1435</v>
      </c>
      <c r="C450" s="260" t="s">
        <v>2371</v>
      </c>
      <c r="D450" s="260" t="s">
        <v>2702</v>
      </c>
      <c r="E450" s="260" t="s">
        <v>2736</v>
      </c>
      <c r="F450" s="260" t="s">
        <v>2737</v>
      </c>
      <c r="G450" s="260" t="s">
        <v>2738</v>
      </c>
      <c r="H450" s="260" t="s">
        <v>3080</v>
      </c>
      <c r="I450" s="260"/>
      <c r="J450" s="260"/>
      <c r="K450" s="260" t="s">
        <v>3081</v>
      </c>
      <c r="L450" s="260" t="s">
        <v>3082</v>
      </c>
      <c r="M450" s="260" t="s">
        <v>3083</v>
      </c>
      <c r="N450" s="260" t="s">
        <v>111</v>
      </c>
      <c r="O450" s="260" t="s">
        <v>112</v>
      </c>
      <c r="P450" s="10">
        <v>0</v>
      </c>
      <c r="Q450" s="11">
        <v>1</v>
      </c>
      <c r="R450" s="9" t="e">
        <f t="shared" ref="R450:R456" si="809">Z450+AH450</f>
        <v>#N/A</v>
      </c>
      <c r="S450" s="11" t="e">
        <f>VLOOKUP(K450,'1128 TICS'!$K$13:$AK$27,9,0)</f>
        <v>#N/A</v>
      </c>
      <c r="T450" s="11">
        <v>0</v>
      </c>
      <c r="U450" s="11">
        <v>0</v>
      </c>
      <c r="V450" s="11">
        <v>0</v>
      </c>
      <c r="W450" s="11">
        <v>0</v>
      </c>
      <c r="X450" s="11">
        <v>0</v>
      </c>
      <c r="Y450" s="11">
        <v>0</v>
      </c>
      <c r="Z450" s="11">
        <v>0</v>
      </c>
      <c r="AA450" s="11"/>
      <c r="AB450" s="11"/>
      <c r="AC450" s="11"/>
      <c r="AD450" s="11">
        <v>0.3</v>
      </c>
      <c r="AE450" s="11">
        <v>0</v>
      </c>
      <c r="AF450" s="11" t="e">
        <f>VLOOKUP(K450,'1128 TICS'!$K$13:$AK$27,22,0)</f>
        <v>#N/A</v>
      </c>
      <c r="AG450" s="11" t="e">
        <f>VLOOKUP(K450,'1128 TICS'!$K$13:$AK$27,23,0)</f>
        <v>#N/A</v>
      </c>
      <c r="AH450" s="9" t="e">
        <f t="shared" ref="AH450:AH456" si="810">AF450</f>
        <v>#N/A</v>
      </c>
      <c r="AI450" s="9" t="e">
        <f>VLOOKUP(K450,'1128 TICS'!$K$13:$AK$27,25,0)</f>
        <v>#N/A</v>
      </c>
      <c r="AJ450" s="9" t="e">
        <f>VLOOKUP(K450,'1128 TICS'!$K$13:$AK$27,26,0)</f>
        <v>#N/A</v>
      </c>
      <c r="AK450" s="9" t="e">
        <f>VLOOKUP(K450,'1128 TICS'!$K$13:$AK$27,27,0)</f>
        <v>#N/A</v>
      </c>
      <c r="AL450" s="11">
        <v>0.1</v>
      </c>
      <c r="AM450" s="11">
        <v>0</v>
      </c>
      <c r="AN450" s="11">
        <v>0.6</v>
      </c>
      <c r="AO450" s="11">
        <v>0</v>
      </c>
      <c r="AP450" s="11">
        <v>0</v>
      </c>
      <c r="AQ450" s="11">
        <v>0</v>
      </c>
      <c r="AR450" s="52"/>
      <c r="AS450" s="54">
        <v>0</v>
      </c>
      <c r="AT450" s="54">
        <f t="shared" si="632"/>
        <v>0</v>
      </c>
      <c r="AU450" s="52"/>
      <c r="AV450" s="89">
        <v>50000000</v>
      </c>
      <c r="AY450" s="89">
        <v>0</v>
      </c>
      <c r="AZ450" s="42" t="e">
        <f t="shared" ref="AZ450:AZ456" si="811">R450/Q450</f>
        <v>#N/A</v>
      </c>
      <c r="BA450" s="44">
        <v>0</v>
      </c>
      <c r="BB450" s="44" t="s">
        <v>115</v>
      </c>
      <c r="BC450" s="42">
        <f t="shared" ref="BC450:BC456" si="812">AD450/Q450</f>
        <v>0.3</v>
      </c>
      <c r="BD450" s="42" t="e" cm="1">
        <f t="array" ref="BD450">_xlfn.IFS(AD450=0,"NA",AD450&gt;0,AH450/AD450)</f>
        <v>#N/A</v>
      </c>
      <c r="BE450" s="42">
        <f t="shared" ref="BE450:BE456" si="813">AL450/Q450</f>
        <v>0.1</v>
      </c>
      <c r="BF450" s="44">
        <v>0</v>
      </c>
      <c r="BG450" s="42">
        <f t="shared" ref="BG450:BG456" si="814">AN450/Q450</f>
        <v>0.6</v>
      </c>
      <c r="BH450" s="44">
        <v>0</v>
      </c>
      <c r="BI450" s="42">
        <f t="shared" ref="BI450:BI456" si="815">AP450/Q450</f>
        <v>0</v>
      </c>
      <c r="BJ450" s="44" t="s">
        <v>115</v>
      </c>
      <c r="BK450" s="42" t="e">
        <f t="shared" si="633"/>
        <v>#N/A</v>
      </c>
      <c r="BL450" s="44" t="s">
        <v>115</v>
      </c>
      <c r="BM450" s="42" t="e" cm="1">
        <f t="array" ref="BM450">_xlfn.IFS(BD450="NA","NA",BD450&gt;100%,"100%",BD450&lt;100,BD450)</f>
        <v>#N/A</v>
      </c>
      <c r="BN450" s="42" cm="1">
        <f t="array" ref="BN450">_xlfn.IFS(BF450="NA","NA",BF450&gt;100%,"100%",BF450&lt;100,BF450)</f>
        <v>0</v>
      </c>
      <c r="BO450" s="42" cm="1">
        <f t="array" ref="BO450">_xlfn.IFS(BH450="NA","NA",BH450&gt;100%,"100%",BH450&lt;100,BH450)</f>
        <v>0</v>
      </c>
      <c r="BP450" s="42" t="str" cm="1">
        <f t="array" ref="BP450">_xlfn.IFS(BJ450="NA","NA",BJ450&gt;100%,"100%",BJ450&lt;100,BJ450)</f>
        <v>NA</v>
      </c>
      <c r="BQ450" s="45">
        <v>0.224</v>
      </c>
      <c r="BR450" s="43" t="e">
        <f t="shared" si="634"/>
        <v>#N/A</v>
      </c>
      <c r="BS450" s="45">
        <v>0</v>
      </c>
      <c r="BT450" s="45" t="s">
        <v>115</v>
      </c>
      <c r="BU450" s="45">
        <v>0</v>
      </c>
      <c r="BV450" s="43">
        <f t="shared" ref="BV450:BV456" si="816">(AD450*BQ450)/Q450</f>
        <v>6.7199999999999996E-2</v>
      </c>
      <c r="BW450" s="43" t="e">
        <f t="shared" si="635"/>
        <v>#N/A</v>
      </c>
      <c r="BX450" s="43" t="e">
        <f t="shared" si="636"/>
        <v>#N/A</v>
      </c>
      <c r="BY450" s="43">
        <f t="shared" ref="BY450:BY456" si="817">(AL450*BQ450)/Q450</f>
        <v>2.2400000000000003E-2</v>
      </c>
      <c r="BZ450" s="43">
        <f t="shared" ref="BZ450:BZ456" si="818">IF(BN450="NA","NA",BN450*BY450)</f>
        <v>0</v>
      </c>
      <c r="CA450" s="43" t="e">
        <f t="shared" si="637"/>
        <v>#N/A</v>
      </c>
      <c r="CB450" s="43">
        <f t="shared" ref="CB450:CB456" si="819">(AN450*BQ450)/Q450</f>
        <v>0.13439999999999999</v>
      </c>
      <c r="CC450" s="43">
        <f t="shared" ref="CC450:CC456" si="820">IF(BO450="NA","NA",BO450*CB450)</f>
        <v>0</v>
      </c>
      <c r="CD450" s="45">
        <v>0</v>
      </c>
      <c r="CE450" s="43">
        <f t="shared" ref="CE450:CE456" si="821">(AP450*BQ450)/Q450</f>
        <v>0</v>
      </c>
      <c r="CF450" s="43" t="str">
        <f t="shared" ref="CF450:CF456" si="822">IF(BP450="NA","NA",BP450*CE450)</f>
        <v>NA</v>
      </c>
      <c r="CG450" s="45">
        <v>0</v>
      </c>
    </row>
    <row r="451" spans="1:90" ht="18" customHeight="1">
      <c r="A451" s="260" t="s">
        <v>992</v>
      </c>
      <c r="B451" s="260" t="s">
        <v>993</v>
      </c>
      <c r="C451" s="260" t="s">
        <v>2371</v>
      </c>
      <c r="D451" s="260" t="s">
        <v>2763</v>
      </c>
      <c r="E451" s="260" t="s">
        <v>2764</v>
      </c>
      <c r="F451" s="260" t="s">
        <v>2765</v>
      </c>
      <c r="G451" s="260" t="s">
        <v>2766</v>
      </c>
      <c r="H451" s="260" t="s">
        <v>2767</v>
      </c>
      <c r="I451" s="260"/>
      <c r="J451" s="260"/>
      <c r="K451" s="260" t="s">
        <v>2768</v>
      </c>
      <c r="L451" s="260" t="s">
        <v>3084</v>
      </c>
      <c r="M451" s="260" t="s">
        <v>3085</v>
      </c>
      <c r="N451" s="260" t="s">
        <v>123</v>
      </c>
      <c r="O451" s="260" t="s">
        <v>112</v>
      </c>
      <c r="P451" s="10">
        <v>0</v>
      </c>
      <c r="Q451" s="11">
        <v>80</v>
      </c>
      <c r="R451" s="9">
        <f t="shared" si="809"/>
        <v>265</v>
      </c>
      <c r="S451" s="11" t="str">
        <f>VLOOKUP(K451,'1105 Gobierno'!$K$12:$AK$31,9,0)</f>
        <v>A través de la asistencia técnica, se logró que 107 municipios del departamento aprobarán sus planes integrales de seguridad y convivencia ciudadana, 3 en ajustes finales y 3 en la elaboración del diagnóstico. El plan integral de seguridad y convivencia ciudadana departamental ha logrado avanzar en un 15%, a través del cumplimiento de los 5 ejes Lucha contra el delito (Prevención y disuasión del delito, disminución del delito, operatividad e investigación), Convivencia legalidad y derechos humanos (Familia, entorno protector, cultura ciudadana y territorios de Paz, disrupción de los comportamientos contrarios a la convivencia), Inversión tecnología y bienes (Inteligencia e investigación criminal para anticipar y mitigar el delito, construcción, adecuación, dotación e inversión para la seguridad y convivencia ciudadana, ciudadanos cyberseguros), Cundinamarca diversa incluyente y justa (Prevalencia de los derechos de los niños, niñas y adolescentes, una buena juventud, mayores protegidos, mujeres en Cundinamarca, Cundinamarca incluyente) Fortalecimiento institucional (espacios estratégicos de coordinación y ciudad región). Socialización a 71 municipios del Plan Integral de Seguridad y Convivencia Ciudadana departamental, se logró la articulación interinstitucional entre el departamento y sus territorios en pro de la seguridad y convivencia ciudadana, llegando a 256 personas. Capacitación a 81 municipios frente a cobro coactivo de las infracciones impuestas  por violación al código nacional de convivencia y seguridad ciudadana, nociones y aplicaciones del proceso del CNCSC.  Se beneficiaron a 503 personas, que se verá reflejado en la recuperación de cartera que pueda realizar cada una de las entidades territoriales que adelanten el respectivo proceso frente a los morosos de las infracciones impuestas. Se logra incentivar la denuncia frente a los diferentes delitos del departamento a través del pago de recompensas. Para el año 2020 se han pagado 100.000.000 cte. Se realizaron 34 convenios interadministrativos con los respectivos municipios para mantenimiento y combustible del parque automotor con un total de $777.220.000. 1 de suministro y 33 de mantenimiento. Al fondo rotatorio de Policía nacional se invirtió $400.000.000 mc/te para aportar al uso de 144 días con el Helicóptero Halcón como arma eficaz contra la inseguridad y las bandas delincuenciales.  Se garantizó la seguridad y pie de fuerza para la jornada de elecciones atípicas del municipio de Sutatausa. $3.000.000.000 invertidos para fortalecer al ejército y dotarlos con material balístico$1.217.810.376 invertidos para fortalecer la movilidad de la fuerza pública con la entrega de 9 camionetas. Para 2021 se realiza asistencia técnica al municipio de Silvania para que mejore su Plan Integral de Seguridad y Convivencia Ciudadana. Adicional a ello, erealizó un convenio interadministrativo para aunar esfuerzos técnicos, administrativos y financieros con el municipio de Fuquene para apoyar a la fuerza pùblica en combustible y mantenimiento del parque automotor garantizando la seguridad en el CAI ambiental del Fuquene en cumplimiento de la acción popular, se entregaron bonos a polícia del señor gobernador.
PISCC
o Se realiza asistencia técnica al municipio de Silvania para que mejore su Plan Integral de Seguridad y Convivencia Ciudadana.
o Desde el inicio de año se elaboró un plan de acción que permitiera dar cumplimiento al PISCC Departamental dentro de los plazos concertados, para ello, se alimenta una matriz con cada una de las actividades desarrolladas, que permite evidenciar el porcentaje de avance en cada una de las líneas estratégicas, teniendo un consolidado final.
o El día 16 de abril de 2021 se realizó reunión en las instalaciones de la alcaldía del municipio de Guaduas con el Dr. Pablo Andres Neussa Mestre secretario de gobierno encargado y el doctor Pablo Alexis Ospina Inspector de Policía, en representación de la secretaría de Gobierno de Cundinamarca estuvo la doctora Lida Janneth Caycedo. Se indagó sobre la implementación del PISCC, el cual según infomación del doctor Pablo Ospina se implementó desde el mes de diciembre del 2020. Se le informa a la doctora Lida el cronograma de actividades programadas para el mes de mayo dentro del marco de cumplimiento del PISCC municipal.
o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o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o El día 10 de mayo de 2021 se realizó reunión en el municipio de San Antonio del Tequendama con el doctor Fabio Alberto Osuna y el doctor Hernán Tiberio Correa, en dicha reunión se evidencia que la implementación se está realizando, pero el seguimiento no se efectúa a través de la matriz de seguimiento, por lo que de manera inmediata el doctor Hernán propone una capacitación a los actores de manera urgente.
o El día 10 de mayo de 2021 se lleva a cabo en la alcaldía de la Mesa con la doctora Angelica Cotrino secretaria de gobierno y el doctor Hernán Correa, en este municipio se han llevado a 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o El día 19 de mayo de 2021 se realiza capacitación sobre la implementación y seguimiento al PISCC en coordinación con secretaria de gobierno de la alcaldía de Zipacón y presidida por del doctor Hernán Correa.
o El día 19 de mayo se brinda capacitación sobre la implementación y seguimiento al PISCC en la alcaldía de Anolaima por parte del doctor Hernán Correa.
o El día 20 de mayo se brinda capacitación sobre la implementación y seguimiento al PISCC en la alcaldía de San Antonio del Tequendama por parte del doctor Hernán Correo.
o El día 11 de mayo de 2021 se llevó a 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o El día 12 de mayo de 2021 se llevó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o El día 14 de mayo se llevó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o El día 14 de mayo de 2021 se realizó una reunión en la alcaldía de Mesitas del colegio entre secretaría de Gobierno doctora Martha Bibiana Parada Martínez y la doctora Angela Segura Atuesta ,la doctora Martha Bibiana Parada Martínez realiza una breve reseña del PISCC y de las líneas estratégicas contempladas en el PISCC; 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
o El día 12 de mayo del 2021 se realizó una reunión en la alcaldía del municipio de Nocaima en donde se realizó la presentación por parte del doctor Leoviceldo Beltrán contratista de la secretaria de Gobierno de la Gobernación, se indago con la doctora Paula Velásquez secretaria de gobierno d ella alcaldía respecto a los avances del PISCC municipal.
o El día 18 de mayo de 2021 se realiza reunión en el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
o El día 5 de mayo del 2021 se llevó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o El día 15 de mayo de 2021 se llevó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21 de mayo de 2021 se desarrolló una reunión en la alcaldía del municipio de la Palma entre la doctora María Paula Cárdenas secretaria de gobierno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6 de mayo del 2021 se lleva a cabo una reunión en la alcaldía de Villagoméz, a dicha reunión asiste la doctora Karen Fajardo Secretaría de Gobierno, el doctor Misael Duarte Alcalde del Municipio y el doctor Hugo Hernán Chávez representante de la Secretaría de Gobierno de la Gobernación; se realizó la presentación por parte del contratista y se ratifica si el ente municipal está de acuerdo con el apoyo en la asistencia técnica del seguimiento y acompañamiento al PISCC municipal.
o 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las metas trazadas.
a) Mediante correo electrónico se hace la solicitud formal a la Policía Nacional de la base de datos de los delitos reportados en el departamento de Cundinamarca de los meses de enero, febrero, marzo y abril, si como la del año 2020.
b)  Elaboración de informe trimestral a partir del procesamiento y análisis de los delitos de alto impacto reportados en el departamento para el mes de enero, febrero y marzo.
c) Elaboración de informe par la provincia de alto y bajo magdalena para ser socializada en un consejo de seguridad
d) Contestación de requerimiento por parte de la secretaria de salud del departamento donde se realizó un informe especial sobre los delitos contra la vida y la integridad personal de la provincia de Sumapaz
e) Se extrajo cifras del comportamiento de delitos de los diferentes provincias para la entrega a cada contratista asignados en asistencia técnica para su respectivo análisis (Gualivá, Rionegro, Soacha, Medina y Oriente, Sabana Centro, Almeidas, Guavio, Sumapaz, sabana occidente)
f) Elaboración de informe y comparativo del comportamiento de delitos ambientales reportados en el departamento de Cundinamarca
g) Avance en la contratación de prestación de servicios, formulación del plan del producto. y reorganización del observatorio de seguridad asignando los contratistas encargados de las diferentes provincias para poder iniciar con las asistencias provinciales correspondientes
h) Se realizó el levantamiento de la información de los grupos de interés de la Dirección, por parte del equipo de territorio del Observatorio de Seguridad y orden Público
APOYO A LA FUERZA PÚBLICA
o Se realizó un convenio interadministrativo para aunar esfuerzos técnicos, administrativos y financieros con el municipio de Fúquene para apoyar a la fuerza pública en combustible y mantenimiento del parque automotor garantizando la seguridad en el CAI ambiental del Fúquene en cumplimiento de la acción popular, se entregaron bonos a policía del señor gobernador.
o Se atendieron las diferentes solicitudes de los Municipios Anapoima, Tibacuy, Ubaque recepcionadas por el aplicativo mercurio en temas de fortalecimiento a la seguridad y el orden público
o Se ha realizado una visita para evaluar solicitud de dotación para el Concejo de Gachetá. La Secretaría no ha definido recursos para este tipo de intervenciones.
o Se atendieron las diferentes solicitudes de los Municipios recepcionadas por el aplicativo mercurio en temas de fortalecimiento a la seguridad y el orden público
Se realizó el levantamiento de la información de los grupos de interes de la Dirección, por parte del equipo de territorio del Observatorio de Seguridad y orden Público
Se suscribieron los siguientes convenios:
1. SGO-CMC-290-2021
2. SGO - CDCVI - 304-2021
3. SGO-CDCVI-302-2021
CONSEJOS DE SEGURIDAD
o Durante estos primeros cuatro meses de la vigencia 2021 se ha hecho presencia en 10 provincias del Departamento mediante los Consejos de Seguridad, brindando asistencia técnica con cada uno de los programas y fortaleciendo la imagen institucional.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CÁMARAS DE SEGURIDAD
o Nos encontramos realizando el levantamiento de información con el fin de obtener el diagnóstico de las necesidades de cámaras de seguridad.
INFRAESTRUCTURA
o Se avanza en el seguimiento de cuatro proyectos de construcción, tres estaciones de policía con el Ministerio en Cundinamarca en convenios tripartitos y la casa de gobierno de Nimaima que fue adicionada en 2020.
o Se han delegado contratistas de apoyo para la supervisión de cada uno de los convenios. Los cuatro proyectos son obras nuevas. Se tiene prevista una adición para el convenio de Guasca. Con estas obras se beneficiarán los siguientes municipios Guasca, Villapinzón, Ricaurte, Nimaima.
o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 Supatá, Tibirita, el Peñón, La Palma, El Rosal, Villagómez. Paime, san Bernardo, Sasaima, Gama, San Antonio del Tequendama, Junín, Caparrapí, Guaduas, el Colegio, Puerto Salgar, Guayabetal
o Se realiza supervisión a cuatro(4) convenios interadministrativos en ejecución :Guasca, Villapinzón, Ricaurte, Nimaima, una(1) interventoría de contrato de obra en liquidación SGO SAMC-228- 2019 , CAE- Girardot y  se adelantan veinticuatro (24) procesos de liquidación de contratos interadministrativos realizados con los siguientes municipio: Simijaca, Cogua, San Francisco, La vega, Gachetá, Zipacón , Une, Zipaquirá, Soacha, Vergara, Quipile, Arbeláez, Facatativá, Susa, Bituima, Paratebueno  orientados a infraestructura procesos de liquidación de convenios interadministrativos.
o Se ha realizado visitas según compromisos del señor Gobernador en trámite de la gestión de proyectos a Diecinueve (19) proyectos orientados a Casas de Gobierno, Comando Aéreo, estaciones de Policía y casa de Justicia, en diecisiete (17) municipios de Cundinamarca Supatá, Tibirita, el Peñón, La Palma, El Rosal, Villagómez. Paime, san Bernardo, Sasaima, Gama, San Antonio del Tequendama, Junín, Caparrapí, Guaduas, el Colegio, Puerto Salgar, Guayabetal
o Se avanza en la evaluación de proyectos de adecuación par tres proyectos: Tibirita (comisaría de familia). San Antonio de Tequendama (casa de Gobierno), Caparrapí (casa de Gobierno y estación de policía))
o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arquitectónicos para poder verificar la idoneidad del presupuesto.
o Se ha realizado la verificación ambiental, según la resolución 29 de 2020 de la Secretaría de gobierno para adecuación de dos proyectos San bernardo CASA DE GOBIERNO), Sasaima (CASA DE GOBIERNO)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v>
      </c>
      <c r="T451" s="11">
        <v>15</v>
      </c>
      <c r="U451" s="11">
        <v>0</v>
      </c>
      <c r="V451" s="11">
        <v>15</v>
      </c>
      <c r="W451" s="11">
        <v>0</v>
      </c>
      <c r="X451" s="11">
        <v>15</v>
      </c>
      <c r="Y451" s="11">
        <v>0</v>
      </c>
      <c r="Z451" s="11">
        <v>15</v>
      </c>
      <c r="AA451" s="11" t="s">
        <v>2770</v>
      </c>
      <c r="AB451" s="11" t="s">
        <v>2771</v>
      </c>
      <c r="AC451" s="11">
        <v>0</v>
      </c>
      <c r="AD451" s="11">
        <v>30</v>
      </c>
      <c r="AE451" s="11">
        <v>0</v>
      </c>
      <c r="AF451" s="11">
        <f>VLOOKUP(K451,'1105 Gobierno'!$K$12:$AK$31,22,0)</f>
        <v>250</v>
      </c>
      <c r="AG451" s="11" t="str">
        <f>VLOOKUP(K451,'1105 Gobierno'!$K$12:$AK$31,23,0)</f>
        <v> </v>
      </c>
      <c r="AH451" s="9">
        <f t="shared" si="810"/>
        <v>250</v>
      </c>
      <c r="AI451" s="9" t="str">
        <f>VLOOKUP(K451,'1105 Gobierno'!$K$12:$AK$31,25,0)</f>
        <v xml:space="preserve">Asistencia técnica </v>
      </c>
      <c r="AJ451" s="9" t="str">
        <f>VLOOKUP(K451,'1105 Gobierno'!$K$12:$AK$31,26,0)</f>
        <v>Se realiza asistencia técnica al municipio de Silvania para que mejore su Plan Integral de Seguridad y Convivencia Ciudadana. Adicional a ello, se realizó un convenio interadministrativo para aunar esfuerzos técnicos, administrativos y financieros con el municipio de Fuquene para apoyar a la fuerza pública en combustible y mantenimiento del parque automotor garantizando la seguridad en el CAI ambiental del Fuquene en cumplimiento de la acción popular, se entregaron bonos a polícia del señor gobernador.
Durante estos primeros cuatro meses de la vigencia 2021 se ha hecho presencia en 10 provincias del Departamento mediante los Consejos de Seguridad, brindando asistencia técnica con cada uno de los programas y fortaleciendo la imagen institucional 
Desde el inicio de año se elaboró un plan de acción que permitiera dar cumplimiento al PISCC Departamental dentro de los plazos concertados, para ello, se alimenta una matriz con cada una de las actividades desarrolladas, que permite evidenciar el porcentaje de avance en cada una de las lineas estrategicas, teniendo un consolidado final
1.El día 16 de abril de2021 se realizó reunión en las instalaciones de la alcaldia del municipio de Guaduas con el el doctor Pablo Andres Neussa Mestre Secretario de gobierno encargado y el doctor Pablo Alexis Ospina Inspector de Policia, en reperesentacion de la secretaria de Gobierno de Cundinamarca estuvo la doctora Lida JannethCaycedo.Se indago sobre la implementación del PISCC , el cual según infomación del doctor Pablo Ospina se implemento desde el mes de diciembre del 2020. Se le infoma a la doctora Lida el cronograma de actividades programadas para el mes de mayo dentro del marco de cumplimiento del PISCC municipal.
Nos encontramos realizando el levantamiento de información con el fin de obtener el diagnóstico de las necesidades de cámaras de seguridad
Se atendieron las diferentes solicitudes de los Municipios Anapoima, Tibacuy, Ubaque recepcionadas por el aplicativo mercurio en temas de fortalecimiento a la seguridad y el orden público , se ha realizado una visita para evaluar solicitud de dotación para el Concejo de Gachetá. La Secretaría  no ha definido recursos para este tipo de intervenciones, Se avanza en el seguimiento de cuatro proyectos de construcción, tres estaciones de policía con el Ministerio  en Cundinamarca en convenios tripartitos y la casa de gobierno de Nimaima que fue adicionada en 2020. Se han delegado contratistas de apoyo para la supervisión de cada uno de los convenios. Los cuatro proyectos son obras nuevas. Se tiene prevista una adición para el convenio de Guasca. Con estas obras se beneficiarán los siguinetes municipios Guasca, Villapinzón, Ricaurte, Nimaima
No obstante, la Secretaría de Gobierno realiza la verificación  de estudios presentados por los municipios para apoyar su construcción con recursos. Municipios que se encuentran en estudio Evaluación de requisitos Resolución 029 de 2020, expedido por la Secretaría de Gobierno y verificación de estudios:Supatá, Tibirita, el Peñon, La Palma, El Rosal, Villagómez. Paime, san Bernardo, Sasaima, Gama, San Antonio del Tequendama, Junín, Caparrapí, Guaduas, el Colegio, Puerto Salgar, Guayabetal
Se realiza supervisión a cuatro(4) convenios interadministrativos en ejecución :Guasca, Villapinzón, Ricaurte, Nimaima, una(1) interventoría de contrato de obra en liquidación SGO SAMC-228- 2019 , CAE- Girardot y  se adelantan venticuatro (24) procesos de liquidación de contratos interadministrativos realizados con los siguientes municipio: simijaca, Cogua, san Fracisco, La vega, gachetá, Zipacón , Une, Zipaquirá, Soacha, Vergara, Quipile, Arbelaez, Facatativá,Susa, Bituima, paratebueno  orientados a infraestructura procesos de liquidación de convenios interadministrativos
Se ha realizado visitas según compromisos del señor Gobernador en trámite de la gestión de proyectos a Diecinueve(19)  proyectos orientados a Casas de Gobierno, Comando Aereo, estaciones de Policía  y casa de Justicía,  en diecisiete (17) municipios de cundinamarca Supatá, Tibirita, el Peñon, La Palma, El Rosal, Villagómez. Paime, san Bernardo, Sasaima, Gama, San Antonio del Tequendama, Junín, Caparrapí, Guaduas, el Colegio, Puerto Salgar, Guayabetal
Se avanza en la evaluación de proyectos de adecuación par tres proyectos: Tibirita( comisaría de familia). San Antonio de tequendama ( casa de Gobierno), Caparrapí ( casa de Gobierno y estación de policía))
Se ha determinado que los estudios y diseños estarán a cargo de los municipios, no obstante la secretaría de gobierno verifica e indica qué estudios aplican en cada proyecto según su grado de complejidad. Se ha adelantado inspección ocular de Tibirita y, san Antonio y se ha recomendado realizar los levantamientos arquitectonicos para poder verificar la idoneidad del presupuesto.
 se ha realizado la verificación ambiental , según la resolución 29 de 2020 de la Secretaría de gobierno para adecuación de  dos proyectos San bernardo CASA DE GOBIERNO), sasaima (CASA DE GOBIERNO)
Se atendieron las diferentes solicitudes de los Municipios recepcionadas por el aplicativo mercurio en temas de fortalecimiento a la seguridad y el orden público
1.El día 16 de abril de 2021 se realizó una reunión en las instalaciones de la alcaldía del municipio de Guaduas con el  doctor Pablo Andrés Neussa Mestre Secretario de gobierno encargado y el doctor Pablo Alexis Ospina Inspector de Policía, en representación de la secretaria de Gobierno de Cundinamarca estuvo la doctora Lida JannethCaycedo.Se indago sobre la implementación del PISCC , el cual según información del doctor Pablo Ospina se implemento desde el mes de diciembre del 2020. Se le informa a la doctora Lida el cronograma de actividades programadas para el mes de mayo dentro del marco de cumplimiento del PISCC municipal.                         2. El día 18 de mayo de 2021  se llevó a cabo reunión virtual con la doctora Niyireth Correa, en su calidad de secretaria de gobierno del municipio de Silvania, en la reunión se trataron temas del PISCC, tales como el diagnostico, formulación, e Implementación del mismo; por otra parte se le informo a la doctora Correa sobre las observaciones realizadas y las posibles falencias que se encontraron en la formulación del Plan Integral de Seguridad y Convivencia Ciudadana, por tal razón la precitada doctora, envió las correcciones realizadas y en este momento se está trabajando  en la corrección y complementación del mismo. 3. El día 7 de mayo del 2021 se realizó una reunión presencial en las instalaciones de la alcaldía de Zipacón en presencia de la doctora Erika Liseth Romero delegada de la secretaría de Gobierno y el doctor Hernán Tiberio Correa contratista representante de la secretaría de Gobierno de la Gobernación el cual dio a conocer los servicios profesionales para orientar la fase de implementación y seguimiento del PISCC municipal. 4.El día 10 de mayo de 2021 se realizo reunión en el municipio de San Antonio del Tequendama con el doctor Fabio Alberto Osuna y el doctor Hernán Tiberio Correa, en dicha reunión se evidencia que la implementación se esta realizando pero el seguimiento no se efectúa a través de la matriz de seguimiento, por lo que de manera inmediata el doctor Hernán propone una capacitación a los actores de manera urgente. 5.El día 10 de mayo de 2021 se lleva a cabo en la alcaldía de la Mesa con la doctora Angelica Cotrino secretaria de gobierno y el doctor Hernán Correa, en este municipio se han llevado acabo reuniones de comité de orden público donde cada actor presenta sus informes sobre la seguridad y convivencia asignados dentro del PISCC municipal, con su respectiva matriz; se agenda capacitación para el día 18 de mayo de 2021 con los miembros del comité de orden público. 6.El día 19 de mayo de 2021 se realiza capacitación sobre la implementación y seguimiento al PISCC en coordinación con secretaria de  gobierno  de la alcaldía de Zipacón y presidida por del doctor Hernán Correa. 7.El día 19 de mayo se brinda capacitación sobre la implementación y seguimiento al PISCC en la alcaldía de Anolaima por parte del doctor Hernán Correa. 8.El día 20 de mayo se brinda capacitación sobre la implementación y seguimiento al PISCC en la alcaldía de San Antonio del Tequendama por parte del doctor Hernán Correo. 9.El día 11 de mayo de 2021 se llevo acabo una reunión en las instalaciones de la alcaldía del municipio de Quipile presidida por la secretaria de gobierno doctora Mayerly Roció González y la doctora Angela Segura Atuesta contratista de la gobernación de Cundinamarca, se revisa el plan de acción y porcentajes de cumplimiento de cada una de las metas propuestas dentro del PISCC municipal  para el año 2020.Se acuerda entre las dos partes elaborar un plan de capacitaciones para el mes de junio de 2021, que le permitan al municipio apuntarle al tema de capacitaciones para el año 2021. 10.El día 12 de mayo de 2021 se llevo a cabo reunión en las instalaciones de la alcaldía de Apulo con el doctor Carlos Niño Secretario de Gobierno y la doctora Angela Segura Atuesta ,se realiza revisión de los avances de los ejes estratégicos contemplados dentro del PISCC municipal de Apulo. El doctor Carlos Niño propone que de acuerdo a la matriz de seguimiento se elabore un plan actividades y capacitaciones para el mes de junio de 2021, que le permitan al municipio apuntarle al tema de capacitaciones para el año 2021.Se contará con la participación de entidades como la Policía Nacional, el Ejecito Nacional, ICBF, Comisaria de Familia, secretaria de desarrollo social, Gobernación de Cundinamarca-Secretaria de Gobierno, en coordinación de la secretaria de gobierno-Alcaldía de Apulo. 11.El día 14 de mayo se llevo a cabo una reunión en el municipio de Anapoima entre el doctor Gilberto Moreno Vargas secretario de gobierno y la doctora Angela Segura Atuesta, el doctor Gilberto Moreno manifiesta que los avances de cumplimiento han sido casi nulos por lo que se acuerda realizar la matriz de seguimiento para ver los avances que se han tenido del PISCC y así poder diseñar una estrategia que permita avanzar con las líneas de acción establecidas dentro del plan. 12. El día 14 de mayo de 2021 se realizo una reunión en la alcaldía de Mesitas del colegio entre secretaría de Gobierno doctora Martha Bibiana Parada Martínez y la doctora Angela Segura Atuesta,la doctora Martha Bibiana Parada Martínez realiza una breve reseña del PISCC y de las líneas estratégicas contempladas en el PISCC;se informa que no existe matriz de seguimiento por lo que se acuerda entre las dos partes elaborar la matriz para  aterrizar los porcentajes de cumplimiento de cada una de las líneas estratégicas propuestas dentro del PISCC.Una vez elaborada la matriz de seguimiento se propone una reunión con los entes involucrados  para verificar e implementar un plan de acción que permita ejecutar algunas de  las actividades propuestas dentro del PISCC y poder cumplir con las metas trazadas.13.El día 12 de mayo del 2021 se realizo una reunión en la alcaldía del municipio de Nocaima en donde se realizo la presentación por parte del doctor Leoviceldo Beltrán contratista de la secretaria de Gobierno de la Gobernación, se indago con la doctora Paula Velásquez secretaria de gobierno d ella alcaldía respecto a los avances del PISCC municipal.14.El día 18 de mayo de 2021 se realiza reunión en le municipio de Quebrada negra entre el contratista de la Gobernación de Cundinamarca el doctor Leuviceldo Beltrán y la Secretaria de Gobierno la doctora Viviana Ortiz, en la reunión se ofrece el servicio de asistencia técnica de acompañamiento y seguimiento al PISCC municipal y se realiza un análisis del estado actual del mismo.15.El día 5 de mayo del 2021 se llevo acabo la reunión se asistencia técnica de acompañamiento y seguimiento en el municipio de Vergara, la reunión conto con la participación de la doctora Sandra Ramírez de Orden Público, el doctor Roberto Cubillos Secretario de Gobierno de la Alcaldía y el doctor Leuviceldo Beltrán asesor de la Gobernación de Cundinamarca; se realiza la presentación por parte del contratista de la Gobernación, se realiza un breve análisis del estado actual del PISCC y se realiza dan a conocer los temas que abarca la asistencia técnica. 16.El día 15 de mayo de 2021 se llevo a cabo una reunión en las instalaciones del despacho de la secretaria de gobierno del municipio del Peñón, dicha reunión estuvo asistida por la doctora Martha Cecilia Díaz Secretaría de Gobierno, Íngrid Briyid Guerrero Inspectora de Policía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17.El día 21 de mayo de 2021 se desarrolló una reunión en la alcaldía del municipio de la Palma entre la doctora María Paula Cárdenas secretaria de gobierno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18. El día 6 de mayo del 2021 se lleva a cabo una reunión en la alcaldía de Villagoméz,ha dicha reunión asiste la doctora Karen Fajardo Secretaría de Gobierno, el doctor Misael Duarte Alcalde del Municipio y el doctor Hugo Hernán Chávez representante de la Secretaría de Gobierno de la Gobernación; se realizo la presentación por parte del contratista y se ratifica si el ente municipal esta de acuerdo con el apoyo en la asistencia técnica del seguimiento y acompañamiento al PISCC municipal. 19.El día 21 de mayo se y según compromiso adquirido en la reunión del día 14 de mayo mediante acta 001, se envía matriz de seguimiento al municipio de Anapoima para realizar el seguimiento y poder implantar un plan de acción para poder dar cumplimiento a las actividades propuesta dentro del PISCC municipal para cumplir con la metas trazadas.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Se realizó el levantamiento de la información de los grupos de interes de la Dirección, por parte del equipo de territorio del Observatorio de Seguridad y orden Público
Se suscribieron los siguientes convenios: 1. SGO-CMC-290-2021- 2. SGO - CDCVI - 304-2021- 3. SGO-CDCVI-302-2021.
Se realizo Consejo de Seguridad Extraordinario con ocasión a las manifestaciones presentadas en los diferentes Municipios del Departamento,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Se han recibido solicitudes de dotación incluidas en procesos de construcción o adecuación de edificaciones para las estaciones de policía de los siguientes municipios de Caparrapí, Guayabetal, Ubalá - San Pedro de Jagua y Mámbita, Peña Negra - Cachipay, Caí Ambiental Laguna De Fúquene. se ha presentado la solicitud de los municipios de Guayabetal y Cachipay - Peña Negra.
Actualmente la secretaria de gobierno realiza supervisiones a varios convenios en ejecución, que tienen procesos de interventoría en contratos derivados, suscritos por los municipios y que están orientados al seguimiento y control de obras civiles, estos contratos a la fecha son estaciones de policías de los municipios de Guasca, Ricaurte y Villapinzón. estos son convenios son tripartitos del municipio del exterior el departamento de Cundinamarca y los municipios beneficiados. Se está gestionando la estructuración de cuatro proyectos orientados a estaciones de policía y una guarnición militar (estaciones de policía de los municipios Carraparí, Guayabetal, Ubalá - San Pedro de Jagua y Mambitá, Peña Negra y el comando aéreo de puerto salgar. Se realiza seguimiento a la gestión predial de los proyectos de las estaciones de policía de los municipios de Guayabetal y Peña Negra. Se encuentran en revisión los proyectos de estaciones policía, dentro de ellos los municipios los de Mámbita, San Pedro De Jagua Y Caparrapí
PISCC JULIO "1-El día 9 de julio de 2021, se realizó reunión en el municipio de Viotá con la  doctora, Sandra Patricia Peñuela, quien se desempeña como secretaria de gobierno y asuntos administrativos y los contratista de la secretaria de Gobierno, Angela Segura y Luis Carlos contratistas de la secretaria de Gobierno,  la reunión se realizó en las instalaciones de la Alcaldía Municipal en donde se tuvo un primer acercamiento, la doctora González  está actualmente al frente del tema PISCC en el municipio. 2- El día 9 de julio, se realizó reunión en el municipio de Apulo  con la  doctora, Claudia Rosas Maldonado, quien se desempeña hace una semana como secretaria general y de gobierno  y los  contratistas Luis Carlos Pinzón  y Angela Segura quien presta asesoría en la implementación y seguimiento a los PISCC municipales, la reunión se realizó en las instalaciones de la Alcaldía Municipal donde se tuvo un primer acercamiento, la doctora Rosas  está actualmente al frente del tema PISCC en el municipio.  3-El día 9 se llevo a cabo una reunión con el doctor José Alfonso Mancera Guerrero quien se desempeña como inspector de policía en la inspección del Triunfo  y los contratistas de la secretaria de Gobierno, Luis Carlos Pinzón y Angela Segura quien hace parte del equipo de PISCC,la reunión se realizó en las instalaciones de la inspección de policía de la inspección del Triunfo Se socializo con el doctor Mancera la matriz de seguimientos de las líneas de acción del PISCC municipal la cual se había enviado el día 2 de junio de 2021.  4-El día 9 de Julio  se realizó reunión con el doctor Gilberto Moreno Vargas secretario de gobierno del municipio de Anapoima y los contratista de la secretaria de Gobierno, Luis Carlos Pinzón y Angela Segura quien brinda asistencia técnica a los PISCC municipales. La reunión se llevo acabo en las instalaciones de la alcaldía de Anapoima.  5-El día 14 de Julio de 2021 se llevo a cabo una reunión virtual con La doctora Carolyn Otalora trabajadora social de la comisaria de Familia, la   doctora, Sandra Patricia Peñuela, y los contratistas de la secretaria de Gobierno, Luis Carlos Pinzón  y Angela Segura quien brinda asistencia técnica en temas del PISCC. En esta reunión se socializo la matriz de seguimiento de las líneas estratégicas del PISCC municipal.  6-El día 10 de julio de 2021 se llevo a cabo la reunión virtual con e contratistas de la secretaria de gobierno de la Gobernación de Cundinamarca: Hernán Tiberio Correa, Jhon Ever Prieto, Diego Ramírez de y Leonardo Rivera, además el señor Secretario de gobierno de Cachipay Dr. Jorge Dicson Gama, la Inspectora de Policía, el Comandante de Policía, el Director de Deportes, y las juntas de acción comunal entre otros, donde se  presto asistencia técnica brindando conocimiento en la implementación y seguimiento del PISCC municipal. de Cachipay.  7-El día 14 de julio de 2021, se realizo reunión en  la Alcaldía de Simijaca, a fin de prestar la asistencia técnica en el tema de implementación y seguimiento del piscc municipal, visita atendida por el Alcalde Municipal, el señor Fiscal, la Comisaría de Familia, el –Comandante de Policía y, el Secretario de Gobierno. 8-El día 14 de Julio de 2021, se realizo reunión en  la Alcaldía de Guachetá, la reunión fue presidida por el contratista Hernán Tiberio Correa y conto con la participación  del señor Alcalde, el Secretario de Gobierno, el encargado del Enlace y Participación Ciudadana, la Almacenista y el Asesor Jurídico del Despacho, a quienes se les brindó asistencia técnica en el tema del PISCC municipal.  9-El día 21 de Julio de 2021, el contratista Hernán Tiberio Correa se reunió en  la Alcaldía del municipio del El Rosal, donde  brindó la asistencia técnica sobre el PISCC municipal. Asistieron el señor Secretario de Gobierno y su asistente.  10-El día 12 de julio del 2021  la contratista Lida Janneth Caycedo  realizó una reunión con la Secretaria de Gobierno del municipio de Guayabal de Siquima, doctora Juana Moreno y la doctora María Fernanda en su calidad de Comisaría de familia del municipio, se revisó el PISCC municipal, y se pactaron con la comisaria una serie de actividades que consisten en capacitaciones en temas que pretenden fortalecer temas tales como la prevención de casos de violencia intrafamiliar.  11- El día 22 de julio de 2021 se llevo a cabo una reunión con la contratista Lida Janneth Caycedo en las instalaciones de la alcaldía municipal de Bajaca, secretaría de gobierno, con el Dr.  Nelson Eduardo Cotes, en su calidad de asesor de despacho, se realizó reunión en compañía de los compañeros de las diferentes estrategias de sabana de occidente, en la cual cada uno presento su estrategia.  12- El día 22 de julio de 2021, se llevo a cabo una reunión  en las instalaciones de la alcaldía municipal de Facatativá, secretaría de gobierno, con el Dr. Oscar Ramírez  en su calidad de secretario de gobierno, la reunión conto con la presencia de  los contratistas  de las diferentes estrategias, por parte de la estrategia PISCC la contratista Lida Janneth Caycedo acordó una segunda reunión para conocer las estrategias a tratar en el municipio y saber el apoyo requerido. 13- El 1 de Julio  el contratista Pablo Bernal de la Secretaria de Gobierno brindo asistencia técnica en el municipio de Guasca por  solicitud de la Doctora Yuli Catherine Rodríguez secretaria de gobierno, asistieron el comandante de estación del municipio el teniente Edison Jiménez, la encargada del “PISCC” Angie Rodríguez Ortiz.  14- El día 08 de Julio se realizó mesa de trabajo presencial en el despacho de la alcaldía municipal de Vergara presidida por el contratista Leoviceldo Beltrán Ramírez, con la participación del secretario de gobierno y la directora de orden público.  15-El día 16 de julio se realizó reunión presencial en el despacho de la alcaldía municipal de Quebradanegra, con la participación del contratista Leoviceldo Beltrán Ramírez de la secretaria de gobierno. En dicha reunión se realizó la elaboración del borrador del POAI para el 2021 y su respectivo borrador del plan de acción para adelantar los procesos de implementación.  16-El día 28 de julio se realiza reunión en el municipio de Subachoque con la presencia del contratista Felipe Tovar de la secretaria de gobierno ,se hace la presentación de cada uno de los servicios ofertados por la Secretaria de Gobierno de Cundinamarca. Para el caso específico del PISCC, se resalta inicialmente el trabajo que se desarrolló en conjunto con la secretaria de gobierno municipal en el año 2020, que conllevo a la formulación del Plan Integral de Seguridad y Convivencia Ciudadana “SUBACHOQUE POR EL CAMINO CORRECTO 2020 – 2023”. 17- El día 28 de julio se reúnen en la alcaldía de Madrid los contratistas de la Secretaria Gobierno de Cundinamarca, para el tema de PISCC asiste el contratista Gerardo Mancera, manifiestan al Doctor Víctor Andrés Rusinque – Coordinador PISCC del Municipio de Madrid, las directrices de la Dirección de Seguridad y orden público de la Secretaria de Gobierno de Cundinamarca.  18- El día 21 de julio se reunieron en la alcaldía del municipio de Cáqueza la doctora Marylin Vergara secretaria de Gobierno y el contratista Xiomara González y Gerardo Mancera, este ultimo realiza su presentación y manifiesta la disposición para brindar las asistencia técnica para la implementación y seguimiento al PISCC municipal.  19-El día 28 de julio se reunieron la doctora Yenny Secretaria de Gobierno del Municipio de Paratebueno y el contratista Gerardo Mancera contratista de la secretaria de Gobierno. El motivo de esta visita es hacer un acompañamiento en la implementación y ejecución del PISCC municipal. 20-El día 29 de julio se llevo acabo una reunión en el municipio de Paime, asistió por parte de la secretaria de gobierno de Cundinamarca el contratista Hugo Chávez , el secretario general y de gobierno de la alcaldía el doctor Walter Riveros y la inspectora de policía Ingrid Díaz, en esta reunión el contratista ofrece sus servicios como asesor en e implementación y seguimiento al PISCC Municipal."
Se atendieron 12 solicitudes recepcionadas por el aplicativo mercurio en temas de fortalecimiento a la seguridad y el orden público
Se brindaron 14 asistencias técnicas en los municipios de Apulo, Anapoima, La Calera,Zipacón,  Cachipay, la mesa, San Antonio de Tequendama, el Rosal, Anolaima, Vergara, Nocaima y Mesitas del Colegio con temas de  seguimiento las actividades propuesta en el PISCC municipal, revisión de la matriz para  ajustar el PISCC, implementación del PISCC municipal,  capacitación sobre los instrumentos de seguimiento y evaluación del PISCC, elaboración del POAI para el 2021 del PISCC municipal.
Se realizo capacitación en el municipio de Mesitas del Colegio sobre Microtráfico, Conformación de frentes de seguridad ciudadana y cultura ciudadana, estas actividades están dentro de las líneas estratégicas contempladas en el PISCC municipal, la capacitación conto con la asistencia de los presidentes, vicepresidentes, secretarios, delegados de las juntas de acción comunal, la secretaria de gobierno de la alcaldía municipal la doctora Martha Parada, con la presencia del doctor Julián Quijano asesor de la secretaria de Gobierno de la Gobernación de Cundinamarca y los contratistas, Luis Carlos Pinzón de la meta de cultura ciudadana, Cesar Rivera microtráfico, Angela Segura PISCC.
Durante el mes de Octubre se brindaron 9 asistencias técnicas en los municipios de Zipacón, Anolaima, San Antonio de Tequendama, La mesa, Cachipay, Zipacon, Quebradanegra, Manta con temas de  seguimiento las actividades propuesta en el PISCC municipal, revisión de la matriz para  ajustar el PISCC, implementación del PISCC municipal,  capacitación sobre los instrumentos de seguimiento y evaluación del PISCC.
INFRAESTRUCTURA Durante el periodo reportado se han realizado solicitudes de diferentes proyectos orientados a estaciones de policía. Se llevo a cabo reunión con el ministerio del interior para la estación de policía Guayabetal, adicionalmente se lleva a cabo el trámite de adición para un convenio con el ministerio del interior para aportar recursos en una adición. Se realizan visitas técnicas y levantamiento arquitectónico del CAI de Fúquene, evaluación de estudios de proyectos en trámite de estructuración. Se adelanta supervisiones de convenios en proceso de ejecución convenios tripartito ministerio del interior en guasca, villa pinzón y Ricaurte. Se realiza acompañamiento a municipios en procesos de gestión de recursos ante el ministerio. Se Brinda acompañamiento a la gestión predial del CAI de Girardot
Los temas ambientales son requisitos de verificación comprendidos en la resolución 029 de 2020 cai ambiental de Fúquene y Se realizan supervisiones a proyectos de vigencias 2017-2018-2019 en proceso de liquidación. trámites de seguimiento a la viabilizarían de proyectos, verificación de requisitos prediales frente a proyectos, verificación de cumplimiento de requisitos ambientales.
A la fecha se ha solicitado  la adición del convenio de Con financiación N° 907 de 2019 suscrito entre la Nacion, Fondo Nacional de Seguridad y Convivencia ciudadana – FONSECON Departamento de Cundinamarca y el municipio de Guasca con CDP 7100016984 para la adición de los recursos.  Se realizó estudios previos Actualmente se exige realizar la ADECUACIÓN Y MEJORAMIENTO de la edificación del CAI AMBIENTAL DE LA LAGUNA  DE FÚQUENE En el marco del proyecto “ Construcción, adecuación y dotación de infraestructura para el fortalecimiento de la convivencia y seguridad ciudadana en el Departamento de Cundinamarca” , se encuentra la meta 440 orientada a Financiar el 80% de las solicitudes de las autoridades de seguridad, convivencia y orden público de Cundinamarca
Convenios:  Proyecto convenios para aunar esfuerzos técnicos administrativos y financieros para el mantenimiento, combustible y dotación  de  la fuerza púbica.</v>
      </c>
      <c r="AK451" s="9">
        <f>VLOOKUP(K451,'1105 Gobierno'!$K$12:$AK$31,27,0)</f>
        <v>0</v>
      </c>
      <c r="AL451" s="11">
        <v>20</v>
      </c>
      <c r="AM451" s="11">
        <v>0</v>
      </c>
      <c r="AN451" s="11">
        <v>15</v>
      </c>
      <c r="AO451" s="11">
        <v>0</v>
      </c>
      <c r="AP451" s="11">
        <v>0</v>
      </c>
      <c r="AQ451" s="11">
        <v>0</v>
      </c>
      <c r="AR451" s="51">
        <v>4707527148</v>
      </c>
      <c r="AS451" s="54">
        <v>0</v>
      </c>
      <c r="AT451" s="54">
        <f t="shared" si="632"/>
        <v>4707527148</v>
      </c>
      <c r="AU451" s="51">
        <v>4654972546</v>
      </c>
      <c r="AV451" s="89">
        <v>7117649646</v>
      </c>
      <c r="AY451" s="89">
        <v>1187688295</v>
      </c>
      <c r="AZ451" s="42">
        <f t="shared" si="811"/>
        <v>3.3125</v>
      </c>
      <c r="BA451" s="44">
        <v>0.1875</v>
      </c>
      <c r="BB451" s="44">
        <v>1</v>
      </c>
      <c r="BC451" s="42">
        <f t="shared" si="812"/>
        <v>0.375</v>
      </c>
      <c r="BD451" s="42" cm="1">
        <f t="array" ref="BD451">_xlfn.IFS(AD451=0,"NA",AD451&gt;0,AH451/AD451)</f>
        <v>8.3333333333333339</v>
      </c>
      <c r="BE451" s="42">
        <f t="shared" si="813"/>
        <v>0.25</v>
      </c>
      <c r="BF451" s="44">
        <v>0</v>
      </c>
      <c r="BG451" s="42">
        <f t="shared" si="814"/>
        <v>0.1875</v>
      </c>
      <c r="BH451" s="44">
        <v>0</v>
      </c>
      <c r="BI451" s="42">
        <f t="shared" si="815"/>
        <v>0</v>
      </c>
      <c r="BJ451" s="44" t="s">
        <v>115</v>
      </c>
      <c r="BK451" s="42" t="str">
        <f t="shared" si="633"/>
        <v>100%</v>
      </c>
      <c r="BL451" s="44">
        <v>1</v>
      </c>
      <c r="BM451" s="42" t="str" cm="1">
        <f t="array" ref="BM451">_xlfn.IFS(BD451="NA","NA",BD451&gt;100%,"100%",BD451&lt;100,BD451)</f>
        <v>100%</v>
      </c>
      <c r="BN451" s="42" cm="1">
        <f t="array" ref="BN451">_xlfn.IFS(BF451="NA","NA",BF451&gt;100%,"100%",BF451&lt;100,BF451)</f>
        <v>0</v>
      </c>
      <c r="BO451" s="42" cm="1">
        <f t="array" ref="BO451">_xlfn.IFS(BH451="NA","NA",BH451&gt;100%,"100%",BH451&lt;100,BH451)</f>
        <v>0</v>
      </c>
      <c r="BP451" s="42" t="str" cm="1">
        <f t="array" ref="BP451">_xlfn.IFS(BJ451="NA","NA",BJ451&gt;100%,"100%",BJ451&lt;100,BJ451)</f>
        <v>NA</v>
      </c>
      <c r="BQ451" s="45">
        <v>0.224</v>
      </c>
      <c r="BR451" s="43">
        <f t="shared" si="634"/>
        <v>0.224</v>
      </c>
      <c r="BS451" s="45">
        <v>4.2000000000000003E-2</v>
      </c>
      <c r="BT451" s="45">
        <v>4.2000000000000003E-2</v>
      </c>
      <c r="BU451" s="45">
        <v>4.2000000000000003E-2</v>
      </c>
      <c r="BV451" s="43">
        <f t="shared" si="816"/>
        <v>8.3999999999999991E-2</v>
      </c>
      <c r="BW451" s="43">
        <f t="shared" si="635"/>
        <v>8.3999999999999991E-2</v>
      </c>
      <c r="BX451" s="43">
        <f t="shared" si="636"/>
        <v>0.182</v>
      </c>
      <c r="BY451" s="43">
        <f t="shared" si="817"/>
        <v>5.6000000000000008E-2</v>
      </c>
      <c r="BZ451" s="43">
        <f t="shared" si="818"/>
        <v>0</v>
      </c>
      <c r="CA451" s="43">
        <f t="shared" si="637"/>
        <v>0</v>
      </c>
      <c r="CB451" s="43">
        <f t="shared" si="819"/>
        <v>4.1999999999999996E-2</v>
      </c>
      <c r="CC451" s="43">
        <f t="shared" si="820"/>
        <v>0</v>
      </c>
      <c r="CD451" s="45">
        <v>0</v>
      </c>
      <c r="CE451" s="43">
        <f t="shared" si="821"/>
        <v>0</v>
      </c>
      <c r="CF451" s="43" t="str">
        <f t="shared" si="822"/>
        <v>NA</v>
      </c>
      <c r="CG451" s="45">
        <v>0</v>
      </c>
    </row>
    <row r="452" spans="1:90" ht="18" customHeight="1">
      <c r="A452" s="260" t="s">
        <v>992</v>
      </c>
      <c r="B452" s="260" t="s">
        <v>993</v>
      </c>
      <c r="C452" s="260" t="s">
        <v>2371</v>
      </c>
      <c r="D452" s="260" t="s">
        <v>2763</v>
      </c>
      <c r="E452" s="260" t="s">
        <v>2764</v>
      </c>
      <c r="F452" s="260" t="s">
        <v>2765</v>
      </c>
      <c r="G452" s="260" t="s">
        <v>2766</v>
      </c>
      <c r="H452" s="260" t="s">
        <v>2772</v>
      </c>
      <c r="I452" s="260"/>
      <c r="J452" s="260"/>
      <c r="K452" s="260" t="s">
        <v>2773</v>
      </c>
      <c r="L452" s="260" t="s">
        <v>2774</v>
      </c>
      <c r="M452" s="260" t="s">
        <v>2272</v>
      </c>
      <c r="N452" s="260" t="s">
        <v>111</v>
      </c>
      <c r="O452" s="260" t="s">
        <v>112</v>
      </c>
      <c r="P452" s="10">
        <v>0</v>
      </c>
      <c r="Q452" s="11">
        <v>1</v>
      </c>
      <c r="R452" s="9">
        <f t="shared" si="809"/>
        <v>0.45</v>
      </c>
      <c r="S452" s="11" t="str">
        <f>VLOOKUP(K452,'1105 Gobierno'!$K$12:$AK$31,9,0)</f>
        <v>Frente a los diferentes componentes de asistencia técnica, se ha generado divulgación de datos y cultura ciudadana frente a los delitos y violencias del departamento, no solo a través de redes sociales sino en el programa Estamos Seguros todos los lunes en el Dorado Radio. Asimismo, se ha brindado asistencia técnica a los comités de lucha contra la trata de personas  para su creación y activación, así como prevenir e informar a la comunidad sobre los delitos de la trata de personas. Se está creando los esquemas integrados de reacción articulada, y se han fortalecido al programa de atención psicojurídica DUPLAS a través de la atención, asesoría y coordinación de los procesos de asistencia los casos de violencia contra la mujer. En ella se ha brindado asistencia a las víctimas de los municipios de Funza, Facatativá, Subachoque, Chía, Zipaquirá, Cota, Tenjo, Madrid y Soacha.Se realizó actualización y ajuste de la estrategia “Cundinamarca, cultura de paz y convivencia” y se realiza su socialización en las diferentes provincias y sus respectivos municipios. A ella se llega a 99 municipios de los 116 y se encuentran 1.746 ciudadanos beneficiados en la primera fase. Asimismo, con la estrategia de territorios de paz, se busca llegar a los territorios con mayor índice de violencia y en este cuatrienio, se han llegado a 22 municipios de las 15 provincias, llegando a los alcaldes, secretarios de gobierno, inspectores de policía, personeros municipales, comandantes de policía, juntas de acción comunal, directores de emisoras comunitarias y de ciudadanía beneficiando a 150 ciudadanos. Se han realizó acciones de prevención de delitos, diálogo como herramienta de solución de conflictos, programa radial “el vigilante”. Actividades de emprendimiento, campañas de sensibilización para disminuir accidentes de tránsito, prevención de violencia intrafamiliar, rutas de atención en casos de violencia contra la mujer y prevención de delitos informáticos, convivencia y bullying, entre otros. Se dotó y se apoyo a municipios en la seguridad, justicia y cultura ciudadana.Se ha venido trabajando en el fortalecimiento del observatorio de seguridad y convivencia ciudadana y la línea 1,2,3 ha venido funcionando, garantizando que los cundinamarqueses puedan acudir y denunciar cualquier delito. En la línea de emergencia 123 de Cundinamarca, los operadores brindan el re direccionamiento de las llamadas a los canales de policía, servicio de emergencias médicas y canal psicosocial para la atención oportuna de estos. En lo transcurrido del año se han recibido aproximadamente 290 llamadas, de las cuales el pedido efectivo son del 16%, logrando 6.000 llamadas por  mes. Se logra entonces, canalizar alrededor de 50.000 procesos, efectivos, para disminuir los delitos, evitar suicidios, entre los servicios más importantes. En la actualidad se cuenta con un grupo de 17 operadores y 6 psicosociales los cuales prestan un servicio continuo de 24 horas, los 7 días de la semana para los 116 municipios. El observatorio de seguridad en los 11 meses de año, ha logrado consolidar 7 fuentes directas de información con las que se nutre el sistema de información y se hacen los reportes del observatorio. El observatorio de seguridad y convivencia logra la meta de consolidarse como una herramienta de gestión para la toma de decisiones, el monitoreo de las cifras de criminalidad, violencia y convivencia en el departamento y fuente veraz de información conciliada con varias entidades. Gracias al monitoreo del Observatorio, la Gobernación cuenta con información de fuentes directas que avalan el éxito de la política integral de seguridad ciudadana del departamento y eso se demuestra con los resultados de los 11 primeros meses del año dónde hemos reducidos en un 13,3% los 21 delitos de mayor impacto social comparado con el mismo periodo del año anterior. 17 de estos 21 delitos han presentado una disminución siendo los más relevantes el secuestro que disminuyó en un 96,2% pasando de 26 casos a solo 1 en todo el departamento, los hurtos en todas sus modalidades -exceptuando el de bicicletas que ha aumentado-, se registró una disminución significativa en los delitos sexuales pasando de 786 casos a 590 casos en todo el departamento equivalente a un 25% menos casos que el año anterior.La reducción del homicidio en un 9,6 % durante lo corrido del año es importante y refleja también el éxito de las políticas de convivencia y tolerancia social. Sin embargo es importante decir que cuatro delitos no se han podido reducir y algunos de ellos tienen relación con los efectos de la pandemia y la nueva realidad: ciberdelitos, estafa, violencia intrafamiliar y hurto de bicicletas. Con estas excepciones, todos los demás indicadores del observatorio son positivos comprados con las estadísticas del año anterior. Adicional hemos reactivado los tableros de control geo referenciados con la información de los 116 municipios, los cuales son de libre acceso para consulta de cualquier ciudadano. Se está consolidado por parte de los contratistas información sobre delitos de mayor impacto en el departamento de Cundinamarca, esto con el objetivo de alimentar los informes mensuales arrojados por el observatorio de seguridad y convivencia ciudadana que se encuentran en el micro sitio de la Secretaria de Gobierno.
EIRAS
1- Actualización del documento metodológico de los EIRA . Actualmente se cuenta con la construcción del 40% de un documento metodológico, que condensa las etapas de  planeación, ejecución, seguimiento y evaluación de los Esquemas Integrados de Reacción Articulada.
2- Actualización de las rutas de denuncia a seguir por parte de la ciudadanía en caso de ser  víctima o testigo de un delito. Se cuenta con el diseño del 71% de los esquemas elaborados a través de diagramas de flujo, los cuales le indican al ciudadano cundinamarqués el paso a seguir para realizar una denuncia ante las autoridades competentes en caso de ser vícitima o testigo de un delito. Esto quiere decir, que se cuenta con el diseño de la ruta, para 15 de los 21 delitos. (abigeato, amenazas,  delitos sexuales,  extorsión, homicidio, homicidio a/t, hurto a comercio, hurto a personas, hurto a residencias, hurto automotores,  hurto motocicletas, lesiones a/t, lesiones personales,  secuestro, violencia intrafamiliar
3- Ejecución de los  pilotos de los EIRA. Se cuenta con la programación de los municipios  en los cuales se realizarán los pilotos para implementar los EIRA, esta programación incluye  83 municipios correspondientes a  11 provincias
DUPLAS
El equipo duplas en el corte de 30 de Junio se ha realizado la asistencia a 50 mujeres victimas de violencia, con las cuales se realizo activacion de rutas de atencion y articulacion con las entidades locales con el fin de garantizar asistencia oportuna, en municipios como SOACHA, SIBATE, FUNZA, FACATATIVA, ZIPAQUIRA, MOSQUERA, CAJICA, LA MESA Y FUSAGASUGA.                                                                                   
Se realiza proceso de asignacion de cupo en casa de acogida para un sistema familiar.
De la misma forma, el equipo ha desarrollado 18 asistencias tecnicas en los municipios de FUSAGASUGÁ, GIRARDOT, QUIPILE, LA MESA, SIBATÉ, CACHIPAY, NARIÑO, EL PEÑÓN, FUQUENE, NOCAIMA, PAIME, SAN JUAN DE RIOSECO, ZIPAQUIRÁ, FOMEQUE, FOSCA, ZIPACÓN, EL ROSAL
El equipo realiza apoyo en la recoleccion de informacion con el formato de catacterizacion de violencias del departamento dirigido en esta ocasion a las comisarias de familia priorizadas de la provincia de Sumapaz, con el fin de apoyar la ejecucion de la Ruta M
CULTURA
Se diseño y aprobó la  herramienta para seguimiento y evaluacion de la implementacion de la estrategia.
Se elaboró el borrador de la matriz de seguimiento de implementacion de la estrategia cultura ciudadana y territorios de paz en 107 municipios del departamento.
Se realizo asistencias tecnicas en los municpios de (Madrid,Sesquilé,Nilo,Ricaurte,San Bernardo, Suesca,Chocontá, Guasca, Ubalá), donde se inicia socilaizacion de la estrategia.
Se abordaron 14 provincias para la aplicación de la herramienta de seguimiento y evaluación
OBSERVATORIO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Durante los primeros 3 meses del año 2021 se adelantó la conformación de nuestro equipo que opera la línea de emergencia 123 de Cundinamarca, para este periodo y  en coordinación con la Policía del departamento logramos cubrir la operación atendiendo al llamado de los cundinamarqueses,  en paralelo avanzamos en la construcción de este equipo de operadores y del canal psicosocial, al 30 de abril la línea cuenta con 11 operadores y 2 psicólogos, esperando completar el equipo de 16 operadores y 6 psicólogos para lograr cubrir el servicio los 7 días a la semana las 24 horas.  Desde la parte  técnica y jurídica se adelantó un proceso licitatorio que ya está adjudicado, con el objetivo de activar la red de apoyo del departamento a nivel de comunicaciones, por otro lado en articulación con la secretaria de las TIC se realizaron unas mesas de trabajo en un principio para realizar un  diagnóstico y poder actualizar nuestra aplicación del 123 Cundinamarca y ponerla en funcion del departamento.
Se realizó el levantamiento de la información de los grupos de interes de la Dirección, por parte del equipo de territorio del Observatorio de Seguridad y orden Público
•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 Mediante correo electrónico se hace la solicitud formal a la Policía Nacional de la base de datos de los delitos reportados en el departamento de Cundinamarca
• Elaboración de informe especial de trata de personas y Micro tráfico, datos relevantes del 2021.
• Elaboración de informe sobre DELITOS DE MAYOR IMPACTO ENERO A MAYO 31 DE 2021
• Unificación del informe de delitos del departamento con las entidades que tienen presencia en el departamento.
• Reunión con las entidades encargadas de generar las bases de datos como fuentes de información para realizar el análisis correspondiente de los datos procesados y entregados al inicio del mes.
• Entrega de informe mensual provincial del análisis de las cifras y datos de los 21 delitos procesados en el observatorio de seguridad de Cundinamarca.
• Actualización y divulgación en el micro sitio del observatorio de seguridad, el informe oficial del análisis de los delitos procesados por observatorio de seguridad.
• Se realiza reuniones de coordinación estratégica del equipo asistencial del observatorio de seguridad para el análisis de los informes en el contexto territorial.
Los siguientes municipios se les remitió informe de delitos de alto de alto impacto: Facatativá,Fusagasugá, Zipaquirá, Girardot ,Quebradanegra ,Jerusalen, Guataquí, Pacho,Gachancipá,Pandi,Tocancipá y Anapoima
CODIGO
1.  Conformado el grupo de contratistas,  entre profesionales y tecnicos de apoyo para llevar a cabo la actividad,  se procedio a asignar los temas de la ley 1801 de 2016,  "Código Nacional de Policia y Convivencia", donde cada uno realizó una exposición en reunión presencial en la Sala de Juntas de la Secretaria de Gobierno, el día 27 de Mayo de 2021, con el fin de unificar criterios,  para consolidar estos temas en un sola presentación e inciar las capacitaciones en territorio,  a los Secretarios de Gobierno, Inspectores de Policía, corregidores, Comisarios de Familia y demás autoridades de Policia de los Municipios. a parte de la mitad del mes de junio de 2021. 2. Se realizo contacto con los profesionales que hasta el año 2019 se encontraban conformando la mesa técnica para la construcción del Reglamento de Policia y Convivencia ciudadana  del departamento de Cundinamarca, Dr. William Gonzalez y el contratista Dr. Remberto Torres, (quien se  encontraba vinculado para la época), donde de procedera a revisar los archivos  memorias, actualizar la normativa, gestion que ya se viene realizando con el Doctor WILLIAM GONZALEZ, profesional Univeristario de la Secretaria de Gobierno.
Se realizó actualización de las memorias y proyecto de ordenanza con exposición de motivos del Reglamento de Seguridad y Convivencia ciudadana del Departamento, que fue adelantado en el año 2018, enviando por el Doctor Eduardo Ordoñez. Se definio la presentación y normatidad de los caninos potencialmente peligrosos, concordante con la ley 1801 de 2016, para el trabajo en territorio con los municipios donde funcionan los albergues de Protección animal.
123
En la estrategia de la línea del 123, se brindó el servicio de recepción y atención de llamadas por parte de los operarios, y de la atención y contención del canal psicosocial, que permitieron atender, analizar y redireccionar los casos a las direntes entidades competentes, también se reportaron los datos estadísticos mediante el informe detallado descargado de las plataformas SAGA y SECAD. Se verifica el correcto funcionamiento de la red de apoyo y actualización de los equipos móviles en la plataforma con el apoyo del operador CLARO, evidenciando un monitoreo constante desde la página web KNOX.
Se realizó mesa de trabajo entre el encargado de la mesa de comunicaciones para realizar proyección de la campaña de comunicación para la línea de emergencia de Cundinamarca.
Se actualizó la aplicación de monitoreo del departamento de Cundinamarca  con la capacitación de los operadores que reciben las llamadas en la línea 123  y con  543 líneas distribuidas en (Bomberos, defensa civil, Crue, Policía y ejército) permitiendo mejorar la atención a los 116 municipios, dentro del fortalecimiento institucional se evidencia la mejora del aire acondicionado por parte de la secretaria general  para el funcionamiento del control de máquinas y el apoyo que prestara la secretaria de la mujer para los casos relacionados con violencia contra la mujer.
Se realizaron las piezas comunicativas correspondientes a las actividades realizadas por la secretaría de gobierno, dirección de seguridad y orden público.
TRATA
Se ha construido un documento base, en clave de estado del Arte que permite dar cuenta de las campañas implementadas por las instituciones competentes de orden nacional  . Paso seguido se ha analizado de forma específica las campañas de Fiscalía y Ministerio del interior. A la fecha, el documento se encuentra en fase de creación de la propuesta para prevenir la trata de personas.</v>
      </c>
      <c r="T452" s="11">
        <v>0</v>
      </c>
      <c r="U452" s="11">
        <v>0</v>
      </c>
      <c r="V452" s="11">
        <v>0.25</v>
      </c>
      <c r="W452" s="11">
        <v>0</v>
      </c>
      <c r="X452" s="11">
        <v>0.25</v>
      </c>
      <c r="Y452" s="11">
        <v>0</v>
      </c>
      <c r="Z452" s="11">
        <v>0.25</v>
      </c>
      <c r="AA452" s="11" t="s">
        <v>2775</v>
      </c>
      <c r="AB452" s="11" t="s">
        <v>2776</v>
      </c>
      <c r="AC452" s="11" t="s">
        <v>2777</v>
      </c>
      <c r="AD452" s="11">
        <v>0.25</v>
      </c>
      <c r="AE452" s="11">
        <v>0</v>
      </c>
      <c r="AF452" s="11">
        <f>VLOOKUP(K452,'1105 Gobierno'!$K$12:$AK$31,22,0)</f>
        <v>0.2</v>
      </c>
      <c r="AG452" s="11" t="str">
        <f>VLOOKUP(K452,'1105 Gobierno'!$K$12:$AK$31,23,0)</f>
        <v> </v>
      </c>
      <c r="AH452" s="9">
        <f t="shared" si="810"/>
        <v>0.2</v>
      </c>
      <c r="AI452" s="9" t="str">
        <f>VLOOKUP(K452,'1105 Gobierno'!$K$12:$AK$31,25,0)</f>
        <v>Informe Técnico de delitos de alto impacto del Departamento correspondiente al mes de enero de 2021 / analisis estadistico de la base de datos de atención en la linea 123 de los meses enero y febrero de 2021
Asistencia técnica</v>
      </c>
      <c r="AJ452" s="9" t="str">
        <f>VLOOKUP(K452,'1105 Gobierno'!$K$12:$AK$31,26,0)</f>
        <v>EIRAS
1)Actualización del documento metodológico de los EIRA . Actualmente se cuenta con la construcción del 90% de un documento metodológico, que condensa las etapas de planeación, ejecución, seguimiento y evaluación de los Esquemas Integrados de Reacción Articulada.
 2) Actualización de las rutas de denuncia a seguir por parte de la ciudadanía en caso de ser víctima o testigo de un delito. Se cuenta con el diseño del 21 de los esquemas elaborados a través de diagramas de flujo, los cuales le indican al ciudadano cundinamarqués el paso a seguir para realizar una denuncia ante las autoridades competentes en caso de ser víctima o testigo de un delito. Esto quiere decir, que se cuenta con el diseño de la ruta, para 15 de los 21 delitos. (abigeato, amenazas, delitos sexuales, extorsión, homicidio, homicidio a/t, hurto a comercio, hurto a personas, hurto a residencias, hurtos automotores, hurto motocicletas, lesiones a/t, lesiones personales, secuestro, violencia intrafamiliar, Estructuración de los documentos de los esquemas de rutas de atención al ciudadano municipios de Alban, Bituima, Cogua, El peñón, Fúquene, Gacheta, Gama, Guachetá, Guataquí, La palma, Lenguazaque, Macheta, Nimaima, Pacho, Paime, Pasca, San Cayetano, Sibaté, Sopo.
3) Ejecución de los pilotos de los EIRA. Se cuenta con la programación de los municipios en los cuales se realizarán los pilotos para implementar los EIRA, esta programación incluye 83 municipios correspondientes a 11 provincias
Se realizan Asistencias Técnicas Presencial en los municipios de Albán, Bituima, Cabrera, Cachipay, Cáqueza, Cogua, Fómeque, Fúquene, Gacheta, Gama, Guachetá, Guataquí, Lenguazaque, Macheta, Nimaima, Paime, Pasca, San Cayetano, Sopo, Villagómez, La Calera, Caparrapí, Cota, Funza, Guaduas, Guayabal de Síquima, San Antonio de Tequendama, Sesquilé, Sutatausa, Tibacuy, Tibirita, Tocancipá.
Asistencia Técnica virtual: Macheta
Asistencias técnicas 14
1- Documento metodológico de los EIRA. A 31 de octubre se cuenta con la construcción del 95% del documento metodológico, que condensa las etapas de  planeación, ejecución, seguimiento y evaluación de los Esquemas Integrados de Reacción Articulada. (definición, metodología de trabajo, marco normativo, objetivos, plan de acción, información general, diagnóstico de los delitos que afectan la seguridad y convivencia en el departamento, ruta de los EIRA para denunciar en caso de ser víctima o testigo de un delito)
2- Rutas de denuncia.  Se diseñaron través de diagramas de flujo 21 esquemas/rutas, los cuales le indican al ciudadano cundinamarqués el paso a seguir para realizar una denuncia ante las autoridades competentes en caso de ser víctima o testigo de un delito.
A 31 de Octubre realizaron 15 asistencias técnicas en los municipios de Vergara, Junín, Madrid, Yacopí, Tena, Quebrada negra, Ubaque, Guayabetal, Gutiérrez, Nemocón, Pandi, Puerto Salgar, Pulí, San Bernardo, Tausa, Une, Venecia, Ubaté, explicación sobre el esquemas integrados de reacción articulada “EIRA” diagnostico sobre delincuencia de municipio, explicación de los diagramas de flujo y rutas de denuncia
DUPLAS
El equipo duplas en el corte de 30 de Junio se ha realizado la asistencia a 50 mujeres víctimas de violencia, con las cuales se realizó activación de rutas de atención y articulación con las entidades locales con el fin de garantizar asistencia oportuna, en municipios como SOACHA, SIBATE, FUNZA, FACATATIVA, ZIPAQUIRA, MOSQUERA, CAJICA, LA MESA Y FUSAGASUGA.                                                                                   
Se realiza proceso de asignación de cupo en casa de acogida para un sistema familiar.
De la misma forma, el equipo ha desarrollado 18 asistencias tecnicas en los municipios de FUSAGASUGÁ, GIRARDOT, QUIPILE, LA MESA, SIBATÉ, CACHIPAY, NARIÑO, EL PEÑÓN, FUQUENE, NOCAIMA, PAIME, SAN JUAN DE RIOSECO, ZIPAQUIRÁ, FOMEQUE, FOSCA, ZIPACÓN, EL ROSAL
El equipo realiza apoyo en la recolección de información con el formato de caracterización de violencias del departamento dirigido en esta ocasión a las comisarías de familia priorizadas de la provincia de Sumapaz, con el fin de apoyar la ejecución de la Ruta M
El equipo duplas psicojuridicas a la fecha está compuesto por 11 profesionales, 6 jurídicos y 5 psicosociales, se encuentran distribuidos territorialmente, con presencia en los 116 municipios de las 15 provincias del departamento, se han atendido en total de 123 casos de víctimas de violencias basada en genero con sus articulaciones pertinentes. De la misma forma se han ejecutado 24 asistencias técnicas territoriales (capacitaciones) en el departamento.
Para el periodo han atendidos 162 casos de victimas de violencias basada en genero con sus articulaciones pertinentes, atendidos por equipo de trabajo de la misma forma se han ejecutado 5 asistencias técnicas territoriales en el departamento, se ha desarrollado 2 documentos de diagnostico de violencias basadas en género en las provincias de Alto Magdalena y provincia de Sumapaz.
CULTURA
Se diseño y aprobó la herramienta para seguimiento y evaluación de la implementación de la estrategia. Se elaboró el borrador de la matriz de seguimiento de implementación de la estrategia cultura ciudadana y territorios de paz en 107 municipios del departamento. Se realizo asistencias técnicas en los municipios de (Madrid, Sesquilé, Nilo, Ricaurte, San Bernardo, Suesca, Chocontá, Guasca, Ubalá), donde se inicia socialización de la estrategia.
Se abordaron 14 provincias para la aplicación de la herramienta de seguimiento y evaluación
Se desarrolla la herramienta de seguimiento y evaluación de la implementación de la estrategia de cultura ciudadana y territorios de paz en la matriz de seguimiento 7 municipios y en total 112 han entregado la información a la fecha. 
Se realizo la aplicación de  la matriz de seguimiento de implementación de la estrategia cultura ciudadana y territorios de paz en los municipios de: Guaduas, Puerto Salgar, Cabrera, Venecia, Pandi, Fusagasugá, Tibacuy, Arbeláez, Pasca, Granada, Guayabal De  Siquima, Bituima, Viani, San Juan De Rioseco, Chaguaní, Pulí, Mosquera, Madrid, Girardot, Soacha, Sibaté, Guatavita, Subachoque, Villa Pinzón, Chocontá, Suesca, Macheta, Tibirita, Manta, Alban y  Fosca.
Se realizaron asistencias técnicas y capacitaciones en temas de convivencia y seguridad en los municipios de Madrid, Mosquera, Nilo, Soacha, Fusagasugá, Funza, Bojacá, Agua De Dios,  Guaduas, Pulí, Vianí, Venecia, Chaguaní, Viani, Choconta, Subachoque, Bojaca, Nilo, Tocaima, Manta, Alban, Nariño, Guataquí y Tocaima
Se realizaron reuniones virtuales con el fin adelantar seguimiento a los comités civiles de seguridad y convivencia en los municipios de Chocontá, Apulo, Viotá, Guaduas, Caparrapí, Nilo, Tocaima
Asistencias técnicas 24
Hasta el 31 de Octubre se han recopilado los decretos de Creación de los siguientes municipios Paime, El Peñón, Topaipi, Yacopí ,Nimaima, Nocaima, Quebrada negra, Utica, Chaguaní, Cucunuba, Guachetá, Simijaca, Sutatausa, Ubaté, Quipile, Cáqueza, Ubaque, Chipaque, Gutiérrez, Fómeque, Une
En la estrategia de cultura ciudadana y territorios de paz los contratista realizaron  la  aplicación de  la matriz de seguimiento  en los municipios de:  Pacho, La Palma, San Cayetano, Villagomez, Bojaca, Utica, Yacopi, Nimaima, Nocaima, Macheta, Manta, Suesca, Tibirira, Villapinzon, Topaipi, El Peñon, Madrid, Girardot. Pto Salgar,  San Antonio Del Tequendama
Se realizaron asistencias técnicas y capacitaciones en temas de convivencia y seguridad en los municipios de Madrid, Nilo, Nariño, Agua De Dios, Guataqui, Girardot, Apulo, Choconta, Tocaima, Cahipay, Anolaima,
Se realizaron capacitaciones virtuales en temas de convivencia y seguimiento a la matriz e los municipios de CACHIPAY
Asistencias técnicas 24
OBSERVATORIO
1) Mediante correo electrónico se hace la solicitud formal a la Policía Nacional de la base de datos de los delitos reportados en el departamento de Cundinamarca de los meses de enero, febrero, marzo y abril, si como la del año 2020.
 2) Elaboración de informe trimestral a partir del procesamiento y análisis de los delitos de alto impacto reportados en el departamento para el mes de enero, febrero y marzo.
3) Elaboración de informe par la provincia de alto y bajo magdalena para ser socializada en un consejo de seguridad
4) Contestación de requerimiento por parte de la secretaria de salud del departamento donde se realizó un informe especial sobre los delitos contra la vida y la integridad personal de la provincia de Sumapaz
5) Se extrajo cifras del comportamiento de delitos de los diferentes provincias para la entrega a cada contratista asignados en asistencia técnica para su respectivo análisis (Gualiva,rio negro, Soacha, medina y oriente, sabana centro, Almeidas ,Guavio,Sumapaz,sabana occidente)
6) Elaboración de informe y comparativo del comportamiento de delitos ambientales reportados en el departamento de Cundinamarca
7) Avance en la contratación de prestación de servicios, formulación del plan del producto. y reorganización del observatorio de seguridad asignando los contratistas encargados de las diferentes provincias para poder iniciar con las asistencias provinciales correspondientes
Durante los primeros 3 meses del año 2021 se adelantó la conformación de nuestro equipo que opera la línea de emergencia 123 de Cundinamarca, para este periodo y  en coordinación con la Policía del departamento logramos cubrir la operación atendiendo al llamado de los cundinamarqueses,  en paralelo avanzamos en la construcción de este equipo de operadores y del canal psicosocial, al 30 de abril la línea cuenta con 11 operadores y 2 psicólogos, esperando completar el equipo de 16 operadores y 6 psicólogos para lograr cubrir el servicio los 7 días a la semana las 24 horas.  Desde la parte  técnica y jurídica se adelantó un proceso licitatorio que ya está adjudicado, con el objetivo de activar la red de apoyo del departamento a nivel de comunicaciones, por otro lado en articulación con la secretaria de las TIC se realizaron unas mesas de trabajo en un principio para realizar un  diagnóstico y poder actualizar nuestra aplicación del 123 Cundinamarca y ponerla en funcion del departamento.
Se realizó el levantamiento de la información de los grupos de interes de la Dirección, por parte del equipo de territorio del Observatorio de Seguridad y orden Público
• Se realiza 14 asistencias técnicas en territorio beneficiando a 12 entidades territoriales donde se realizó diferentes acompañamientos ante las alteraciones de orden público, acompañamiento y solicitud de infraestructura de seguridad, asesoría y acompañamiento a la Secretaria de Gobierno para el seguimiento a la seguridad y orden público en el marco del Plan Integral de Seguridad y Convivencia y la Socialización de los informes de  índice delictivo del departamento en el periodo comprendido del 2021.
• Mediante correo electrónico se hace la solicitud formal a la Policía Nacional de la base de datos de los delitos reportados en el departamento de Cundinamarca
• Elaboración de informe especial de trata de personas y Micro tráfico, datos relevantes del 2021.
• Elaboración de informe sobre DELITOS DE MAYOR IMPACTO ENERO A MAYO 31 DE 2021
• Unificación del informe de delitos del departamento con las entidades que tienen presencia en el departamento.
• Reunión con las entidades encargadas de generar las bases de datos como fuentes de información para realizar el análisis correspondiente de los datos procesados y entregados al inicio del mes.
• Entrega de informe mensual provincial del análisis de las cifras y datos de los 21 delitos procesados en el observatorio de seguridad de Cundinamarca.
• Actualización y divulgación en el micro sitio del observatorio de seguridad, el informe oficial del análisis de los delitos procesados por observatorio de seguridad.
• Se realiza reuniones de coordinación estratégica del equipo asistencial del observatorio de seguridad para el análisis de los informes en el contexto territorial.
Los siguientes municipios se les remitió informe de delitos de alto de alto impacto: Facatativá, Fusagasugá, Zipaquirá, Girardot, Quebradanegra, Jerusalen, Guataquí, Pacho, Gachancipá, Pandi, Tocancipá y Anapoima
En el mes de julio se realizan 7 asistencias técnicas en municipios priorizados y 3 por municipios no priorizados por parte del observatorio de seguridad y convivencia de la siguiente manera.
1) Fusagasugá: Asistencia técnica en análisis de los delitos de homicidios y lesiones de tránsito, 2) Cajicá : Asistencia técnica en la oferta de servicios del observatorio de seguridad y convivencia , 3) Facatativá: Socialización del análisis de los delitos y comparativo del mes de mayo, 4) Madrid: Socialización del análisis de los delitos en el municipio y el departamento. Asesoría en la creación de un observatorio e seguridad para el municipio. 5) Chía: Asistencia técnica de acompañamiento en jornada de seguridad y socialización de oferta del observatorio de seguridad. 6) La Mesa: presentación portafolios de servicios Secretaria de gobierno/ en cuanto al OSCC 7) La Mesa: presentación portafolios de servicios Secretaria de gobierno  en cuanto al OSCC, 8) Tibacuy: Asistencia técnica en capacitación  la comunidad educativa sobre Violencia Intrafamiliar
Por parte del equipo de sistema de información se realiza la respectiva solicitud de la base de delitos a la policía nacional mediante acta y reunión con los encargados de suministrar dicha información, así mismo se procesa la información del mes de junio y del primer semestre del año en curso, se realiza el mapa de georeferenciaón respectiva de Choachi, Soacha y Tocancipá.
Por parte del equipo de análisis se realiza el informe semestral para publicar en la página y el informe semestral de microtráfico en el departamento.
Actualización constante de la página web del observatorio de seguridad y convivencia como canal de comunicación e información para los cundinamarqueses.  1) Protocolos de respuesta 2)Protocolo de atención y convivencia 3) Protocolo de derechos humanos
Con un acumulado de 53 asistencias técnicas en el año  y  para septiembre 31 asistencias técnicas  realizadas en los municipios de Fusagasugá, Quetame, Mosquera, Ubaté, Tibacuy, Pandi, Girardot, Chia, Facatativa, Yacopi, Mosquera, Madrid, La palma, Cota, La calera, Guayabal de Siquima, Guasca y  Viani, se realizó un Informe especial de  estadísticas de la  línea 123, seguimiento e informe especial de delitos en Fusagasugá, 3 mapas de georreferenciación en  sabana centro y Fusagasugá, se realizó un informe especial de microtráfico, se actualiza y se realiza  divulgación constante de información de interés en el micrositio del observatorio de seguridad, se cumple con el 100% el plan de trabajo reportado a planeación.
Para el mes de octubre se realizaron 31 asistencias técnicas teniendo un total de 67 asistencias para el año 2021 , Se entrega el análisis  que contienen informes especiales de los delitos de alto impacto en Cundinamarca y registros de georreferenciación.  se realiza   informe trimestral del análisis de las cifras y datos de los 21 delitos procesados en el observatorio de seguridad de Cundinamarca, se mantiene la actualización y divulgación constante de información de interés en el micrositio del observatorio de seguridad, se cumple con el 100% el plan de trabajo reportado a planeación.  Para este mes se lanza la estrategia denominada "Laboratorio regional de seguridad" en articulación con la Universidad Militar, Asocentro y   los municipios pertenecientes a la provincia de sabana centro donde se analiza las diferentes tendencias del delito en esta provincia.
CODIGO
1.  Conformado el grupo de contratistas,  entre profesionales y técnicos de apoyo para llevar a cabo la actividad,  se procedió a asignar los temas de la ley 1801 de 2016,  "Código Nacional de Policía y Convivencia", donde cada uno realizó una exposición en reunión presencial en la Sala de Juntas de la Secretaria de Gobierno, el día 27 de Mayo de 2021, con el fin de unificar criterios,  para consolidar estos temas en un sola presentación e iniciar las capacitaciones en territorio,  a los Secretarios de Gobierno, Inspectores de Policía, corregidores, Comisarios de Familia y demás autoridades de Policía de los Municipios. a partir de la mitad del mes de junio de 2021. 2. Se realizo contacto con los profesionales que hasta el año 2019 se encontraban conformando la mesa técnica para la construcción del Reglamento de Policia y Convivencia ciudadana  del departamento de Cundinamarca, Dr. William Gonzalez y el contratista Dr. Remberto Torres, (quien se  encontraba vinculado para la época), donde de procedera a revisar los archivos  memorias, actualizar la normativa, gestion que ya se viene realizando con el Doctor WILLIAM GONZALEZ, profesional Univeristario de la Secretaria de Gobierno.
Se realizó actualización de las memorias y proyecto de ordenanza con exposición de motivos del Reglamento de Seguridad y Convivencia ciudadana del Departamento, que fue adelantado en el año 2018, enviando por el Doctor Eduardo Ordoñez. Se definió la presentación y normatividad de los caninos potencialmente peligrosos, concordante con la ley 1801 de 2016, para el trabajo en territorio con los municipios donde funcionan los albergues de Protección animal.
A corte de Julio realizó asistencia técnica y capacitaciones en territorio del Código Nacional de Seguridad y Convivencia Ciudadana, Ley 1801 de 2016, en los Municipios de: Fusagasugá,  Pasca. Silvania y Granada de la Provincia de Sumapaz, y en los municipios de la Palma, Paime, Villagómez, y Yacopí, de la Provincia de Rionegro, donde además se recopilan las encuestas y memorias para la construcción del Reglamento de Seguridad y Convivencia Ciudadana del Departamento de Cundinamarca.
En este periodo se vienen realizando asistencia técnica y capacitaciones en territorio del Código Nacional de Seguridad y Convivencia Ciudadana, Ley 1801 de 2016, en los Municipios de: Gachetá, Gachalá, Gama, Guasca, Guatavita, Junín, Ubalá y La Calera de la provincia del Guavio, donde además se recopilan las encuestas y memorias para la construcción de Nuestro Reglamento de Seguridad y Convivencia Ciudadana del Departamento de Cundinamarca.
Al 31 de Octubre  se vienen realizando asistencia técnica y capacitaciones en territorio,   del Codigo Nacional de Seguridad y Convivencia Ciudadana, Ley 1801 de 2016,  en los Municipios de: La Calera y Caparrapi , donde además se recopilan las encuestas y memorias para la construcción de Nuestro Reglamento de Seguridad y Convivencia Ciudadana del Departamento de Cundinamarca.
123
En la estrategia de la línea del 123, se brindó el servicio de recepción y atención de llamadas por parte de los operarios, y de la atención y contención del canal psicosocial, que permitieron atender, analizar y redireccionar los casos a las diferentes entidades competentes, también se reportaron los datos estadísticos mediante el informe detallado descargado de las plataformas SAGA y SECAD. Se verifica el correcto funcionamiento de la red de apoyo y actualización de los equipos móviles en la plataforma con el apoyo del operador CLARO, evidenciando un monitoreo constante desde la página web KNOX.
Se realizó mesa de trabajo con la estrategia de comunicaciones de la secretaria de gobierno para la línea 123 de Cundinamarca  mediante un video y la elaboración de una pieza grafica los cuales serán presentados mediante redes sociales (twitter, instagram, Facebook, estados de whatsapp  y youtube ) todo esto queda plasmado en las actas correspondientes y en el plan de comunicaciones.
Se actualizó la aplicación de monitoreo del departamento de Cundinamarca  con la capacitación de los operadores que reciben las llamadas en la línea 123  y con  543 líneas distribuidas en (Bomberos, defensa civil, Crue, Policía y ejército) permitiendo mejorar la atención a los 116 municipios, dentro del fortalecimiento institucional se evidencia la mejora del aire acondicionado por parte de la secretaria general  para el funcionamiento del control de máquinas y el apoyo que prestara la secretaria de la mujer para los casos relacionados con violencia contra la mujer.
La línea de emergencias 123 del departamento garantizo el servicio a los 116 municipios de Cundinamarca,  el 83%  de los municipios reportaron casos a la línea de emergencias 123, estos municipios se detalla en el informe estadístico mensual cargado en el repositorio,  en donde Soacha fue el municipio más afectado con él 40% dentro del top 12 que se maneja en el informe mensual, de igual forma en el informe mensual estadístico se detalla el TOP 20  de  los municipios con más casos reportados y su clasificación. Para esta actividad se estableció un peso ponderado del 40% y a la fecha reportaron un avance del 29%.
Los casos recibidos al canal psicosocial fueron atendidos por parte de los 2 psicólogos de la línea 123 y en colaboración y apoyo, se encuentra el personal asignado por parte de la secretaria de gobierno, entregando una respuesta inmediata a las autoridades competentes como: comisarías de familia, duplas ICBF, secretaria de salud y fiscalía, los casos reportados al canal psicosocial fueron, violencia intrafamiliar con 61,22%, intento de suicidio 11.86%, requerimiento psicosocial 6,94%, violencia contra la mujer y dificultad con los padres 4.08%, abandono de menores 2,86%, persona desaparecida 2,06% entre otras como depresión, demencia, violencia física, suicidio, maltrato infantil, violencia sexual, violencia psicológica, desaparición y adulto mayor maltratado, cada uno con el 1%, posteriormente el 17 de septiembre se establece una reunión entre el canal psicosocial y el observatorio para determinar la canalización de los casos sobre equidad y género y el funcionamiento del canal psicosocial en la línea 123.
Para esta actividad se estableció un peso ponderado del 20% y a la fecha reportaron  un avance del 15%.
La línea 123 en coordinación con los ingenieros de la secretaria del área de las Tic, establecieron mediante un documento de requerimientos, una solicitud en la modificación y actualización de los módulos que se encuentran en la red de apoyo para garantizar, la georreferenciación y mapeo de los datos en la plataforma, por lo cual fueron elaborados un manual de usuario, los requerimientos funcionales de la plataforma y las correspondientes pruebas realizadas, todo con el fin del buen uso del aplicativo que maneja la línea 123. Para el aplicativo APP 123, la línea de emergencias en conjunto con la secretaria del tic, permitieron la modificación, estructuración y actualización de los módulos, garantizando las mejoras establecidas como integración de datos, incorporación de la información, visualización de los casos reportados mediante mapas de calor y graficas de los datos recibidos.
Para del periodo del 1 al 31 de Octubre en la línea de emergencia de Cundinamarca se presentaron 4 informes estadísticos semanales del mes de octubre del 2021, con la estrategia de comunicaciones se divulgaron en las red social Twitter, permitiendo una divulgación de las llamadas reportadas en la línea 123, Para el aplicativo APP 123, la línea de emergencias en se ha realizado trabajo con la secretaria de las tic, han permitido la modificación, estructuración y actualización de los módulos, garantizando las mejoras establecidas como adhesión de datos, unión de la información, visualización de los casos reportados por medio de mapas de calor y graficas de los datos recibidos, para lo que se estructuro una ficha técnica, un manual de los datos que se reportan a diario y un documento de pruebas hechas en el aplicativo.
COMUNICACIONES
El equipo de comunicación  de la secretaria de Gobierno, brindo el apoyo en la divulgación de las diferentes estrategias y metas con el desarrollo de las piezas comunicativas que son difundidas en los diferentes medios de comunicación donde se muestran las correspondientes actividades realizadas, en la emisora Dorado radio se ha brindado el espacio para el programa ESTAMOS SEGUROS.
TRATA
Se ha construido un documento base, en clave de estado del Arte que permite dar cuenta de las campañas implementadas por las instituciones competentes de orden nacional . Paso seguido se ha analizado de forma específica las campañas de Fiscalía y Ministerio del interior. A la fecha, el documento se encuentra en fase de creación de la propuesta para prevenir la trata de personas.
 A corte del 30 de Julio se ha realizado la constitución de los Comités municipales de lucha contra la Trata de personas en 20 municipios de Cundinamarca, para lo cual es necesario ejecutar hasta 3 sesiónes por municipio de tal modo que se consolide el producto final, el cual es Decreto de constitución. Se inició un proceso de gestión para creación de comités (vía llamada y correo electrónico). De los veinte municipios a impactar se ha logrado comunicación eficiente con 17 municipio.
Se brindaron asistencia técnica a los municipios de Guayabal de Siquima, Pasca.
Se dio continuidad al proceso de construcción del documento técnico que guía la propuesta de campaña para la prevención de la trata de personas en los municipios de Cundinamarca.  Se construyó un documento guía de intervención para cualificar los contratistas que participarán de la campaña de creación de comités municipales, allí se expresan los lineamientos básicos para transmitir de información mediante las charlas.
Se realizó asistencia técnica en los municipios para la cualificación personal municipal frente a conceptos clave, normatividad relacionado a trata de personas. Adicional a ello, se ha creado e institucionalizado los comités municipales contra la trata de personas.
Realizaron documento de seguimiento frente a los delitos de violencia sexual y trata de personas, el análisis abarca las provincias de Cundinamarca. Se diseñó material de apoyo en formato diapositivas para la implementación de campaña sobre la trata de personas y violencia sexual.
 Se enriqueció el documento técnico de campaña frente a trata de personas y violencia sexual. Implementación de campaña contra la trata de personas y violencia sexual (municipios impactados: Beltrán)
Para el periodo del 1 al 31 Octubre se constituyeron  nueve(9) comités  municipales contra la trata de personas.
Se diseñó prototipo arte de piezas graficas sobre trata de personas, se realizó informe técnico sobre delitos sexuales en Cundinamaarcaen el periodo   2020, Se realizó informe sobre tráfico ilícito asistencia técnica sobre campaña de personas en los municipios</v>
      </c>
      <c r="AK452" s="9">
        <f>VLOOKUP(K452,'1105 Gobierno'!$K$12:$AK$31,27,0)</f>
        <v>0</v>
      </c>
      <c r="AL452" s="11">
        <v>0.25</v>
      </c>
      <c r="AM452" s="11">
        <v>0</v>
      </c>
      <c r="AN452" s="11">
        <v>0.25</v>
      </c>
      <c r="AO452" s="11">
        <v>0</v>
      </c>
      <c r="AP452" s="11">
        <v>0</v>
      </c>
      <c r="AQ452" s="11">
        <v>0</v>
      </c>
      <c r="AR452" s="51">
        <v>2642812725</v>
      </c>
      <c r="AS452" s="54">
        <v>0</v>
      </c>
      <c r="AT452" s="54">
        <f t="shared" si="632"/>
        <v>2642812725</v>
      </c>
      <c r="AU452" s="51">
        <v>2145545428</v>
      </c>
      <c r="AV452" s="89">
        <v>5536106971</v>
      </c>
      <c r="AY452" s="89">
        <v>1996340044</v>
      </c>
      <c r="AZ452" s="42">
        <f t="shared" si="811"/>
        <v>0.45</v>
      </c>
      <c r="BA452" s="44">
        <v>0.25</v>
      </c>
      <c r="BB452" s="44">
        <v>1</v>
      </c>
      <c r="BC452" s="42">
        <f t="shared" si="812"/>
        <v>0.25</v>
      </c>
      <c r="BD452" s="42" cm="1">
        <f t="array" ref="BD452">_xlfn.IFS(AD452=0,"NA",AD452&gt;0,AH452/AD452)</f>
        <v>0.8</v>
      </c>
      <c r="BE452" s="42">
        <f t="shared" si="813"/>
        <v>0.25</v>
      </c>
      <c r="BF452" s="44">
        <v>0</v>
      </c>
      <c r="BG452" s="42">
        <f t="shared" si="814"/>
        <v>0.25</v>
      </c>
      <c r="BH452" s="44">
        <v>0</v>
      </c>
      <c r="BI452" s="42">
        <f t="shared" si="815"/>
        <v>0</v>
      </c>
      <c r="BJ452" s="44" t="s">
        <v>115</v>
      </c>
      <c r="BK452" s="42">
        <f t="shared" si="633"/>
        <v>0.45</v>
      </c>
      <c r="BL452" s="44">
        <v>1</v>
      </c>
      <c r="BM452" s="42" cm="1">
        <f t="array" ref="BM452">_xlfn.IFS(BD452="NA","NA",BD452&gt;100%,"100%",BD452&lt;100,BD452)</f>
        <v>0.8</v>
      </c>
      <c r="BN452" s="42" cm="1">
        <f t="array" ref="BN452">_xlfn.IFS(BF452="NA","NA",BF452&gt;100%,"100%",BF452&lt;100,BF452)</f>
        <v>0</v>
      </c>
      <c r="BO452" s="42" cm="1">
        <f t="array" ref="BO452">_xlfn.IFS(BH452="NA","NA",BH452&gt;100%,"100%",BH452&lt;100,BH452)</f>
        <v>0</v>
      </c>
      <c r="BP452" s="42" t="str" cm="1">
        <f t="array" ref="BP452">_xlfn.IFS(BJ452="NA","NA",BJ452&gt;100%,"100%",BJ452&lt;100,BJ452)</f>
        <v>NA</v>
      </c>
      <c r="BQ452" s="45">
        <v>0.224</v>
      </c>
      <c r="BR452" s="43">
        <f t="shared" si="634"/>
        <v>0.1008</v>
      </c>
      <c r="BS452" s="45">
        <v>5.6000000000000001E-2</v>
      </c>
      <c r="BT452" s="45">
        <v>5.6000000000000001E-2</v>
      </c>
      <c r="BU452" s="45">
        <v>5.6000000000000001E-2</v>
      </c>
      <c r="BV452" s="43">
        <f t="shared" si="816"/>
        <v>5.6000000000000001E-2</v>
      </c>
      <c r="BW452" s="43">
        <f t="shared" si="635"/>
        <v>4.4800000000000006E-2</v>
      </c>
      <c r="BX452" s="43">
        <f t="shared" si="636"/>
        <v>4.48E-2</v>
      </c>
      <c r="BY452" s="43">
        <f t="shared" si="817"/>
        <v>5.6000000000000001E-2</v>
      </c>
      <c r="BZ452" s="43">
        <f t="shared" si="818"/>
        <v>0</v>
      </c>
      <c r="CA452" s="43">
        <f t="shared" si="637"/>
        <v>0</v>
      </c>
      <c r="CB452" s="43">
        <f t="shared" si="819"/>
        <v>5.6000000000000001E-2</v>
      </c>
      <c r="CC452" s="43">
        <f t="shared" si="820"/>
        <v>0</v>
      </c>
      <c r="CD452" s="45">
        <v>0</v>
      </c>
      <c r="CE452" s="43">
        <f t="shared" si="821"/>
        <v>0</v>
      </c>
      <c r="CF452" s="43" t="str">
        <f t="shared" si="822"/>
        <v>NA</v>
      </c>
      <c r="CG452" s="45">
        <v>0</v>
      </c>
    </row>
    <row r="453" spans="1:90" ht="18" customHeight="1">
      <c r="A453" s="260" t="s">
        <v>992</v>
      </c>
      <c r="B453" s="260" t="s">
        <v>993</v>
      </c>
      <c r="C453" s="260" t="s">
        <v>2371</v>
      </c>
      <c r="D453" s="260" t="s">
        <v>2763</v>
      </c>
      <c r="E453" s="260" t="s">
        <v>2764</v>
      </c>
      <c r="F453" s="260" t="s">
        <v>2765</v>
      </c>
      <c r="G453" s="260" t="s">
        <v>2766</v>
      </c>
      <c r="H453" s="260" t="s">
        <v>2778</v>
      </c>
      <c r="I453" s="260"/>
      <c r="J453" s="260"/>
      <c r="K453" s="260" t="s">
        <v>2779</v>
      </c>
      <c r="L453" s="260" t="s">
        <v>2780</v>
      </c>
      <c r="M453" s="260" t="s">
        <v>131</v>
      </c>
      <c r="N453" s="260" t="s">
        <v>111</v>
      </c>
      <c r="O453" s="260" t="s">
        <v>112</v>
      </c>
      <c r="P453" s="10">
        <v>0</v>
      </c>
      <c r="Q453" s="11">
        <v>1</v>
      </c>
      <c r="R453" s="9">
        <f t="shared" si="809"/>
        <v>0.43000000000000005</v>
      </c>
      <c r="S453" s="11" t="str">
        <f>VLOOKUP(K453,'1105 Gobierno'!$K$12:$AK$31,9,0)</f>
        <v>Se inició a formular la estrategia para prevenir, controlar y combatir el microtráfico en los municipios, se está realizando un diagnóstico preliminar de microtráfico logrando un documento técnico de la estrategia de prevención, control y mitigación del microtráfico en el departamento de Cundinamarca y un diagnóstico preliminar de la misma.Se ha brindado asistencia técnica territorial a los  116 municipios frente al consumo de SPA y código de convivencia y demás normas que rigen. Se han aumentando las labores de control a través del aumento de fuerza pública en los corredores de las provincias y fortalecimiento de operativos de control y mitigación del delito y se ha mantenido el apoyo en la realización de procesos de captura de GAO.
Se elaboró el documento de estrategia de intervención para prevenir, controlar y combatir el microtrafico en los municipios del departamento el cual fue puesto a disposición de la dirección de seguridad y orden público
Se encuentra en la recolección de información solicitada a la fuerza publica, al observatorio de drogas de colombia y observatorio de seguridad del departamento de cundinamarca.
Se realizó la conformación y/o reactivación de los comites cescolares de prevención del consumo de sustancias psicoactivas en las instituciones educativas departamentales.      Se han realizado reuniones virtuales con las autoridades educativas con el fin de buscar la concientización y fomento de la prevención del consumo de sustancias psicoactivas en la comunidad educativa.
La Secrtetaría ha venido trabajando de manera permanente y articulada con la policia nacional y el ejercito nacional, con el fin de des mantelar las estructuras criminales dedicadas al microtrafico en el departamento y judicializar a sus integrantes. Para el mes de mayo:
Se solicitó el reporte de insumos, para la elaboración del mapa de riesgo a la línea 123, Observatorio de seguridad departamental y Secretaría de Salud del departamento.
Se entrega la tercera versión del documneto técnico "Estrategia PCC - Cundinamarca de frente contra el microtráfico".
Se realiza depuración de actividades propuestas para la materializacion de la estrategia objetivo de la meta, las cuales son incorporadas al documento técnico de la estrategia "PCC, Cundinamarca de frente contra el microtráfico".
Se realiza proyección de matriz de actividades propuestas para la implementación de la estrategia "PCC-Cundinamarca de frente contra el microtráfico"
Se construyeron instrumentos que se aplicarán en territorio frente a la  situación actual del comportamiento del microtráfico en el Departamento.
Se sugiere cambio a "Fortalecimiento de la capacidad  de inteligencia de la fuerza pública" enfocado en el control y combate de los mercados locales de drogas.
Se encuentran agendadas reuniones con Departamento de Policía Cundinamarca y Policía designada para el centro de lllamadas 1,2,3 de Cundinamarca para el 31 de mayo y el 01 de junio de 2021, con el fin de articular acciones encaminadas coordinar las operaciones contra el microtráfico.
Para el mes de mayo
La Secrtetaría ha venido trabajando de manera permanente y articulada con la policia nacional y el ejercito nacional, con el fin de des mantelar las estructuras criminales dedicadas al microtrafico en el departamento y judicializar a sus integrantes.
Se encuentra en etapa de aplicación, el instrumento tipo encuesta sobre percepción institucional y comunitaria de la situación del departamento en materia de mercados locales de drogas.
Se solicita la colaboración al observatorio de convivencia y seguridad ciudadana de Cundinamarca, y se materializa la aplicación de un mapa de calor virtual sobre las zonas con mayor afectación de microtráfico.
Se establecieron contacto con los enlaces de SIJIN DECUN través de línea telefónica y correo electrónico , con el fin de mantener la información actualizada sobre operatividad.</v>
      </c>
      <c r="T453" s="11">
        <v>0</v>
      </c>
      <c r="U453" s="11">
        <v>0</v>
      </c>
      <c r="V453" s="11">
        <v>0.2</v>
      </c>
      <c r="W453" s="11">
        <v>0</v>
      </c>
      <c r="X453" s="11">
        <v>0.2</v>
      </c>
      <c r="Y453" s="11">
        <v>0</v>
      </c>
      <c r="Z453" s="11">
        <v>0.2</v>
      </c>
      <c r="AA453" s="11">
        <v>0</v>
      </c>
      <c r="AB453" s="11" t="s">
        <v>2781</v>
      </c>
      <c r="AC453" s="11">
        <v>0</v>
      </c>
      <c r="AD453" s="11">
        <v>0.3</v>
      </c>
      <c r="AE453" s="11">
        <v>0</v>
      </c>
      <c r="AF453" s="11">
        <f>VLOOKUP(K453,'1105 Gobierno'!$K$12:$AK$31,22,0)</f>
        <v>0.23</v>
      </c>
      <c r="AG453" s="11" t="str">
        <f>VLOOKUP(K453,'1105 Gobierno'!$K$12:$AK$31,23,0)</f>
        <v> </v>
      </c>
      <c r="AH453" s="9">
        <f t="shared" si="810"/>
        <v>0.23</v>
      </c>
      <c r="AI453" s="9" t="str">
        <f>VLOOKUP(K453,'1105 Gobierno'!$K$12:$AK$31,25,0)</f>
        <v xml:space="preserve">Asistencia técnica </v>
      </c>
      <c r="AJ453" s="9" t="str">
        <f>VLOOKUP(K453,'1105 Gobierno'!$K$12:$AK$31,26,0)</f>
        <v xml:space="preserve">Se elaboró el documento de estrategia de intervención para prevenir, controlar y combatir el microtrafico en los municipios del departamento el cual fue puesto a disposición de la dirección de seguridad y orden público
Se encuentra en la recolección de información solicitada a la fuerza publica, al observatorio de drogas de colombia y observatorio de seguridad del departamento de cundinamarca.
Se realizó la conformación y/o reactivación de los comites cescolares de prevención del consumo de sustancias psicoactivas en las instituciones educativas departamentales.      Se han realizado reuniones virtuales con las autoridades educativas con el fin de buscar la concientización y fomento de la prevención del consumo de sustancias psicoactivas en la comunidad educativa. La Secrtetaría ha venido trabajando de manera permanente y articulada con la policia nacional y el ejercito nacional, con el fin de des mantelar las estructuras criminales dedicadas al microtrafico en el departamento y judicializar a sus integrantes. Para el mes de mayo:
Se solicitó el reporte de insumos, para la elaboración del mapa de riesgo a la línea 123, Observatorio de seguridad departamental y Secretaría de Salud del departamento. Se entrega la tercera versión del documento técnico "Estrategia PCC - Cundinamarca de frente contra el microtráfico".
Se realiza depuración de actividades propuestas para la materialización de la estrategia objetivo de la meta, las cuales son incorporadas al documento técnico de la estrategia "PCC, Cundinamarca de frente contra el microtráfico".
Se realiza proyección de matriz de actividades propuestas para la implementación de la estrategia "PCC-Cundinamarca de frente contra el microtráfico" Se construyeron instrumentos que se aplicarán en territorio frente a la situación actual del comportamiento del microtráfico en el Departamento. Se sugiere cambio a "Fortalecimiento de la capacidad de inteligencia de la fuerza pública" enfocado en el control y combate de los mercados locales de drogas.
Se encuentran agendadas reuniones con Departamento de Policía Cundinamarca y Policía designada para el centro de llamadas 1,2,3 de Cundinamarca para el 31 de mayo y el 01 de junio de 2021, con el fin de articular acciones encaminadas coordinar las operaciones contra el microtráfico.
Para el mes de mayo: La Secrtetaría ha venido trabajando de manera permanente y articulada con la policia nacional y el ejercito nacional, con el fin de des mantelar las estructuras criminales dedicadas al microtrafico en el departamento y judicializar a sus integrantes. Se encuentra en etapa de aplicación, el instrumento tipo encuesta sobre percepción institucional y comunitaria de la situación del departamento en materia de mercados locales de drogas. Se solicita la colaboración al observatorio de convivencia y seguridad ciudadana de Cundinamarca, y se materializa la aplicación de un mapa de calor virtual sobre las zonas con mayor afectación de microtráfico. Se establecieron contacto con los enlaces de SIJIN DECUN través de línea telefónica y correo electrónico , con el fin de mantener la información actualizada sobre operatividad.
Para corte del mes de Julio con el apoyo del observatorio de convivencia y seguridad de Cundinamarca, se desarrolla y publica la herramienta tecnológica mapa de calor de la actividad y dinámica de los mercados locales de drogas en el Departamento. Con base en la depuración realizada sobre las actividades a desarrollar en el marco de la estrategia "PCC, Cundinamarca de frente contra el microtráfico" se compila  y genera documento preliminar con dicho resultado.
Recolección de encuestas aplicadas en los diferentes municipios a Servidores Públicos del sector gobierno y presidentes de JAC frente a su percepción de la dinamica del microtráfico en sus respectivos municipios.
Con el fin de brindar elementos sufiicientes a la fuerza pública para un correcto ejercicio de inteligencia enfocado en los mercados locales de drogas, se concerta espacio de participación con el Observatorio de Convivencia y seguridad ciudadana de Cundinamarca, los días Lunes de cada semana, con el fin de evaluar el comportamiento del delito en el departamento.
Por denuncia recibida en el despacho del Señor Secretario Dr. José Leonardo Rojas, se proyecta, con base en el artículo 21 de la ley 1437 de 2011 y con el animo de que las autoridades competentes tengan conocimiento de la conducta delictiva denunciada por la ciudadanía, se proyecta oficio dando traslado a los mismos.
En el marco del reporte de avances de los pilares de la Política Nacional Ruta Futuro, se toma como base el reporte enero julio 2020-2021 emanado del Observatorio de Seguridad y Convivencia Ciudadana.
Documento en versión final junto con acciones concretas de la estrategia integral para prevenir, controlar y combatir el microtráfico en los municipios del Departamento "PCC, Cundinamarca de frente contra el microtráfico", pendiente de revisión y análisis por parte del Señor Secretario de Gobierno y el Señor Director de Seguridad y Orden Público.
Encuestas de percepción sobre la situación del microtráfico en el Departamento de Cundinamarca, tabuladas y como soporte para el diagnóstico de la estrategia PCC, Cundinamarca de Frente contra el microtráfico.
Se convoca a espacio de articulación con la seccional de investigación del Departamento de Policía de Cundinamarca, con el fin de analizar acciones de fortalecimiento de la capacidad de inteligencia y a su vez, analizar la situación real y actual de los mercados locales de drogas en el departamento.
Se realizo la entrega del documento técnico con La prevención, el control y el combate del microtráfico, desde la Política Integral Para Enfrentar el Problema de las Drogas – Ruta Futuro del Ministerio de Justicia, en el departamento de Cundinamarca. “Estrategia Cundinamarca de frente contra el microtráfico”
Asistencias técnica en el municipio de Agua de Dios.                                                                                                                                                                                                        </v>
      </c>
      <c r="AK453" s="9">
        <f>VLOOKUP(K453,'1105 Gobierno'!$K$12:$AK$31,27,0)</f>
        <v>0</v>
      </c>
      <c r="AL453" s="11">
        <v>0.3</v>
      </c>
      <c r="AM453" s="11">
        <v>0</v>
      </c>
      <c r="AN453" s="11">
        <v>0.2</v>
      </c>
      <c r="AO453" s="11">
        <v>0</v>
      </c>
      <c r="AP453" s="11">
        <v>0</v>
      </c>
      <c r="AQ453" s="11">
        <v>0</v>
      </c>
      <c r="AR453" s="51">
        <v>367187275</v>
      </c>
      <c r="AS453" s="54">
        <v>0</v>
      </c>
      <c r="AT453" s="54">
        <f t="shared" si="632"/>
        <v>367187275</v>
      </c>
      <c r="AU453" s="51">
        <v>270613598</v>
      </c>
      <c r="AV453" s="89">
        <v>1109767966</v>
      </c>
      <c r="AY453" s="89">
        <v>232640772</v>
      </c>
      <c r="AZ453" s="42">
        <f t="shared" si="811"/>
        <v>0.43000000000000005</v>
      </c>
      <c r="BA453" s="44">
        <v>0.2</v>
      </c>
      <c r="BB453" s="44">
        <v>1</v>
      </c>
      <c r="BC453" s="42">
        <f t="shared" si="812"/>
        <v>0.3</v>
      </c>
      <c r="BD453" s="42" cm="1">
        <f t="array" ref="BD453">_xlfn.IFS(AD453=0,"NA",AD453&gt;0,AH453/AD453)</f>
        <v>0.76666666666666672</v>
      </c>
      <c r="BE453" s="42">
        <f t="shared" si="813"/>
        <v>0.3</v>
      </c>
      <c r="BF453" s="44">
        <v>0</v>
      </c>
      <c r="BG453" s="42">
        <f t="shared" si="814"/>
        <v>0.2</v>
      </c>
      <c r="BH453" s="44">
        <v>0</v>
      </c>
      <c r="BI453" s="42">
        <f t="shared" si="815"/>
        <v>0</v>
      </c>
      <c r="BJ453" s="44" t="s">
        <v>115</v>
      </c>
      <c r="BK453" s="42">
        <f t="shared" si="633"/>
        <v>0.43000000000000005</v>
      </c>
      <c r="BL453" s="44">
        <v>1</v>
      </c>
      <c r="BM453" s="42" cm="1">
        <f t="array" ref="BM453">_xlfn.IFS(BD453="NA","NA",BD453&gt;100%,"100%",BD453&lt;100,BD453)</f>
        <v>0.76666666666666672</v>
      </c>
      <c r="BN453" s="42" cm="1">
        <f t="array" ref="BN453">_xlfn.IFS(BF453="NA","NA",BF453&gt;100%,"100%",BF453&lt;100,BF453)</f>
        <v>0</v>
      </c>
      <c r="BO453" s="42" cm="1">
        <f t="array" ref="BO453">_xlfn.IFS(BH453="NA","NA",BH453&gt;100%,"100%",BH453&lt;100,BH453)</f>
        <v>0</v>
      </c>
      <c r="BP453" s="42" t="str" cm="1">
        <f t="array" ref="BP453">_xlfn.IFS(BJ453="NA","NA",BJ453&gt;100%,"100%",BJ453&lt;100,BJ453)</f>
        <v>NA</v>
      </c>
      <c r="BQ453" s="45">
        <v>0.224</v>
      </c>
      <c r="BR453" s="43">
        <f t="shared" si="634"/>
        <v>9.6320000000000017E-2</v>
      </c>
      <c r="BS453" s="45">
        <v>4.48E-2</v>
      </c>
      <c r="BT453" s="45">
        <v>4.48E-2</v>
      </c>
      <c r="BU453" s="45">
        <v>4.48E-2</v>
      </c>
      <c r="BV453" s="43">
        <f t="shared" si="816"/>
        <v>6.7199999999999996E-2</v>
      </c>
      <c r="BW453" s="43">
        <f t="shared" si="635"/>
        <v>5.1520000000000003E-2</v>
      </c>
      <c r="BX453" s="43">
        <f t="shared" si="636"/>
        <v>5.1520000000000017E-2</v>
      </c>
      <c r="BY453" s="43">
        <f t="shared" si="817"/>
        <v>6.7199999999999996E-2</v>
      </c>
      <c r="BZ453" s="43">
        <f t="shared" si="818"/>
        <v>0</v>
      </c>
      <c r="CA453" s="43">
        <f t="shared" si="637"/>
        <v>0</v>
      </c>
      <c r="CB453" s="43">
        <f t="shared" si="819"/>
        <v>4.4800000000000006E-2</v>
      </c>
      <c r="CC453" s="43">
        <f t="shared" si="820"/>
        <v>0</v>
      </c>
      <c r="CD453" s="45">
        <v>0</v>
      </c>
      <c r="CE453" s="43">
        <f t="shared" si="821"/>
        <v>0</v>
      </c>
      <c r="CF453" s="43" t="str">
        <f t="shared" si="822"/>
        <v>NA</v>
      </c>
      <c r="CG453" s="45">
        <v>0</v>
      </c>
    </row>
    <row r="454" spans="1:90" ht="18" customHeight="1">
      <c r="A454" s="260" t="s">
        <v>992</v>
      </c>
      <c r="B454" s="260" t="s">
        <v>993</v>
      </c>
      <c r="C454" s="260" t="s">
        <v>2371</v>
      </c>
      <c r="D454" s="260" t="s">
        <v>2763</v>
      </c>
      <c r="E454" s="260" t="s">
        <v>2782</v>
      </c>
      <c r="F454" s="260" t="s">
        <v>2783</v>
      </c>
      <c r="G454" s="260" t="s">
        <v>2784</v>
      </c>
      <c r="H454" s="260" t="s">
        <v>2785</v>
      </c>
      <c r="I454" s="260"/>
      <c r="J454" s="260"/>
      <c r="K454" s="260" t="s">
        <v>2786</v>
      </c>
      <c r="L454" s="260" t="s">
        <v>3086</v>
      </c>
      <c r="M454" s="260" t="s">
        <v>2272</v>
      </c>
      <c r="N454" s="260" t="s">
        <v>111</v>
      </c>
      <c r="O454" s="260" t="s">
        <v>112</v>
      </c>
      <c r="P454" s="10">
        <v>1</v>
      </c>
      <c r="Q454" s="11">
        <v>1</v>
      </c>
      <c r="R454" s="9">
        <f t="shared" si="809"/>
        <v>0.39</v>
      </c>
      <c r="S454" s="11" t="str">
        <f>VLOOKUP(K454,'1105 Gobierno'!$K$12:$AK$31,9,0)</f>
        <v>335 actores municipales con conocimientos en la creación , implementación y fortalecimiento de los comités de derechos humanos y derecho internacional humanitario municipales en los 116 municipios del departamento.Articulación para la actualización de la ruta de protección individual y/o colectiva del Departamento de Cundinamarca, en favor de líderes y lideresas de organizaciones y movimientos sociales y comunales, y defensores y defensoras de derechos humanos que se encuentren en situación de riesgo.En proceso de actualización del Plan Integral de Prevención de violaciones a derechos humanos e infracciones al derecho internacional humanitario del Departamento de Cundinamarca.A la fecha se han realizado asistencias técnicas en la creación, implementación y fortalecimiento de los comités de DDHH y DIH municipales.Conformación del comité de migraciones venezolanos para el departamento de Cundinamarca, bajo la coordinación de la Secretaría de Cooperación y Enlace Territorial. La Secretaría de Gobierno, a través de la Dirección de Convivencia, Justicia y Derechos Humanos, tiene a cargo la ejecución de los protocolos de retorno voluntario y regularización de migrantes. Se llevó a cabo la elección del representante de organizaciones no gubernamentales que trabajan por la promoción y defensa de los derechos humanos, ante el Consejo Departamental de Paz, Reconciliación y Convivencia de fecha 22 de mayo de 2020.Se llevó a cabo el I Comité Departamental de Derechos Humanos y Derecho Internacional Humanitario de fecha 21 de agosto de 2020, con la participación de todos los miembros del Comité.</v>
      </c>
      <c r="T454" s="11">
        <v>0</v>
      </c>
      <c r="U454" s="11">
        <v>0</v>
      </c>
      <c r="V454" s="11">
        <v>0.1</v>
      </c>
      <c r="W454" s="11">
        <v>0</v>
      </c>
      <c r="X454" s="11">
        <v>0.1</v>
      </c>
      <c r="Y454" s="11">
        <v>0</v>
      </c>
      <c r="Z454" s="11">
        <v>0.1</v>
      </c>
      <c r="AA454" s="11">
        <v>0</v>
      </c>
      <c r="AB454" s="11" t="s">
        <v>2788</v>
      </c>
      <c r="AC454" s="11">
        <v>0</v>
      </c>
      <c r="AD454" s="11">
        <v>0.35</v>
      </c>
      <c r="AE454" s="11">
        <v>0</v>
      </c>
      <c r="AF454" s="11">
        <f>VLOOKUP(K454,'1105 Gobierno'!$K$12:$AK$31,22,0)</f>
        <v>0.28999999999999998</v>
      </c>
      <c r="AG454" s="11">
        <f>VLOOKUP(K454,'1105 Gobierno'!$K$12:$AK$31,23,0)</f>
        <v>0</v>
      </c>
      <c r="AH454" s="9">
        <f t="shared" si="810"/>
        <v>0.28999999999999998</v>
      </c>
      <c r="AI454" s="9" t="str">
        <f>VLOOKUP(K454,'1105 Gobierno'!$K$12:$AK$31,25,0)</f>
        <v xml:space="preserve">Asistencia técnica </v>
      </c>
      <c r="AJ454" s="9" t="str">
        <f>VLOOKUP(K454,'1105 Gobierno'!$K$12:$AK$31,26,0)</f>
        <v>CONFORMACIÓN DE 95 CMDDHHH,  CONSTRUCCION Y SOCIALIZACION CON LOS GRUPOS TECNICOS DEL COMITÉ DEPARTAMENTAL DE DDHH DEL PLAN DE ACCIÓN INTEGRAL DE DDHHH DEL DEPARTAMENTO, A SU VEZ SE CONSOLIDO EL PLAN DE ACCIÓN DEL COMITE DEPARTAMENTAL DE DDHH CON LA PARTICIPACIÓN DEL 100% DE LAS ENTIDADES ADCRITAS AL DEPARTAMENTO. ADJUDICACIÓN CONTRATO DE DOTACIÓN A PERSONEROS, EN CONCEPTO TICS CONTRATO DE DOTACIÓN A COMISARIOS DE FAMILIA, CONSOLIDACIÓN DE INFORMACIÓN DE FORMULARIOS DE DIAGNOSTICOS MUNICIPALES DE DDHH</v>
      </c>
      <c r="AK454" s="9" t="str">
        <f>VLOOKUP(K454,'1105 Gobierno'!$K$12:$AK$31,27,0)</f>
        <v>Entrega de la información solicitada a las diferentes secretarías, la emergencia sanitaria ocasionada por el covid-19.</v>
      </c>
      <c r="AL454" s="11">
        <v>0.35</v>
      </c>
      <c r="AM454" s="11">
        <v>0</v>
      </c>
      <c r="AN454" s="11">
        <v>0.2</v>
      </c>
      <c r="AO454" s="11">
        <v>0</v>
      </c>
      <c r="AP454" s="11">
        <v>0</v>
      </c>
      <c r="AQ454" s="11">
        <v>0</v>
      </c>
      <c r="AR454" s="51">
        <v>51520092</v>
      </c>
      <c r="AS454" s="54">
        <v>0</v>
      </c>
      <c r="AT454" s="54">
        <f t="shared" si="632"/>
        <v>51520092</v>
      </c>
      <c r="AU454" s="51">
        <v>51520092</v>
      </c>
      <c r="AV454" s="89">
        <v>1800000000</v>
      </c>
      <c r="AY454" s="89">
        <v>173553702</v>
      </c>
      <c r="AZ454" s="42">
        <f t="shared" si="811"/>
        <v>0.39</v>
      </c>
      <c r="BA454" s="44">
        <v>0.1</v>
      </c>
      <c r="BB454" s="44">
        <v>1</v>
      </c>
      <c r="BC454" s="42">
        <f t="shared" si="812"/>
        <v>0.35</v>
      </c>
      <c r="BD454" s="42" cm="1">
        <f t="array" ref="BD454">_xlfn.IFS(AD454=0,"NA",AD454&gt;0,AH454/AD454)</f>
        <v>0.82857142857142851</v>
      </c>
      <c r="BE454" s="42">
        <f t="shared" si="813"/>
        <v>0.35</v>
      </c>
      <c r="BF454" s="44">
        <v>0</v>
      </c>
      <c r="BG454" s="42">
        <f t="shared" si="814"/>
        <v>0.2</v>
      </c>
      <c r="BH454" s="44">
        <v>0</v>
      </c>
      <c r="BI454" s="42">
        <f t="shared" si="815"/>
        <v>0</v>
      </c>
      <c r="BJ454" s="44" t="s">
        <v>115</v>
      </c>
      <c r="BK454" s="42">
        <f t="shared" si="633"/>
        <v>0.39</v>
      </c>
      <c r="BL454" s="44">
        <v>1</v>
      </c>
      <c r="BM454" s="42" cm="1">
        <f t="array" ref="BM454">_xlfn.IFS(BD454="NA","NA",BD454&gt;100%,"100%",BD454&lt;100,BD454)</f>
        <v>0.82857142857142851</v>
      </c>
      <c r="BN454" s="42" cm="1">
        <f t="array" ref="BN454">_xlfn.IFS(BF454="NA","NA",BF454&gt;100%,"100%",BF454&lt;100,BF454)</f>
        <v>0</v>
      </c>
      <c r="BO454" s="42" cm="1">
        <f t="array" ref="BO454">_xlfn.IFS(BH454="NA","NA",BH454&gt;100%,"100%",BH454&lt;100,BH454)</f>
        <v>0</v>
      </c>
      <c r="BP454" s="42" t="str" cm="1">
        <f t="array" ref="BP454">_xlfn.IFS(BJ454="NA","NA",BJ454&gt;100%,"100%",BJ454&lt;100,BJ454)</f>
        <v>NA</v>
      </c>
      <c r="BQ454" s="45">
        <v>0.224</v>
      </c>
      <c r="BR454" s="43">
        <f t="shared" si="634"/>
        <v>8.7360000000000007E-2</v>
      </c>
      <c r="BS454" s="45">
        <v>2.24E-2</v>
      </c>
      <c r="BT454" s="45">
        <v>2.24E-2</v>
      </c>
      <c r="BU454" s="45">
        <v>2.24E-2</v>
      </c>
      <c r="BV454" s="43">
        <f t="shared" si="816"/>
        <v>7.8399999999999997E-2</v>
      </c>
      <c r="BW454" s="43">
        <f t="shared" si="635"/>
        <v>6.495999999999999E-2</v>
      </c>
      <c r="BX454" s="43">
        <f t="shared" si="636"/>
        <v>6.4960000000000004E-2</v>
      </c>
      <c r="BY454" s="43">
        <f t="shared" si="817"/>
        <v>7.8399999999999997E-2</v>
      </c>
      <c r="BZ454" s="43">
        <f t="shared" si="818"/>
        <v>0</v>
      </c>
      <c r="CA454" s="43">
        <f t="shared" si="637"/>
        <v>0</v>
      </c>
      <c r="CB454" s="43">
        <f t="shared" si="819"/>
        <v>4.4800000000000006E-2</v>
      </c>
      <c r="CC454" s="43">
        <f t="shared" si="820"/>
        <v>0</v>
      </c>
      <c r="CD454" s="45">
        <v>0</v>
      </c>
      <c r="CE454" s="43">
        <f t="shared" si="821"/>
        <v>0</v>
      </c>
      <c r="CF454" s="43" t="str">
        <f t="shared" si="822"/>
        <v>NA</v>
      </c>
      <c r="CG454" s="45">
        <v>0</v>
      </c>
    </row>
    <row r="455" spans="1:90" ht="18" customHeight="1">
      <c r="A455" s="260" t="s">
        <v>992</v>
      </c>
      <c r="B455" s="260" t="s">
        <v>993</v>
      </c>
      <c r="C455" s="260" t="s">
        <v>2371</v>
      </c>
      <c r="D455" s="260" t="s">
        <v>2763</v>
      </c>
      <c r="E455" s="260" t="s">
        <v>2782</v>
      </c>
      <c r="F455" s="260" t="s">
        <v>2783</v>
      </c>
      <c r="G455" s="260" t="s">
        <v>2784</v>
      </c>
      <c r="H455" s="260" t="s">
        <v>2789</v>
      </c>
      <c r="I455" s="260"/>
      <c r="J455" s="260"/>
      <c r="K455" s="260" t="s">
        <v>2790</v>
      </c>
      <c r="L455" s="260" t="s">
        <v>2791</v>
      </c>
      <c r="M455" s="260" t="s">
        <v>2272</v>
      </c>
      <c r="N455" s="260" t="s">
        <v>111</v>
      </c>
      <c r="O455" s="260" t="s">
        <v>112</v>
      </c>
      <c r="P455" s="10">
        <v>0</v>
      </c>
      <c r="Q455" s="11">
        <v>1</v>
      </c>
      <c r="R455" s="9">
        <f t="shared" si="809"/>
        <v>0.43999999999999995</v>
      </c>
      <c r="S455" s="11" t="str">
        <f>VLOOKUP(K455,'1105 Gobierno'!$K$12:$AK$31,9,0)</f>
        <v>196 actores institucionales beneficiados en 64 municipios, con conocimiento permanente en la creación, implementación y fortalecimiento de los comités de libertad religiosa, de cultos y conciencia municipales, así como en la formulación de la Política Pública de libertad religiosa, de cultos y conciencia en los municipios del departamento de Cundinamarca. Debido a la pandemia COVID 19, se realiza gestión y articulación para la entrega de 3.469 ayudas humanitarias al sector interreligioso del departamento de Cundinamarca en el marco del Programa Presidencial Colombia Está Contigo Un Millón de Familias. Se brindan assitencia tecnica en lo referente a la conformación y fortalecimiento de los comités municipales de Libertad Religiosa a 14municipios del departamento.</v>
      </c>
      <c r="T455" s="11">
        <v>0</v>
      </c>
      <c r="U455" s="11">
        <v>0</v>
      </c>
      <c r="V455" s="11">
        <v>0.15</v>
      </c>
      <c r="W455" s="11">
        <v>0</v>
      </c>
      <c r="X455" s="11">
        <v>0.15</v>
      </c>
      <c r="Y455" s="11">
        <v>0</v>
      </c>
      <c r="Z455" s="11">
        <v>0.15</v>
      </c>
      <c r="AA455" s="11" t="s">
        <v>1106</v>
      </c>
      <c r="AB455" s="11" t="s">
        <v>2792</v>
      </c>
      <c r="AC455" s="11">
        <v>0</v>
      </c>
      <c r="AD455" s="11">
        <v>0.35</v>
      </c>
      <c r="AE455" s="11">
        <v>0</v>
      </c>
      <c r="AF455" s="11">
        <f>VLOOKUP(K455,'1105 Gobierno'!$K$12:$AK$31,22,0)</f>
        <v>0.28999999999999998</v>
      </c>
      <c r="AG455" s="11" t="str">
        <f>VLOOKUP(K455,'1105 Gobierno'!$K$12:$AK$31,23,0)</f>
        <v> </v>
      </c>
      <c r="AH455" s="9">
        <f t="shared" si="810"/>
        <v>0.28999999999999998</v>
      </c>
      <c r="AI455" s="9" t="str">
        <f>VLOOKUP(K455,'1105 Gobierno'!$K$12:$AK$31,25,0)</f>
        <v xml:space="preserve">Asistencia técnica </v>
      </c>
      <c r="AJ455" s="9" t="str">
        <f>VLOOKUP(K455,'1105 Gobierno'!$K$12:$AK$31,26,0)</f>
        <v>CONSOLIDACIÓN DEL 43 % DE ACOMPAÑAMIENTO DE LOS ENTES TERRITORIALES EN LA GARANTIA DEL DERECHO DE LA LIBERTAD RELIGIOSA, SE CONSOLIDARON 30 INSTANCIAS DE PARTICIPACIÓN MUNICIPALES DE LIBERTAD RELIGIOSA, EL ACOMPAÑAMIENTO A 8 POLITICAS PUBLICAS MUNICIPALES DE LIBERTAD RELIGIOSA, CULTOS Y CONCIENCIA.</v>
      </c>
      <c r="AK455" s="9" t="str">
        <f>VLOOKUP(K455,'1105 Gobierno'!$K$12:$AK$31,27,0)</f>
        <v>Entrega de la información solicitada a las diferentes secretarías, la emergencia sanitaria ocasionada por el covid-19, fallas en la articulación institucional en la comunicación y ejecución de actividades.</v>
      </c>
      <c r="AL455" s="11">
        <v>0.35</v>
      </c>
      <c r="AM455" s="11">
        <v>0</v>
      </c>
      <c r="AN455" s="11">
        <v>0.15</v>
      </c>
      <c r="AO455" s="11">
        <v>0</v>
      </c>
      <c r="AP455" s="11">
        <v>0</v>
      </c>
      <c r="AQ455" s="11">
        <v>0</v>
      </c>
      <c r="AR455" s="52"/>
      <c r="AS455" s="54">
        <v>8000000</v>
      </c>
      <c r="AT455" s="54">
        <f t="shared" si="632"/>
        <v>8000000</v>
      </c>
      <c r="AU455" s="52"/>
      <c r="AV455" s="89">
        <v>0</v>
      </c>
      <c r="AY455" s="89">
        <v>0</v>
      </c>
      <c r="AZ455" s="42">
        <f t="shared" si="811"/>
        <v>0.43999999999999995</v>
      </c>
      <c r="BA455" s="44">
        <v>0.15</v>
      </c>
      <c r="BB455" s="44">
        <v>1</v>
      </c>
      <c r="BC455" s="42">
        <f t="shared" si="812"/>
        <v>0.35</v>
      </c>
      <c r="BD455" s="42" cm="1">
        <f t="array" ref="BD455">_xlfn.IFS(AD455=0,"NA",AD455&gt;0,AH455/AD455)</f>
        <v>0.82857142857142851</v>
      </c>
      <c r="BE455" s="42">
        <f t="shared" si="813"/>
        <v>0.35</v>
      </c>
      <c r="BF455" s="44">
        <v>0</v>
      </c>
      <c r="BG455" s="42">
        <f t="shared" si="814"/>
        <v>0.15</v>
      </c>
      <c r="BH455" s="44">
        <v>0</v>
      </c>
      <c r="BI455" s="42">
        <f t="shared" si="815"/>
        <v>0</v>
      </c>
      <c r="BJ455" s="44" t="s">
        <v>115</v>
      </c>
      <c r="BK455" s="42">
        <f t="shared" si="633"/>
        <v>0.43999999999999995</v>
      </c>
      <c r="BL455" s="44">
        <v>1</v>
      </c>
      <c r="BM455" s="42" cm="1">
        <f t="array" ref="BM455">_xlfn.IFS(BD455="NA","NA",BD455&gt;100%,"100%",BD455&lt;100,BD455)</f>
        <v>0.82857142857142851</v>
      </c>
      <c r="BN455" s="42" cm="1">
        <f t="array" ref="BN455">_xlfn.IFS(BF455="NA","NA",BF455&gt;100%,"100%",BF455&lt;100,BF455)</f>
        <v>0</v>
      </c>
      <c r="BO455" s="42" cm="1">
        <f t="array" ref="BO455">_xlfn.IFS(BH455="NA","NA",BH455&gt;100%,"100%",BH455&lt;100,BH455)</f>
        <v>0</v>
      </c>
      <c r="BP455" s="42" t="str" cm="1">
        <f t="array" ref="BP455">_xlfn.IFS(BJ455="NA","NA",BJ455&gt;100%,"100%",BJ455&lt;100,BJ455)</f>
        <v>NA</v>
      </c>
      <c r="BQ455" s="45">
        <v>0.224</v>
      </c>
      <c r="BR455" s="43">
        <f t="shared" si="634"/>
        <v>9.8559999999999995E-2</v>
      </c>
      <c r="BS455" s="45">
        <v>3.3599999999999998E-2</v>
      </c>
      <c r="BT455" s="45">
        <v>3.3599999999999998E-2</v>
      </c>
      <c r="BU455" s="45">
        <v>3.3599999999999998E-2</v>
      </c>
      <c r="BV455" s="43">
        <f t="shared" si="816"/>
        <v>7.8399999999999997E-2</v>
      </c>
      <c r="BW455" s="43">
        <f t="shared" si="635"/>
        <v>6.495999999999999E-2</v>
      </c>
      <c r="BX455" s="43">
        <f t="shared" si="636"/>
        <v>6.495999999999999E-2</v>
      </c>
      <c r="BY455" s="43">
        <f t="shared" si="817"/>
        <v>7.8399999999999997E-2</v>
      </c>
      <c r="BZ455" s="43">
        <f t="shared" si="818"/>
        <v>0</v>
      </c>
      <c r="CA455" s="43">
        <f t="shared" si="637"/>
        <v>0</v>
      </c>
      <c r="CB455" s="43">
        <f t="shared" si="819"/>
        <v>3.3599999999999998E-2</v>
      </c>
      <c r="CC455" s="43">
        <f t="shared" si="820"/>
        <v>0</v>
      </c>
      <c r="CD455" s="45">
        <v>0</v>
      </c>
      <c r="CE455" s="43">
        <f t="shared" si="821"/>
        <v>0</v>
      </c>
      <c r="CF455" s="43" t="str">
        <f t="shared" si="822"/>
        <v>NA</v>
      </c>
      <c r="CG455" s="45">
        <v>0</v>
      </c>
    </row>
    <row r="456" spans="1:90" ht="18" customHeight="1">
      <c r="A456" s="260" t="s">
        <v>992</v>
      </c>
      <c r="B456" s="260" t="s">
        <v>993</v>
      </c>
      <c r="C456" s="260" t="s">
        <v>2371</v>
      </c>
      <c r="D456" s="260" t="s">
        <v>2763</v>
      </c>
      <c r="E456" s="260" t="s">
        <v>2782</v>
      </c>
      <c r="F456" s="260" t="s">
        <v>2783</v>
      </c>
      <c r="G456" s="260" t="s">
        <v>2784</v>
      </c>
      <c r="H456" s="260" t="s">
        <v>2793</v>
      </c>
      <c r="I456" s="260"/>
      <c r="J456" s="260"/>
      <c r="K456" s="260" t="s">
        <v>2794</v>
      </c>
      <c r="L456" s="260" t="s">
        <v>2795</v>
      </c>
      <c r="M456" s="260" t="s">
        <v>131</v>
      </c>
      <c r="N456" s="260" t="s">
        <v>111</v>
      </c>
      <c r="O456" s="260" t="s">
        <v>112</v>
      </c>
      <c r="P456" s="10">
        <v>0</v>
      </c>
      <c r="Q456" s="11">
        <v>1</v>
      </c>
      <c r="R456" s="9">
        <f t="shared" si="809"/>
        <v>0.35</v>
      </c>
      <c r="S456" s="11" t="str">
        <f>VLOOKUP(K456,'1105 Gobierno'!$K$12:$AK$31,9,0)</f>
        <v>Se han venido realizando seguimiento a la suscripción de convenios administrativos para el funcionamiento de los CETRAS y se ha brindado asistencia técnica a los circuitos judiciales priorizados. A su vez, se viene realizando la caracterización de los 14 cetrasSe realiza el diagnóstico y se implementa el plan de acción del comité departamental de Cundinamarca del SRPA en la línea estratégica Diseño de Política Pública y Desarrollo Normativo, en la línea de subprevención desde la formulación de la estrategia de prevención del delito, teniendo en cuenta la política pública departamental de infancia y adolescencia, generando revisión documental y metodológica de lineamientos nacionales en prevención de la vinculación de adolescentes y jóvenes en la vida delictiva, y desarrollo de metodologías de prevención.
*Articulación con entidades a nivel departamental y nacional como Ministerio de Justicia, ICBF, Policía, Fiscalía y Secretaría de Seguridad, Convivencia y Justicia de Bogotá, con el fin de llevar a cabo acciones conjuntas en tono al Sistema de Responsabilidad Penal para Adolescentes (SRPA).                                                                                                         
*Participación en las Asistencias Técnicas das por el Ministerio de Justicia en temas de: Diseño de Politícas Públicas y Desarrollo Normativo y Justicia Juvenil Restaurativa. 
 *Reuniones de articulación con autoridades municipales en los municipios donde se encuentran ubicados los circuitos judiciales.                                                                                           *Asistencias técnicas y/o capacitaciones a funcionarios de los Centros Transitorios (CETRAS) .                                    
*Participación en las Asistencias Técnicas das por el ICBF en temas de: Funcionamiento de los 15 Cetras en Cundinamarca.                                                                                         
*Distribución de los 15 Cetras del Departamento al grupo de contratistas, con el fin de comenzar a realizar asistencias técnicas en los municipios cabecera de circuito.   
*Se viene realizando un análisis y estudio del documento denominado "Diagnóstico descriptivo en quince municipios de Cundinamarca sobre la vinculación de adolescentes y jóvenes a la comisión de delitos", con el fin de evaluar y revisar que Cetras necesitan adecuamientos en sus estructuras y así poder comenzar a realizar asistencias técnicas a cada circuito judicial.
Adicionalmente se solicitó a la Policia Nacional y al Observatorio de Seguridad y Convivencia el comportamiento delictual presentado durante los años 2016, 2017, 2018, 2019 y 2020, con el fin de actualizar las cifras del Diagnóstico.
Se estableció un formato estandar, denominado "Estado Actual de los Cetras", con la finalidad de revisar las instalaciones, sobre la estructura física de los Centros Transitorios (CETRAS), donde se brinda atención transitoria mientras se define la situación jurídica a los menores entre catorce (14) y dieciocho (18) años de edad que presuntamente hayan incurrido en una conducta punible, con el propósito de establecer el estado actual de estos, ubicados en los municipios cabecera de los circuitos judiciales del Departamento.</v>
      </c>
      <c r="T456" s="11">
        <v>0</v>
      </c>
      <c r="U456" s="11">
        <v>0</v>
      </c>
      <c r="V456" s="11">
        <v>0.1</v>
      </c>
      <c r="W456" s="11">
        <v>0</v>
      </c>
      <c r="X456" s="11">
        <v>0.1</v>
      </c>
      <c r="Y456" s="11">
        <v>0</v>
      </c>
      <c r="Z456" s="11">
        <v>0.1</v>
      </c>
      <c r="AA456" s="11" t="s">
        <v>1106</v>
      </c>
      <c r="AB456" s="11" t="s">
        <v>2796</v>
      </c>
      <c r="AC456" s="11">
        <v>0</v>
      </c>
      <c r="AD456" s="11">
        <v>0.3</v>
      </c>
      <c r="AE456" s="11">
        <v>0</v>
      </c>
      <c r="AF456" s="11">
        <f>VLOOKUP(K456,'1105 Gobierno'!$K$12:$AK$31,22,0)</f>
        <v>0.25</v>
      </c>
      <c r="AG456" s="11">
        <f>VLOOKUP(K456,'1105 Gobierno'!$K$12:$AK$31,23,0)</f>
        <v>0</v>
      </c>
      <c r="AH456" s="9">
        <f t="shared" si="810"/>
        <v>0.25</v>
      </c>
      <c r="AI456" s="9" t="str">
        <f>VLOOKUP(K456,'1105 Gobierno'!$K$12:$AK$31,25,0)</f>
        <v xml:space="preserve">Asistencia técnica </v>
      </c>
      <c r="AJ456" s="9" t="str">
        <f>VLOOKUP(K456,'1105 Gobierno'!$K$12:$AK$31,26,0)</f>
        <v xml:space="preserve">*Articulación con entidades a nivel departamental y nacional como Ministerio de Justicia, ICBF, Policía, Fiscalía y Secretaría de Seguridad, Convivencia y Justicia de Bogotá, con el fin de llevar a cabo acciones conjuntas en tono al Sistema de Responsabilidad Penal para Adolescentes (SRPA).                                                                                                         
*Participación en las Asistencias Técnicas das por el Ministerio de Justicia en temas de: Diseño de Politícas Públicas y Desarrollo Normativo y Justicia Juvenil Restaurativa. 
 *Reuniones de articulación con autoridades municipales en los municipios donde se encuentran ubicados los circuitos judiciales.                                                                                           *Asistencias técnicas y/o capacitaciones a funcionarios de los Centros Transitorios (CETRAS) .                                    
*Participación en las Asistencias Técnicas das por el ICBF en temas de: Funcionamiento de los 15 Cetras en Cundinamarca.                                                                                         
*Distribución de los 15 Cetras del Departamento al grupo de contratistas, con el fin de comenzar a realizar asistencias técnicas en los municipios cabecera de circuito.   
*Se viene realizando un análisis y estudio del documento denominado "Diagnóstico descriptivo en quince municipios de Cundinamarca sobre la vinculación de adolescentes y jóvenes a la comisión de delitos", con el fin de evaluar y revisar que Cetras necesitan adecuamientos en sus estructuras y así poder comenzar a realizar asistencias técnicas a cada circuito judicial.
Adicionalmente se solicitó a la Policia Nacional y al Observatorio de Seguridad y Convivencia el comportamiento delictual presentado durante los años 2016, 2017, 2018, 2019 y 2020, con el fin de actualizar las cifras del Diagnóstico.
Se estableció un formato estandar, denominado "Estado Actual de los Cetras", con la finalidad de revisar las instalaciones, sobre la estructura física de los Centros Transitorios (CETRAS), donde se brinda atención transitoria mientras se define la situación jurídica a los menores entre catorce (14) y dieciocho (18) años de edad que presuntamente hayan incurrido en una conducta punible, con el propósito de establecer el estado actual de estos, ubicados en los municipios cabecera de los circuitos judiciales del Departamento.  Actualmente los Contratistas vienen realizando la inspección de las instalaciones físicas a cada uno de los CETRAS.
Realizaron articulación con entidades a nivel departamental y nacional como Ministerio de Justicia, ICBF, Policía, Fiscalía y Secretaría de Seguridad, Convivencia y Justicia de Bogotá, con el fin de llevar a cabo acciones conjuntas en torno al Sistema de Responsabilidad Penal para Adolescentes (SRPA).                                                                                                             Participación en las Asistencias Técnicas das por el Ministerio de Justicia en temas de: Diseño de Politícas Públicas y Desarrollo Normativo y Justicia Juvenil Restaurativa. Estructuración de la Política Pública de Prevención, para lo cual se creó el árbol de problemas y de objetivos.                                                                                                                                                                                                             Reuniones de articulación con autoridades municipales en los municipios donde se encuentran ubicados los circuitos judiciales.                                                                                     
Asistencias técnicas y/o capacitaciones a funcionarios de los Centros Transitorios (CETRAS).
Articulación con entidades Departamental y nacional como Ministerio de Justicia, ICBF, Policía, Fiscalía y Secretaría de Estabilidad, Convivencia y Justicia de Bogotá, con la intención de realizar trabajos alrededor del Sistema de Responsabilidad Penal para Jóvenes (SRPA). *Participación en las Asistencias Técnicas por el Ministerio de Justicia en materia de: Diseño de Politícas Públicas y Desarrollo Normativo y Justicia Juvenil Restaurativa. *Estructuración del Pilotaje de Justicia Juvenil Restaurativa para el Departamento.                                                   
Se estableció un formato estandar, nombrado "Caracterización de Infraestructura", con el objetivo de registrar en número y calidad las instalaciones, sobre la composición física de los Centros Transitorios (CETRAS), repasando la dotación elemental, grupos tecnológicos, materiales de limpieza general, infraestructura y propiedades en general.                                                         </v>
      </c>
      <c r="AK456" s="9">
        <f>VLOOKUP(K456,'1105 Gobierno'!$K$12:$AK$31,27,0)</f>
        <v>0</v>
      </c>
      <c r="AL456" s="11">
        <v>0.25</v>
      </c>
      <c r="AM456" s="11">
        <v>0</v>
      </c>
      <c r="AN456" s="11">
        <v>0.35</v>
      </c>
      <c r="AO456" s="11">
        <v>0</v>
      </c>
      <c r="AP456" s="11">
        <v>0</v>
      </c>
      <c r="AQ456" s="11">
        <v>0</v>
      </c>
      <c r="AR456" s="51">
        <v>65000000</v>
      </c>
      <c r="AS456" s="54">
        <v>0</v>
      </c>
      <c r="AT456" s="54">
        <f t="shared" si="632"/>
        <v>65000000</v>
      </c>
      <c r="AU456" s="51">
        <v>46477488</v>
      </c>
      <c r="AV456" s="89">
        <v>591041688</v>
      </c>
      <c r="AY456" s="89">
        <v>335232835</v>
      </c>
      <c r="AZ456" s="42">
        <f t="shared" si="811"/>
        <v>0.35</v>
      </c>
      <c r="BA456" s="44">
        <v>0.1</v>
      </c>
      <c r="BB456" s="44">
        <v>1</v>
      </c>
      <c r="BC456" s="42">
        <f t="shared" si="812"/>
        <v>0.3</v>
      </c>
      <c r="BD456" s="42" cm="1">
        <f t="array" ref="BD456">_xlfn.IFS(AD456=0,"NA",AD456&gt;0,AH456/AD456)</f>
        <v>0.83333333333333337</v>
      </c>
      <c r="BE456" s="42">
        <f t="shared" si="813"/>
        <v>0.25</v>
      </c>
      <c r="BF456" s="44">
        <v>0</v>
      </c>
      <c r="BG456" s="42">
        <f t="shared" si="814"/>
        <v>0.35</v>
      </c>
      <c r="BH456" s="44">
        <v>0</v>
      </c>
      <c r="BI456" s="42">
        <f t="shared" si="815"/>
        <v>0</v>
      </c>
      <c r="BJ456" s="44" t="s">
        <v>115</v>
      </c>
      <c r="BK456" s="42">
        <f t="shared" si="633"/>
        <v>0.35</v>
      </c>
      <c r="BL456" s="44">
        <v>1</v>
      </c>
      <c r="BM456" s="42" cm="1">
        <f t="array" ref="BM456">_xlfn.IFS(BD456="NA","NA",BD456&gt;100%,"100%",BD456&lt;100,BD456)</f>
        <v>0.83333333333333337</v>
      </c>
      <c r="BN456" s="42" cm="1">
        <f t="array" ref="BN456">_xlfn.IFS(BF456="NA","NA",BF456&gt;100%,"100%",BF456&lt;100,BF456)</f>
        <v>0</v>
      </c>
      <c r="BO456" s="42" cm="1">
        <f t="array" ref="BO456">_xlfn.IFS(BH456="NA","NA",BH456&gt;100%,"100%",BH456&lt;100,BH456)</f>
        <v>0</v>
      </c>
      <c r="BP456" s="42" t="str" cm="1">
        <f t="array" ref="BP456">_xlfn.IFS(BJ456="NA","NA",BJ456&gt;100%,"100%",BJ456&lt;100,BJ456)</f>
        <v>NA</v>
      </c>
      <c r="BQ456" s="45">
        <v>0.224</v>
      </c>
      <c r="BR456" s="43">
        <f t="shared" si="634"/>
        <v>7.8399999999999997E-2</v>
      </c>
      <c r="BS456" s="45">
        <v>2.24E-2</v>
      </c>
      <c r="BT456" s="45">
        <v>2.24E-2</v>
      </c>
      <c r="BU456" s="45">
        <v>2.24E-2</v>
      </c>
      <c r="BV456" s="43">
        <f t="shared" si="816"/>
        <v>6.7199999999999996E-2</v>
      </c>
      <c r="BW456" s="43">
        <f t="shared" si="635"/>
        <v>5.6000000000000001E-2</v>
      </c>
      <c r="BX456" s="43">
        <f t="shared" si="636"/>
        <v>5.5999999999999994E-2</v>
      </c>
      <c r="BY456" s="43">
        <f t="shared" si="817"/>
        <v>5.6000000000000001E-2</v>
      </c>
      <c r="BZ456" s="43">
        <f t="shared" si="818"/>
        <v>0</v>
      </c>
      <c r="CA456" s="43">
        <f t="shared" si="637"/>
        <v>0</v>
      </c>
      <c r="CB456" s="43">
        <f t="shared" si="819"/>
        <v>7.8399999999999997E-2</v>
      </c>
      <c r="CC456" s="43">
        <f t="shared" si="820"/>
        <v>0</v>
      </c>
      <c r="CD456" s="45">
        <v>0</v>
      </c>
      <c r="CE456" s="43">
        <f t="shared" si="821"/>
        <v>0</v>
      </c>
      <c r="CF456" s="43" t="str">
        <f t="shared" si="822"/>
        <v>NA</v>
      </c>
      <c r="CG456" s="45">
        <v>0</v>
      </c>
    </row>
    <row r="457" spans="1:90" s="3" customFormat="1">
      <c r="L457" s="5"/>
      <c r="AV457" s="92"/>
      <c r="AY457" s="92"/>
      <c r="BS457" s="50"/>
      <c r="BU457" s="47"/>
      <c r="BV457" s="113">
        <f>SUM(BV12:BV456)</f>
        <v>32.854495323365271</v>
      </c>
      <c r="BW457" s="113" t="e">
        <f ca="1">SUM(BW12:BW456)</f>
        <v>#N/A</v>
      </c>
    </row>
    <row r="458" spans="1:90">
      <c r="BW458" s="114" t="e">
        <f ca="1">BW457/BV457</f>
        <v>#N/A</v>
      </c>
    </row>
  </sheetData>
  <sheetProtection algorithmName="SHA-512" hashValue="yiAtJr7e0tcKk6jyK7+46U3KoRf8VckPI6t3kWN//2quxkrZwjzUTat3EHA8T/pjp+IgA2V0wGeXuXKWNz9q1w==" saltValue="PQAcGQnTONmHfPe83GdL6w==" spinCount="100000" sheet="1" autoFilter="0"/>
  <autoFilter ref="A11:CL458" xr:uid="{48353F58-4C8E-4476-94EE-5BEF669E3B62}"/>
  <customSheetViews>
    <customSheetView guid="{75629C99-8367-48E9-A2A2-D8C49A9E68E3}" showAutoFilter="1" hiddenRows="1" hiddenColumns="1" state="hidden" topLeftCell="BJ1">
      <selection activeCell="CH11" sqref="CH11:CL11"/>
      <pageMargins left="0" right="0" top="0" bottom="0" header="0" footer="0"/>
      <pageSetup orientation="portrait" r:id="rId1"/>
      <autoFilter ref="A11:CL458" xr:uid="{948817F4-F725-48BE-B95A-9FDE9AFBA151}"/>
    </customSheetView>
  </customSheetViews>
  <mergeCells count="37">
    <mergeCell ref="CE10:CG10"/>
    <mergeCell ref="AV10:AY10"/>
    <mergeCell ref="AR8:AY9"/>
    <mergeCell ref="BQ10:BR10"/>
    <mergeCell ref="BS10:BU10"/>
    <mergeCell ref="BV10:BX10"/>
    <mergeCell ref="BY10:CA10"/>
    <mergeCell ref="CB10:CD10"/>
    <mergeCell ref="AZ8:BJ9"/>
    <mergeCell ref="BK8:BP10"/>
    <mergeCell ref="BQ8:CG9"/>
    <mergeCell ref="AR10:AU10"/>
    <mergeCell ref="BA10:BB10"/>
    <mergeCell ref="BC10:BD10"/>
    <mergeCell ref="BE10:BF10"/>
    <mergeCell ref="BG10:BH10"/>
    <mergeCell ref="BI10:BJ10"/>
    <mergeCell ref="A1:D4"/>
    <mergeCell ref="E1:I2"/>
    <mergeCell ref="E3:I4"/>
    <mergeCell ref="J1:L1"/>
    <mergeCell ref="J2:L3"/>
    <mergeCell ref="J4:L4"/>
    <mergeCell ref="A6:C6"/>
    <mergeCell ref="A8:P10"/>
    <mergeCell ref="Q8:AQ8"/>
    <mergeCell ref="Q9:S10"/>
    <mergeCell ref="T9:AC9"/>
    <mergeCell ref="T10:AC10"/>
    <mergeCell ref="AD9:AK9"/>
    <mergeCell ref="AD10:AK10"/>
    <mergeCell ref="AP9:AQ9"/>
    <mergeCell ref="AP10:AQ10"/>
    <mergeCell ref="AN9:AO9"/>
    <mergeCell ref="AN10:AO10"/>
    <mergeCell ref="AL9:AM9"/>
    <mergeCell ref="AL10:AM10"/>
  </mergeCell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U20"/>
  <sheetViews>
    <sheetView topLeftCell="J9" zoomScale="70" zoomScaleNormal="70" workbookViewId="0">
      <selection activeCell="J17" sqref="J17"/>
    </sheetView>
  </sheetViews>
  <sheetFormatPr defaultColWidth="11.42578125" defaultRowHeight="14.45"/>
  <cols>
    <col min="1" max="4" width="12.7109375" customWidth="1"/>
    <col min="5" max="5" width="9.42578125" customWidth="1"/>
    <col min="6" max="6" width="20" customWidth="1"/>
    <col min="7" max="7" width="17.42578125" customWidth="1"/>
    <col min="8" max="8" width="15.42578125" bestFit="1"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28" width="12.7109375" customWidth="1"/>
    <col min="29" max="29" width="117.7109375" customWidth="1"/>
    <col min="30" max="35" width="12.7109375" customWidth="1"/>
    <col min="36" max="36" width="26" customWidth="1"/>
    <col min="37" max="38" width="12.7109375" customWidth="1"/>
    <col min="39" max="39" width="12.7109375" style="119" customWidth="1"/>
    <col min="40" max="46" width="12.7109375" customWidth="1"/>
  </cols>
  <sheetData>
    <row r="1" spans="1:47" hidden="1">
      <c r="A1" s="502"/>
      <c r="B1" s="502"/>
      <c r="C1" s="502"/>
      <c r="D1" s="502"/>
      <c r="E1" s="486" t="s">
        <v>0</v>
      </c>
      <c r="F1" s="487"/>
      <c r="G1" s="487"/>
      <c r="H1" s="487"/>
      <c r="I1" s="488"/>
      <c r="J1" s="492" t="s">
        <v>1</v>
      </c>
      <c r="K1" s="493"/>
      <c r="L1" s="494"/>
    </row>
    <row r="2" spans="1:47" hidden="1">
      <c r="A2" s="502"/>
      <c r="B2" s="502"/>
      <c r="C2" s="502"/>
      <c r="D2" s="502"/>
      <c r="E2" s="489"/>
      <c r="F2" s="490"/>
      <c r="G2" s="490"/>
      <c r="H2" s="490"/>
      <c r="I2" s="491"/>
      <c r="J2" s="486" t="s">
        <v>2</v>
      </c>
      <c r="K2" s="487"/>
      <c r="L2" s="495"/>
    </row>
    <row r="3" spans="1:47" hidden="1">
      <c r="A3" s="502"/>
      <c r="B3" s="502"/>
      <c r="C3" s="502"/>
      <c r="D3" s="502"/>
      <c r="E3" s="486" t="s">
        <v>3</v>
      </c>
      <c r="F3" s="487"/>
      <c r="G3" s="487"/>
      <c r="H3" s="487"/>
      <c r="I3" s="488"/>
      <c r="J3" s="489"/>
      <c r="K3" s="490"/>
      <c r="L3" s="496"/>
    </row>
    <row r="4" spans="1:47" ht="15" hidden="1" thickBot="1">
      <c r="A4" s="502"/>
      <c r="B4" s="502"/>
      <c r="C4" s="502"/>
      <c r="D4" s="502"/>
      <c r="E4" s="489"/>
      <c r="F4" s="490"/>
      <c r="G4" s="490"/>
      <c r="H4" s="490"/>
      <c r="I4" s="491"/>
      <c r="J4" s="492" t="s">
        <v>3146</v>
      </c>
      <c r="K4" s="493"/>
      <c r="L4" s="494"/>
    </row>
    <row r="5" spans="1:47" ht="15" hidden="1" thickBot="1"/>
    <row r="6" spans="1:47" ht="15" hidden="1" thickBot="1">
      <c r="A6" s="503" t="s">
        <v>3125</v>
      </c>
      <c r="B6" s="503"/>
      <c r="C6" s="503"/>
      <c r="D6" s="1">
        <v>44218</v>
      </c>
    </row>
    <row r="7" spans="1:47" ht="15" hidden="1" thickBot="1">
      <c r="A7" s="503" t="s">
        <v>5</v>
      </c>
      <c r="B7" s="503"/>
      <c r="C7" s="503"/>
      <c r="D7" s="1">
        <v>44255</v>
      </c>
    </row>
    <row r="8" spans="1:47" ht="15" hidden="1" thickBot="1"/>
    <row r="9" spans="1:47"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7"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7"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7"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7" ht="18" customHeight="1">
      <c r="A13" s="260" t="s">
        <v>1005</v>
      </c>
      <c r="B13" s="260" t="s">
        <v>1006</v>
      </c>
      <c r="C13" s="260" t="s">
        <v>100</v>
      </c>
      <c r="D13" s="260" t="s">
        <v>994</v>
      </c>
      <c r="E13" s="260" t="s">
        <v>995</v>
      </c>
      <c r="F13" s="260" t="s">
        <v>1007</v>
      </c>
      <c r="G13" s="260" t="s">
        <v>1008</v>
      </c>
      <c r="H13" s="260" t="s">
        <v>1009</v>
      </c>
      <c r="I13" s="260"/>
      <c r="J13" s="260"/>
      <c r="K13" s="260" t="s">
        <v>1010</v>
      </c>
      <c r="L13" s="260" t="s">
        <v>1011</v>
      </c>
      <c r="M13" s="260" t="s">
        <v>1012</v>
      </c>
      <c r="N13" s="260" t="s">
        <v>111</v>
      </c>
      <c r="O13" s="260" t="s">
        <v>112</v>
      </c>
      <c r="P13" s="10">
        <v>8</v>
      </c>
      <c r="Q13" s="11">
        <v>13</v>
      </c>
      <c r="R13" s="11">
        <f>Z13+AH13</f>
        <v>5</v>
      </c>
      <c r="S13" s="261"/>
      <c r="T13" s="11">
        <v>4</v>
      </c>
      <c r="U13" s="11">
        <v>0</v>
      </c>
      <c r="V13" s="11">
        <v>4</v>
      </c>
      <c r="W13" s="11">
        <v>0</v>
      </c>
      <c r="X13" s="11">
        <v>5</v>
      </c>
      <c r="Y13" s="11">
        <v>0</v>
      </c>
      <c r="Z13" s="11">
        <v>5</v>
      </c>
      <c r="AA13" s="11" t="s">
        <v>1013</v>
      </c>
      <c r="AB13" s="11" t="s">
        <v>1014</v>
      </c>
      <c r="AC13" s="11" t="s">
        <v>1015</v>
      </c>
      <c r="AD13" s="11">
        <v>3</v>
      </c>
      <c r="AE13" s="11">
        <v>0</v>
      </c>
      <c r="AF13" s="261">
        <v>0</v>
      </c>
      <c r="AG13" s="261">
        <v>0</v>
      </c>
      <c r="AH13" s="9">
        <f>AF13</f>
        <v>0</v>
      </c>
      <c r="AI13" s="261"/>
      <c r="AJ13" s="177" t="s">
        <v>3712</v>
      </c>
      <c r="AK13" s="261" t="s">
        <v>3713</v>
      </c>
      <c r="AL13" s="261" t="s">
        <v>3713</v>
      </c>
      <c r="AM13" s="118">
        <v>0</v>
      </c>
      <c r="AN13" s="261" t="s">
        <v>3713</v>
      </c>
      <c r="AO13" s="84">
        <v>3</v>
      </c>
      <c r="AP13" s="85">
        <v>0</v>
      </c>
      <c r="AQ13" s="85">
        <v>3</v>
      </c>
      <c r="AR13" s="85">
        <v>0</v>
      </c>
      <c r="AS13" s="11">
        <v>0</v>
      </c>
      <c r="AT13" s="11">
        <v>0</v>
      </c>
      <c r="AU13" s="63"/>
    </row>
    <row r="14" spans="1:47" ht="18" customHeight="1">
      <c r="A14" s="260" t="s">
        <v>1005</v>
      </c>
      <c r="B14" s="260" t="s">
        <v>1006</v>
      </c>
      <c r="C14" s="260" t="s">
        <v>100</v>
      </c>
      <c r="D14" s="260" t="s">
        <v>994</v>
      </c>
      <c r="E14" s="260" t="s">
        <v>995</v>
      </c>
      <c r="F14" s="260" t="s">
        <v>1007</v>
      </c>
      <c r="G14" s="260" t="s">
        <v>1008</v>
      </c>
      <c r="H14" s="260" t="s">
        <v>1024</v>
      </c>
      <c r="I14" s="260"/>
      <c r="J14" s="260"/>
      <c r="K14" s="260" t="s">
        <v>1025</v>
      </c>
      <c r="L14" s="260" t="s">
        <v>1026</v>
      </c>
      <c r="M14" s="260" t="s">
        <v>1027</v>
      </c>
      <c r="N14" s="260" t="s">
        <v>111</v>
      </c>
      <c r="O14" s="260" t="s">
        <v>112</v>
      </c>
      <c r="P14" s="10">
        <v>1</v>
      </c>
      <c r="Q14" s="11">
        <v>1</v>
      </c>
      <c r="R14" s="11">
        <f t="shared" ref="R14:R19" si="0">Z14+AH14</f>
        <v>0.3</v>
      </c>
      <c r="S14" s="261"/>
      <c r="T14" s="11">
        <v>0.25</v>
      </c>
      <c r="U14" s="11">
        <v>0</v>
      </c>
      <c r="V14" s="11">
        <v>0.25</v>
      </c>
      <c r="W14" s="11">
        <v>0</v>
      </c>
      <c r="X14" s="11">
        <v>0.25</v>
      </c>
      <c r="Y14" s="11">
        <v>0</v>
      </c>
      <c r="Z14" s="11">
        <v>0.25</v>
      </c>
      <c r="AA14" s="11">
        <v>0</v>
      </c>
      <c r="AB14" s="11" t="s">
        <v>1028</v>
      </c>
      <c r="AC14" s="11" t="s">
        <v>1029</v>
      </c>
      <c r="AD14" s="11">
        <v>0.25</v>
      </c>
      <c r="AE14" s="11">
        <v>0</v>
      </c>
      <c r="AF14" s="261">
        <v>0.05</v>
      </c>
      <c r="AG14" s="261">
        <v>0</v>
      </c>
      <c r="AH14" s="9">
        <f t="shared" ref="AH14:AH18" si="1">AF14</f>
        <v>0.05</v>
      </c>
      <c r="AI14" s="261"/>
      <c r="AJ14" s="178" t="s">
        <v>3714</v>
      </c>
      <c r="AK14" s="261" t="s">
        <v>3713</v>
      </c>
      <c r="AL14" s="61" t="s">
        <v>3713</v>
      </c>
      <c r="AM14" s="125">
        <v>0</v>
      </c>
      <c r="AN14" s="61" t="s">
        <v>3713</v>
      </c>
      <c r="AO14" s="79">
        <v>0.25</v>
      </c>
      <c r="AP14" s="80">
        <v>0</v>
      </c>
      <c r="AQ14" s="80">
        <v>0.25</v>
      </c>
      <c r="AR14" s="80">
        <v>0</v>
      </c>
      <c r="AS14" s="11">
        <v>0</v>
      </c>
      <c r="AT14" s="11">
        <v>0</v>
      </c>
    </row>
    <row r="15" spans="1:47" ht="18" customHeight="1">
      <c r="A15" s="260" t="s">
        <v>1005</v>
      </c>
      <c r="B15" s="260" t="s">
        <v>1006</v>
      </c>
      <c r="C15" s="260" t="s">
        <v>100</v>
      </c>
      <c r="D15" s="260" t="s">
        <v>994</v>
      </c>
      <c r="E15" s="260" t="s">
        <v>995</v>
      </c>
      <c r="F15" s="260" t="s">
        <v>1007</v>
      </c>
      <c r="G15" s="260" t="s">
        <v>1008</v>
      </c>
      <c r="H15" s="260" t="s">
        <v>1030</v>
      </c>
      <c r="I15" s="260"/>
      <c r="J15" s="260"/>
      <c r="K15" s="260" t="s">
        <v>1031</v>
      </c>
      <c r="L15" s="260" t="s">
        <v>1032</v>
      </c>
      <c r="M15" s="260" t="s">
        <v>1033</v>
      </c>
      <c r="N15" s="260" t="s">
        <v>111</v>
      </c>
      <c r="O15" s="260" t="s">
        <v>112</v>
      </c>
      <c r="P15" s="10">
        <v>0</v>
      </c>
      <c r="Q15" s="11">
        <v>1</v>
      </c>
      <c r="R15" s="11">
        <f t="shared" si="0"/>
        <v>1.25</v>
      </c>
      <c r="S15" s="261"/>
      <c r="T15" s="11">
        <v>0.25</v>
      </c>
      <c r="U15" s="11">
        <v>0</v>
      </c>
      <c r="V15" s="11">
        <v>0.25</v>
      </c>
      <c r="W15" s="11">
        <v>0</v>
      </c>
      <c r="X15" s="11">
        <v>0.25</v>
      </c>
      <c r="Y15" s="11">
        <v>0</v>
      </c>
      <c r="Z15" s="11">
        <v>0.25</v>
      </c>
      <c r="AA15" s="11">
        <v>0</v>
      </c>
      <c r="AB15" s="11" t="s">
        <v>1034</v>
      </c>
      <c r="AC15" s="11" t="s">
        <v>1035</v>
      </c>
      <c r="AD15" s="11">
        <v>0.25</v>
      </c>
      <c r="AE15" s="11">
        <v>0</v>
      </c>
      <c r="AF15" s="261">
        <v>1</v>
      </c>
      <c r="AG15" s="261">
        <v>0</v>
      </c>
      <c r="AH15" s="9">
        <f t="shared" si="1"/>
        <v>1</v>
      </c>
      <c r="AI15" s="261" t="s">
        <v>3715</v>
      </c>
      <c r="AJ15" s="178" t="s">
        <v>3716</v>
      </c>
      <c r="AK15" s="261" t="s">
        <v>3713</v>
      </c>
      <c r="AL15" s="61" t="s">
        <v>3713</v>
      </c>
      <c r="AM15" s="125">
        <v>0</v>
      </c>
      <c r="AN15" s="61" t="s">
        <v>3713</v>
      </c>
      <c r="AO15" s="79">
        <v>0.25</v>
      </c>
      <c r="AP15" s="80">
        <v>0</v>
      </c>
      <c r="AQ15" s="80">
        <v>0.25</v>
      </c>
      <c r="AR15" s="80">
        <v>0</v>
      </c>
      <c r="AS15" s="11">
        <v>0</v>
      </c>
      <c r="AT15" s="11">
        <v>0</v>
      </c>
    </row>
    <row r="16" spans="1:47" ht="18" customHeight="1">
      <c r="A16" s="260" t="s">
        <v>1005</v>
      </c>
      <c r="B16" s="260" t="s">
        <v>1006</v>
      </c>
      <c r="C16" s="260" t="s">
        <v>100</v>
      </c>
      <c r="D16" s="260" t="s">
        <v>994</v>
      </c>
      <c r="E16" s="260" t="s">
        <v>995</v>
      </c>
      <c r="F16" s="260" t="s">
        <v>1007</v>
      </c>
      <c r="G16" s="260" t="s">
        <v>1008</v>
      </c>
      <c r="H16" s="260" t="s">
        <v>1036</v>
      </c>
      <c r="I16" s="260"/>
      <c r="J16" s="260"/>
      <c r="K16" s="260" t="s">
        <v>1037</v>
      </c>
      <c r="L16" s="260" t="s">
        <v>1038</v>
      </c>
      <c r="M16" s="260" t="s">
        <v>1039</v>
      </c>
      <c r="N16" s="260" t="s">
        <v>111</v>
      </c>
      <c r="O16" s="260" t="s">
        <v>112</v>
      </c>
      <c r="P16" s="10">
        <v>8</v>
      </c>
      <c r="Q16" s="11">
        <v>30</v>
      </c>
      <c r="R16" s="11">
        <f t="shared" si="0"/>
        <v>5</v>
      </c>
      <c r="S16" s="261"/>
      <c r="T16" s="11">
        <v>4</v>
      </c>
      <c r="U16" s="11">
        <v>0</v>
      </c>
      <c r="V16" s="11">
        <v>4</v>
      </c>
      <c r="W16" s="11">
        <v>0</v>
      </c>
      <c r="X16" s="11">
        <v>5</v>
      </c>
      <c r="Y16" s="11">
        <v>0</v>
      </c>
      <c r="Z16" s="11">
        <v>5</v>
      </c>
      <c r="AA16" s="11">
        <v>0</v>
      </c>
      <c r="AB16" s="11" t="s">
        <v>3717</v>
      </c>
      <c r="AC16" s="11" t="s">
        <v>1042</v>
      </c>
      <c r="AD16" s="11">
        <v>9</v>
      </c>
      <c r="AE16" s="11">
        <v>0</v>
      </c>
      <c r="AF16" s="261">
        <v>0</v>
      </c>
      <c r="AG16" s="261">
        <v>0</v>
      </c>
      <c r="AH16" s="9">
        <f t="shared" si="1"/>
        <v>0</v>
      </c>
      <c r="AI16" s="261"/>
      <c r="AJ16" s="178" t="s">
        <v>3718</v>
      </c>
      <c r="AK16" s="261" t="s">
        <v>3713</v>
      </c>
      <c r="AL16" s="61" t="s">
        <v>3713</v>
      </c>
      <c r="AM16" s="125">
        <v>0</v>
      </c>
      <c r="AN16" s="61" t="s">
        <v>3713</v>
      </c>
      <c r="AO16" s="79">
        <v>10</v>
      </c>
      <c r="AP16" s="80">
        <v>0</v>
      </c>
      <c r="AQ16" s="80">
        <v>6</v>
      </c>
      <c r="AR16" s="80">
        <v>0</v>
      </c>
      <c r="AS16" s="11">
        <v>0</v>
      </c>
      <c r="AT16" s="11">
        <v>0</v>
      </c>
    </row>
    <row r="17" spans="1:46" ht="18" customHeight="1">
      <c r="A17" s="260" t="s">
        <v>1005</v>
      </c>
      <c r="B17" s="260" t="s">
        <v>1006</v>
      </c>
      <c r="C17" s="260" t="s">
        <v>100</v>
      </c>
      <c r="D17" s="260" t="s">
        <v>994</v>
      </c>
      <c r="E17" s="260" t="s">
        <v>995</v>
      </c>
      <c r="F17" s="260" t="s">
        <v>1007</v>
      </c>
      <c r="G17" s="260" t="s">
        <v>1008</v>
      </c>
      <c r="H17" s="260" t="s">
        <v>1043</v>
      </c>
      <c r="I17" s="260"/>
      <c r="J17" s="260"/>
      <c r="K17" s="260" t="s">
        <v>1044</v>
      </c>
      <c r="L17" s="260" t="s">
        <v>1045</v>
      </c>
      <c r="M17" s="260" t="s">
        <v>1046</v>
      </c>
      <c r="N17" s="260" t="s">
        <v>111</v>
      </c>
      <c r="O17" s="260" t="s">
        <v>112</v>
      </c>
      <c r="P17" s="10">
        <v>117</v>
      </c>
      <c r="Q17" s="11">
        <v>117</v>
      </c>
      <c r="R17" s="11">
        <f t="shared" si="0"/>
        <v>45</v>
      </c>
      <c r="S17" s="261" t="s">
        <v>3719</v>
      </c>
      <c r="T17" s="11">
        <v>15</v>
      </c>
      <c r="U17" s="11">
        <v>0</v>
      </c>
      <c r="V17" s="11">
        <v>15</v>
      </c>
      <c r="W17" s="11">
        <v>0</v>
      </c>
      <c r="X17" s="11">
        <v>15</v>
      </c>
      <c r="Y17" s="11">
        <v>0</v>
      </c>
      <c r="Z17" s="11">
        <v>15</v>
      </c>
      <c r="AA17" s="11" t="s">
        <v>1047</v>
      </c>
      <c r="AB17" s="11" t="s">
        <v>1048</v>
      </c>
      <c r="AC17" s="11" t="s">
        <v>1049</v>
      </c>
      <c r="AD17" s="11">
        <v>30</v>
      </c>
      <c r="AE17" s="11">
        <v>0</v>
      </c>
      <c r="AF17" s="261">
        <v>30</v>
      </c>
      <c r="AG17" s="261">
        <v>0</v>
      </c>
      <c r="AH17" s="9">
        <f t="shared" si="1"/>
        <v>30</v>
      </c>
      <c r="AI17" s="261" t="s">
        <v>3720</v>
      </c>
      <c r="AJ17" s="178" t="s">
        <v>3721</v>
      </c>
      <c r="AK17" s="261" t="s">
        <v>3713</v>
      </c>
      <c r="AL17" s="61" t="s">
        <v>3713</v>
      </c>
      <c r="AM17" s="125">
        <v>0</v>
      </c>
      <c r="AN17" s="61" t="s">
        <v>3713</v>
      </c>
      <c r="AO17" s="79">
        <v>40</v>
      </c>
      <c r="AP17" s="80">
        <v>0</v>
      </c>
      <c r="AQ17" s="80">
        <v>32</v>
      </c>
      <c r="AR17" s="80">
        <v>0</v>
      </c>
      <c r="AS17" s="11">
        <v>0</v>
      </c>
      <c r="AT17" s="11">
        <v>0</v>
      </c>
    </row>
    <row r="18" spans="1:46" ht="18" customHeight="1">
      <c r="A18" s="260" t="s">
        <v>1005</v>
      </c>
      <c r="B18" s="260" t="s">
        <v>1006</v>
      </c>
      <c r="C18" s="260" t="s">
        <v>100</v>
      </c>
      <c r="D18" s="260" t="s">
        <v>994</v>
      </c>
      <c r="E18" s="260" t="s">
        <v>995</v>
      </c>
      <c r="F18" s="260" t="s">
        <v>1007</v>
      </c>
      <c r="G18" s="260" t="s">
        <v>1008</v>
      </c>
      <c r="H18" s="260" t="s">
        <v>1050</v>
      </c>
      <c r="I18" s="260"/>
      <c r="J18" s="260"/>
      <c r="K18" s="260" t="s">
        <v>1051</v>
      </c>
      <c r="L18" s="260" t="s">
        <v>1052</v>
      </c>
      <c r="M18" s="260" t="s">
        <v>1053</v>
      </c>
      <c r="N18" s="260" t="s">
        <v>111</v>
      </c>
      <c r="O18" s="260" t="s">
        <v>112</v>
      </c>
      <c r="P18" s="10">
        <v>0</v>
      </c>
      <c r="Q18" s="11">
        <v>116</v>
      </c>
      <c r="R18" s="11">
        <f t="shared" si="0"/>
        <v>50</v>
      </c>
      <c r="S18" s="261"/>
      <c r="T18" s="11">
        <v>15</v>
      </c>
      <c r="U18" s="11">
        <v>0</v>
      </c>
      <c r="V18" s="11">
        <v>15</v>
      </c>
      <c r="W18" s="11">
        <v>0</v>
      </c>
      <c r="X18" s="11">
        <v>15</v>
      </c>
      <c r="Y18" s="11">
        <v>0</v>
      </c>
      <c r="Z18" s="11">
        <v>15</v>
      </c>
      <c r="AA18" s="11" t="s">
        <v>1054</v>
      </c>
      <c r="AB18" s="11" t="s">
        <v>1055</v>
      </c>
      <c r="AC18" s="11" t="s">
        <v>1056</v>
      </c>
      <c r="AD18" s="11">
        <v>35</v>
      </c>
      <c r="AE18" s="11">
        <v>0</v>
      </c>
      <c r="AF18" s="261">
        <v>35</v>
      </c>
      <c r="AG18" s="261">
        <v>0</v>
      </c>
      <c r="AH18" s="9">
        <f t="shared" si="1"/>
        <v>35</v>
      </c>
      <c r="AI18" s="261" t="s">
        <v>3722</v>
      </c>
      <c r="AJ18" s="178" t="s">
        <v>3723</v>
      </c>
      <c r="AK18" s="261" t="s">
        <v>3713</v>
      </c>
      <c r="AL18" s="61" t="s">
        <v>3713</v>
      </c>
      <c r="AM18" s="125">
        <v>0</v>
      </c>
      <c r="AN18" s="61" t="s">
        <v>3713</v>
      </c>
      <c r="AO18" s="79">
        <v>50</v>
      </c>
      <c r="AP18" s="80">
        <v>0</v>
      </c>
      <c r="AQ18" s="80">
        <v>16</v>
      </c>
      <c r="AR18" s="80">
        <v>0</v>
      </c>
      <c r="AS18" s="11">
        <v>0</v>
      </c>
      <c r="AT18" s="11">
        <v>0</v>
      </c>
    </row>
    <row r="19" spans="1:46" ht="18" customHeight="1">
      <c r="A19" s="260" t="s">
        <v>1005</v>
      </c>
      <c r="B19" s="260" t="s">
        <v>1006</v>
      </c>
      <c r="C19" s="260" t="s">
        <v>1286</v>
      </c>
      <c r="D19" s="260" t="s">
        <v>1287</v>
      </c>
      <c r="E19" s="260" t="s">
        <v>1288</v>
      </c>
      <c r="F19" s="260" t="s">
        <v>1316</v>
      </c>
      <c r="G19" s="260" t="s">
        <v>1317</v>
      </c>
      <c r="H19" s="260" t="s">
        <v>1318</v>
      </c>
      <c r="I19" s="260" t="s">
        <v>1244</v>
      </c>
      <c r="J19" s="260"/>
      <c r="K19" s="260" t="s">
        <v>1319</v>
      </c>
      <c r="L19" s="260" t="s">
        <v>1320</v>
      </c>
      <c r="M19" s="260" t="s">
        <v>1321</v>
      </c>
      <c r="N19" s="260" t="s">
        <v>111</v>
      </c>
      <c r="O19" s="260" t="s">
        <v>112</v>
      </c>
      <c r="P19" s="10">
        <v>600</v>
      </c>
      <c r="Q19" s="11">
        <v>1200</v>
      </c>
      <c r="R19" s="11">
        <f t="shared" si="0"/>
        <v>205</v>
      </c>
      <c r="S19" s="261"/>
      <c r="T19" s="11">
        <v>100</v>
      </c>
      <c r="U19" s="11">
        <v>0</v>
      </c>
      <c r="V19" s="11">
        <v>100</v>
      </c>
      <c r="W19" s="11">
        <v>0</v>
      </c>
      <c r="X19" s="11">
        <v>124</v>
      </c>
      <c r="Y19" s="11">
        <v>0</v>
      </c>
      <c r="Z19" s="11">
        <v>124</v>
      </c>
      <c r="AA19" s="11" t="s">
        <v>1322</v>
      </c>
      <c r="AB19" s="11" t="s">
        <v>1323</v>
      </c>
      <c r="AC19" s="11" t="s">
        <v>1324</v>
      </c>
      <c r="AD19" s="11">
        <v>440</v>
      </c>
      <c r="AE19" s="11">
        <v>0</v>
      </c>
      <c r="AF19" s="261">
        <v>81</v>
      </c>
      <c r="AG19" s="261">
        <v>0</v>
      </c>
      <c r="AH19" s="9">
        <f t="shared" ref="AH19" si="2">AF19</f>
        <v>81</v>
      </c>
      <c r="AI19" s="261" t="s">
        <v>3724</v>
      </c>
      <c r="AJ19" s="179" t="s">
        <v>3725</v>
      </c>
      <c r="AK19" s="261" t="s">
        <v>3713</v>
      </c>
      <c r="AL19" s="61" t="s">
        <v>3713</v>
      </c>
      <c r="AM19" s="125">
        <v>0</v>
      </c>
      <c r="AN19" s="61" t="s">
        <v>3713</v>
      </c>
      <c r="AO19" s="79">
        <v>440</v>
      </c>
      <c r="AP19" s="80">
        <v>0</v>
      </c>
      <c r="AQ19" s="80">
        <v>196</v>
      </c>
      <c r="AR19" s="80">
        <v>0</v>
      </c>
      <c r="AS19" s="11">
        <v>0</v>
      </c>
      <c r="AT19" s="11">
        <v>0</v>
      </c>
    </row>
    <row r="20" spans="1:46" s="3" customFormat="1">
      <c r="L20" s="5"/>
      <c r="AM20" s="124"/>
    </row>
  </sheetData>
  <sheetProtection algorithmName="SHA-512" hashValue="9+1trHJPwWHzkMnkBgRBzkMlCbBa8gOeLm7Gwu821rCfWgBTSZbUn2jB5ZY7QkHR/n1l7gf1U/DldhyAarZHMA==" saltValue="xBEi/sC+KN1aMWeXENdDbw==" spinCount="100000" sheet="1" autoFilter="0"/>
  <autoFilter ref="A12:IZ19" xr:uid="{00000000-0009-0000-0000-000011000000}"/>
  <customSheetViews>
    <customSheetView guid="{75629C99-8367-48E9-A2A2-D8C49A9E68E3}" scale="70" showAutoFilter="1" hiddenRows="1" topLeftCell="AC9">
      <selection activeCell="AD13" sqref="AD13:AE19"/>
      <pageMargins left="0" right="0" top="0" bottom="0" header="0" footer="0"/>
      <pageSetup orientation="portrait" r:id="rId1"/>
      <autoFilter ref="A12:IZ19" xr:uid="{1858601C-C51D-409C-85C7-84CDE208D86A}"/>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T25"/>
  <sheetViews>
    <sheetView zoomScale="80" zoomScaleNormal="80" workbookViewId="0">
      <selection activeCell="AK22" sqref="AK2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442</v>
      </c>
      <c r="B13" s="260" t="s">
        <v>443</v>
      </c>
      <c r="C13" s="260" t="s">
        <v>100</v>
      </c>
      <c r="D13" s="260" t="s">
        <v>101</v>
      </c>
      <c r="E13" s="260" t="s">
        <v>294</v>
      </c>
      <c r="F13" s="260" t="s">
        <v>430</v>
      </c>
      <c r="G13" s="260" t="s">
        <v>431</v>
      </c>
      <c r="H13" s="260" t="s">
        <v>444</v>
      </c>
      <c r="I13" s="260" t="s">
        <v>445</v>
      </c>
      <c r="J13" s="260"/>
      <c r="K13" s="260" t="s">
        <v>446</v>
      </c>
      <c r="L13" s="260" t="s">
        <v>447</v>
      </c>
      <c r="M13" s="260" t="s">
        <v>448</v>
      </c>
      <c r="N13" s="260" t="s">
        <v>111</v>
      </c>
      <c r="O13" s="260" t="s">
        <v>112</v>
      </c>
      <c r="P13" s="10">
        <v>5963</v>
      </c>
      <c r="Q13" s="11">
        <v>4000</v>
      </c>
      <c r="R13" s="11">
        <f t="shared" ref="R13:R24" si="0">Z13+AH13</f>
        <v>1235</v>
      </c>
      <c r="S13" s="65" t="s">
        <v>3726</v>
      </c>
      <c r="T13" s="11">
        <v>300</v>
      </c>
      <c r="U13" s="11">
        <v>0</v>
      </c>
      <c r="V13" s="11">
        <v>300</v>
      </c>
      <c r="W13" s="11">
        <v>0</v>
      </c>
      <c r="X13" s="11">
        <v>669</v>
      </c>
      <c r="Y13" s="11">
        <v>0</v>
      </c>
      <c r="Z13" s="11">
        <v>669</v>
      </c>
      <c r="AA13" s="11" t="s">
        <v>449</v>
      </c>
      <c r="AB13" s="11" t="s">
        <v>450</v>
      </c>
      <c r="AC13" s="11" t="s">
        <v>451</v>
      </c>
      <c r="AD13" s="11">
        <v>1000</v>
      </c>
      <c r="AE13" s="11">
        <v>0</v>
      </c>
      <c r="AF13" s="261">
        <v>566</v>
      </c>
      <c r="AG13" s="261">
        <v>0</v>
      </c>
      <c r="AH13" s="9">
        <f t="shared" ref="AH13:AH22" si="1">AF13</f>
        <v>566</v>
      </c>
      <c r="AI13" s="261">
        <v>0</v>
      </c>
      <c r="AJ13" s="214" t="s">
        <v>3727</v>
      </c>
      <c r="AK13" s="88" t="s">
        <v>3728</v>
      </c>
      <c r="AL13" s="215"/>
      <c r="AM13" s="216"/>
      <c r="AN13" s="215"/>
      <c r="AO13" s="11">
        <v>1200</v>
      </c>
      <c r="AP13" s="11">
        <v>0</v>
      </c>
      <c r="AQ13" s="11">
        <v>1131</v>
      </c>
      <c r="AR13" s="11">
        <v>0</v>
      </c>
      <c r="AS13" s="11">
        <v>0</v>
      </c>
      <c r="AT13" s="11">
        <v>0</v>
      </c>
    </row>
    <row r="14" spans="1:46" ht="18" customHeight="1">
      <c r="A14" s="260" t="s">
        <v>442</v>
      </c>
      <c r="B14" s="260" t="s">
        <v>443</v>
      </c>
      <c r="C14" s="260" t="s">
        <v>100</v>
      </c>
      <c r="D14" s="260" t="s">
        <v>101</v>
      </c>
      <c r="E14" s="260" t="s">
        <v>294</v>
      </c>
      <c r="F14" s="260" t="s">
        <v>430</v>
      </c>
      <c r="G14" s="260" t="s">
        <v>431</v>
      </c>
      <c r="H14" s="260" t="s">
        <v>452</v>
      </c>
      <c r="I14" s="260" t="s">
        <v>200</v>
      </c>
      <c r="J14" s="260"/>
      <c r="K14" s="260" t="s">
        <v>453</v>
      </c>
      <c r="L14" s="260" t="s">
        <v>454</v>
      </c>
      <c r="M14" s="260" t="s">
        <v>455</v>
      </c>
      <c r="N14" s="260" t="s">
        <v>111</v>
      </c>
      <c r="O14" s="260" t="s">
        <v>112</v>
      </c>
      <c r="P14" s="10">
        <v>0</v>
      </c>
      <c r="Q14" s="11">
        <v>30</v>
      </c>
      <c r="R14" s="11">
        <f t="shared" si="0"/>
        <v>33</v>
      </c>
      <c r="S14" s="261" t="s">
        <v>3729</v>
      </c>
      <c r="T14" s="11">
        <v>3</v>
      </c>
      <c r="U14" s="11">
        <v>0</v>
      </c>
      <c r="V14" s="11">
        <v>3</v>
      </c>
      <c r="W14" s="11">
        <v>0</v>
      </c>
      <c r="X14" s="11">
        <v>20</v>
      </c>
      <c r="Y14" s="11">
        <v>0</v>
      </c>
      <c r="Z14" s="11">
        <v>20</v>
      </c>
      <c r="AA14" s="11" t="s">
        <v>456</v>
      </c>
      <c r="AB14" s="11" t="s">
        <v>457</v>
      </c>
      <c r="AC14" s="11" t="s">
        <v>458</v>
      </c>
      <c r="AD14" s="11">
        <v>5</v>
      </c>
      <c r="AE14" s="11">
        <v>0</v>
      </c>
      <c r="AF14" s="261">
        <v>13</v>
      </c>
      <c r="AG14" s="261">
        <v>0</v>
      </c>
      <c r="AH14" s="9">
        <f t="shared" si="1"/>
        <v>13</v>
      </c>
      <c r="AI14" s="261">
        <v>0</v>
      </c>
      <c r="AJ14" s="214" t="s">
        <v>3730</v>
      </c>
      <c r="AK14" s="215"/>
      <c r="AL14" s="217"/>
      <c r="AM14" s="218">
        <v>160252446</v>
      </c>
      <c r="AN14" s="217" t="s">
        <v>3731</v>
      </c>
      <c r="AO14" s="11">
        <v>4</v>
      </c>
      <c r="AP14" s="11">
        <v>0</v>
      </c>
      <c r="AQ14" s="11">
        <v>1</v>
      </c>
      <c r="AR14" s="11">
        <v>0</v>
      </c>
      <c r="AS14" s="11">
        <v>0</v>
      </c>
      <c r="AT14" s="11">
        <v>0</v>
      </c>
    </row>
    <row r="15" spans="1:46" ht="18" customHeight="1">
      <c r="A15" s="260" t="s">
        <v>442</v>
      </c>
      <c r="B15" s="260" t="s">
        <v>443</v>
      </c>
      <c r="C15" s="260" t="s">
        <v>100</v>
      </c>
      <c r="D15" s="260" t="s">
        <v>101</v>
      </c>
      <c r="E15" s="260" t="s">
        <v>294</v>
      </c>
      <c r="F15" s="260" t="s">
        <v>430</v>
      </c>
      <c r="G15" s="260" t="s">
        <v>431</v>
      </c>
      <c r="H15" s="260" t="s">
        <v>459</v>
      </c>
      <c r="I15" s="260" t="s">
        <v>445</v>
      </c>
      <c r="J15" s="260"/>
      <c r="K15" s="260" t="s">
        <v>460</v>
      </c>
      <c r="L15" s="260" t="s">
        <v>461</v>
      </c>
      <c r="M15" s="260" t="s">
        <v>462</v>
      </c>
      <c r="N15" s="260" t="s">
        <v>111</v>
      </c>
      <c r="O15" s="260" t="s">
        <v>112</v>
      </c>
      <c r="P15" s="10">
        <v>0</v>
      </c>
      <c r="Q15" s="11">
        <v>20</v>
      </c>
      <c r="R15" s="11">
        <f t="shared" si="0"/>
        <v>6</v>
      </c>
      <c r="S15" s="65" t="s">
        <v>3732</v>
      </c>
      <c r="T15" s="11">
        <v>3</v>
      </c>
      <c r="U15" s="11">
        <v>0</v>
      </c>
      <c r="V15" s="11">
        <v>0</v>
      </c>
      <c r="W15" s="11">
        <v>0</v>
      </c>
      <c r="X15" s="11">
        <v>0</v>
      </c>
      <c r="Y15" s="11">
        <v>0</v>
      </c>
      <c r="Z15" s="11">
        <v>0</v>
      </c>
      <c r="AA15" s="11"/>
      <c r="AB15" s="11"/>
      <c r="AC15" s="11"/>
      <c r="AD15" s="11">
        <v>6</v>
      </c>
      <c r="AE15" s="11">
        <v>0</v>
      </c>
      <c r="AF15" s="261">
        <v>6</v>
      </c>
      <c r="AG15" s="261">
        <v>0</v>
      </c>
      <c r="AH15" s="9">
        <f t="shared" si="1"/>
        <v>6</v>
      </c>
      <c r="AI15" s="261">
        <v>6</v>
      </c>
      <c r="AJ15" s="214" t="s">
        <v>3733</v>
      </c>
      <c r="AK15" s="215"/>
      <c r="AL15" s="217"/>
      <c r="AM15" s="218"/>
      <c r="AN15" s="217"/>
      <c r="AO15" s="11">
        <v>6</v>
      </c>
      <c r="AP15" s="11">
        <v>0</v>
      </c>
      <c r="AQ15" s="11">
        <v>8</v>
      </c>
      <c r="AR15" s="11">
        <v>0</v>
      </c>
      <c r="AS15" s="11">
        <v>0</v>
      </c>
      <c r="AT15" s="11">
        <v>0</v>
      </c>
    </row>
    <row r="16" spans="1:46" ht="18" customHeight="1">
      <c r="A16" s="260" t="s">
        <v>442</v>
      </c>
      <c r="B16" s="260" t="s">
        <v>443</v>
      </c>
      <c r="C16" s="260" t="s">
        <v>100</v>
      </c>
      <c r="D16" s="260" t="s">
        <v>101</v>
      </c>
      <c r="E16" s="260" t="s">
        <v>294</v>
      </c>
      <c r="F16" s="260" t="s">
        <v>463</v>
      </c>
      <c r="G16" s="260" t="s">
        <v>464</v>
      </c>
      <c r="H16" s="260" t="s">
        <v>465</v>
      </c>
      <c r="I16" s="260" t="s">
        <v>200</v>
      </c>
      <c r="J16" s="260"/>
      <c r="K16" s="260" t="s">
        <v>466</v>
      </c>
      <c r="L16" s="260" t="s">
        <v>467</v>
      </c>
      <c r="M16" s="260" t="s">
        <v>468</v>
      </c>
      <c r="N16" s="260" t="s">
        <v>111</v>
      </c>
      <c r="O16" s="260" t="s">
        <v>112</v>
      </c>
      <c r="P16" s="10">
        <v>302</v>
      </c>
      <c r="Q16" s="11">
        <v>150</v>
      </c>
      <c r="R16" s="11">
        <f t="shared" si="0"/>
        <v>20</v>
      </c>
      <c r="S16" s="261" t="s">
        <v>3734</v>
      </c>
      <c r="T16" s="11">
        <v>10</v>
      </c>
      <c r="U16" s="11">
        <v>0</v>
      </c>
      <c r="V16" s="11">
        <v>10</v>
      </c>
      <c r="W16" s="11">
        <v>0</v>
      </c>
      <c r="X16" s="11">
        <v>13</v>
      </c>
      <c r="Y16" s="11">
        <v>0</v>
      </c>
      <c r="Z16" s="11">
        <v>13</v>
      </c>
      <c r="AA16" s="11" t="s">
        <v>469</v>
      </c>
      <c r="AB16" s="11" t="s">
        <v>470</v>
      </c>
      <c r="AC16" s="11" t="s">
        <v>471</v>
      </c>
      <c r="AD16" s="11">
        <v>15</v>
      </c>
      <c r="AE16" s="11">
        <v>0</v>
      </c>
      <c r="AF16" s="261">
        <v>7</v>
      </c>
      <c r="AG16" s="261">
        <v>0</v>
      </c>
      <c r="AH16" s="9">
        <f t="shared" si="1"/>
        <v>7</v>
      </c>
      <c r="AI16" s="261">
        <v>0</v>
      </c>
      <c r="AJ16" s="214" t="s">
        <v>3735</v>
      </c>
      <c r="AK16" s="88" t="s">
        <v>3736</v>
      </c>
      <c r="AL16" s="217"/>
      <c r="AM16" s="218">
        <f>60462825+166997470</f>
        <v>227460295</v>
      </c>
      <c r="AN16" s="217" t="s">
        <v>3737</v>
      </c>
      <c r="AO16" s="11">
        <v>50</v>
      </c>
      <c r="AP16" s="11">
        <v>0</v>
      </c>
      <c r="AQ16" s="11">
        <v>72</v>
      </c>
      <c r="AR16" s="11">
        <v>0</v>
      </c>
      <c r="AS16" s="11">
        <v>0</v>
      </c>
      <c r="AT16" s="11">
        <v>0</v>
      </c>
    </row>
    <row r="17" spans="1:46" ht="18" customHeight="1">
      <c r="A17" s="260" t="s">
        <v>442</v>
      </c>
      <c r="B17" s="260" t="s">
        <v>443</v>
      </c>
      <c r="C17" s="260" t="s">
        <v>100</v>
      </c>
      <c r="D17" s="260" t="s">
        <v>101</v>
      </c>
      <c r="E17" s="260" t="s">
        <v>294</v>
      </c>
      <c r="F17" s="260" t="s">
        <v>463</v>
      </c>
      <c r="G17" s="260" t="s">
        <v>464</v>
      </c>
      <c r="H17" s="260" t="s">
        <v>472</v>
      </c>
      <c r="I17" s="260" t="s">
        <v>200</v>
      </c>
      <c r="J17" s="260"/>
      <c r="K17" s="260" t="s">
        <v>473</v>
      </c>
      <c r="L17" s="260" t="s">
        <v>474</v>
      </c>
      <c r="M17" s="260" t="s">
        <v>475</v>
      </c>
      <c r="N17" s="260" t="s">
        <v>111</v>
      </c>
      <c r="O17" s="260" t="s">
        <v>112</v>
      </c>
      <c r="P17" s="10">
        <v>5321</v>
      </c>
      <c r="Q17" s="11">
        <v>4000</v>
      </c>
      <c r="R17" s="11">
        <f t="shared" si="0"/>
        <v>8067</v>
      </c>
      <c r="S17" s="65" t="s">
        <v>3738</v>
      </c>
      <c r="T17" s="11">
        <v>900</v>
      </c>
      <c r="U17" s="11">
        <v>0</v>
      </c>
      <c r="V17" s="11">
        <v>900</v>
      </c>
      <c r="W17" s="11">
        <v>0</v>
      </c>
      <c r="X17" s="11">
        <v>3123</v>
      </c>
      <c r="Y17" s="11">
        <v>0</v>
      </c>
      <c r="Z17" s="11">
        <v>3123</v>
      </c>
      <c r="AA17" s="11" t="s">
        <v>476</v>
      </c>
      <c r="AB17" s="11" t="s">
        <v>477</v>
      </c>
      <c r="AC17" s="11" t="s">
        <v>478</v>
      </c>
      <c r="AD17" s="11">
        <v>300</v>
      </c>
      <c r="AE17" s="11">
        <v>0</v>
      </c>
      <c r="AF17" s="261">
        <f>4889+55</f>
        <v>4944</v>
      </c>
      <c r="AG17" s="261">
        <v>0</v>
      </c>
      <c r="AH17" s="9">
        <f t="shared" si="1"/>
        <v>4944</v>
      </c>
      <c r="AI17" s="261">
        <v>4889</v>
      </c>
      <c r="AJ17" s="214" t="s">
        <v>3739</v>
      </c>
      <c r="AK17" s="88" t="s">
        <v>3740</v>
      </c>
      <c r="AL17" s="217"/>
      <c r="AM17" s="218">
        <f>1382173791+100026096+350000000+600000000</f>
        <v>2432199887</v>
      </c>
      <c r="AN17" s="217" t="s">
        <v>3741</v>
      </c>
      <c r="AO17" s="11">
        <v>300</v>
      </c>
      <c r="AP17" s="11">
        <v>0</v>
      </c>
      <c r="AQ17" s="11">
        <v>277</v>
      </c>
      <c r="AR17" s="11">
        <v>0</v>
      </c>
      <c r="AS17" s="11">
        <v>0</v>
      </c>
      <c r="AT17" s="11">
        <v>0</v>
      </c>
    </row>
    <row r="18" spans="1:46" ht="18" customHeight="1">
      <c r="A18" s="260" t="s">
        <v>442</v>
      </c>
      <c r="B18" s="260" t="s">
        <v>443</v>
      </c>
      <c r="C18" s="260" t="s">
        <v>100</v>
      </c>
      <c r="D18" s="260" t="s">
        <v>101</v>
      </c>
      <c r="E18" s="260" t="s">
        <v>294</v>
      </c>
      <c r="F18" s="260" t="s">
        <v>463</v>
      </c>
      <c r="G18" s="260" t="s">
        <v>464</v>
      </c>
      <c r="H18" s="260" t="s">
        <v>479</v>
      </c>
      <c r="I18" s="260" t="s">
        <v>200</v>
      </c>
      <c r="J18" s="260"/>
      <c r="K18" s="260" t="s">
        <v>480</v>
      </c>
      <c r="L18" s="260" t="s">
        <v>481</v>
      </c>
      <c r="M18" s="260" t="s">
        <v>482</v>
      </c>
      <c r="N18" s="260" t="s">
        <v>111</v>
      </c>
      <c r="O18" s="260" t="s">
        <v>112</v>
      </c>
      <c r="P18" s="10">
        <v>1090</v>
      </c>
      <c r="Q18" s="11">
        <v>300</v>
      </c>
      <c r="R18" s="11">
        <f t="shared" si="0"/>
        <v>81</v>
      </c>
      <c r="S18" s="261" t="s">
        <v>3742</v>
      </c>
      <c r="T18" s="11">
        <v>50</v>
      </c>
      <c r="U18" s="11">
        <v>0</v>
      </c>
      <c r="V18" s="11">
        <v>50</v>
      </c>
      <c r="W18" s="11">
        <v>0</v>
      </c>
      <c r="X18" s="11">
        <v>64</v>
      </c>
      <c r="Y18" s="11">
        <v>0</v>
      </c>
      <c r="Z18" s="11">
        <v>64</v>
      </c>
      <c r="AA18" s="11" t="s">
        <v>483</v>
      </c>
      <c r="AB18" s="11" t="s">
        <v>484</v>
      </c>
      <c r="AC18" s="11" t="s">
        <v>485</v>
      </c>
      <c r="AD18" s="11">
        <v>86</v>
      </c>
      <c r="AE18" s="11">
        <v>0</v>
      </c>
      <c r="AF18" s="261">
        <v>17</v>
      </c>
      <c r="AG18" s="261">
        <v>0</v>
      </c>
      <c r="AH18" s="9">
        <f t="shared" si="1"/>
        <v>17</v>
      </c>
      <c r="AI18" s="261">
        <v>0</v>
      </c>
      <c r="AJ18" s="214" t="s">
        <v>3743</v>
      </c>
      <c r="AK18" s="88" t="s">
        <v>3744</v>
      </c>
      <c r="AL18" s="217"/>
      <c r="AM18" s="218">
        <f>20315518+115101711+82827822+73399494</f>
        <v>291644545</v>
      </c>
      <c r="AN18" s="217" t="s">
        <v>3745</v>
      </c>
      <c r="AO18" s="11">
        <v>100</v>
      </c>
      <c r="AP18" s="11">
        <v>0</v>
      </c>
      <c r="AQ18" s="11">
        <v>50</v>
      </c>
      <c r="AR18" s="11">
        <v>0</v>
      </c>
      <c r="AS18" s="11">
        <v>0</v>
      </c>
      <c r="AT18" s="11">
        <v>0</v>
      </c>
    </row>
    <row r="19" spans="1:46" ht="18" customHeight="1">
      <c r="A19" s="260" t="s">
        <v>442</v>
      </c>
      <c r="B19" s="260" t="s">
        <v>443</v>
      </c>
      <c r="C19" s="260" t="s">
        <v>100</v>
      </c>
      <c r="D19" s="260" t="s">
        <v>101</v>
      </c>
      <c r="E19" s="260" t="s">
        <v>294</v>
      </c>
      <c r="F19" s="260" t="s">
        <v>463</v>
      </c>
      <c r="G19" s="260" t="s">
        <v>464</v>
      </c>
      <c r="H19" s="260" t="s">
        <v>486</v>
      </c>
      <c r="I19" s="260" t="s">
        <v>200</v>
      </c>
      <c r="J19" s="260"/>
      <c r="K19" s="260" t="s">
        <v>487</v>
      </c>
      <c r="L19" s="260" t="s">
        <v>488</v>
      </c>
      <c r="M19" s="260" t="s">
        <v>489</v>
      </c>
      <c r="N19" s="260" t="s">
        <v>111</v>
      </c>
      <c r="O19" s="260" t="s">
        <v>112</v>
      </c>
      <c r="P19" s="10">
        <v>0</v>
      </c>
      <c r="Q19" s="11">
        <v>10</v>
      </c>
      <c r="R19" s="11">
        <f t="shared" si="0"/>
        <v>10</v>
      </c>
      <c r="S19" s="261" t="s">
        <v>3746</v>
      </c>
      <c r="T19" s="11">
        <v>1</v>
      </c>
      <c r="U19" s="11">
        <v>0</v>
      </c>
      <c r="V19" s="11">
        <v>1</v>
      </c>
      <c r="W19" s="11">
        <v>0</v>
      </c>
      <c r="X19" s="11">
        <v>1</v>
      </c>
      <c r="Y19" s="11">
        <v>0</v>
      </c>
      <c r="Z19" s="11">
        <v>1</v>
      </c>
      <c r="AA19" s="11" t="s">
        <v>490</v>
      </c>
      <c r="AB19" s="11" t="s">
        <v>491</v>
      </c>
      <c r="AC19" s="11">
        <v>0</v>
      </c>
      <c r="AD19" s="11">
        <v>3</v>
      </c>
      <c r="AE19" s="11">
        <v>0</v>
      </c>
      <c r="AF19" s="261">
        <v>9</v>
      </c>
      <c r="AG19" s="261">
        <v>0</v>
      </c>
      <c r="AH19" s="9">
        <f t="shared" si="1"/>
        <v>9</v>
      </c>
      <c r="AI19" s="261">
        <v>0</v>
      </c>
      <c r="AJ19" s="214" t="s">
        <v>3747</v>
      </c>
      <c r="AK19" s="88"/>
      <c r="AL19" s="217"/>
      <c r="AM19" s="218"/>
      <c r="AN19" s="217"/>
      <c r="AO19" s="11">
        <v>3</v>
      </c>
      <c r="AP19" s="11">
        <v>0</v>
      </c>
      <c r="AQ19" s="11">
        <v>3</v>
      </c>
      <c r="AR19" s="11">
        <v>0</v>
      </c>
      <c r="AS19" s="11">
        <v>0</v>
      </c>
      <c r="AT19" s="11">
        <v>0</v>
      </c>
    </row>
    <row r="20" spans="1:46" ht="18" customHeight="1">
      <c r="A20" s="260" t="s">
        <v>442</v>
      </c>
      <c r="B20" s="260" t="s">
        <v>443</v>
      </c>
      <c r="C20" s="260" t="s">
        <v>100</v>
      </c>
      <c r="D20" s="260" t="s">
        <v>101</v>
      </c>
      <c r="E20" s="260" t="s">
        <v>294</v>
      </c>
      <c r="F20" s="260" t="s">
        <v>463</v>
      </c>
      <c r="G20" s="260" t="s">
        <v>464</v>
      </c>
      <c r="H20" s="260" t="s">
        <v>492</v>
      </c>
      <c r="I20" s="260" t="s">
        <v>200</v>
      </c>
      <c r="J20" s="260"/>
      <c r="K20" s="260" t="s">
        <v>493</v>
      </c>
      <c r="L20" s="260" t="s">
        <v>494</v>
      </c>
      <c r="M20" s="260" t="s">
        <v>495</v>
      </c>
      <c r="N20" s="260" t="s">
        <v>111</v>
      </c>
      <c r="O20" s="260" t="s">
        <v>112</v>
      </c>
      <c r="P20" s="10">
        <v>736</v>
      </c>
      <c r="Q20" s="11">
        <v>120</v>
      </c>
      <c r="R20" s="11">
        <f t="shared" si="0"/>
        <v>34</v>
      </c>
      <c r="S20" s="261" t="s">
        <v>3748</v>
      </c>
      <c r="T20" s="11">
        <v>20</v>
      </c>
      <c r="U20" s="11">
        <v>0</v>
      </c>
      <c r="V20" s="11">
        <v>20</v>
      </c>
      <c r="W20" s="11">
        <v>0</v>
      </c>
      <c r="X20" s="11">
        <v>17</v>
      </c>
      <c r="Y20" s="11">
        <v>0</v>
      </c>
      <c r="Z20" s="11">
        <v>17</v>
      </c>
      <c r="AA20" s="11" t="s">
        <v>496</v>
      </c>
      <c r="AB20" s="11" t="s">
        <v>497</v>
      </c>
      <c r="AC20" s="11" t="s">
        <v>478</v>
      </c>
      <c r="AD20" s="11">
        <v>20</v>
      </c>
      <c r="AE20" s="11">
        <v>0</v>
      </c>
      <c r="AF20" s="261">
        <v>17</v>
      </c>
      <c r="AG20" s="261">
        <v>0</v>
      </c>
      <c r="AH20" s="9">
        <f t="shared" si="1"/>
        <v>17</v>
      </c>
      <c r="AI20" s="261">
        <v>0</v>
      </c>
      <c r="AJ20" s="214" t="s">
        <v>3749</v>
      </c>
      <c r="AK20" s="88" t="s">
        <v>3744</v>
      </c>
      <c r="AL20" s="217"/>
      <c r="AM20" s="218">
        <f>281600579+39425082+56157063</f>
        <v>377182724</v>
      </c>
      <c r="AN20" s="217" t="s">
        <v>3750</v>
      </c>
      <c r="AO20" s="11">
        <v>40</v>
      </c>
      <c r="AP20" s="11">
        <v>0</v>
      </c>
      <c r="AQ20" s="11">
        <v>43</v>
      </c>
      <c r="AR20" s="11">
        <v>0</v>
      </c>
      <c r="AS20" s="11">
        <v>0</v>
      </c>
      <c r="AT20" s="11">
        <v>0</v>
      </c>
    </row>
    <row r="21" spans="1:46" ht="18" customHeight="1">
      <c r="A21" s="260" t="s">
        <v>442</v>
      </c>
      <c r="B21" s="260" t="s">
        <v>443</v>
      </c>
      <c r="C21" s="260" t="s">
        <v>100</v>
      </c>
      <c r="D21" s="260" t="s">
        <v>101</v>
      </c>
      <c r="E21" s="260" t="s">
        <v>294</v>
      </c>
      <c r="F21" s="260" t="s">
        <v>463</v>
      </c>
      <c r="G21" s="260" t="s">
        <v>464</v>
      </c>
      <c r="H21" s="260" t="s">
        <v>498</v>
      </c>
      <c r="I21" s="260" t="s">
        <v>200</v>
      </c>
      <c r="J21" s="260"/>
      <c r="K21" s="260" t="s">
        <v>499</v>
      </c>
      <c r="L21" s="260" t="s">
        <v>500</v>
      </c>
      <c r="M21" s="260" t="s">
        <v>501</v>
      </c>
      <c r="N21" s="260" t="s">
        <v>111</v>
      </c>
      <c r="O21" s="260" t="s">
        <v>112</v>
      </c>
      <c r="P21" s="10">
        <v>5</v>
      </c>
      <c r="Q21" s="11">
        <v>5</v>
      </c>
      <c r="R21" s="11">
        <f t="shared" si="0"/>
        <v>1</v>
      </c>
      <c r="S21" s="261" t="s">
        <v>3751</v>
      </c>
      <c r="T21" s="11">
        <v>0</v>
      </c>
      <c r="U21" s="11">
        <v>0</v>
      </c>
      <c r="V21" s="11">
        <v>0</v>
      </c>
      <c r="W21" s="11">
        <v>0</v>
      </c>
      <c r="X21" s="11">
        <v>0</v>
      </c>
      <c r="Y21" s="11">
        <v>0</v>
      </c>
      <c r="Z21" s="11">
        <v>0</v>
      </c>
      <c r="AA21" s="11"/>
      <c r="AB21" s="11"/>
      <c r="AC21" s="11"/>
      <c r="AD21" s="11">
        <v>2</v>
      </c>
      <c r="AE21" s="11">
        <v>0</v>
      </c>
      <c r="AF21" s="261">
        <v>1</v>
      </c>
      <c r="AG21" s="261">
        <v>0</v>
      </c>
      <c r="AH21" s="9">
        <f t="shared" si="1"/>
        <v>1</v>
      </c>
      <c r="AI21" s="261">
        <v>0</v>
      </c>
      <c r="AJ21" s="214" t="s">
        <v>3752</v>
      </c>
      <c r="AK21" s="215"/>
      <c r="AL21" s="217"/>
      <c r="AM21" s="218"/>
      <c r="AN21" s="217"/>
      <c r="AO21" s="11">
        <v>2</v>
      </c>
      <c r="AP21" s="11">
        <v>0</v>
      </c>
      <c r="AQ21" s="11">
        <v>1</v>
      </c>
      <c r="AR21" s="11">
        <v>0</v>
      </c>
      <c r="AS21" s="11">
        <v>0</v>
      </c>
      <c r="AT21" s="11">
        <v>0</v>
      </c>
    </row>
    <row r="22" spans="1:46" ht="18" customHeight="1">
      <c r="A22" s="260" t="s">
        <v>442</v>
      </c>
      <c r="B22" s="260" t="s">
        <v>443</v>
      </c>
      <c r="C22" s="260" t="s">
        <v>100</v>
      </c>
      <c r="D22" s="260" t="s">
        <v>101</v>
      </c>
      <c r="E22" s="260" t="s">
        <v>294</v>
      </c>
      <c r="F22" s="260" t="s">
        <v>463</v>
      </c>
      <c r="G22" s="260" t="s">
        <v>464</v>
      </c>
      <c r="H22" s="260" t="s">
        <v>502</v>
      </c>
      <c r="I22" s="260" t="s">
        <v>200</v>
      </c>
      <c r="J22" s="260"/>
      <c r="K22" s="260" t="s">
        <v>503</v>
      </c>
      <c r="L22" s="260" t="s">
        <v>504</v>
      </c>
      <c r="M22" s="260" t="s">
        <v>505</v>
      </c>
      <c r="N22" s="260" t="s">
        <v>123</v>
      </c>
      <c r="O22" s="260" t="s">
        <v>112</v>
      </c>
      <c r="P22" s="10">
        <v>0</v>
      </c>
      <c r="Q22" s="11">
        <v>100</v>
      </c>
      <c r="R22" s="11">
        <f t="shared" si="0"/>
        <v>35</v>
      </c>
      <c r="S22" s="261" t="s">
        <v>3753</v>
      </c>
      <c r="T22" s="11">
        <v>10</v>
      </c>
      <c r="U22" s="11">
        <v>0</v>
      </c>
      <c r="V22" s="11">
        <v>10</v>
      </c>
      <c r="W22" s="11">
        <v>0</v>
      </c>
      <c r="X22" s="11">
        <v>10</v>
      </c>
      <c r="Y22" s="11">
        <v>0</v>
      </c>
      <c r="Z22" s="11">
        <v>10</v>
      </c>
      <c r="AA22" s="11" t="s">
        <v>506</v>
      </c>
      <c r="AB22" s="11" t="s">
        <v>507</v>
      </c>
      <c r="AC22" s="11">
        <v>0</v>
      </c>
      <c r="AD22" s="11">
        <v>25</v>
      </c>
      <c r="AE22" s="11">
        <v>0</v>
      </c>
      <c r="AF22" s="261">
        <v>25</v>
      </c>
      <c r="AG22" s="261">
        <v>0</v>
      </c>
      <c r="AH22" s="9">
        <f t="shared" si="1"/>
        <v>25</v>
      </c>
      <c r="AI22" s="261">
        <v>25</v>
      </c>
      <c r="AJ22" s="214" t="s">
        <v>3754</v>
      </c>
      <c r="AK22" s="215"/>
      <c r="AL22" s="217"/>
      <c r="AM22" s="218"/>
      <c r="AN22" s="217"/>
      <c r="AO22" s="11">
        <v>35</v>
      </c>
      <c r="AP22" s="11">
        <v>0</v>
      </c>
      <c r="AQ22" s="11">
        <v>30</v>
      </c>
      <c r="AR22" s="11">
        <v>0</v>
      </c>
      <c r="AS22" s="11">
        <v>0</v>
      </c>
      <c r="AT22" s="11">
        <v>0</v>
      </c>
    </row>
    <row r="23" spans="1:46" ht="18" customHeight="1">
      <c r="A23" s="260" t="s">
        <v>442</v>
      </c>
      <c r="B23" s="260" t="s">
        <v>443</v>
      </c>
      <c r="C23" s="260" t="s">
        <v>2129</v>
      </c>
      <c r="D23" s="260" t="s">
        <v>2313</v>
      </c>
      <c r="E23" s="260" t="s">
        <v>2314</v>
      </c>
      <c r="F23" s="260" t="s">
        <v>2315</v>
      </c>
      <c r="G23" s="260" t="s">
        <v>2316</v>
      </c>
      <c r="H23" s="260" t="s">
        <v>2317</v>
      </c>
      <c r="I23" s="260" t="s">
        <v>200</v>
      </c>
      <c r="J23" s="260"/>
      <c r="K23" s="260" t="s">
        <v>2318</v>
      </c>
      <c r="L23" s="260" t="s">
        <v>2319</v>
      </c>
      <c r="M23" s="260" t="s">
        <v>2320</v>
      </c>
      <c r="N23" s="260" t="s">
        <v>111</v>
      </c>
      <c r="O23" s="260" t="s">
        <v>112</v>
      </c>
      <c r="P23" s="10">
        <v>0</v>
      </c>
      <c r="Q23" s="11">
        <v>2</v>
      </c>
      <c r="R23" s="11">
        <f t="shared" si="0"/>
        <v>1</v>
      </c>
      <c r="S23" s="261" t="s">
        <v>3751</v>
      </c>
      <c r="T23" s="11">
        <v>0</v>
      </c>
      <c r="U23" s="11">
        <v>0</v>
      </c>
      <c r="V23" s="11">
        <v>0</v>
      </c>
      <c r="W23" s="11">
        <v>0</v>
      </c>
      <c r="X23" s="11">
        <v>0</v>
      </c>
      <c r="Y23" s="11">
        <v>0</v>
      </c>
      <c r="Z23" s="11">
        <v>0</v>
      </c>
      <c r="AA23" s="11"/>
      <c r="AB23" s="11"/>
      <c r="AC23" s="11"/>
      <c r="AD23" s="11">
        <v>2</v>
      </c>
      <c r="AE23" s="11">
        <v>0</v>
      </c>
      <c r="AF23" s="261">
        <v>1</v>
      </c>
      <c r="AG23" s="261">
        <v>0</v>
      </c>
      <c r="AH23" s="9">
        <f t="shared" ref="AH23:AH24" si="2">AF23</f>
        <v>1</v>
      </c>
      <c r="AI23" s="261">
        <v>0</v>
      </c>
      <c r="AJ23" s="214" t="s">
        <v>3755</v>
      </c>
      <c r="AK23" s="88" t="s">
        <v>3756</v>
      </c>
      <c r="AL23" s="217"/>
      <c r="AM23" s="218">
        <v>19996909</v>
      </c>
      <c r="AN23" s="217" t="s">
        <v>3757</v>
      </c>
      <c r="AO23" s="11">
        <v>1</v>
      </c>
      <c r="AP23" s="11">
        <v>0</v>
      </c>
      <c r="AQ23" s="11">
        <v>0</v>
      </c>
      <c r="AR23" s="11">
        <v>0</v>
      </c>
      <c r="AS23" s="11">
        <v>0</v>
      </c>
      <c r="AT23" s="11">
        <v>0</v>
      </c>
    </row>
    <row r="24" spans="1:46" ht="18" customHeight="1">
      <c r="A24" s="260" t="s">
        <v>442</v>
      </c>
      <c r="B24" s="260" t="s">
        <v>443</v>
      </c>
      <c r="C24" s="260" t="s">
        <v>2129</v>
      </c>
      <c r="D24" s="260" t="s">
        <v>2313</v>
      </c>
      <c r="E24" s="260" t="s">
        <v>2314</v>
      </c>
      <c r="F24" s="260" t="s">
        <v>2321</v>
      </c>
      <c r="G24" s="260" t="s">
        <v>2322</v>
      </c>
      <c r="H24" s="260" t="s">
        <v>2323</v>
      </c>
      <c r="I24" s="260" t="s">
        <v>200</v>
      </c>
      <c r="J24" s="260"/>
      <c r="K24" s="260" t="s">
        <v>2324</v>
      </c>
      <c r="L24" s="260" t="s">
        <v>2325</v>
      </c>
      <c r="M24" s="260" t="s">
        <v>2326</v>
      </c>
      <c r="N24" s="260" t="s">
        <v>111</v>
      </c>
      <c r="O24" s="260" t="s">
        <v>112</v>
      </c>
      <c r="P24" s="10">
        <v>0</v>
      </c>
      <c r="Q24" s="11">
        <v>2</v>
      </c>
      <c r="R24" s="11">
        <f t="shared" si="0"/>
        <v>0</v>
      </c>
      <c r="S24" s="261" t="s">
        <v>3751</v>
      </c>
      <c r="T24" s="11">
        <v>0</v>
      </c>
      <c r="U24" s="11">
        <v>0</v>
      </c>
      <c r="V24" s="11">
        <v>0</v>
      </c>
      <c r="W24" s="11">
        <v>0</v>
      </c>
      <c r="X24" s="11">
        <v>0</v>
      </c>
      <c r="Y24" s="11">
        <v>0</v>
      </c>
      <c r="Z24" s="11">
        <v>0</v>
      </c>
      <c r="AA24" s="11"/>
      <c r="AB24" s="11"/>
      <c r="AC24" s="11"/>
      <c r="AD24" s="11">
        <v>0</v>
      </c>
      <c r="AE24" s="11">
        <v>0</v>
      </c>
      <c r="AF24" s="261">
        <v>0</v>
      </c>
      <c r="AG24" s="261">
        <v>0</v>
      </c>
      <c r="AH24" s="9">
        <f t="shared" si="2"/>
        <v>0</v>
      </c>
      <c r="AI24" s="261">
        <v>0</v>
      </c>
      <c r="AJ24" s="215"/>
      <c r="AK24" s="215"/>
      <c r="AL24" s="217"/>
      <c r="AM24" s="218"/>
      <c r="AN24" s="217"/>
      <c r="AO24" s="11">
        <v>1</v>
      </c>
      <c r="AP24" s="11">
        <v>0</v>
      </c>
      <c r="AQ24" s="11">
        <v>1</v>
      </c>
      <c r="AR24" s="11">
        <v>0</v>
      </c>
      <c r="AS24" s="11">
        <v>0</v>
      </c>
      <c r="AT24" s="11">
        <v>0</v>
      </c>
    </row>
    <row r="25" spans="1:46" s="3" customFormat="1">
      <c r="L25" s="5"/>
      <c r="AM25" s="124"/>
    </row>
  </sheetData>
  <sheetProtection algorithmName="SHA-512" hashValue="+0Vt8MM7Wp+9FO6hh0s4LgIiC5R4kOPMZ5C+cWogzoA3AJ6o1cGcQIR5PhfVbVR9VzO1M59H2vwSySDCxlYr8Q==" saltValue="sCX5E4yx/j6+ii5xGBc0sQ==" spinCount="100000" sheet="1" autoFilter="0"/>
  <autoFilter ref="A12:IZ24" xr:uid="{00000000-0009-0000-0000-000012000000}"/>
  <customSheetViews>
    <customSheetView guid="{75629C99-8367-48E9-A2A2-D8C49A9E68E3}" scale="80" showAutoFilter="1" hiddenRows="1" topLeftCell="L1">
      <selection activeCell="T20" sqref="T20"/>
      <pageMargins left="0" right="0" top="0" bottom="0" header="0" footer="0"/>
      <pageSetup orientation="portrait" r:id="rId1"/>
      <autoFilter ref="A12:IZ24" xr:uid="{2BA57ABD-292B-44FC-9EF7-EF93F7DE9300}"/>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24">
    <cfRule type="duplicateValues" dxfId="7" priority="1"/>
  </conditionalFormatting>
  <pageMargins left="0.7" right="0.7" top="0.75" bottom="0.7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T21"/>
  <sheetViews>
    <sheetView topLeftCell="AN1" zoomScale="80" zoomScaleNormal="80" workbookViewId="0">
      <pane ySplit="12" topLeftCell="A13" activePane="bottomLeft" state="frozen"/>
      <selection pane="bottomLeft" activeCell="BH20" sqref="BH20"/>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8.28515625" style="119" bestFit="1"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87"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1361</v>
      </c>
      <c r="B13" s="260" t="s">
        <v>1362</v>
      </c>
      <c r="C13" s="260" t="s">
        <v>1286</v>
      </c>
      <c r="D13" s="260" t="s">
        <v>1287</v>
      </c>
      <c r="E13" s="260" t="s">
        <v>1363</v>
      </c>
      <c r="F13" s="260" t="s">
        <v>1364</v>
      </c>
      <c r="G13" s="260" t="s">
        <v>1365</v>
      </c>
      <c r="H13" s="260" t="s">
        <v>1366</v>
      </c>
      <c r="I13" s="260"/>
      <c r="J13" s="260"/>
      <c r="K13" s="260" t="s">
        <v>1367</v>
      </c>
      <c r="L13" s="260" t="s">
        <v>1368</v>
      </c>
      <c r="M13" s="260" t="s">
        <v>1369</v>
      </c>
      <c r="N13" s="260" t="s">
        <v>111</v>
      </c>
      <c r="O13" s="260" t="s">
        <v>112</v>
      </c>
      <c r="P13" s="10">
        <v>119</v>
      </c>
      <c r="Q13" s="11">
        <v>700</v>
      </c>
      <c r="R13" s="11">
        <f t="shared" ref="R13:R20" si="0">Z13+AH13</f>
        <v>344</v>
      </c>
      <c r="S13" s="261" t="s">
        <v>3758</v>
      </c>
      <c r="T13" s="11">
        <v>118</v>
      </c>
      <c r="U13" s="11">
        <v>0</v>
      </c>
      <c r="V13" s="11">
        <v>126</v>
      </c>
      <c r="W13" s="11">
        <v>0</v>
      </c>
      <c r="X13" s="11">
        <v>126</v>
      </c>
      <c r="Y13" s="11">
        <v>0</v>
      </c>
      <c r="Z13" s="11">
        <v>126</v>
      </c>
      <c r="AA13" s="11" t="s">
        <v>1370</v>
      </c>
      <c r="AB13" s="11" t="s">
        <v>1371</v>
      </c>
      <c r="AC13" s="11" t="s">
        <v>1372</v>
      </c>
      <c r="AD13" s="11">
        <v>233</v>
      </c>
      <c r="AE13" s="11">
        <v>0</v>
      </c>
      <c r="AF13" s="261">
        <f>145+36+37</f>
        <v>218</v>
      </c>
      <c r="AG13" s="261"/>
      <c r="AH13" s="9">
        <f t="shared" ref="AH13:AH16" si="1">AF13</f>
        <v>218</v>
      </c>
      <c r="AI13" s="261" t="s">
        <v>3759</v>
      </c>
      <c r="AJ13" s="261" t="s">
        <v>3759</v>
      </c>
      <c r="AK13" s="261" t="s">
        <v>3760</v>
      </c>
      <c r="AL13" s="261" t="s">
        <v>3761</v>
      </c>
      <c r="AM13" s="118"/>
      <c r="AN13" s="261"/>
      <c r="AO13" s="11">
        <v>200</v>
      </c>
      <c r="AP13" s="11">
        <v>0</v>
      </c>
      <c r="AQ13" s="11">
        <v>141</v>
      </c>
      <c r="AR13" s="11">
        <v>0</v>
      </c>
      <c r="AS13" s="11">
        <v>0</v>
      </c>
      <c r="AT13" s="11">
        <v>0</v>
      </c>
    </row>
    <row r="14" spans="1:46" ht="18" customHeight="1">
      <c r="A14" s="260" t="s">
        <v>1361</v>
      </c>
      <c r="B14" s="260" t="s">
        <v>1362</v>
      </c>
      <c r="C14" s="260" t="s">
        <v>1286</v>
      </c>
      <c r="D14" s="260" t="s">
        <v>1287</v>
      </c>
      <c r="E14" s="260" t="s">
        <v>1363</v>
      </c>
      <c r="F14" s="260" t="s">
        <v>1364</v>
      </c>
      <c r="G14" s="260" t="s">
        <v>1365</v>
      </c>
      <c r="H14" s="260" t="s">
        <v>1373</v>
      </c>
      <c r="I14" s="260"/>
      <c r="J14" s="260"/>
      <c r="K14" s="260" t="s">
        <v>1374</v>
      </c>
      <c r="L14" s="260" t="s">
        <v>1375</v>
      </c>
      <c r="M14" s="260" t="s">
        <v>1376</v>
      </c>
      <c r="N14" s="260" t="s">
        <v>111</v>
      </c>
      <c r="O14" s="260" t="s">
        <v>112</v>
      </c>
      <c r="P14" s="10">
        <v>4</v>
      </c>
      <c r="Q14" s="11">
        <v>10</v>
      </c>
      <c r="R14" s="11">
        <f t="shared" si="0"/>
        <v>7</v>
      </c>
      <c r="S14" s="261" t="s">
        <v>3762</v>
      </c>
      <c r="T14" s="11">
        <v>0</v>
      </c>
      <c r="U14" s="11">
        <v>0</v>
      </c>
      <c r="V14" s="11">
        <v>3</v>
      </c>
      <c r="W14" s="11">
        <v>0</v>
      </c>
      <c r="X14" s="11">
        <v>3</v>
      </c>
      <c r="Y14" s="11">
        <v>0</v>
      </c>
      <c r="Z14" s="11">
        <v>3</v>
      </c>
      <c r="AA14" s="11" t="s">
        <v>1377</v>
      </c>
      <c r="AB14" s="11" t="s">
        <v>1378</v>
      </c>
      <c r="AC14" s="11" t="s">
        <v>1379</v>
      </c>
      <c r="AD14" s="11">
        <v>4</v>
      </c>
      <c r="AE14" s="11">
        <v>0</v>
      </c>
      <c r="AF14" s="261">
        <v>4</v>
      </c>
      <c r="AG14" s="261"/>
      <c r="AH14" s="9">
        <f t="shared" si="1"/>
        <v>4</v>
      </c>
      <c r="AI14" s="261" t="s">
        <v>3763</v>
      </c>
      <c r="AJ14" s="261" t="s">
        <v>3764</v>
      </c>
      <c r="AK14" s="261" t="s">
        <v>3765</v>
      </c>
      <c r="AL14" s="261"/>
      <c r="AM14" s="118">
        <f>15000000+18000000</f>
        <v>33000000</v>
      </c>
      <c r="AN14" s="261" t="s">
        <v>3766</v>
      </c>
      <c r="AO14" s="11">
        <v>2</v>
      </c>
      <c r="AP14" s="11">
        <v>0</v>
      </c>
      <c r="AQ14" s="11">
        <v>1</v>
      </c>
      <c r="AR14" s="11">
        <v>0</v>
      </c>
      <c r="AS14" s="11">
        <v>0</v>
      </c>
      <c r="AT14" s="11">
        <v>0</v>
      </c>
    </row>
    <row r="15" spans="1:46" ht="18" customHeight="1">
      <c r="A15" s="260" t="s">
        <v>1361</v>
      </c>
      <c r="B15" s="260" t="s">
        <v>1362</v>
      </c>
      <c r="C15" s="260" t="s">
        <v>1286</v>
      </c>
      <c r="D15" s="260" t="s">
        <v>1287</v>
      </c>
      <c r="E15" s="260" t="s">
        <v>1363</v>
      </c>
      <c r="F15" s="260" t="s">
        <v>1364</v>
      </c>
      <c r="G15" s="260" t="s">
        <v>1365</v>
      </c>
      <c r="H15" s="260" t="s">
        <v>1380</v>
      </c>
      <c r="I15" s="260"/>
      <c r="J15" s="260"/>
      <c r="K15" s="260" t="s">
        <v>1381</v>
      </c>
      <c r="L15" s="260" t="s">
        <v>1382</v>
      </c>
      <c r="M15" s="260" t="s">
        <v>1383</v>
      </c>
      <c r="N15" s="260" t="s">
        <v>111</v>
      </c>
      <c r="O15" s="260" t="s">
        <v>112</v>
      </c>
      <c r="P15" s="10">
        <v>90</v>
      </c>
      <c r="Q15" s="11">
        <v>10</v>
      </c>
      <c r="R15" s="11">
        <f t="shared" si="0"/>
        <v>4</v>
      </c>
      <c r="S15" s="261" t="s">
        <v>3767</v>
      </c>
      <c r="T15" s="11">
        <v>1</v>
      </c>
      <c r="U15" s="11">
        <v>0</v>
      </c>
      <c r="V15" s="11">
        <v>1</v>
      </c>
      <c r="W15" s="11">
        <v>0</v>
      </c>
      <c r="X15" s="11">
        <v>1</v>
      </c>
      <c r="Y15" s="11">
        <v>0</v>
      </c>
      <c r="Z15" s="11">
        <v>1</v>
      </c>
      <c r="AA15" s="11" t="s">
        <v>1384</v>
      </c>
      <c r="AB15" s="11" t="s">
        <v>1385</v>
      </c>
      <c r="AC15" s="11" t="s">
        <v>1386</v>
      </c>
      <c r="AD15" s="11">
        <v>3</v>
      </c>
      <c r="AE15" s="11">
        <v>0</v>
      </c>
      <c r="AF15" s="261">
        <f>1+2</f>
        <v>3</v>
      </c>
      <c r="AG15" s="261"/>
      <c r="AH15" s="9">
        <f t="shared" si="1"/>
        <v>3</v>
      </c>
      <c r="AI15" s="261" t="s">
        <v>3768</v>
      </c>
      <c r="AJ15" s="261" t="s">
        <v>3769</v>
      </c>
      <c r="AK15" s="261" t="s">
        <v>3770</v>
      </c>
      <c r="AL15" s="261" t="s">
        <v>3771</v>
      </c>
      <c r="AM15" s="118"/>
      <c r="AN15" s="261"/>
      <c r="AO15" s="11">
        <v>3</v>
      </c>
      <c r="AP15" s="11">
        <v>0</v>
      </c>
      <c r="AQ15" s="11">
        <v>3</v>
      </c>
      <c r="AR15" s="11">
        <v>0</v>
      </c>
      <c r="AS15" s="11">
        <v>0</v>
      </c>
      <c r="AT15" s="11">
        <v>0</v>
      </c>
    </row>
    <row r="16" spans="1:46" ht="18" customHeight="1">
      <c r="A16" s="260" t="s">
        <v>1361</v>
      </c>
      <c r="B16" s="260" t="s">
        <v>1362</v>
      </c>
      <c r="C16" s="260" t="s">
        <v>1286</v>
      </c>
      <c r="D16" s="260" t="s">
        <v>1389</v>
      </c>
      <c r="E16" s="260" t="s">
        <v>1390</v>
      </c>
      <c r="F16" s="260" t="s">
        <v>1391</v>
      </c>
      <c r="G16" s="260" t="s">
        <v>1392</v>
      </c>
      <c r="H16" s="260" t="s">
        <v>1405</v>
      </c>
      <c r="I16" s="260"/>
      <c r="J16" s="260"/>
      <c r="K16" s="260" t="s">
        <v>1406</v>
      </c>
      <c r="L16" s="260" t="s">
        <v>1407</v>
      </c>
      <c r="M16" s="260" t="s">
        <v>1408</v>
      </c>
      <c r="N16" s="260" t="s">
        <v>111</v>
      </c>
      <c r="O16" s="260" t="s">
        <v>112</v>
      </c>
      <c r="P16" s="10">
        <v>1</v>
      </c>
      <c r="Q16" s="11">
        <v>3</v>
      </c>
      <c r="R16" s="11">
        <f t="shared" si="0"/>
        <v>0</v>
      </c>
      <c r="S16" s="261"/>
      <c r="T16" s="11">
        <v>0</v>
      </c>
      <c r="U16" s="11">
        <v>0</v>
      </c>
      <c r="V16" s="11">
        <v>0</v>
      </c>
      <c r="W16" s="11">
        <v>0</v>
      </c>
      <c r="X16" s="11">
        <v>0</v>
      </c>
      <c r="Y16" s="11">
        <v>0</v>
      </c>
      <c r="Z16" s="11">
        <v>0</v>
      </c>
      <c r="AA16" s="11"/>
      <c r="AB16" s="11"/>
      <c r="AC16" s="11"/>
      <c r="AD16" s="11">
        <v>1</v>
      </c>
      <c r="AE16" s="11">
        <v>0</v>
      </c>
      <c r="AF16" s="261"/>
      <c r="AG16" s="261"/>
      <c r="AH16" s="9">
        <f t="shared" si="1"/>
        <v>0</v>
      </c>
      <c r="AI16" s="261"/>
      <c r="AJ16" s="261"/>
      <c r="AK16" s="261"/>
      <c r="AL16" s="261"/>
      <c r="AM16" s="118"/>
      <c r="AN16" s="261"/>
      <c r="AO16" s="11">
        <v>1</v>
      </c>
      <c r="AP16" s="11">
        <v>0</v>
      </c>
      <c r="AQ16" s="11">
        <v>1</v>
      </c>
      <c r="AR16" s="11">
        <v>0</v>
      </c>
      <c r="AS16" s="11">
        <v>0</v>
      </c>
      <c r="AT16" s="11">
        <v>0</v>
      </c>
    </row>
    <row r="17" spans="1:46" ht="18" customHeight="1">
      <c r="A17" s="260" t="s">
        <v>1361</v>
      </c>
      <c r="B17" s="260" t="s">
        <v>1362</v>
      </c>
      <c r="C17" s="260" t="s">
        <v>1286</v>
      </c>
      <c r="D17" s="260" t="s">
        <v>1496</v>
      </c>
      <c r="E17" s="260" t="s">
        <v>1561</v>
      </c>
      <c r="F17" s="260" t="s">
        <v>1562</v>
      </c>
      <c r="G17" s="260" t="s">
        <v>1563</v>
      </c>
      <c r="H17" s="260" t="s">
        <v>1579</v>
      </c>
      <c r="I17" s="260"/>
      <c r="J17" s="260"/>
      <c r="K17" s="260" t="s">
        <v>1580</v>
      </c>
      <c r="L17" s="260" t="s">
        <v>1581</v>
      </c>
      <c r="M17" s="260" t="s">
        <v>1582</v>
      </c>
      <c r="N17" s="260" t="s">
        <v>111</v>
      </c>
      <c r="O17" s="260" t="s">
        <v>112</v>
      </c>
      <c r="P17" s="10">
        <v>0</v>
      </c>
      <c r="Q17" s="11">
        <v>1</v>
      </c>
      <c r="R17" s="11">
        <f t="shared" si="0"/>
        <v>0.2</v>
      </c>
      <c r="S17" s="261" t="s">
        <v>3772</v>
      </c>
      <c r="T17" s="11">
        <v>0</v>
      </c>
      <c r="U17" s="11">
        <v>0</v>
      </c>
      <c r="V17" s="11">
        <v>0</v>
      </c>
      <c r="W17" s="11">
        <v>0</v>
      </c>
      <c r="X17" s="11">
        <v>0</v>
      </c>
      <c r="Y17" s="11">
        <v>0</v>
      </c>
      <c r="Z17" s="11">
        <v>0</v>
      </c>
      <c r="AA17" s="11"/>
      <c r="AB17" s="11"/>
      <c r="AC17" s="11"/>
      <c r="AD17" s="11">
        <v>0.2</v>
      </c>
      <c r="AE17" s="11">
        <v>0</v>
      </c>
      <c r="AF17" s="261">
        <v>0.2</v>
      </c>
      <c r="AG17" s="261"/>
      <c r="AH17" s="9">
        <f t="shared" ref="AH17:AH19" si="2">AF17</f>
        <v>0.2</v>
      </c>
      <c r="AI17" s="261" t="s">
        <v>3773</v>
      </c>
      <c r="AJ17" s="261" t="s">
        <v>3773</v>
      </c>
      <c r="AK17" s="261" t="s">
        <v>3774</v>
      </c>
      <c r="AL17" s="261" t="s">
        <v>3775</v>
      </c>
      <c r="AM17" s="118"/>
      <c r="AN17" s="261"/>
      <c r="AO17" s="11">
        <v>0.8</v>
      </c>
      <c r="AP17" s="11">
        <v>0</v>
      </c>
      <c r="AQ17" s="11">
        <v>0</v>
      </c>
      <c r="AR17" s="11">
        <v>0</v>
      </c>
      <c r="AS17" s="11">
        <v>0</v>
      </c>
      <c r="AT17" s="11">
        <v>0</v>
      </c>
    </row>
    <row r="18" spans="1:46" ht="18" customHeight="1">
      <c r="A18" s="260" t="s">
        <v>1361</v>
      </c>
      <c r="B18" s="260" t="s">
        <v>1362</v>
      </c>
      <c r="C18" s="260" t="s">
        <v>1286</v>
      </c>
      <c r="D18" s="260" t="s">
        <v>1496</v>
      </c>
      <c r="E18" s="260" t="s">
        <v>1583</v>
      </c>
      <c r="F18" s="260" t="s">
        <v>1584</v>
      </c>
      <c r="G18" s="260" t="s">
        <v>1585</v>
      </c>
      <c r="H18" s="260" t="s">
        <v>1586</v>
      </c>
      <c r="I18" s="260"/>
      <c r="J18" s="260"/>
      <c r="K18" s="260" t="s">
        <v>1587</v>
      </c>
      <c r="L18" s="260" t="s">
        <v>1588</v>
      </c>
      <c r="M18" s="260" t="s">
        <v>1589</v>
      </c>
      <c r="N18" s="260" t="s">
        <v>111</v>
      </c>
      <c r="O18" s="260" t="s">
        <v>112</v>
      </c>
      <c r="P18" s="10">
        <v>885722</v>
      </c>
      <c r="Q18" s="11">
        <v>1000</v>
      </c>
      <c r="R18" s="11">
        <f t="shared" si="0"/>
        <v>474</v>
      </c>
      <c r="S18" s="261" t="s">
        <v>3776</v>
      </c>
      <c r="T18" s="11">
        <v>50</v>
      </c>
      <c r="U18" s="11">
        <v>0</v>
      </c>
      <c r="V18" s="11">
        <v>300</v>
      </c>
      <c r="W18" s="11">
        <v>0</v>
      </c>
      <c r="X18" s="11">
        <v>300</v>
      </c>
      <c r="Y18" s="11">
        <v>0</v>
      </c>
      <c r="Z18" s="11">
        <v>300</v>
      </c>
      <c r="AA18" s="11" t="s">
        <v>1590</v>
      </c>
      <c r="AB18" s="11" t="s">
        <v>1591</v>
      </c>
      <c r="AC18" s="11" t="s">
        <v>1592</v>
      </c>
      <c r="AD18" s="11">
        <v>300</v>
      </c>
      <c r="AE18" s="11">
        <v>0</v>
      </c>
      <c r="AF18" s="261">
        <f>81+93</f>
        <v>174</v>
      </c>
      <c r="AG18" s="261"/>
      <c r="AH18" s="9">
        <f t="shared" si="2"/>
        <v>174</v>
      </c>
      <c r="AI18" s="261" t="s">
        <v>3777</v>
      </c>
      <c r="AJ18" s="261" t="s">
        <v>3778</v>
      </c>
      <c r="AK18" s="261" t="s">
        <v>3779</v>
      </c>
      <c r="AL18" s="261" t="s">
        <v>3780</v>
      </c>
      <c r="AM18" s="118">
        <f>810000000+921000000</f>
        <v>1731000000</v>
      </c>
      <c r="AN18" s="261" t="s">
        <v>3781</v>
      </c>
      <c r="AO18" s="11">
        <v>300</v>
      </c>
      <c r="AP18" s="11">
        <v>0</v>
      </c>
      <c r="AQ18" s="11">
        <v>100</v>
      </c>
      <c r="AR18" s="11">
        <v>0</v>
      </c>
      <c r="AS18" s="11">
        <v>0</v>
      </c>
      <c r="AT18" s="11">
        <v>0</v>
      </c>
    </row>
    <row r="19" spans="1:46" ht="18" customHeight="1">
      <c r="A19" s="260" t="s">
        <v>1361</v>
      </c>
      <c r="B19" s="260" t="s">
        <v>1362</v>
      </c>
      <c r="C19" s="260" t="s">
        <v>1286</v>
      </c>
      <c r="D19" s="260" t="s">
        <v>1496</v>
      </c>
      <c r="E19" s="260" t="s">
        <v>1583</v>
      </c>
      <c r="F19" s="260" t="s">
        <v>1642</v>
      </c>
      <c r="G19" s="260" t="s">
        <v>1643</v>
      </c>
      <c r="H19" s="260" t="s">
        <v>1644</v>
      </c>
      <c r="I19" s="260"/>
      <c r="J19" s="260"/>
      <c r="K19" s="260" t="s">
        <v>1645</v>
      </c>
      <c r="L19" s="260" t="s">
        <v>1646</v>
      </c>
      <c r="M19" s="260" t="s">
        <v>1647</v>
      </c>
      <c r="N19" s="260" t="s">
        <v>111</v>
      </c>
      <c r="O19" s="260" t="s">
        <v>112</v>
      </c>
      <c r="P19" s="10">
        <v>685158</v>
      </c>
      <c r="Q19" s="11">
        <v>20000</v>
      </c>
      <c r="R19" s="11">
        <f t="shared" si="0"/>
        <v>8698</v>
      </c>
      <c r="S19" s="261" t="s">
        <v>3782</v>
      </c>
      <c r="T19" s="11">
        <v>7300</v>
      </c>
      <c r="U19" s="11">
        <v>0</v>
      </c>
      <c r="V19" s="11">
        <v>4841</v>
      </c>
      <c r="W19" s="11">
        <v>0</v>
      </c>
      <c r="X19" s="11">
        <v>2492</v>
      </c>
      <c r="Y19" s="11">
        <v>0</v>
      </c>
      <c r="Z19" s="11">
        <v>2492</v>
      </c>
      <c r="AA19" s="11" t="s">
        <v>1648</v>
      </c>
      <c r="AB19" s="11" t="s">
        <v>1649</v>
      </c>
      <c r="AC19" s="11" t="s">
        <v>1650</v>
      </c>
      <c r="AD19" s="11">
        <v>7583</v>
      </c>
      <c r="AE19" s="11">
        <v>0</v>
      </c>
      <c r="AF19" s="261">
        <v>6206</v>
      </c>
      <c r="AG19" s="261"/>
      <c r="AH19" s="9">
        <f t="shared" si="2"/>
        <v>6206</v>
      </c>
      <c r="AI19" s="261" t="s">
        <v>3783</v>
      </c>
      <c r="AJ19" s="261" t="s">
        <v>3784</v>
      </c>
      <c r="AK19" s="261" t="s">
        <v>3785</v>
      </c>
      <c r="AL19" s="261" t="s">
        <v>3786</v>
      </c>
      <c r="AM19" s="409">
        <v>5196242034.6999998</v>
      </c>
      <c r="AN19" s="261" t="s">
        <v>3787</v>
      </c>
      <c r="AO19" s="11">
        <v>6680</v>
      </c>
      <c r="AP19" s="11">
        <v>0</v>
      </c>
      <c r="AQ19" s="11">
        <v>3245</v>
      </c>
      <c r="AR19" s="11">
        <v>0</v>
      </c>
      <c r="AS19" s="11">
        <v>0</v>
      </c>
      <c r="AT19" s="11">
        <v>0</v>
      </c>
    </row>
    <row r="20" spans="1:46" ht="18" customHeight="1">
      <c r="A20" s="260" t="s">
        <v>1361</v>
      </c>
      <c r="B20" s="260" t="s">
        <v>1362</v>
      </c>
      <c r="C20" s="260" t="s">
        <v>1828</v>
      </c>
      <c r="D20" s="260" t="s">
        <v>2062</v>
      </c>
      <c r="E20" s="260" t="s">
        <v>2097</v>
      </c>
      <c r="F20" s="260" t="s">
        <v>2105</v>
      </c>
      <c r="G20" s="260" t="s">
        <v>2106</v>
      </c>
      <c r="H20" s="260" t="s">
        <v>2119</v>
      </c>
      <c r="I20" s="260"/>
      <c r="J20" s="260"/>
      <c r="K20" s="260" t="s">
        <v>2120</v>
      </c>
      <c r="L20" s="260" t="s">
        <v>2121</v>
      </c>
      <c r="M20" s="260" t="s">
        <v>2122</v>
      </c>
      <c r="N20" s="260" t="s">
        <v>111</v>
      </c>
      <c r="O20" s="260" t="s">
        <v>112</v>
      </c>
      <c r="P20" s="10">
        <v>59</v>
      </c>
      <c r="Q20" s="11">
        <v>50</v>
      </c>
      <c r="R20" s="11">
        <f t="shared" si="0"/>
        <v>0</v>
      </c>
      <c r="S20" s="261"/>
      <c r="T20" s="11">
        <v>0</v>
      </c>
      <c r="U20" s="11">
        <v>0</v>
      </c>
      <c r="V20" s="11">
        <v>0</v>
      </c>
      <c r="W20" s="11">
        <v>0</v>
      </c>
      <c r="X20" s="11">
        <v>0</v>
      </c>
      <c r="Y20" s="11">
        <v>0</v>
      </c>
      <c r="Z20" s="11">
        <v>0</v>
      </c>
      <c r="AA20" s="11"/>
      <c r="AB20" s="11"/>
      <c r="AC20" s="11"/>
      <c r="AD20" s="11">
        <v>27</v>
      </c>
      <c r="AE20" s="11">
        <v>0</v>
      </c>
      <c r="AF20" s="261"/>
      <c r="AG20" s="11"/>
      <c r="AH20" s="9">
        <f t="shared" ref="AH20" si="3">AF20</f>
        <v>0</v>
      </c>
      <c r="AI20" s="261"/>
      <c r="AJ20" s="261"/>
      <c r="AK20" s="261"/>
      <c r="AL20" s="261"/>
      <c r="AM20" s="118"/>
      <c r="AN20" s="261"/>
      <c r="AO20" s="11">
        <v>10</v>
      </c>
      <c r="AP20" s="11">
        <v>0</v>
      </c>
      <c r="AQ20" s="11">
        <v>13</v>
      </c>
      <c r="AR20" s="11">
        <v>0</v>
      </c>
      <c r="AS20" s="11">
        <v>0</v>
      </c>
      <c r="AT20" s="11">
        <v>0</v>
      </c>
    </row>
    <row r="21" spans="1:46" s="3" customFormat="1">
      <c r="L21" s="5"/>
      <c r="AM21" s="124"/>
    </row>
  </sheetData>
  <sheetProtection algorithmName="SHA-512" hashValue="YHLnRvFeSzvTsMF7NJohvBoEiL4reQIsRBO2NdYvmYZhgv1LvL5lcwKOuRBpxyklG5ISL1jhP9gNKvkECFA8lA==" saltValue="s/ysX2qGAB4DkHgRxT1VYw==" spinCount="100000" sheet="1" autoFilter="0"/>
  <autoFilter ref="A12:IZ20" xr:uid="{00000000-0009-0000-0000-000013000000}"/>
  <customSheetViews>
    <customSheetView guid="{75629C99-8367-48E9-A2A2-D8C49A9E68E3}" scale="80" showAutoFilter="1" hiddenRows="1" topLeftCell="AA1">
      <pane ySplit="12" topLeftCell="A13" activePane="bottomLeft" state="frozen"/>
      <selection pane="bottomLeft" activeCell="AQ13" sqref="AQ13:AR20"/>
      <pageMargins left="0" right="0" top="0" bottom="0" header="0" footer="0"/>
      <pageSetup orientation="portrait" r:id="rId1"/>
      <autoFilter ref="A12:IZ20" xr:uid="{1F9128FD-4741-4F50-A41F-4621F15E210A}"/>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T25"/>
  <sheetViews>
    <sheetView topLeftCell="AA9" zoomScale="80" zoomScaleNormal="80" workbookViewId="0">
      <selection activeCell="AJ15" sqref="AJ15"/>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187</v>
      </c>
      <c r="B13" s="260" t="s">
        <v>188</v>
      </c>
      <c r="C13" s="260" t="s">
        <v>100</v>
      </c>
      <c r="D13" s="260" t="s">
        <v>101</v>
      </c>
      <c r="E13" s="260" t="s">
        <v>189</v>
      </c>
      <c r="F13" s="260" t="s">
        <v>190</v>
      </c>
      <c r="G13" s="260" t="s">
        <v>191</v>
      </c>
      <c r="H13" s="260" t="s">
        <v>192</v>
      </c>
      <c r="I13" s="260" t="s">
        <v>106</v>
      </c>
      <c r="J13" s="260"/>
      <c r="K13" s="260" t="s">
        <v>193</v>
      </c>
      <c r="L13" s="260" t="s">
        <v>194</v>
      </c>
      <c r="M13" s="260" t="s">
        <v>195</v>
      </c>
      <c r="N13" s="260" t="s">
        <v>111</v>
      </c>
      <c r="O13" s="260" t="s">
        <v>112</v>
      </c>
      <c r="P13" s="10">
        <v>0</v>
      </c>
      <c r="Q13" s="11">
        <v>1</v>
      </c>
      <c r="R13" s="11">
        <f t="shared" ref="R13:R15" si="0">Z13+AH13</f>
        <v>0.39999999999999997</v>
      </c>
      <c r="S13" s="261" t="s">
        <v>3788</v>
      </c>
      <c r="T13" s="11">
        <v>0</v>
      </c>
      <c r="U13" s="11">
        <v>0</v>
      </c>
      <c r="V13" s="11">
        <v>0.05</v>
      </c>
      <c r="W13" s="11">
        <v>0</v>
      </c>
      <c r="X13" s="11">
        <v>0.05</v>
      </c>
      <c r="Y13" s="11">
        <v>0</v>
      </c>
      <c r="Z13" s="11">
        <v>0.05</v>
      </c>
      <c r="AA13" s="11" t="s">
        <v>196</v>
      </c>
      <c r="AB13" s="11" t="s">
        <v>197</v>
      </c>
      <c r="AC13" s="11" t="s">
        <v>198</v>
      </c>
      <c r="AD13" s="11">
        <v>0.4</v>
      </c>
      <c r="AE13" s="11">
        <v>0</v>
      </c>
      <c r="AF13" s="261">
        <v>0.35</v>
      </c>
      <c r="AG13" s="261"/>
      <c r="AH13" s="9">
        <f t="shared" ref="AH13:AH15" si="1">AF13</f>
        <v>0.35</v>
      </c>
      <c r="AI13" s="261"/>
      <c r="AJ13" s="261" t="s">
        <v>3789</v>
      </c>
      <c r="AK13" s="261" t="s">
        <v>3790</v>
      </c>
      <c r="AL13" s="261"/>
      <c r="AM13" s="118">
        <v>30000000</v>
      </c>
      <c r="AN13" s="261" t="s">
        <v>3791</v>
      </c>
      <c r="AO13" s="11">
        <v>0.4</v>
      </c>
      <c r="AP13" s="11">
        <v>0</v>
      </c>
      <c r="AQ13" s="11">
        <v>0.15</v>
      </c>
      <c r="AR13" s="11">
        <v>0</v>
      </c>
      <c r="AS13" s="11">
        <v>0</v>
      </c>
      <c r="AT13" s="11">
        <v>0</v>
      </c>
    </row>
    <row r="14" spans="1:46" ht="18" customHeight="1">
      <c r="A14" s="260" t="s">
        <v>187</v>
      </c>
      <c r="B14" s="260" t="s">
        <v>188</v>
      </c>
      <c r="C14" s="260" t="s">
        <v>100</v>
      </c>
      <c r="D14" s="260" t="s">
        <v>101</v>
      </c>
      <c r="E14" s="260" t="s">
        <v>189</v>
      </c>
      <c r="F14" s="260" t="s">
        <v>190</v>
      </c>
      <c r="G14" s="260" t="s">
        <v>191</v>
      </c>
      <c r="H14" s="260" t="s">
        <v>199</v>
      </c>
      <c r="I14" s="260" t="s">
        <v>200</v>
      </c>
      <c r="J14" s="260"/>
      <c r="K14" s="260" t="s">
        <v>201</v>
      </c>
      <c r="L14" s="260" t="s">
        <v>202</v>
      </c>
      <c r="M14" s="260" t="s">
        <v>203</v>
      </c>
      <c r="N14" s="260" t="s">
        <v>111</v>
      </c>
      <c r="O14" s="260" t="s">
        <v>112</v>
      </c>
      <c r="P14" s="10">
        <v>0</v>
      </c>
      <c r="Q14" s="11">
        <v>1</v>
      </c>
      <c r="R14" s="11">
        <f t="shared" si="0"/>
        <v>0.39</v>
      </c>
      <c r="S14" s="159" t="s">
        <v>3792</v>
      </c>
      <c r="T14" s="11">
        <v>0</v>
      </c>
      <c r="U14" s="11">
        <v>0</v>
      </c>
      <c r="V14" s="11">
        <v>0.05</v>
      </c>
      <c r="W14" s="11">
        <v>0</v>
      </c>
      <c r="X14" s="11">
        <v>0.05</v>
      </c>
      <c r="Y14" s="11">
        <v>0</v>
      </c>
      <c r="Z14" s="11">
        <v>0.05</v>
      </c>
      <c r="AA14" s="11" t="s">
        <v>204</v>
      </c>
      <c r="AB14" s="11" t="s">
        <v>205</v>
      </c>
      <c r="AC14" s="11" t="s">
        <v>198</v>
      </c>
      <c r="AD14" s="11">
        <v>0.4</v>
      </c>
      <c r="AE14" s="11">
        <v>0</v>
      </c>
      <c r="AF14" s="261">
        <v>0.34</v>
      </c>
      <c r="AG14" s="261"/>
      <c r="AH14" s="9">
        <f t="shared" si="1"/>
        <v>0.34</v>
      </c>
      <c r="AI14" s="261"/>
      <c r="AJ14" s="261" t="s">
        <v>3793</v>
      </c>
      <c r="AK14" s="261" t="s">
        <v>3794</v>
      </c>
      <c r="AL14" s="261"/>
      <c r="AM14" s="118"/>
      <c r="AN14" s="261"/>
      <c r="AO14" s="11">
        <v>0.4</v>
      </c>
      <c r="AP14" s="11">
        <v>0</v>
      </c>
      <c r="AQ14" s="11">
        <v>0.15</v>
      </c>
      <c r="AR14" s="11">
        <v>0</v>
      </c>
      <c r="AS14" s="11">
        <v>0</v>
      </c>
      <c r="AT14" s="11">
        <v>0</v>
      </c>
    </row>
    <row r="15" spans="1:46" ht="18" customHeight="1">
      <c r="A15" s="260" t="s">
        <v>187</v>
      </c>
      <c r="B15" s="260" t="s">
        <v>188</v>
      </c>
      <c r="C15" s="260" t="s">
        <v>100</v>
      </c>
      <c r="D15" s="260" t="s">
        <v>101</v>
      </c>
      <c r="E15" s="260" t="s">
        <v>189</v>
      </c>
      <c r="F15" s="260" t="s">
        <v>190</v>
      </c>
      <c r="G15" s="260" t="s">
        <v>191</v>
      </c>
      <c r="H15" s="260" t="s">
        <v>206</v>
      </c>
      <c r="I15" s="260" t="s">
        <v>200</v>
      </c>
      <c r="J15" s="260"/>
      <c r="K15" s="260" t="s">
        <v>207</v>
      </c>
      <c r="L15" s="260" t="s">
        <v>208</v>
      </c>
      <c r="M15" s="260" t="s">
        <v>209</v>
      </c>
      <c r="N15" s="260" t="s">
        <v>111</v>
      </c>
      <c r="O15" s="260" t="s">
        <v>112</v>
      </c>
      <c r="P15" s="10">
        <v>0</v>
      </c>
      <c r="Q15" s="11">
        <v>1</v>
      </c>
      <c r="R15" s="11">
        <f t="shared" si="0"/>
        <v>0.51</v>
      </c>
      <c r="S15" s="159" t="s">
        <v>3795</v>
      </c>
      <c r="T15" s="11">
        <v>0.05</v>
      </c>
      <c r="U15" s="11">
        <v>0</v>
      </c>
      <c r="V15" s="11">
        <v>0.1</v>
      </c>
      <c r="W15" s="11">
        <v>0</v>
      </c>
      <c r="X15" s="11">
        <v>0.15</v>
      </c>
      <c r="Y15" s="11">
        <v>0</v>
      </c>
      <c r="Z15" s="11">
        <v>0.15</v>
      </c>
      <c r="AA15" s="11" t="s">
        <v>210</v>
      </c>
      <c r="AB15" s="11" t="s">
        <v>211</v>
      </c>
      <c r="AC15" s="11" t="s">
        <v>198</v>
      </c>
      <c r="AD15" s="11">
        <v>0.4</v>
      </c>
      <c r="AE15" s="11">
        <v>0</v>
      </c>
      <c r="AF15" s="261">
        <v>0.36</v>
      </c>
      <c r="AG15" s="261"/>
      <c r="AH15" s="9">
        <f t="shared" si="1"/>
        <v>0.36</v>
      </c>
      <c r="AI15" s="261"/>
      <c r="AJ15" s="261" t="s">
        <v>3796</v>
      </c>
      <c r="AK15" s="261" t="s">
        <v>3797</v>
      </c>
      <c r="AL15" s="261" t="s">
        <v>3798</v>
      </c>
      <c r="AM15" s="118">
        <v>10500000</v>
      </c>
      <c r="AN15" s="261" t="s">
        <v>3799</v>
      </c>
      <c r="AO15" s="11">
        <v>0.4</v>
      </c>
      <c r="AP15" s="11">
        <v>0</v>
      </c>
      <c r="AQ15" s="11">
        <v>0.1</v>
      </c>
      <c r="AR15" s="11">
        <v>0</v>
      </c>
      <c r="AS15" s="11">
        <v>0</v>
      </c>
      <c r="AT15" s="11">
        <v>0</v>
      </c>
    </row>
    <row r="16" spans="1:46" s="3" customFormat="1">
      <c r="L16" s="5"/>
      <c r="AM16" s="124"/>
    </row>
    <row r="25" spans="29:29">
      <c r="AC25" s="56"/>
    </row>
  </sheetData>
  <sheetProtection algorithmName="SHA-512" hashValue="D8jr4V27WoWnc5aD0JCP6bLyKBH+ycM96Y/SLSSCJsS8tqfr1UWbpcnCw7bEYGjAGAZ//O4ITqCvjNNhfciIBw==" saltValue="dy04va5gAoZaH8PCNAv7LQ==" spinCount="100000" sheet="1" autoFilter="0"/>
  <autoFilter ref="A12:IZ15" xr:uid="{00000000-0009-0000-0000-000019000000}"/>
  <customSheetViews>
    <customSheetView guid="{75629C99-8367-48E9-A2A2-D8C49A9E68E3}" scale="80" showAutoFilter="1" hiddenRows="1" topLeftCell="Z1">
      <selection activeCell="AI18" sqref="AI18:AR23"/>
      <pageMargins left="0" right="0" top="0" bottom="0" header="0" footer="0"/>
      <pageSetup orientation="portrait" r:id="rId1"/>
      <autoFilter ref="A12:IZ15" xr:uid="{6FFFC38E-400F-43E7-BD0E-D8F6001C0D78}"/>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AT17"/>
  <sheetViews>
    <sheetView zoomScale="80" zoomScaleNormal="80" workbookViewId="0">
      <pane ySplit="12" topLeftCell="A13" activePane="bottomLeft" state="frozen"/>
      <selection pane="bottomLeft" activeCell="AD13" sqref="AD13:AD16"/>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1739</v>
      </c>
      <c r="B13" s="260" t="s">
        <v>1740</v>
      </c>
      <c r="C13" s="260" t="s">
        <v>1286</v>
      </c>
      <c r="D13" s="260" t="s">
        <v>1657</v>
      </c>
      <c r="E13" s="260" t="s">
        <v>1696</v>
      </c>
      <c r="F13" s="260" t="s">
        <v>1697</v>
      </c>
      <c r="G13" s="260" t="s">
        <v>1698</v>
      </c>
      <c r="H13" s="260" t="s">
        <v>1741</v>
      </c>
      <c r="I13" s="260"/>
      <c r="J13" s="260"/>
      <c r="K13" s="260" t="s">
        <v>1742</v>
      </c>
      <c r="L13" s="260" t="s">
        <v>1743</v>
      </c>
      <c r="M13" s="260" t="s">
        <v>1744</v>
      </c>
      <c r="N13" s="260" t="s">
        <v>111</v>
      </c>
      <c r="O13" s="260" t="s">
        <v>112</v>
      </c>
      <c r="P13" s="10">
        <v>1</v>
      </c>
      <c r="Q13" s="11">
        <v>1</v>
      </c>
      <c r="R13" s="11">
        <f t="shared" ref="R13:R15" si="0">Z13+AH13</f>
        <v>0.33999999999999997</v>
      </c>
      <c r="S13" s="378" t="s">
        <v>3800</v>
      </c>
      <c r="T13" s="11">
        <v>0.1</v>
      </c>
      <c r="U13" s="11">
        <v>0</v>
      </c>
      <c r="V13" s="11">
        <v>0.1</v>
      </c>
      <c r="W13" s="11">
        <v>0</v>
      </c>
      <c r="X13" s="11">
        <v>0.1</v>
      </c>
      <c r="Y13" s="11">
        <v>0</v>
      </c>
      <c r="Z13" s="11">
        <v>0.1</v>
      </c>
      <c r="AA13" s="11" t="s">
        <v>1745</v>
      </c>
      <c r="AB13" s="11" t="s">
        <v>1746</v>
      </c>
      <c r="AC13" s="11">
        <v>0</v>
      </c>
      <c r="AD13" s="11">
        <v>0.35</v>
      </c>
      <c r="AE13" s="11">
        <v>0</v>
      </c>
      <c r="AF13" s="261">
        <v>0.24</v>
      </c>
      <c r="AG13" s="261">
        <v>0</v>
      </c>
      <c r="AH13" s="9">
        <f t="shared" ref="AH13:AH15" si="1">AF13</f>
        <v>0.24</v>
      </c>
      <c r="AI13" s="65" t="s">
        <v>3801</v>
      </c>
      <c r="AJ13" s="112" t="s">
        <v>3802</v>
      </c>
      <c r="AK13" s="261"/>
      <c r="AL13" s="65"/>
      <c r="AM13" s="118"/>
      <c r="AN13" s="261"/>
      <c r="AO13" s="11">
        <v>0.35</v>
      </c>
      <c r="AP13" s="11">
        <v>0</v>
      </c>
      <c r="AQ13" s="11">
        <v>0.2</v>
      </c>
      <c r="AR13" s="11">
        <v>0</v>
      </c>
      <c r="AS13" s="11">
        <v>0</v>
      </c>
      <c r="AT13" s="11">
        <v>0</v>
      </c>
    </row>
    <row r="14" spans="1:46" ht="18" customHeight="1">
      <c r="A14" s="260" t="s">
        <v>1739</v>
      </c>
      <c r="B14" s="260" t="s">
        <v>1740</v>
      </c>
      <c r="C14" s="260" t="s">
        <v>1286</v>
      </c>
      <c r="D14" s="260" t="s">
        <v>1657</v>
      </c>
      <c r="E14" s="260" t="s">
        <v>1696</v>
      </c>
      <c r="F14" s="260" t="s">
        <v>1697</v>
      </c>
      <c r="G14" s="260" t="s">
        <v>1698</v>
      </c>
      <c r="H14" s="260" t="s">
        <v>1747</v>
      </c>
      <c r="I14" s="260"/>
      <c r="J14" s="260"/>
      <c r="K14" s="260" t="s">
        <v>1748</v>
      </c>
      <c r="L14" s="260" t="s">
        <v>1749</v>
      </c>
      <c r="M14" s="260" t="s">
        <v>1750</v>
      </c>
      <c r="N14" s="260" t="s">
        <v>111</v>
      </c>
      <c r="O14" s="260" t="s">
        <v>112</v>
      </c>
      <c r="P14" s="10">
        <v>2</v>
      </c>
      <c r="Q14" s="11">
        <v>2</v>
      </c>
      <c r="R14" s="11">
        <f t="shared" si="0"/>
        <v>0</v>
      </c>
      <c r="S14" s="377"/>
      <c r="T14" s="11">
        <v>0</v>
      </c>
      <c r="U14" s="11">
        <v>0</v>
      </c>
      <c r="V14" s="11">
        <v>0</v>
      </c>
      <c r="W14" s="11">
        <v>0</v>
      </c>
      <c r="X14" s="11">
        <v>0</v>
      </c>
      <c r="Y14" s="11">
        <v>0</v>
      </c>
      <c r="Z14" s="11">
        <v>0</v>
      </c>
      <c r="AA14" s="11"/>
      <c r="AB14" s="11"/>
      <c r="AC14" s="11"/>
      <c r="AD14" s="11">
        <v>1</v>
      </c>
      <c r="AE14" s="11">
        <v>0</v>
      </c>
      <c r="AF14" s="261">
        <v>0</v>
      </c>
      <c r="AG14" s="261"/>
      <c r="AH14" s="9">
        <f t="shared" si="1"/>
        <v>0</v>
      </c>
      <c r="AI14" s="261"/>
      <c r="AJ14" s="67"/>
      <c r="AK14" s="261"/>
      <c r="AL14" s="261"/>
      <c r="AM14" s="118"/>
      <c r="AN14" s="261"/>
      <c r="AO14" s="11">
        <v>1</v>
      </c>
      <c r="AP14" s="11">
        <v>0</v>
      </c>
      <c r="AQ14" s="11">
        <v>0</v>
      </c>
      <c r="AR14" s="11">
        <v>0</v>
      </c>
      <c r="AS14" s="11">
        <v>0</v>
      </c>
      <c r="AT14" s="11">
        <v>0</v>
      </c>
    </row>
    <row r="15" spans="1:46" ht="30.6" customHeight="1">
      <c r="A15" s="260" t="s">
        <v>1739</v>
      </c>
      <c r="B15" s="260" t="s">
        <v>1740</v>
      </c>
      <c r="C15" s="260" t="s">
        <v>1286</v>
      </c>
      <c r="D15" s="260" t="s">
        <v>1657</v>
      </c>
      <c r="E15" s="260" t="s">
        <v>1751</v>
      </c>
      <c r="F15" s="260" t="s">
        <v>1752</v>
      </c>
      <c r="G15" s="260" t="s">
        <v>1753</v>
      </c>
      <c r="H15" s="260" t="s">
        <v>1788</v>
      </c>
      <c r="I15" s="260"/>
      <c r="J15" s="260"/>
      <c r="K15" s="260" t="s">
        <v>1789</v>
      </c>
      <c r="L15" s="260" t="s">
        <v>1790</v>
      </c>
      <c r="M15" s="260" t="s">
        <v>1791</v>
      </c>
      <c r="N15" s="260" t="s">
        <v>111</v>
      </c>
      <c r="O15" s="260" t="s">
        <v>112</v>
      </c>
      <c r="P15" s="10">
        <v>0</v>
      </c>
      <c r="Q15" s="11">
        <v>1</v>
      </c>
      <c r="R15" s="11">
        <f t="shared" si="0"/>
        <v>0.38</v>
      </c>
      <c r="S15" s="378" t="s">
        <v>3803</v>
      </c>
      <c r="T15" s="11">
        <v>0.1</v>
      </c>
      <c r="U15" s="11">
        <v>0</v>
      </c>
      <c r="V15" s="11">
        <v>0.1</v>
      </c>
      <c r="W15" s="11">
        <v>0</v>
      </c>
      <c r="X15" s="11">
        <v>0.1</v>
      </c>
      <c r="Y15" s="11">
        <v>0</v>
      </c>
      <c r="Z15" s="11">
        <v>0.1</v>
      </c>
      <c r="AA15" s="11" t="s">
        <v>1792</v>
      </c>
      <c r="AB15" s="11" t="s">
        <v>1793</v>
      </c>
      <c r="AC15" s="11">
        <v>0</v>
      </c>
      <c r="AD15" s="11">
        <v>0.35</v>
      </c>
      <c r="AE15" s="11">
        <v>0</v>
      </c>
      <c r="AF15" s="261">
        <v>0.28000000000000003</v>
      </c>
      <c r="AG15" s="261">
        <v>0</v>
      </c>
      <c r="AH15" s="9">
        <f t="shared" si="1"/>
        <v>0.28000000000000003</v>
      </c>
      <c r="AI15" s="66" t="s">
        <v>3804</v>
      </c>
      <c r="AJ15" s="112" t="s">
        <v>3805</v>
      </c>
      <c r="AK15" s="66"/>
      <c r="AL15" s="66"/>
      <c r="AM15" s="128">
        <v>197368128</v>
      </c>
      <c r="AN15" s="66" t="s">
        <v>3806</v>
      </c>
      <c r="AO15" s="11">
        <v>0.35</v>
      </c>
      <c r="AP15" s="11">
        <v>0</v>
      </c>
      <c r="AQ15" s="11">
        <v>0.2</v>
      </c>
      <c r="AR15" s="11">
        <v>0</v>
      </c>
      <c r="AS15" s="11">
        <v>0</v>
      </c>
      <c r="AT15" s="11">
        <v>0</v>
      </c>
    </row>
    <row r="16" spans="1:46" ht="39.6" customHeight="1">
      <c r="A16" s="260" t="s">
        <v>1739</v>
      </c>
      <c r="B16" s="260" t="s">
        <v>1740</v>
      </c>
      <c r="C16" s="260" t="s">
        <v>1286</v>
      </c>
      <c r="D16" s="260" t="s">
        <v>1657</v>
      </c>
      <c r="E16" s="260" t="s">
        <v>1751</v>
      </c>
      <c r="F16" s="260" t="s">
        <v>1752</v>
      </c>
      <c r="G16" s="260" t="s">
        <v>1753</v>
      </c>
      <c r="H16" s="260" t="s">
        <v>1794</v>
      </c>
      <c r="I16" s="260"/>
      <c r="J16" s="260"/>
      <c r="K16" s="260" t="s">
        <v>1795</v>
      </c>
      <c r="L16" s="260" t="s">
        <v>1796</v>
      </c>
      <c r="M16" s="260" t="s">
        <v>1797</v>
      </c>
      <c r="N16" s="260" t="s">
        <v>111</v>
      </c>
      <c r="O16" s="260" t="s">
        <v>124</v>
      </c>
      <c r="P16" s="10">
        <v>2</v>
      </c>
      <c r="Q16" s="11">
        <v>2</v>
      </c>
      <c r="R16" s="11">
        <f>(Z16+AH16)/2</f>
        <v>2</v>
      </c>
      <c r="S16" s="379" t="s">
        <v>3807</v>
      </c>
      <c r="T16" s="11">
        <v>0</v>
      </c>
      <c r="U16" s="11">
        <v>2</v>
      </c>
      <c r="V16" s="11">
        <v>0</v>
      </c>
      <c r="W16" s="11">
        <v>2</v>
      </c>
      <c r="X16" s="11" t="s">
        <v>115</v>
      </c>
      <c r="Y16" s="11">
        <v>2</v>
      </c>
      <c r="Z16" s="11">
        <v>2</v>
      </c>
      <c r="AA16" s="11">
        <v>0</v>
      </c>
      <c r="AB16" s="11" t="s">
        <v>3808</v>
      </c>
      <c r="AC16" s="11">
        <v>0</v>
      </c>
      <c r="AD16" s="11">
        <v>0</v>
      </c>
      <c r="AE16" s="11">
        <v>2</v>
      </c>
      <c r="AF16" s="261">
        <v>0</v>
      </c>
      <c r="AG16" s="261">
        <v>2</v>
      </c>
      <c r="AH16" s="11">
        <f>AG16</f>
        <v>2</v>
      </c>
      <c r="AI16" s="66" t="s">
        <v>3809</v>
      </c>
      <c r="AJ16" s="67" t="s">
        <v>3810</v>
      </c>
      <c r="AK16" s="66"/>
      <c r="AL16" s="66" t="s">
        <v>3811</v>
      </c>
      <c r="AM16" s="161">
        <v>1701500598</v>
      </c>
      <c r="AN16" s="66" t="s">
        <v>3812</v>
      </c>
      <c r="AO16" s="11">
        <v>0</v>
      </c>
      <c r="AP16" s="11">
        <v>2</v>
      </c>
      <c r="AQ16" s="11">
        <v>0</v>
      </c>
      <c r="AR16" s="11">
        <v>2</v>
      </c>
      <c r="AS16" s="11">
        <v>0</v>
      </c>
      <c r="AT16" s="11">
        <v>0</v>
      </c>
    </row>
    <row r="17" spans="12:39" s="3" customFormat="1">
      <c r="L17" s="5"/>
      <c r="AM17" s="124"/>
    </row>
  </sheetData>
  <sheetProtection algorithmName="SHA-512" hashValue="4R4vxlwBPUUBcUNMvEjlHkCvELyon9Rr9vXl8/kMjDH98iEdXNQWwtZhuZgUdXs7yOfQ4DsaFhjwVIfGC6do3w==" saltValue="wPICIsqfLh+c1K2LKDoDUg==" spinCount="100000" sheet="1" autoFilter="0"/>
  <autoFilter ref="A12:IZ16" xr:uid="{00000000-0009-0000-0000-000015000000}"/>
  <customSheetViews>
    <customSheetView guid="{75629C99-8367-48E9-A2A2-D8C49A9E68E3}" scale="80" showAutoFilter="1" hiddenRows="1" topLeftCell="X1">
      <pane ySplit="12" topLeftCell="A13" activePane="bottomLeft" state="frozen"/>
      <selection pane="bottomLeft" activeCell="AO13" sqref="AO13:AP16"/>
      <pageMargins left="0" right="0" top="0" bottom="0" header="0" footer="0"/>
      <pageSetup orientation="portrait" r:id="rId1"/>
      <autoFilter ref="A12:IZ16" xr:uid="{D6F33743-73E0-4EC0-937D-9D5ACA3A7EE7}"/>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DB76-8D2D-47E2-87CC-88438F326005}">
  <dimension ref="A1:AT25"/>
  <sheetViews>
    <sheetView topLeftCell="J1" zoomScale="80" zoomScaleNormal="80" workbookViewId="0">
      <pane ySplit="12" topLeftCell="A13" activePane="bottomLeft" state="frozen"/>
      <selection pane="bottomLeft" activeCell="AI12" sqref="AI12"/>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29" width="12.7109375" hidden="1" customWidth="1"/>
    <col min="3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2808</v>
      </c>
      <c r="B13" s="260" t="s">
        <v>2809</v>
      </c>
      <c r="C13" s="260" t="s">
        <v>1286</v>
      </c>
      <c r="D13" s="260" t="s">
        <v>1799</v>
      </c>
      <c r="E13" s="260" t="s">
        <v>1817</v>
      </c>
      <c r="F13" s="260" t="s">
        <v>1818</v>
      </c>
      <c r="G13" s="260" t="s">
        <v>1819</v>
      </c>
      <c r="H13" s="260" t="s">
        <v>2810</v>
      </c>
      <c r="I13" s="260"/>
      <c r="J13" s="260"/>
      <c r="K13" s="260" t="s">
        <v>2811</v>
      </c>
      <c r="L13" s="260" t="s">
        <v>2812</v>
      </c>
      <c r="M13" s="260" t="s">
        <v>2813</v>
      </c>
      <c r="N13" s="260" t="s">
        <v>111</v>
      </c>
      <c r="O13" s="260" t="s">
        <v>112</v>
      </c>
      <c r="P13" s="10">
        <v>0</v>
      </c>
      <c r="Q13" s="11">
        <v>50000</v>
      </c>
      <c r="R13" s="9">
        <v>0</v>
      </c>
      <c r="S13" s="9"/>
      <c r="T13" s="11"/>
      <c r="U13" s="11"/>
      <c r="V13" s="11"/>
      <c r="W13" s="11"/>
      <c r="X13" s="11"/>
      <c r="Y13" s="11"/>
      <c r="Z13" s="11"/>
      <c r="AA13" s="11"/>
      <c r="AB13" s="11"/>
      <c r="AC13" s="11"/>
      <c r="AD13" s="11">
        <v>10000</v>
      </c>
      <c r="AE13" s="11"/>
      <c r="AF13" s="261">
        <v>9115</v>
      </c>
      <c r="AG13" s="261"/>
      <c r="AH13" s="9">
        <f>AF13</f>
        <v>9115</v>
      </c>
      <c r="AI13" s="261" t="s">
        <v>3813</v>
      </c>
      <c r="AJ13" s="261" t="s">
        <v>3814</v>
      </c>
      <c r="AK13" s="261" t="s">
        <v>3815</v>
      </c>
      <c r="AL13" s="261" t="s">
        <v>3816</v>
      </c>
      <c r="AM13" s="118"/>
      <c r="AN13" s="261"/>
      <c r="AO13" s="11">
        <v>20000</v>
      </c>
      <c r="AP13" s="11"/>
      <c r="AQ13" s="11">
        <v>20000</v>
      </c>
      <c r="AR13" s="11"/>
      <c r="AS13" s="11">
        <v>0</v>
      </c>
      <c r="AT13" s="11"/>
    </row>
    <row r="14" spans="1:46" s="3" customFormat="1">
      <c r="L14" s="5"/>
      <c r="AM14" s="124"/>
    </row>
    <row r="25" spans="32:35">
      <c r="AF25" s="56"/>
      <c r="AG25" s="56"/>
      <c r="AH25" s="56"/>
      <c r="AI25" s="56"/>
    </row>
  </sheetData>
  <sheetProtection algorithmName="SHA-512" hashValue="gjQU9HZEjAH/OCvVwnp/0nV3sbOjcm3DGdGTWhjFGyB7JCur6uhZAiB7HR/oNPyVgQ1bqAC/DZra3XvVJhzTjA==" saltValue="0U2USTqx618T/z5BiPcC+w==" spinCount="100000" sheet="1" autoFilter="0"/>
  <autoFilter ref="A12:IZ13" xr:uid="{00000000-0009-0000-0000-000021000000}"/>
  <customSheetViews>
    <customSheetView guid="{75629C99-8367-48E9-A2A2-D8C49A9E68E3}" scale="80" showAutoFilter="1" hiddenRows="1" hiddenColumns="1">
      <pane ySplit="12" topLeftCell="A13" activePane="bottomLeft" state="frozen"/>
      <selection pane="bottomLeft" activeCell="AQ20" sqref="AQ20"/>
      <pageMargins left="0" right="0" top="0" bottom="0" header="0" footer="0"/>
      <pageSetup orientation="portrait" r:id="rId1"/>
      <autoFilter ref="A12:IZ13" xr:uid="{A27B3E38-2CEC-406F-8193-2A983C662771}"/>
    </customSheetView>
  </customSheetViews>
  <mergeCells count="21">
    <mergeCell ref="A1:D4"/>
    <mergeCell ref="E1:I2"/>
    <mergeCell ref="J1:L1"/>
    <mergeCell ref="J2:L3"/>
    <mergeCell ref="E3:I4"/>
    <mergeCell ref="J4:L4"/>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s>
  <pageMargins left="0.7" right="0.7" top="0.75" bottom="0.75" header="0.3" footer="0.3"/>
  <pageSetup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AT23"/>
  <sheetViews>
    <sheetView topLeftCell="AB1" zoomScale="80" zoomScaleNormal="80" workbookViewId="0">
      <pane ySplit="12" topLeftCell="A22" activePane="bottomLeft" state="frozen"/>
      <selection pane="bottomLeft" activeCell="AH22" sqref="AH22"/>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1996</v>
      </c>
      <c r="B13" s="260" t="s">
        <v>1997</v>
      </c>
      <c r="C13" s="260" t="s">
        <v>1828</v>
      </c>
      <c r="D13" s="260" t="s">
        <v>1988</v>
      </c>
      <c r="E13" s="260" t="s">
        <v>1989</v>
      </c>
      <c r="F13" s="260" t="s">
        <v>1990</v>
      </c>
      <c r="G13" s="260" t="s">
        <v>1991</v>
      </c>
      <c r="H13" s="260" t="s">
        <v>1998</v>
      </c>
      <c r="I13" s="260"/>
      <c r="J13" s="260"/>
      <c r="K13" s="260" t="s">
        <v>1999</v>
      </c>
      <c r="L13" s="260" t="s">
        <v>2000</v>
      </c>
      <c r="M13" s="260" t="s">
        <v>2001</v>
      </c>
      <c r="N13" s="260" t="s">
        <v>111</v>
      </c>
      <c r="O13" s="260" t="s">
        <v>112</v>
      </c>
      <c r="P13" s="10">
        <v>0</v>
      </c>
      <c r="Q13" s="11">
        <v>1</v>
      </c>
      <c r="R13" s="11">
        <f t="shared" ref="R13:R14" si="0">Z13+AH13</f>
        <v>0.2</v>
      </c>
      <c r="S13" s="261" t="s">
        <v>3817</v>
      </c>
      <c r="T13" s="11">
        <v>0</v>
      </c>
      <c r="U13" s="11">
        <v>0</v>
      </c>
      <c r="V13" s="11">
        <v>0</v>
      </c>
      <c r="W13" s="11">
        <v>0</v>
      </c>
      <c r="X13" s="11">
        <v>0</v>
      </c>
      <c r="Y13" s="11">
        <v>0</v>
      </c>
      <c r="Z13" s="11">
        <v>0</v>
      </c>
      <c r="AA13" s="11"/>
      <c r="AB13" s="11"/>
      <c r="AC13" s="11"/>
      <c r="AD13" s="11">
        <v>0.2</v>
      </c>
      <c r="AE13" s="11">
        <v>0</v>
      </c>
      <c r="AF13" s="261">
        <v>0.2</v>
      </c>
      <c r="AG13" s="261">
        <v>0</v>
      </c>
      <c r="AH13" s="9">
        <f t="shared" ref="AH13:AH14" si="1">AF13</f>
        <v>0.2</v>
      </c>
      <c r="AI13" s="162" t="s">
        <v>3818</v>
      </c>
      <c r="AJ13" s="162" t="s">
        <v>3819</v>
      </c>
      <c r="AK13" s="163" t="s">
        <v>3820</v>
      </c>
      <c r="AL13" s="164" t="s">
        <v>3821</v>
      </c>
      <c r="AM13" s="127"/>
      <c r="AN13" s="78"/>
      <c r="AO13" s="11">
        <v>0.4</v>
      </c>
      <c r="AP13" s="11">
        <v>0</v>
      </c>
      <c r="AQ13" s="11">
        <v>0.4</v>
      </c>
      <c r="AR13" s="11">
        <v>0</v>
      </c>
      <c r="AS13" s="11">
        <v>0</v>
      </c>
      <c r="AT13" s="11">
        <v>0</v>
      </c>
    </row>
    <row r="14" spans="1:46" ht="18" customHeight="1">
      <c r="A14" s="260" t="s">
        <v>1996</v>
      </c>
      <c r="B14" s="260" t="s">
        <v>1997</v>
      </c>
      <c r="C14" s="260" t="s">
        <v>1828</v>
      </c>
      <c r="D14" s="260" t="s">
        <v>1988</v>
      </c>
      <c r="E14" s="260" t="s">
        <v>1989</v>
      </c>
      <c r="F14" s="260" t="s">
        <v>1990</v>
      </c>
      <c r="G14" s="260" t="s">
        <v>1991</v>
      </c>
      <c r="H14" s="260" t="s">
        <v>2002</v>
      </c>
      <c r="I14" s="260"/>
      <c r="J14" s="260"/>
      <c r="K14" s="260" t="s">
        <v>2003</v>
      </c>
      <c r="L14" s="260" t="s">
        <v>2004</v>
      </c>
      <c r="M14" s="260" t="s">
        <v>2005</v>
      </c>
      <c r="N14" s="260" t="s">
        <v>111</v>
      </c>
      <c r="O14" s="260" t="s">
        <v>112</v>
      </c>
      <c r="P14" s="10">
        <v>0</v>
      </c>
      <c r="Q14" s="11">
        <v>80</v>
      </c>
      <c r="R14" s="11">
        <f t="shared" si="0"/>
        <v>11</v>
      </c>
      <c r="S14" s="65" t="s">
        <v>3822</v>
      </c>
      <c r="T14" s="11">
        <v>0</v>
      </c>
      <c r="U14" s="11">
        <v>0</v>
      </c>
      <c r="V14" s="11">
        <v>0</v>
      </c>
      <c r="W14" s="11">
        <v>0</v>
      </c>
      <c r="X14" s="11">
        <v>0</v>
      </c>
      <c r="Y14" s="11">
        <v>0</v>
      </c>
      <c r="Z14" s="11">
        <v>0</v>
      </c>
      <c r="AA14" s="11"/>
      <c r="AB14" s="11"/>
      <c r="AC14" s="11"/>
      <c r="AD14" s="11">
        <v>10</v>
      </c>
      <c r="AE14" s="11">
        <v>0</v>
      </c>
      <c r="AF14" s="261">
        <v>11</v>
      </c>
      <c r="AG14" s="261">
        <v>0</v>
      </c>
      <c r="AH14" s="9">
        <f t="shared" si="1"/>
        <v>11</v>
      </c>
      <c r="AI14" s="65" t="s">
        <v>3823</v>
      </c>
      <c r="AJ14" s="65" t="s">
        <v>3824</v>
      </c>
      <c r="AK14" s="87"/>
      <c r="AL14" s="87" t="s">
        <v>3825</v>
      </c>
      <c r="AM14" s="127"/>
      <c r="AN14" s="78"/>
      <c r="AO14" s="11">
        <v>40</v>
      </c>
      <c r="AP14" s="11">
        <v>0</v>
      </c>
      <c r="AQ14" s="11">
        <v>30</v>
      </c>
      <c r="AR14" s="11">
        <v>0</v>
      </c>
      <c r="AS14" s="11">
        <v>0</v>
      </c>
      <c r="AT14" s="11">
        <v>0</v>
      </c>
    </row>
    <row r="15" spans="1:46" ht="18" customHeight="1">
      <c r="A15" s="260" t="s">
        <v>1996</v>
      </c>
      <c r="B15" s="260" t="s">
        <v>1997</v>
      </c>
      <c r="C15" s="260" t="s">
        <v>1828</v>
      </c>
      <c r="D15" s="260" t="s">
        <v>1988</v>
      </c>
      <c r="E15" s="260" t="s">
        <v>1989</v>
      </c>
      <c r="F15" s="260" t="s">
        <v>1990</v>
      </c>
      <c r="G15" s="260" t="s">
        <v>1991</v>
      </c>
      <c r="H15" s="260" t="s">
        <v>2006</v>
      </c>
      <c r="I15" s="260"/>
      <c r="J15" s="260"/>
      <c r="K15" s="260" t="s">
        <v>2007</v>
      </c>
      <c r="L15" s="260" t="s">
        <v>2008</v>
      </c>
      <c r="M15" s="260" t="s">
        <v>2009</v>
      </c>
      <c r="N15" s="260" t="s">
        <v>111</v>
      </c>
      <c r="O15" s="260" t="s">
        <v>124</v>
      </c>
      <c r="P15" s="10">
        <v>1</v>
      </c>
      <c r="Q15" s="11">
        <v>1</v>
      </c>
      <c r="R15" s="11">
        <f>(Z15+AH15)/2</f>
        <v>1</v>
      </c>
      <c r="S15" s="261" t="s">
        <v>3826</v>
      </c>
      <c r="T15" s="11">
        <v>0</v>
      </c>
      <c r="U15" s="11">
        <v>1</v>
      </c>
      <c r="V15" s="11">
        <v>0</v>
      </c>
      <c r="W15" s="11">
        <v>1</v>
      </c>
      <c r="X15" s="11" t="s">
        <v>115</v>
      </c>
      <c r="Y15" s="11">
        <v>1</v>
      </c>
      <c r="Z15" s="11">
        <v>1</v>
      </c>
      <c r="AA15" s="11" t="s">
        <v>2010</v>
      </c>
      <c r="AB15" s="11" t="s">
        <v>2011</v>
      </c>
      <c r="AC15" s="11" t="s">
        <v>2012</v>
      </c>
      <c r="AD15" s="11">
        <v>0</v>
      </c>
      <c r="AE15" s="11">
        <v>1</v>
      </c>
      <c r="AF15" s="261">
        <v>0</v>
      </c>
      <c r="AG15" s="261">
        <v>1</v>
      </c>
      <c r="AH15" s="11">
        <f>AG15</f>
        <v>1</v>
      </c>
      <c r="AI15" s="87" t="s">
        <v>3827</v>
      </c>
      <c r="AJ15" s="65" t="s">
        <v>3828</v>
      </c>
      <c r="AK15" s="261" t="s">
        <v>3829</v>
      </c>
      <c r="AL15" s="261" t="s">
        <v>3830</v>
      </c>
      <c r="AM15" s="118"/>
      <c r="AN15" s="261"/>
      <c r="AO15" s="11">
        <v>0</v>
      </c>
      <c r="AP15" s="11">
        <v>1</v>
      </c>
      <c r="AQ15" s="11">
        <v>0</v>
      </c>
      <c r="AR15" s="11">
        <v>1</v>
      </c>
      <c r="AS15" s="11">
        <v>0</v>
      </c>
      <c r="AT15" s="11">
        <v>0</v>
      </c>
    </row>
    <row r="16" spans="1:46" ht="18" customHeight="1">
      <c r="A16" s="260" t="s">
        <v>1996</v>
      </c>
      <c r="B16" s="260" t="s">
        <v>1997</v>
      </c>
      <c r="C16" s="260" t="s">
        <v>1828</v>
      </c>
      <c r="D16" s="260" t="s">
        <v>1988</v>
      </c>
      <c r="E16" s="260" t="s">
        <v>2013</v>
      </c>
      <c r="F16" s="260" t="s">
        <v>2014</v>
      </c>
      <c r="G16" s="260" t="s">
        <v>2015</v>
      </c>
      <c r="H16" s="260" t="s">
        <v>2022</v>
      </c>
      <c r="I16" s="260"/>
      <c r="J16" s="260"/>
      <c r="K16" s="260" t="s">
        <v>2023</v>
      </c>
      <c r="L16" s="260" t="s">
        <v>2024</v>
      </c>
      <c r="M16" s="260" t="s">
        <v>2025</v>
      </c>
      <c r="N16" s="260" t="s">
        <v>111</v>
      </c>
      <c r="O16" s="260" t="s">
        <v>112</v>
      </c>
      <c r="P16" s="10">
        <v>1</v>
      </c>
      <c r="Q16" s="11">
        <v>1</v>
      </c>
      <c r="R16" s="11">
        <f t="shared" ref="R16:R20" si="2">Z16+AH16</f>
        <v>0.49</v>
      </c>
      <c r="S16" s="65" t="s">
        <v>3831</v>
      </c>
      <c r="T16" s="11">
        <v>0.25</v>
      </c>
      <c r="U16" s="11">
        <v>0</v>
      </c>
      <c r="V16" s="11">
        <v>0.25</v>
      </c>
      <c r="W16" s="11">
        <v>0</v>
      </c>
      <c r="X16" s="11">
        <v>0.25</v>
      </c>
      <c r="Y16" s="11">
        <v>0</v>
      </c>
      <c r="Z16" s="11">
        <v>0.25</v>
      </c>
      <c r="AA16" s="11" t="s">
        <v>2026</v>
      </c>
      <c r="AB16" s="11" t="s">
        <v>2027</v>
      </c>
      <c r="AC16" s="11" t="s">
        <v>2012</v>
      </c>
      <c r="AD16" s="11">
        <v>0.25</v>
      </c>
      <c r="AE16" s="11">
        <v>0</v>
      </c>
      <c r="AF16" s="261">
        <v>0.23</v>
      </c>
      <c r="AG16" s="261">
        <v>0</v>
      </c>
      <c r="AH16" s="9">
        <v>0.24</v>
      </c>
      <c r="AI16" s="65" t="s">
        <v>3832</v>
      </c>
      <c r="AJ16" s="261" t="s">
        <v>3833</v>
      </c>
      <c r="AK16" s="261" t="s">
        <v>3834</v>
      </c>
      <c r="AL16" s="261" t="s">
        <v>3835</v>
      </c>
      <c r="AM16" s="118"/>
      <c r="AN16" s="261"/>
      <c r="AO16" s="11">
        <v>0.25</v>
      </c>
      <c r="AP16" s="11">
        <v>0</v>
      </c>
      <c r="AQ16" s="11">
        <v>0.25</v>
      </c>
      <c r="AR16" s="11">
        <v>0</v>
      </c>
      <c r="AS16" s="11">
        <v>0</v>
      </c>
      <c r="AT16" s="11">
        <v>0</v>
      </c>
    </row>
    <row r="17" spans="1:46" ht="18" customHeight="1">
      <c r="A17" s="260" t="s">
        <v>1996</v>
      </c>
      <c r="B17" s="260" t="s">
        <v>1997</v>
      </c>
      <c r="C17" s="260" t="s">
        <v>1828</v>
      </c>
      <c r="D17" s="260" t="s">
        <v>1988</v>
      </c>
      <c r="E17" s="260" t="s">
        <v>2013</v>
      </c>
      <c r="F17" s="260" t="s">
        <v>2014</v>
      </c>
      <c r="G17" s="260" t="s">
        <v>2015</v>
      </c>
      <c r="H17" s="260" t="s">
        <v>2028</v>
      </c>
      <c r="I17" s="260"/>
      <c r="J17" s="260"/>
      <c r="K17" s="260" t="s">
        <v>2029</v>
      </c>
      <c r="L17" s="260" t="s">
        <v>2030</v>
      </c>
      <c r="M17" s="260" t="s">
        <v>2031</v>
      </c>
      <c r="N17" s="260" t="s">
        <v>123</v>
      </c>
      <c r="O17" s="260" t="s">
        <v>124</v>
      </c>
      <c r="P17" s="10">
        <v>50</v>
      </c>
      <c r="Q17" s="11">
        <v>100</v>
      </c>
      <c r="R17" s="11">
        <f t="shared" si="2"/>
        <v>102</v>
      </c>
      <c r="S17" s="261" t="s">
        <v>3836</v>
      </c>
      <c r="T17" s="11">
        <v>0</v>
      </c>
      <c r="U17" s="11">
        <v>0</v>
      </c>
      <c r="V17" s="11">
        <v>2</v>
      </c>
      <c r="W17" s="11">
        <v>0</v>
      </c>
      <c r="X17" s="11">
        <v>2</v>
      </c>
      <c r="Y17" s="11">
        <v>0</v>
      </c>
      <c r="Z17" s="11">
        <v>2</v>
      </c>
      <c r="AA17" s="11" t="s">
        <v>2032</v>
      </c>
      <c r="AB17" s="11" t="s">
        <v>2033</v>
      </c>
      <c r="AC17" s="11">
        <v>0</v>
      </c>
      <c r="AD17" s="11">
        <v>0</v>
      </c>
      <c r="AE17" s="11">
        <v>100</v>
      </c>
      <c r="AF17" s="261">
        <v>0</v>
      </c>
      <c r="AG17" s="261">
        <v>100</v>
      </c>
      <c r="AH17" s="9">
        <f>AG17</f>
        <v>100</v>
      </c>
      <c r="AI17" s="261" t="s">
        <v>3837</v>
      </c>
      <c r="AJ17" s="261" t="s">
        <v>3838</v>
      </c>
      <c r="AK17" s="261"/>
      <c r="AL17" s="261"/>
      <c r="AM17" s="118"/>
      <c r="AN17" s="261"/>
      <c r="AO17" s="11">
        <v>0</v>
      </c>
      <c r="AP17" s="11">
        <v>100</v>
      </c>
      <c r="AQ17" s="11">
        <v>0</v>
      </c>
      <c r="AR17" s="11">
        <v>100</v>
      </c>
      <c r="AS17" s="11">
        <v>0</v>
      </c>
      <c r="AT17" s="11">
        <v>0</v>
      </c>
    </row>
    <row r="18" spans="1:46" ht="18" customHeight="1">
      <c r="A18" s="260" t="s">
        <v>1996</v>
      </c>
      <c r="B18" s="260" t="s">
        <v>1997</v>
      </c>
      <c r="C18" s="260" t="s">
        <v>1828</v>
      </c>
      <c r="D18" s="260" t="s">
        <v>1988</v>
      </c>
      <c r="E18" s="260" t="s">
        <v>2034</v>
      </c>
      <c r="F18" s="260" t="s">
        <v>2035</v>
      </c>
      <c r="G18" s="260" t="s">
        <v>2036</v>
      </c>
      <c r="H18" s="260" t="s">
        <v>2043</v>
      </c>
      <c r="I18" s="260"/>
      <c r="J18" s="260"/>
      <c r="K18" s="260" t="s">
        <v>2044</v>
      </c>
      <c r="L18" s="260" t="s">
        <v>2045</v>
      </c>
      <c r="M18" s="260" t="s">
        <v>2046</v>
      </c>
      <c r="N18" s="260" t="s">
        <v>111</v>
      </c>
      <c r="O18" s="260" t="s">
        <v>112</v>
      </c>
      <c r="P18" s="10">
        <v>2</v>
      </c>
      <c r="Q18" s="11">
        <v>2</v>
      </c>
      <c r="R18" s="11">
        <f t="shared" si="2"/>
        <v>1.8</v>
      </c>
      <c r="S18" s="261" t="s">
        <v>3839</v>
      </c>
      <c r="T18" s="11">
        <v>2</v>
      </c>
      <c r="U18" s="11">
        <v>0</v>
      </c>
      <c r="V18" s="11">
        <v>1</v>
      </c>
      <c r="W18" s="11">
        <v>0</v>
      </c>
      <c r="X18" s="11">
        <v>0.8</v>
      </c>
      <c r="Y18" s="11">
        <v>0</v>
      </c>
      <c r="Z18" s="11">
        <v>0.8</v>
      </c>
      <c r="AA18" s="11">
        <v>0</v>
      </c>
      <c r="AB18" s="11" t="s">
        <v>2047</v>
      </c>
      <c r="AC18" s="11">
        <v>0</v>
      </c>
      <c r="AD18" s="11">
        <v>1</v>
      </c>
      <c r="AE18" s="11"/>
      <c r="AF18" s="261">
        <v>1</v>
      </c>
      <c r="AG18" s="261">
        <v>0</v>
      </c>
      <c r="AH18" s="9">
        <f t="shared" ref="AH18:AH20" si="3">AF18</f>
        <v>1</v>
      </c>
      <c r="AI18" s="65"/>
      <c r="AJ18" s="261" t="s">
        <v>3840</v>
      </c>
      <c r="AK18" s="261" t="s">
        <v>3841</v>
      </c>
      <c r="AL18" s="261"/>
      <c r="AM18" s="118"/>
      <c r="AN18" s="261"/>
      <c r="AO18" s="11">
        <v>1</v>
      </c>
      <c r="AP18" s="11">
        <v>0</v>
      </c>
      <c r="AQ18" s="11">
        <v>0</v>
      </c>
      <c r="AR18" s="11">
        <v>0</v>
      </c>
      <c r="AS18" s="11">
        <v>0</v>
      </c>
      <c r="AT18" s="11">
        <v>0</v>
      </c>
    </row>
    <row r="19" spans="1:46" ht="18" customHeight="1">
      <c r="A19" s="260" t="s">
        <v>1996</v>
      </c>
      <c r="B19" s="260" t="s">
        <v>1997</v>
      </c>
      <c r="C19" s="260" t="s">
        <v>1828</v>
      </c>
      <c r="D19" s="260" t="s">
        <v>1988</v>
      </c>
      <c r="E19" s="260" t="s">
        <v>2034</v>
      </c>
      <c r="F19" s="260" t="s">
        <v>2035</v>
      </c>
      <c r="G19" s="260" t="s">
        <v>2036</v>
      </c>
      <c r="H19" s="260" t="s">
        <v>2048</v>
      </c>
      <c r="I19" s="260"/>
      <c r="J19" s="260"/>
      <c r="K19" s="260" t="s">
        <v>2049</v>
      </c>
      <c r="L19" s="260" t="s">
        <v>2050</v>
      </c>
      <c r="M19" s="260" t="s">
        <v>2051</v>
      </c>
      <c r="N19" s="260" t="s">
        <v>111</v>
      </c>
      <c r="O19" s="260" t="s">
        <v>112</v>
      </c>
      <c r="P19" s="10">
        <v>1</v>
      </c>
      <c r="Q19" s="11">
        <v>3</v>
      </c>
      <c r="R19" s="11">
        <f t="shared" si="2"/>
        <v>0.9</v>
      </c>
      <c r="S19" s="261" t="s">
        <v>3842</v>
      </c>
      <c r="T19" s="11">
        <v>0</v>
      </c>
      <c r="U19" s="11">
        <v>0</v>
      </c>
      <c r="V19" s="11">
        <v>0</v>
      </c>
      <c r="W19" s="11">
        <v>0</v>
      </c>
      <c r="X19" s="11">
        <v>0</v>
      </c>
      <c r="Y19" s="11">
        <v>0</v>
      </c>
      <c r="Z19" s="11">
        <v>0</v>
      </c>
      <c r="AA19" s="11"/>
      <c r="AB19" s="11"/>
      <c r="AC19" s="11"/>
      <c r="AD19" s="11">
        <v>1</v>
      </c>
      <c r="AE19" s="11">
        <v>0</v>
      </c>
      <c r="AF19" s="261">
        <v>0.9</v>
      </c>
      <c r="AG19" s="261">
        <v>0</v>
      </c>
      <c r="AH19" s="9">
        <f t="shared" si="3"/>
        <v>0.9</v>
      </c>
      <c r="AI19" s="65" t="s">
        <v>3843</v>
      </c>
      <c r="AJ19" s="65" t="s">
        <v>3844</v>
      </c>
      <c r="AK19" s="261" t="s">
        <v>3845</v>
      </c>
      <c r="AL19" s="261"/>
      <c r="AM19" s="118"/>
      <c r="AN19" s="261"/>
      <c r="AO19" s="11">
        <v>1</v>
      </c>
      <c r="AP19" s="11">
        <v>0</v>
      </c>
      <c r="AQ19" s="11">
        <v>1</v>
      </c>
      <c r="AR19" s="11">
        <v>0</v>
      </c>
      <c r="AS19" s="11">
        <v>0</v>
      </c>
      <c r="AT19" s="11">
        <v>0</v>
      </c>
    </row>
    <row r="20" spans="1:46" ht="18" customHeight="1">
      <c r="A20" s="260" t="s">
        <v>1996</v>
      </c>
      <c r="B20" s="260" t="s">
        <v>1997</v>
      </c>
      <c r="C20" s="260" t="s">
        <v>1828</v>
      </c>
      <c r="D20" s="260" t="s">
        <v>1988</v>
      </c>
      <c r="E20" s="260" t="s">
        <v>2034</v>
      </c>
      <c r="F20" s="260" t="s">
        <v>2035</v>
      </c>
      <c r="G20" s="260" t="s">
        <v>2036</v>
      </c>
      <c r="H20" s="260" t="s">
        <v>2052</v>
      </c>
      <c r="I20" s="260"/>
      <c r="J20" s="260"/>
      <c r="K20" s="260" t="s">
        <v>2053</v>
      </c>
      <c r="L20" s="260" t="s">
        <v>2054</v>
      </c>
      <c r="M20" s="260" t="s">
        <v>2055</v>
      </c>
      <c r="N20" s="260" t="s">
        <v>111</v>
      </c>
      <c r="O20" s="260" t="s">
        <v>112</v>
      </c>
      <c r="P20" s="10">
        <v>0</v>
      </c>
      <c r="Q20" s="11">
        <v>1</v>
      </c>
      <c r="R20" s="11">
        <f t="shared" si="2"/>
        <v>0.4</v>
      </c>
      <c r="S20" s="261" t="s">
        <v>3846</v>
      </c>
      <c r="T20" s="11">
        <v>0</v>
      </c>
      <c r="U20" s="11">
        <v>0</v>
      </c>
      <c r="V20" s="11">
        <v>0</v>
      </c>
      <c r="W20" s="11">
        <v>0</v>
      </c>
      <c r="X20" s="11">
        <v>0</v>
      </c>
      <c r="Y20" s="11">
        <v>0</v>
      </c>
      <c r="Z20" s="11">
        <v>0</v>
      </c>
      <c r="AA20" s="11"/>
      <c r="AB20" s="11"/>
      <c r="AC20" s="11"/>
      <c r="AD20" s="11">
        <v>0.5</v>
      </c>
      <c r="AE20" s="11">
        <v>0</v>
      </c>
      <c r="AF20" s="261">
        <v>0.4</v>
      </c>
      <c r="AG20" s="261">
        <v>0</v>
      </c>
      <c r="AH20" s="9">
        <f t="shared" si="3"/>
        <v>0.4</v>
      </c>
      <c r="AI20" s="65" t="s">
        <v>3847</v>
      </c>
      <c r="AJ20" s="261" t="s">
        <v>3848</v>
      </c>
      <c r="AK20" s="261"/>
      <c r="AL20" s="261"/>
      <c r="AM20" s="118"/>
      <c r="AN20" s="261"/>
      <c r="AO20" s="11">
        <v>0.5</v>
      </c>
      <c r="AP20" s="11">
        <v>0</v>
      </c>
      <c r="AQ20" s="11">
        <v>0</v>
      </c>
      <c r="AR20" s="11">
        <v>0</v>
      </c>
      <c r="AS20" s="11">
        <v>0</v>
      </c>
      <c r="AT20" s="11">
        <v>0</v>
      </c>
    </row>
    <row r="21" spans="1:46" ht="18" customHeight="1">
      <c r="A21" s="260" t="s">
        <v>1996</v>
      </c>
      <c r="B21" s="260" t="s">
        <v>1997</v>
      </c>
      <c r="C21" s="260" t="s">
        <v>1828</v>
      </c>
      <c r="D21" s="260" t="s">
        <v>1988</v>
      </c>
      <c r="E21" s="260" t="s">
        <v>2034</v>
      </c>
      <c r="F21" s="260" t="s">
        <v>2035</v>
      </c>
      <c r="G21" s="260" t="s">
        <v>2036</v>
      </c>
      <c r="H21" s="260" t="s">
        <v>2056</v>
      </c>
      <c r="I21" s="260"/>
      <c r="J21" s="260"/>
      <c r="K21" s="260" t="s">
        <v>2057</v>
      </c>
      <c r="L21" s="260" t="s">
        <v>2058</v>
      </c>
      <c r="M21" s="260" t="s">
        <v>122</v>
      </c>
      <c r="N21" s="260" t="s">
        <v>123</v>
      </c>
      <c r="O21" s="260" t="s">
        <v>124</v>
      </c>
      <c r="P21" s="10">
        <v>100</v>
      </c>
      <c r="Q21" s="11">
        <v>100</v>
      </c>
      <c r="R21" s="11">
        <f>(Z21+AH21)/2</f>
        <v>100</v>
      </c>
      <c r="S21" s="261" t="s">
        <v>3849</v>
      </c>
      <c r="T21" s="11">
        <v>0</v>
      </c>
      <c r="U21" s="11">
        <v>100</v>
      </c>
      <c r="V21" s="11">
        <v>0</v>
      </c>
      <c r="W21" s="11">
        <v>100</v>
      </c>
      <c r="X21" s="11" t="s">
        <v>115</v>
      </c>
      <c r="Y21" s="11">
        <v>100</v>
      </c>
      <c r="Z21" s="11">
        <v>100</v>
      </c>
      <c r="AA21" s="11" t="s">
        <v>2059</v>
      </c>
      <c r="AB21" s="11" t="s">
        <v>2060</v>
      </c>
      <c r="AC21" s="11" t="s">
        <v>2061</v>
      </c>
      <c r="AD21" s="11">
        <v>0</v>
      </c>
      <c r="AE21" s="11">
        <v>100</v>
      </c>
      <c r="AF21" s="261">
        <v>0</v>
      </c>
      <c r="AG21" s="261">
        <v>100</v>
      </c>
      <c r="AH21" s="11">
        <f>AG21</f>
        <v>100</v>
      </c>
      <c r="AI21" s="78" t="s">
        <v>3850</v>
      </c>
      <c r="AJ21" s="261" t="s">
        <v>3851</v>
      </c>
      <c r="AK21" s="261" t="s">
        <v>3852</v>
      </c>
      <c r="AL21" s="261"/>
      <c r="AM21" s="118"/>
      <c r="AN21" s="261"/>
      <c r="AO21" s="11">
        <v>0</v>
      </c>
      <c r="AP21" s="11">
        <v>100</v>
      </c>
      <c r="AQ21" s="11">
        <v>0</v>
      </c>
      <c r="AR21" s="11">
        <v>100</v>
      </c>
      <c r="AS21" s="11">
        <v>0</v>
      </c>
      <c r="AT21" s="11">
        <v>0</v>
      </c>
    </row>
    <row r="22" spans="1:46" ht="18" customHeight="1">
      <c r="A22" s="260" t="s">
        <v>1996</v>
      </c>
      <c r="B22" s="260" t="s">
        <v>1997</v>
      </c>
      <c r="C22" s="260" t="s">
        <v>1828</v>
      </c>
      <c r="D22" s="260" t="s">
        <v>1988</v>
      </c>
      <c r="E22" s="260" t="s">
        <v>2013</v>
      </c>
      <c r="F22" s="260" t="s">
        <v>2035</v>
      </c>
      <c r="G22" s="260" t="s">
        <v>2036</v>
      </c>
      <c r="H22" s="260" t="s">
        <v>2818</v>
      </c>
      <c r="I22" s="260"/>
      <c r="J22" s="260"/>
      <c r="K22" s="260" t="s">
        <v>2819</v>
      </c>
      <c r="L22" s="260" t="s">
        <v>2820</v>
      </c>
      <c r="M22" s="260" t="s">
        <v>2821</v>
      </c>
      <c r="N22" s="260" t="s">
        <v>111</v>
      </c>
      <c r="O22" s="260" t="s">
        <v>112</v>
      </c>
      <c r="P22" s="10">
        <v>0</v>
      </c>
      <c r="Q22" s="11">
        <v>13</v>
      </c>
      <c r="R22" s="11">
        <v>0</v>
      </c>
      <c r="S22" s="261"/>
      <c r="T22" s="11">
        <v>0</v>
      </c>
      <c r="U22" s="11">
        <v>0</v>
      </c>
      <c r="V22" s="11">
        <v>0</v>
      </c>
      <c r="W22" s="11">
        <v>0</v>
      </c>
      <c r="X22" s="11">
        <v>0</v>
      </c>
      <c r="Y22" s="11">
        <v>0</v>
      </c>
      <c r="Z22" s="11">
        <v>0</v>
      </c>
      <c r="AA22" s="11">
        <v>0</v>
      </c>
      <c r="AB22" s="11">
        <v>0</v>
      </c>
      <c r="AC22" s="11">
        <v>0</v>
      </c>
      <c r="AD22" s="11">
        <v>13</v>
      </c>
      <c r="AE22" s="11">
        <v>0</v>
      </c>
      <c r="AF22" s="56"/>
      <c r="AG22" s="56"/>
      <c r="AH22" s="261">
        <f>AF22</f>
        <v>0</v>
      </c>
      <c r="AI22" s="135" t="s">
        <v>3853</v>
      </c>
      <c r="AJ22" s="56"/>
      <c r="AK22" s="56"/>
      <c r="AL22" s="56"/>
      <c r="AM22" s="56"/>
      <c r="AN22" s="56"/>
      <c r="AO22" s="11">
        <v>0</v>
      </c>
      <c r="AP22" s="11">
        <v>0</v>
      </c>
      <c r="AQ22" s="11">
        <v>0</v>
      </c>
      <c r="AR22" s="11">
        <v>0</v>
      </c>
      <c r="AS22" s="11">
        <v>0</v>
      </c>
      <c r="AT22" s="11">
        <v>0</v>
      </c>
    </row>
    <row r="23" spans="1:46" s="3" customFormat="1">
      <c r="L23" s="5"/>
      <c r="AM23" s="124"/>
    </row>
  </sheetData>
  <sheetProtection autoFilter="0"/>
  <autoFilter ref="A12:IZ22" xr:uid="{00000000-0009-0000-0000-000016000000}"/>
  <customSheetViews>
    <customSheetView guid="{75629C99-8367-48E9-A2A2-D8C49A9E68E3}" scale="80" showAutoFilter="1" hiddenRows="1" topLeftCell="V1">
      <pane ySplit="12" topLeftCell="A19" activePane="bottomLeft" state="frozen"/>
      <selection pane="bottomLeft" activeCell="AL21" sqref="AL21"/>
      <pageMargins left="0" right="0" top="0" bottom="0" header="0" footer="0"/>
      <pageSetup orientation="portrait" r:id="rId1"/>
      <autoFilter ref="A12:IZ21" xr:uid="{A45E3535-990E-44F0-BF3F-34FF323A23D4}"/>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22">
    <cfRule type="duplicateValues" dxfId="6" priority="1"/>
  </conditionalFormatting>
  <pageMargins left="0.7" right="0.7" top="0.75" bottom="0.75" header="0.3" footer="0.3"/>
  <pageSetup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T25"/>
  <sheetViews>
    <sheetView topLeftCell="AE9" zoomScale="80" zoomScaleNormal="80" workbookViewId="0">
      <selection activeCell="AJ18" sqref="AJ18"/>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0.9">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2586</v>
      </c>
      <c r="B13" s="260" t="s">
        <v>2587</v>
      </c>
      <c r="C13" s="260" t="s">
        <v>2371</v>
      </c>
      <c r="D13" s="260" t="s">
        <v>2588</v>
      </c>
      <c r="E13" s="260" t="s">
        <v>2589</v>
      </c>
      <c r="F13" s="260" t="s">
        <v>2590</v>
      </c>
      <c r="G13" s="260" t="s">
        <v>2591</v>
      </c>
      <c r="H13" s="260" t="s">
        <v>2592</v>
      </c>
      <c r="I13" s="260"/>
      <c r="J13" s="260"/>
      <c r="K13" s="260" t="s">
        <v>2593</v>
      </c>
      <c r="L13" s="260" t="s">
        <v>2594</v>
      </c>
      <c r="M13" s="260" t="s">
        <v>2595</v>
      </c>
      <c r="N13" s="260" t="s">
        <v>111</v>
      </c>
      <c r="O13" s="260" t="s">
        <v>112</v>
      </c>
      <c r="P13" s="10">
        <v>0</v>
      </c>
      <c r="Q13" s="11">
        <v>1</v>
      </c>
      <c r="R13" s="11">
        <f t="shared" ref="R13:R14" si="0">Z13+AH13</f>
        <v>0.38</v>
      </c>
      <c r="S13" s="261" t="s">
        <v>3854</v>
      </c>
      <c r="T13" s="11">
        <v>0.1</v>
      </c>
      <c r="U13" s="11">
        <v>0</v>
      </c>
      <c r="V13" s="11">
        <v>0.1</v>
      </c>
      <c r="W13" s="11">
        <v>0</v>
      </c>
      <c r="X13" s="11">
        <v>0.1</v>
      </c>
      <c r="Y13" s="11">
        <v>0</v>
      </c>
      <c r="Z13" s="11">
        <v>0.1</v>
      </c>
      <c r="AA13" s="11">
        <v>0</v>
      </c>
      <c r="AB13" s="11" t="s">
        <v>2596</v>
      </c>
      <c r="AC13" s="11" t="s">
        <v>2597</v>
      </c>
      <c r="AD13" s="11">
        <v>0.3</v>
      </c>
      <c r="AE13" s="11">
        <v>0</v>
      </c>
      <c r="AF13" s="261">
        <v>0.28000000000000003</v>
      </c>
      <c r="AG13" s="261"/>
      <c r="AH13" s="9">
        <f>AF13</f>
        <v>0.28000000000000003</v>
      </c>
      <c r="AI13" s="65" t="s">
        <v>3855</v>
      </c>
      <c r="AJ13" s="261" t="s">
        <v>3856</v>
      </c>
      <c r="AK13" s="261"/>
      <c r="AL13" s="78"/>
      <c r="AM13" s="118"/>
      <c r="AN13" s="261"/>
      <c r="AO13" s="11">
        <v>0.3</v>
      </c>
      <c r="AP13" s="11">
        <v>0</v>
      </c>
      <c r="AQ13" s="11">
        <v>0.3</v>
      </c>
      <c r="AR13" s="11">
        <v>0</v>
      </c>
      <c r="AS13" s="11">
        <v>0</v>
      </c>
      <c r="AT13" s="11">
        <v>0</v>
      </c>
    </row>
    <row r="14" spans="1:46" ht="18" customHeight="1">
      <c r="A14" s="260" t="s">
        <v>2586</v>
      </c>
      <c r="B14" s="260" t="s">
        <v>2587</v>
      </c>
      <c r="C14" s="260" t="s">
        <v>2371</v>
      </c>
      <c r="D14" s="260" t="s">
        <v>2588</v>
      </c>
      <c r="E14" s="260" t="s">
        <v>2589</v>
      </c>
      <c r="F14" s="260" t="s">
        <v>2590</v>
      </c>
      <c r="G14" s="260" t="s">
        <v>2591</v>
      </c>
      <c r="H14" s="260" t="s">
        <v>2598</v>
      </c>
      <c r="I14" s="260"/>
      <c r="J14" s="260"/>
      <c r="K14" s="260" t="s">
        <v>2599</v>
      </c>
      <c r="L14" s="260" t="s">
        <v>2600</v>
      </c>
      <c r="M14" s="260" t="s">
        <v>2601</v>
      </c>
      <c r="N14" s="260" t="s">
        <v>123</v>
      </c>
      <c r="O14" s="260" t="s">
        <v>112</v>
      </c>
      <c r="P14" s="10">
        <v>0</v>
      </c>
      <c r="Q14" s="11">
        <v>50</v>
      </c>
      <c r="R14" s="11">
        <f t="shared" si="0"/>
        <v>20</v>
      </c>
      <c r="S14" s="261" t="s">
        <v>3857</v>
      </c>
      <c r="T14" s="11">
        <v>5</v>
      </c>
      <c r="U14" s="11">
        <v>0</v>
      </c>
      <c r="V14" s="11">
        <v>5</v>
      </c>
      <c r="W14" s="11">
        <v>0</v>
      </c>
      <c r="X14" s="11">
        <v>5</v>
      </c>
      <c r="Y14" s="11">
        <v>0</v>
      </c>
      <c r="Z14" s="11">
        <v>5</v>
      </c>
      <c r="AA14" s="11">
        <v>0</v>
      </c>
      <c r="AB14" s="11"/>
      <c r="AC14" s="11">
        <v>0</v>
      </c>
      <c r="AD14" s="11">
        <v>15</v>
      </c>
      <c r="AE14" s="11">
        <v>0</v>
      </c>
      <c r="AF14" s="261">
        <v>15</v>
      </c>
      <c r="AG14" s="261"/>
      <c r="AH14" s="9">
        <v>15</v>
      </c>
      <c r="AI14" s="261" t="s">
        <v>3858</v>
      </c>
      <c r="AJ14" s="261" t="s">
        <v>3859</v>
      </c>
      <c r="AK14" s="148" t="s">
        <v>3860</v>
      </c>
      <c r="AL14" s="261"/>
      <c r="AM14" s="118"/>
      <c r="AN14" s="261"/>
      <c r="AO14" s="11">
        <v>15</v>
      </c>
      <c r="AP14" s="11">
        <v>0</v>
      </c>
      <c r="AQ14" s="11">
        <v>15</v>
      </c>
      <c r="AR14" s="11">
        <v>0</v>
      </c>
      <c r="AS14" s="11">
        <v>0</v>
      </c>
      <c r="AT14" s="11">
        <v>0</v>
      </c>
    </row>
    <row r="15" spans="1:46" ht="18" customHeight="1">
      <c r="A15" s="260" t="s">
        <v>2586</v>
      </c>
      <c r="B15" s="260" t="s">
        <v>2587</v>
      </c>
      <c r="C15" s="260" t="s">
        <v>2371</v>
      </c>
      <c r="D15" s="260" t="s">
        <v>2588</v>
      </c>
      <c r="E15" s="260" t="s">
        <v>2589</v>
      </c>
      <c r="F15" s="260" t="s">
        <v>2590</v>
      </c>
      <c r="G15" s="260" t="s">
        <v>2591</v>
      </c>
      <c r="H15" s="260" t="s">
        <v>2602</v>
      </c>
      <c r="I15" s="260"/>
      <c r="J15" s="260"/>
      <c r="K15" s="260" t="s">
        <v>2603</v>
      </c>
      <c r="L15" s="260" t="s">
        <v>2604</v>
      </c>
      <c r="M15" s="260" t="s">
        <v>131</v>
      </c>
      <c r="N15" s="260" t="s">
        <v>111</v>
      </c>
      <c r="O15" s="260" t="s">
        <v>124</v>
      </c>
      <c r="P15" s="10">
        <v>1</v>
      </c>
      <c r="Q15" s="11">
        <v>1</v>
      </c>
      <c r="R15" s="11">
        <f>(Z15+AH15)/2</f>
        <v>0.95</v>
      </c>
      <c r="S15" s="65" t="s">
        <v>3861</v>
      </c>
      <c r="T15" s="11">
        <v>0</v>
      </c>
      <c r="U15" s="11">
        <v>1</v>
      </c>
      <c r="V15" s="11">
        <v>0</v>
      </c>
      <c r="W15" s="11">
        <v>1</v>
      </c>
      <c r="X15" s="11" t="s">
        <v>115</v>
      </c>
      <c r="Y15" s="11">
        <v>1</v>
      </c>
      <c r="Z15" s="11">
        <v>1</v>
      </c>
      <c r="AA15" s="11">
        <v>0</v>
      </c>
      <c r="AB15" s="11" t="s">
        <v>2605</v>
      </c>
      <c r="AC15" s="11">
        <v>0</v>
      </c>
      <c r="AD15" s="11">
        <v>0</v>
      </c>
      <c r="AE15" s="11">
        <v>1</v>
      </c>
      <c r="AF15" s="261"/>
      <c r="AG15" s="261">
        <v>0.9</v>
      </c>
      <c r="AH15" s="11">
        <f>AG15</f>
        <v>0.9</v>
      </c>
      <c r="AI15" s="261" t="s">
        <v>3862</v>
      </c>
      <c r="AJ15" s="261" t="s">
        <v>3863</v>
      </c>
      <c r="AK15" s="261"/>
      <c r="AL15" s="261"/>
      <c r="AM15" s="118"/>
      <c r="AN15" s="261"/>
      <c r="AO15" s="11">
        <v>0</v>
      </c>
      <c r="AP15" s="11">
        <v>1</v>
      </c>
      <c r="AQ15" s="11">
        <v>0</v>
      </c>
      <c r="AR15" s="11">
        <v>1</v>
      </c>
      <c r="AS15" s="11">
        <v>0</v>
      </c>
      <c r="AT15" s="11">
        <v>0</v>
      </c>
    </row>
    <row r="16" spans="1:46" s="3" customFormat="1">
      <c r="L16" s="5"/>
      <c r="S16" s="55"/>
      <c r="AF16" s="55"/>
      <c r="AG16" s="55"/>
      <c r="AI16" s="55"/>
      <c r="AJ16" s="279"/>
      <c r="AK16" s="55"/>
      <c r="AL16" s="55"/>
      <c r="AM16" s="121"/>
      <c r="AN16" s="55"/>
    </row>
    <row r="17" spans="19:40">
      <c r="S17" s="56"/>
      <c r="AF17" s="56"/>
      <c r="AG17" s="56"/>
      <c r="AI17" s="56"/>
      <c r="AJ17" s="56"/>
      <c r="AK17" s="56"/>
      <c r="AL17" s="56"/>
      <c r="AM17" s="126"/>
      <c r="AN17" s="56"/>
    </row>
    <row r="18" spans="19:40">
      <c r="S18" s="56"/>
      <c r="AF18" s="56"/>
      <c r="AG18" s="56"/>
      <c r="AI18" s="56"/>
      <c r="AJ18" s="56"/>
      <c r="AK18" s="56"/>
      <c r="AL18" s="56"/>
      <c r="AM18" s="126"/>
      <c r="AN18" s="56"/>
    </row>
    <row r="19" spans="19:40">
      <c r="S19" s="56"/>
      <c r="AF19" s="56"/>
      <c r="AG19" s="56"/>
      <c r="AI19" s="56"/>
      <c r="AJ19" s="56"/>
      <c r="AK19" s="56"/>
      <c r="AL19" s="56"/>
      <c r="AM19" s="126"/>
      <c r="AN19" s="56"/>
    </row>
    <row r="20" spans="19:40">
      <c r="S20" s="56"/>
      <c r="AF20" s="56"/>
      <c r="AG20" s="56"/>
      <c r="AI20" s="56"/>
      <c r="AJ20" s="56"/>
      <c r="AK20" s="56"/>
      <c r="AL20" s="56"/>
      <c r="AM20" s="126"/>
      <c r="AN20" s="56"/>
    </row>
    <row r="21" spans="19:40">
      <c r="S21" s="56"/>
      <c r="AF21" s="56"/>
      <c r="AG21" s="56"/>
      <c r="AI21" s="56"/>
      <c r="AJ21" s="56"/>
      <c r="AK21" s="56"/>
      <c r="AL21" s="56"/>
      <c r="AM21" s="126"/>
      <c r="AN21" s="56"/>
    </row>
    <row r="25" spans="19:40">
      <c r="AC25" s="56"/>
    </row>
  </sheetData>
  <sheetProtection autoFilter="0"/>
  <autoFilter ref="A12:IZ15" xr:uid="{00000000-0009-0000-0000-000017000000}"/>
  <customSheetViews>
    <customSheetView guid="{75629C99-8367-48E9-A2A2-D8C49A9E68E3}" scale="80" showAutoFilter="1" hiddenRows="1" topLeftCell="Y9">
      <selection activeCell="AI18" sqref="AI18"/>
      <pageMargins left="0" right="0" top="0" bottom="0" header="0" footer="0"/>
      <pageSetup orientation="portrait" r:id="rId1"/>
      <autoFilter ref="A12:IZ15" xr:uid="{30ED80CF-179F-45A7-A86F-12BF8831A5E2}"/>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T55"/>
  <sheetViews>
    <sheetView topLeftCell="AC1" zoomScale="80" zoomScaleNormal="80" workbookViewId="0">
      <pane ySplit="12" topLeftCell="A31" activePane="bottomLeft" state="frozen"/>
      <selection pane="bottomLeft" activeCell="AC37" sqref="AC37"/>
      <selection activeCell="AL12" sqref="AL12:AN12"/>
    </sheetView>
  </sheetViews>
  <sheetFormatPr defaultColWidth="11.42578125" defaultRowHeight="14.45"/>
  <cols>
    <col min="1" max="1" width="12.7109375" customWidth="1"/>
    <col min="2" max="2" width="18.42578125" customWidth="1"/>
    <col min="3" max="4" width="12.7109375" customWidth="1"/>
    <col min="5" max="5" width="10.28515625" customWidth="1"/>
    <col min="6" max="6" width="20" customWidth="1"/>
    <col min="7" max="7" width="17.42578125" customWidth="1"/>
    <col min="8" max="8" width="15.855468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29" width="12.7109375" customWidth="1"/>
    <col min="30" max="30" width="12.7109375" style="81" customWidth="1"/>
    <col min="31"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ht="8.4499999999999993" customHeight="1">
      <c r="A2" s="502"/>
      <c r="B2" s="502"/>
      <c r="C2" s="502"/>
      <c r="D2" s="502"/>
      <c r="E2" s="489"/>
      <c r="F2" s="490"/>
      <c r="G2" s="490"/>
      <c r="H2" s="490"/>
      <c r="I2" s="491"/>
      <c r="J2" s="486" t="s">
        <v>2</v>
      </c>
      <c r="K2" s="487"/>
      <c r="L2" s="495"/>
    </row>
    <row r="3" spans="1:46" ht="8.4499999999999993" customHeight="1">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19.350000000000001" customHeight="1"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82"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6" t="s">
        <v>98</v>
      </c>
      <c r="B13" s="6" t="s">
        <v>99</v>
      </c>
      <c r="C13" s="6" t="s">
        <v>100</v>
      </c>
      <c r="D13" s="6" t="s">
        <v>101</v>
      </c>
      <c r="E13" s="6" t="s">
        <v>102</v>
      </c>
      <c r="F13" s="6" t="s">
        <v>103</v>
      </c>
      <c r="G13" s="6" t="s">
        <v>104</v>
      </c>
      <c r="H13" s="6" t="s">
        <v>105</v>
      </c>
      <c r="I13" s="260" t="s">
        <v>106</v>
      </c>
      <c r="J13" s="12" t="s">
        <v>107</v>
      </c>
      <c r="K13" s="260" t="s">
        <v>108</v>
      </c>
      <c r="L13" s="260" t="s">
        <v>109</v>
      </c>
      <c r="M13" s="260" t="s">
        <v>110</v>
      </c>
      <c r="N13" s="260" t="s">
        <v>111</v>
      </c>
      <c r="O13" s="260" t="s">
        <v>112</v>
      </c>
      <c r="P13" s="10">
        <v>7</v>
      </c>
      <c r="Q13" s="11">
        <v>40</v>
      </c>
      <c r="R13" s="9">
        <f>Z13+AH13</f>
        <v>13</v>
      </c>
      <c r="S13" s="183" t="s">
        <v>3864</v>
      </c>
      <c r="T13" s="9">
        <v>6</v>
      </c>
      <c r="U13" s="9">
        <v>0</v>
      </c>
      <c r="V13" s="9">
        <v>6</v>
      </c>
      <c r="W13" s="9">
        <v>0</v>
      </c>
      <c r="X13" s="9">
        <v>6</v>
      </c>
      <c r="Y13" s="9">
        <v>0</v>
      </c>
      <c r="Z13" s="9">
        <v>6</v>
      </c>
      <c r="AA13" s="9" t="s">
        <v>110</v>
      </c>
      <c r="AB13" s="9" t="s">
        <v>113</v>
      </c>
      <c r="AC13" s="9" t="s">
        <v>114</v>
      </c>
      <c r="AD13" s="11">
        <v>12</v>
      </c>
      <c r="AE13" s="11">
        <v>0</v>
      </c>
      <c r="AF13" s="261">
        <v>7</v>
      </c>
      <c r="AG13" s="61"/>
      <c r="AH13" s="9">
        <f>AF13</f>
        <v>7</v>
      </c>
      <c r="AI13" s="61" t="s">
        <v>110</v>
      </c>
      <c r="AJ13" s="183" t="s">
        <v>3865</v>
      </c>
      <c r="AK13" s="183" t="s">
        <v>3866</v>
      </c>
      <c r="AL13" s="183" t="s">
        <v>3867</v>
      </c>
      <c r="AM13" s="125">
        <v>0</v>
      </c>
      <c r="AN13" s="61" t="s">
        <v>3868</v>
      </c>
      <c r="AO13" s="11">
        <v>12</v>
      </c>
      <c r="AP13" s="11">
        <v>0</v>
      </c>
      <c r="AQ13" s="11">
        <v>10</v>
      </c>
      <c r="AR13" s="11">
        <v>0</v>
      </c>
      <c r="AS13" s="9">
        <v>0</v>
      </c>
      <c r="AT13" s="9">
        <v>0</v>
      </c>
    </row>
    <row r="14" spans="1:46" ht="18" customHeight="1">
      <c r="A14" s="260" t="s">
        <v>98</v>
      </c>
      <c r="B14" s="260" t="s">
        <v>99</v>
      </c>
      <c r="C14" s="260" t="s">
        <v>100</v>
      </c>
      <c r="D14" s="260" t="s">
        <v>101</v>
      </c>
      <c r="E14" s="260" t="s">
        <v>102</v>
      </c>
      <c r="F14" s="260" t="s">
        <v>116</v>
      </c>
      <c r="G14" s="260" t="s">
        <v>117</v>
      </c>
      <c r="H14" s="260" t="s">
        <v>118</v>
      </c>
      <c r="I14" s="260" t="s">
        <v>106</v>
      </c>
      <c r="J14" s="260" t="s">
        <v>119</v>
      </c>
      <c r="K14" s="260" t="s">
        <v>120</v>
      </c>
      <c r="L14" s="260" t="s">
        <v>121</v>
      </c>
      <c r="M14" s="260" t="s">
        <v>122</v>
      </c>
      <c r="N14" s="260" t="s">
        <v>123</v>
      </c>
      <c r="O14" s="260" t="s">
        <v>124</v>
      </c>
      <c r="P14" s="10">
        <v>100</v>
      </c>
      <c r="Q14" s="11">
        <v>100</v>
      </c>
      <c r="R14" s="11">
        <f>(Z14+AH14)/2</f>
        <v>95.5</v>
      </c>
      <c r="S14" s="183" t="s">
        <v>3869</v>
      </c>
      <c r="T14" s="11">
        <v>0</v>
      </c>
      <c r="U14" s="11">
        <v>100</v>
      </c>
      <c r="V14" s="11">
        <v>0</v>
      </c>
      <c r="W14" s="11">
        <v>100</v>
      </c>
      <c r="X14" s="11" t="s">
        <v>115</v>
      </c>
      <c r="Y14" s="11">
        <v>100</v>
      </c>
      <c r="Z14" s="11">
        <v>100</v>
      </c>
      <c r="AA14" s="11" t="s">
        <v>125</v>
      </c>
      <c r="AB14" s="11" t="s">
        <v>126</v>
      </c>
      <c r="AC14" s="11" t="s">
        <v>127</v>
      </c>
      <c r="AD14" s="11">
        <v>0</v>
      </c>
      <c r="AE14" s="11">
        <v>100</v>
      </c>
      <c r="AF14" s="261"/>
      <c r="AG14" s="261">
        <v>91</v>
      </c>
      <c r="AH14" s="11">
        <f>AG14</f>
        <v>91</v>
      </c>
      <c r="AI14" s="61" t="s">
        <v>122</v>
      </c>
      <c r="AJ14" s="184" t="s">
        <v>3869</v>
      </c>
      <c r="AK14" s="184" t="s">
        <v>3870</v>
      </c>
      <c r="AL14" s="184" t="s">
        <v>3871</v>
      </c>
      <c r="AM14" s="125">
        <v>0</v>
      </c>
      <c r="AN14" s="61" t="s">
        <v>3868</v>
      </c>
      <c r="AO14" s="11">
        <v>0</v>
      </c>
      <c r="AP14" s="11">
        <v>100</v>
      </c>
      <c r="AQ14" s="11">
        <v>0</v>
      </c>
      <c r="AR14" s="11">
        <v>100</v>
      </c>
      <c r="AS14" s="11">
        <v>0</v>
      </c>
      <c r="AT14" s="11">
        <v>0</v>
      </c>
    </row>
    <row r="15" spans="1:46" ht="18" customHeight="1">
      <c r="A15" s="260" t="s">
        <v>98</v>
      </c>
      <c r="B15" s="260" t="s">
        <v>99</v>
      </c>
      <c r="C15" s="260" t="s">
        <v>100</v>
      </c>
      <c r="D15" s="260" t="s">
        <v>101</v>
      </c>
      <c r="E15" s="260" t="s">
        <v>102</v>
      </c>
      <c r="F15" s="260" t="s">
        <v>116</v>
      </c>
      <c r="G15" s="260" t="s">
        <v>117</v>
      </c>
      <c r="H15" s="260" t="s">
        <v>128</v>
      </c>
      <c r="I15" s="260" t="s">
        <v>106</v>
      </c>
      <c r="J15" s="260" t="s">
        <v>119</v>
      </c>
      <c r="K15" s="260" t="s">
        <v>129</v>
      </c>
      <c r="L15" s="260" t="s">
        <v>130</v>
      </c>
      <c r="M15" s="260" t="s">
        <v>131</v>
      </c>
      <c r="N15" s="260" t="s">
        <v>111</v>
      </c>
      <c r="O15" s="260" t="s">
        <v>112</v>
      </c>
      <c r="P15" s="10">
        <v>0</v>
      </c>
      <c r="Q15" s="11">
        <v>1</v>
      </c>
      <c r="R15" s="11">
        <f t="shared" ref="R15:R27" si="0">Z15+AH15</f>
        <v>0.47</v>
      </c>
      <c r="S15" s="184" t="s">
        <v>3872</v>
      </c>
      <c r="T15" s="11">
        <v>0.25</v>
      </c>
      <c r="U15" s="11">
        <v>0</v>
      </c>
      <c r="V15" s="11">
        <v>0.25</v>
      </c>
      <c r="W15" s="11">
        <v>0</v>
      </c>
      <c r="X15" s="11">
        <v>0.25</v>
      </c>
      <c r="Y15" s="11">
        <v>0</v>
      </c>
      <c r="Z15" s="11">
        <v>0.25</v>
      </c>
      <c r="AA15" s="11" t="s">
        <v>132</v>
      </c>
      <c r="AB15" s="11" t="s">
        <v>133</v>
      </c>
      <c r="AC15" s="11">
        <v>0</v>
      </c>
      <c r="AD15" s="11">
        <v>0.25</v>
      </c>
      <c r="AE15" s="11">
        <v>0</v>
      </c>
      <c r="AF15" s="261">
        <v>0.22</v>
      </c>
      <c r="AG15" s="261"/>
      <c r="AH15" s="9">
        <f t="shared" ref="AH15:AH16" si="1">AF15</f>
        <v>0.22</v>
      </c>
      <c r="AI15" s="261" t="s">
        <v>131</v>
      </c>
      <c r="AJ15" s="184" t="s">
        <v>3872</v>
      </c>
      <c r="AK15" s="184" t="s">
        <v>3873</v>
      </c>
      <c r="AL15" s="184" t="s">
        <v>3874</v>
      </c>
      <c r="AM15" s="125">
        <v>0</v>
      </c>
      <c r="AN15" s="61" t="s">
        <v>3868</v>
      </c>
      <c r="AO15" s="11">
        <v>0.25</v>
      </c>
      <c r="AP15" s="11">
        <v>0</v>
      </c>
      <c r="AQ15" s="11">
        <v>0.25</v>
      </c>
      <c r="AR15" s="11">
        <v>0</v>
      </c>
      <c r="AS15" s="11">
        <v>0</v>
      </c>
      <c r="AT15" s="11">
        <v>0</v>
      </c>
    </row>
    <row r="16" spans="1:46" ht="18" customHeight="1">
      <c r="A16" s="260" t="s">
        <v>98</v>
      </c>
      <c r="B16" s="260" t="s">
        <v>99</v>
      </c>
      <c r="C16" s="260" t="s">
        <v>100</v>
      </c>
      <c r="D16" s="260" t="s">
        <v>101</v>
      </c>
      <c r="E16" s="260" t="s">
        <v>102</v>
      </c>
      <c r="F16" s="260" t="s">
        <v>134</v>
      </c>
      <c r="G16" s="260" t="s">
        <v>135</v>
      </c>
      <c r="H16" s="260" t="s">
        <v>136</v>
      </c>
      <c r="I16" s="260" t="s">
        <v>106</v>
      </c>
      <c r="J16" s="12" t="s">
        <v>137</v>
      </c>
      <c r="K16" s="260" t="s">
        <v>138</v>
      </c>
      <c r="L16" s="260" t="s">
        <v>139</v>
      </c>
      <c r="M16" s="260" t="s">
        <v>140</v>
      </c>
      <c r="N16" s="260" t="s">
        <v>111</v>
      </c>
      <c r="O16" s="260" t="s">
        <v>112</v>
      </c>
      <c r="P16" s="10">
        <v>4</v>
      </c>
      <c r="Q16" s="11">
        <v>11</v>
      </c>
      <c r="R16" s="11">
        <f t="shared" si="0"/>
        <v>5</v>
      </c>
      <c r="S16" s="183" t="s">
        <v>3875</v>
      </c>
      <c r="T16" s="11">
        <v>2</v>
      </c>
      <c r="U16" s="11">
        <v>0</v>
      </c>
      <c r="V16" s="11">
        <v>2</v>
      </c>
      <c r="W16" s="11">
        <v>0</v>
      </c>
      <c r="X16" s="11">
        <v>2</v>
      </c>
      <c r="Y16" s="11">
        <v>0</v>
      </c>
      <c r="Z16" s="11">
        <v>2</v>
      </c>
      <c r="AA16" s="11" t="s">
        <v>141</v>
      </c>
      <c r="AB16" s="11" t="s">
        <v>142</v>
      </c>
      <c r="AC16" s="11" t="s">
        <v>143</v>
      </c>
      <c r="AD16" s="11">
        <v>3</v>
      </c>
      <c r="AE16" s="11">
        <v>0</v>
      </c>
      <c r="AF16" s="261">
        <v>3</v>
      </c>
      <c r="AG16" s="261"/>
      <c r="AH16" s="9">
        <f t="shared" si="1"/>
        <v>3</v>
      </c>
      <c r="AI16" s="261" t="s">
        <v>140</v>
      </c>
      <c r="AJ16" s="184" t="s">
        <v>3875</v>
      </c>
      <c r="AK16" s="184" t="s">
        <v>3868</v>
      </c>
      <c r="AL16" s="184" t="s">
        <v>3876</v>
      </c>
      <c r="AM16" s="125">
        <v>0</v>
      </c>
      <c r="AN16" s="61" t="s">
        <v>3868</v>
      </c>
      <c r="AO16" s="11">
        <v>3</v>
      </c>
      <c r="AP16" s="11">
        <v>0</v>
      </c>
      <c r="AQ16" s="11">
        <v>3</v>
      </c>
      <c r="AR16" s="11">
        <v>0</v>
      </c>
      <c r="AS16" s="11">
        <v>0</v>
      </c>
      <c r="AT16" s="11">
        <v>0</v>
      </c>
    </row>
    <row r="17" spans="1:46" ht="18" customHeight="1">
      <c r="A17" s="260" t="s">
        <v>98</v>
      </c>
      <c r="B17" s="260" t="s">
        <v>99</v>
      </c>
      <c r="C17" s="260" t="s">
        <v>100</v>
      </c>
      <c r="D17" s="260" t="s">
        <v>101</v>
      </c>
      <c r="E17" s="260" t="s">
        <v>102</v>
      </c>
      <c r="F17" s="260" t="s">
        <v>155</v>
      </c>
      <c r="G17" s="260" t="s">
        <v>156</v>
      </c>
      <c r="H17" s="260" t="s">
        <v>170</v>
      </c>
      <c r="I17" s="260" t="s">
        <v>106</v>
      </c>
      <c r="J17" s="12" t="s">
        <v>171</v>
      </c>
      <c r="K17" s="260" t="s">
        <v>172</v>
      </c>
      <c r="L17" s="260" t="s">
        <v>173</v>
      </c>
      <c r="M17" s="260" t="s">
        <v>174</v>
      </c>
      <c r="N17" s="260" t="s">
        <v>123</v>
      </c>
      <c r="O17" s="260" t="s">
        <v>112</v>
      </c>
      <c r="P17" s="10">
        <v>76</v>
      </c>
      <c r="Q17" s="11">
        <v>24</v>
      </c>
      <c r="R17" s="11">
        <f t="shared" si="0"/>
        <v>8</v>
      </c>
      <c r="S17" s="184" t="s">
        <v>3877</v>
      </c>
      <c r="T17" s="11">
        <v>1</v>
      </c>
      <c r="U17" s="11">
        <v>0</v>
      </c>
      <c r="V17" s="11">
        <v>1</v>
      </c>
      <c r="W17" s="11">
        <v>0</v>
      </c>
      <c r="X17" s="11">
        <v>1</v>
      </c>
      <c r="Y17" s="11">
        <v>0</v>
      </c>
      <c r="Z17" s="11">
        <v>1</v>
      </c>
      <c r="AA17" s="11" t="s">
        <v>175</v>
      </c>
      <c r="AB17" s="11" t="s">
        <v>176</v>
      </c>
      <c r="AC17" s="11">
        <v>0</v>
      </c>
      <c r="AD17" s="11">
        <v>7</v>
      </c>
      <c r="AE17" s="11">
        <v>0</v>
      </c>
      <c r="AF17" s="261">
        <v>7</v>
      </c>
      <c r="AG17" s="261"/>
      <c r="AH17" s="9">
        <f t="shared" ref="AH17:AH18" si="2">AF17</f>
        <v>7</v>
      </c>
      <c r="AI17" s="65" t="s">
        <v>174</v>
      </c>
      <c r="AJ17" s="184" t="s">
        <v>3877</v>
      </c>
      <c r="AK17" s="184" t="s">
        <v>3868</v>
      </c>
      <c r="AL17" s="184" t="s">
        <v>3878</v>
      </c>
      <c r="AM17" s="125">
        <v>0</v>
      </c>
      <c r="AN17" s="61" t="s">
        <v>3868</v>
      </c>
      <c r="AO17" s="11">
        <v>8</v>
      </c>
      <c r="AP17" s="11">
        <v>0</v>
      </c>
      <c r="AQ17" s="11">
        <v>8</v>
      </c>
      <c r="AR17" s="11">
        <v>0</v>
      </c>
      <c r="AS17" s="11">
        <v>0</v>
      </c>
      <c r="AT17" s="11">
        <v>0</v>
      </c>
    </row>
    <row r="18" spans="1:46" ht="18" customHeight="1">
      <c r="A18" s="260" t="s">
        <v>98</v>
      </c>
      <c r="B18" s="260" t="s">
        <v>99</v>
      </c>
      <c r="C18" s="260" t="s">
        <v>100</v>
      </c>
      <c r="D18" s="260" t="s">
        <v>101</v>
      </c>
      <c r="E18" s="260" t="s">
        <v>102</v>
      </c>
      <c r="F18" s="260" t="s">
        <v>177</v>
      </c>
      <c r="G18" s="260" t="s">
        <v>178</v>
      </c>
      <c r="H18" s="260" t="s">
        <v>179</v>
      </c>
      <c r="I18" s="260" t="s">
        <v>106</v>
      </c>
      <c r="J18" s="12" t="s">
        <v>180</v>
      </c>
      <c r="K18" s="260" t="s">
        <v>181</v>
      </c>
      <c r="L18" s="260" t="s">
        <v>182</v>
      </c>
      <c r="M18" s="260" t="s">
        <v>183</v>
      </c>
      <c r="N18" s="260" t="s">
        <v>111</v>
      </c>
      <c r="O18" s="260" t="s">
        <v>112</v>
      </c>
      <c r="P18" s="10">
        <v>0</v>
      </c>
      <c r="Q18" s="11">
        <v>20</v>
      </c>
      <c r="R18" s="11">
        <f t="shared" si="0"/>
        <v>8</v>
      </c>
      <c r="S18" s="184" t="s">
        <v>3879</v>
      </c>
      <c r="T18" s="11">
        <v>3</v>
      </c>
      <c r="U18" s="11">
        <v>0</v>
      </c>
      <c r="V18" s="11">
        <v>3</v>
      </c>
      <c r="W18" s="11">
        <v>0</v>
      </c>
      <c r="X18" s="11">
        <v>3</v>
      </c>
      <c r="Y18" s="11">
        <v>0</v>
      </c>
      <c r="Z18" s="11">
        <v>3</v>
      </c>
      <c r="AA18" s="11" t="s">
        <v>184</v>
      </c>
      <c r="AB18" s="11" t="s">
        <v>185</v>
      </c>
      <c r="AC18" s="11" t="s">
        <v>186</v>
      </c>
      <c r="AD18" s="11">
        <v>6</v>
      </c>
      <c r="AE18" s="11">
        <v>0</v>
      </c>
      <c r="AF18" s="261">
        <v>5</v>
      </c>
      <c r="AG18" s="65"/>
      <c r="AH18" s="9">
        <f t="shared" si="2"/>
        <v>5</v>
      </c>
      <c r="AI18" s="261" t="s">
        <v>3880</v>
      </c>
      <c r="AJ18" s="184" t="s">
        <v>3881</v>
      </c>
      <c r="AK18" s="184" t="s">
        <v>3882</v>
      </c>
      <c r="AL18" s="184" t="s">
        <v>3883</v>
      </c>
      <c r="AM18" s="125">
        <v>0</v>
      </c>
      <c r="AN18" s="61" t="s">
        <v>3868</v>
      </c>
      <c r="AO18" s="11">
        <v>6</v>
      </c>
      <c r="AP18" s="11">
        <v>0</v>
      </c>
      <c r="AQ18" s="11">
        <v>5</v>
      </c>
      <c r="AR18" s="11">
        <v>0</v>
      </c>
      <c r="AS18" s="11">
        <v>0</v>
      </c>
      <c r="AT18" s="11">
        <v>0</v>
      </c>
    </row>
    <row r="19" spans="1:46" ht="18" customHeight="1">
      <c r="A19" s="260" t="s">
        <v>98</v>
      </c>
      <c r="B19" s="260" t="s">
        <v>99</v>
      </c>
      <c r="C19" s="260" t="s">
        <v>100</v>
      </c>
      <c r="D19" s="260" t="s">
        <v>101</v>
      </c>
      <c r="E19" s="260" t="s">
        <v>189</v>
      </c>
      <c r="F19" s="260" t="s">
        <v>283</v>
      </c>
      <c r="G19" s="260" t="s">
        <v>284</v>
      </c>
      <c r="H19" s="260" t="s">
        <v>285</v>
      </c>
      <c r="I19" s="260" t="s">
        <v>106</v>
      </c>
      <c r="J19" s="12" t="s">
        <v>286</v>
      </c>
      <c r="K19" s="260" t="s">
        <v>287</v>
      </c>
      <c r="L19" s="260" t="s">
        <v>288</v>
      </c>
      <c r="M19" s="260" t="s">
        <v>140</v>
      </c>
      <c r="N19" s="260" t="s">
        <v>111</v>
      </c>
      <c r="O19" s="260" t="s">
        <v>112</v>
      </c>
      <c r="P19" s="10">
        <v>0</v>
      </c>
      <c r="Q19" s="11">
        <v>60</v>
      </c>
      <c r="R19" s="11">
        <f t="shared" si="0"/>
        <v>49</v>
      </c>
      <c r="S19" s="183" t="s">
        <v>3884</v>
      </c>
      <c r="T19" s="11">
        <v>2</v>
      </c>
      <c r="U19" s="11">
        <v>0</v>
      </c>
      <c r="V19" s="11">
        <v>2</v>
      </c>
      <c r="W19" s="11">
        <v>0</v>
      </c>
      <c r="X19" s="11">
        <v>7</v>
      </c>
      <c r="Y19" s="11">
        <v>0</v>
      </c>
      <c r="Z19" s="11">
        <v>7</v>
      </c>
      <c r="AA19" s="11" t="s">
        <v>289</v>
      </c>
      <c r="AB19" s="11" t="s">
        <v>290</v>
      </c>
      <c r="AC19" s="11" t="s">
        <v>291</v>
      </c>
      <c r="AD19" s="11">
        <v>20</v>
      </c>
      <c r="AE19" s="11">
        <v>0</v>
      </c>
      <c r="AF19" s="261">
        <v>42</v>
      </c>
      <c r="AG19" s="261"/>
      <c r="AH19" s="9">
        <f t="shared" ref="AH19" si="3">AF19</f>
        <v>42</v>
      </c>
      <c r="AI19" s="261" t="s">
        <v>3885</v>
      </c>
      <c r="AJ19" s="184" t="s">
        <v>3886</v>
      </c>
      <c r="AK19" s="184" t="s">
        <v>3887</v>
      </c>
      <c r="AL19" s="184" t="s">
        <v>3888</v>
      </c>
      <c r="AM19" s="125">
        <v>0</v>
      </c>
      <c r="AN19" s="61" t="s">
        <v>3868</v>
      </c>
      <c r="AO19" s="11">
        <v>20</v>
      </c>
      <c r="AP19" s="11">
        <v>0</v>
      </c>
      <c r="AQ19" s="11">
        <v>18</v>
      </c>
      <c r="AR19" s="11">
        <v>0</v>
      </c>
      <c r="AS19" s="11">
        <v>0</v>
      </c>
      <c r="AT19" s="11">
        <v>0</v>
      </c>
    </row>
    <row r="20" spans="1:46" ht="18" customHeight="1">
      <c r="A20" s="260" t="s">
        <v>98</v>
      </c>
      <c r="B20" s="260" t="s">
        <v>99</v>
      </c>
      <c r="C20" s="260" t="s">
        <v>100</v>
      </c>
      <c r="D20" s="260" t="s">
        <v>101</v>
      </c>
      <c r="E20" s="260" t="s">
        <v>294</v>
      </c>
      <c r="F20" s="260" t="s">
        <v>305</v>
      </c>
      <c r="G20" s="260" t="s">
        <v>306</v>
      </c>
      <c r="H20" s="260" t="s">
        <v>307</v>
      </c>
      <c r="I20" s="260"/>
      <c r="J20" s="260" t="s">
        <v>308</v>
      </c>
      <c r="K20" s="260" t="s">
        <v>309</v>
      </c>
      <c r="L20" s="260" t="s">
        <v>310</v>
      </c>
      <c r="M20" s="260" t="s">
        <v>311</v>
      </c>
      <c r="N20" s="260" t="s">
        <v>123</v>
      </c>
      <c r="O20" s="260" t="s">
        <v>112</v>
      </c>
      <c r="P20" s="10">
        <v>0</v>
      </c>
      <c r="Q20" s="11">
        <v>100</v>
      </c>
      <c r="R20" s="11">
        <f t="shared" si="0"/>
        <v>22</v>
      </c>
      <c r="S20" s="184" t="s">
        <v>3889</v>
      </c>
      <c r="T20" s="11">
        <v>5</v>
      </c>
      <c r="U20" s="11">
        <v>0</v>
      </c>
      <c r="V20" s="11">
        <v>5</v>
      </c>
      <c r="W20" s="11">
        <v>0</v>
      </c>
      <c r="X20" s="11">
        <v>5</v>
      </c>
      <c r="Y20" s="11">
        <v>0</v>
      </c>
      <c r="Z20" s="11">
        <v>5</v>
      </c>
      <c r="AA20" s="11" t="s">
        <v>312</v>
      </c>
      <c r="AB20" s="11" t="s">
        <v>313</v>
      </c>
      <c r="AC20" s="11" t="s">
        <v>314</v>
      </c>
      <c r="AD20" s="11">
        <v>20</v>
      </c>
      <c r="AE20" s="11">
        <v>0</v>
      </c>
      <c r="AF20" s="261">
        <v>17</v>
      </c>
      <c r="AG20" s="261"/>
      <c r="AH20" s="9">
        <f t="shared" ref="AH20:AH24" si="4">AF20</f>
        <v>17</v>
      </c>
      <c r="AI20" s="65" t="s">
        <v>311</v>
      </c>
      <c r="AJ20" s="184" t="s">
        <v>3890</v>
      </c>
      <c r="AK20" s="184" t="s">
        <v>3891</v>
      </c>
      <c r="AL20" s="184" t="s">
        <v>3892</v>
      </c>
      <c r="AM20" s="125">
        <v>0</v>
      </c>
      <c r="AN20" s="61" t="s">
        <v>3868</v>
      </c>
      <c r="AO20" s="11">
        <v>40</v>
      </c>
      <c r="AP20" s="11">
        <v>0</v>
      </c>
      <c r="AQ20" s="11">
        <v>35</v>
      </c>
      <c r="AR20" s="11">
        <v>0</v>
      </c>
      <c r="AS20" s="11">
        <v>0</v>
      </c>
      <c r="AT20" s="11">
        <v>0</v>
      </c>
    </row>
    <row r="21" spans="1:46" ht="18" customHeight="1">
      <c r="A21" s="260" t="s">
        <v>98</v>
      </c>
      <c r="B21" s="260" t="s">
        <v>99</v>
      </c>
      <c r="C21" s="260" t="s">
        <v>100</v>
      </c>
      <c r="D21" s="260" t="s">
        <v>101</v>
      </c>
      <c r="E21" s="260" t="s">
        <v>294</v>
      </c>
      <c r="F21" s="260" t="s">
        <v>305</v>
      </c>
      <c r="G21" s="260" t="s">
        <v>306</v>
      </c>
      <c r="H21" s="260" t="s">
        <v>315</v>
      </c>
      <c r="I21" s="260"/>
      <c r="J21" s="260" t="s">
        <v>316</v>
      </c>
      <c r="K21" s="260" t="s">
        <v>317</v>
      </c>
      <c r="L21" s="260" t="s">
        <v>318</v>
      </c>
      <c r="M21" s="260" t="s">
        <v>319</v>
      </c>
      <c r="N21" s="260" t="s">
        <v>111</v>
      </c>
      <c r="O21" s="260" t="s">
        <v>112</v>
      </c>
      <c r="P21" s="10">
        <v>0</v>
      </c>
      <c r="Q21" s="11">
        <v>14</v>
      </c>
      <c r="R21" s="11">
        <f t="shared" si="0"/>
        <v>2.4500000000000002</v>
      </c>
      <c r="S21" s="184" t="s">
        <v>3893</v>
      </c>
      <c r="T21" s="11">
        <v>1</v>
      </c>
      <c r="U21" s="11">
        <v>0</v>
      </c>
      <c r="V21" s="11">
        <v>1</v>
      </c>
      <c r="W21" s="11">
        <v>0</v>
      </c>
      <c r="X21" s="11">
        <v>0.75</v>
      </c>
      <c r="Y21" s="11">
        <v>0</v>
      </c>
      <c r="Z21" s="11">
        <v>0.75</v>
      </c>
      <c r="AA21" s="11" t="s">
        <v>319</v>
      </c>
      <c r="AB21" s="11" t="s">
        <v>320</v>
      </c>
      <c r="AC21" s="11" t="s">
        <v>321</v>
      </c>
      <c r="AD21" s="11">
        <v>3.25</v>
      </c>
      <c r="AE21" s="11">
        <v>0</v>
      </c>
      <c r="AF21" s="261">
        <v>1.7</v>
      </c>
      <c r="AG21" s="261"/>
      <c r="AH21" s="9">
        <f t="shared" si="4"/>
        <v>1.7</v>
      </c>
      <c r="AI21" s="261" t="s">
        <v>3894</v>
      </c>
      <c r="AJ21" s="184" t="s">
        <v>3895</v>
      </c>
      <c r="AK21" s="184" t="s">
        <v>3896</v>
      </c>
      <c r="AL21" s="184" t="s">
        <v>3897</v>
      </c>
      <c r="AM21" s="125">
        <v>0</v>
      </c>
      <c r="AN21" s="61" t="s">
        <v>3868</v>
      </c>
      <c r="AO21" s="11">
        <v>5</v>
      </c>
      <c r="AP21" s="11">
        <v>0</v>
      </c>
      <c r="AQ21" s="11">
        <v>5</v>
      </c>
      <c r="AR21" s="11">
        <v>0</v>
      </c>
      <c r="AS21" s="11">
        <v>0</v>
      </c>
      <c r="AT21" s="11">
        <v>0</v>
      </c>
    </row>
    <row r="22" spans="1:46" ht="18" customHeight="1">
      <c r="A22" s="260" t="s">
        <v>98</v>
      </c>
      <c r="B22" s="260" t="s">
        <v>99</v>
      </c>
      <c r="C22" s="260" t="s">
        <v>100</v>
      </c>
      <c r="D22" s="260" t="s">
        <v>101</v>
      </c>
      <c r="E22" s="260" t="s">
        <v>294</v>
      </c>
      <c r="F22" s="260" t="s">
        <v>305</v>
      </c>
      <c r="G22" s="260" t="s">
        <v>306</v>
      </c>
      <c r="H22" s="260" t="s">
        <v>322</v>
      </c>
      <c r="I22" s="260" t="s">
        <v>106</v>
      </c>
      <c r="J22" s="12" t="s">
        <v>323</v>
      </c>
      <c r="K22" s="260" t="s">
        <v>324</v>
      </c>
      <c r="L22" s="260" t="s">
        <v>325</v>
      </c>
      <c r="M22" s="260" t="s">
        <v>326</v>
      </c>
      <c r="N22" s="260" t="s">
        <v>111</v>
      </c>
      <c r="O22" s="260" t="s">
        <v>112</v>
      </c>
      <c r="P22" s="10">
        <v>0</v>
      </c>
      <c r="Q22" s="11">
        <v>5078</v>
      </c>
      <c r="R22" s="11">
        <f t="shared" si="0"/>
        <v>2155</v>
      </c>
      <c r="S22" s="183" t="s">
        <v>3898</v>
      </c>
      <c r="T22" s="11">
        <v>350</v>
      </c>
      <c r="U22" s="11">
        <v>0</v>
      </c>
      <c r="V22" s="11">
        <v>350</v>
      </c>
      <c r="W22" s="11">
        <v>0</v>
      </c>
      <c r="X22" s="11">
        <v>754</v>
      </c>
      <c r="Y22" s="11">
        <v>0</v>
      </c>
      <c r="Z22" s="11">
        <v>754</v>
      </c>
      <c r="AA22" s="11" t="s">
        <v>327</v>
      </c>
      <c r="AB22" s="11" t="s">
        <v>328</v>
      </c>
      <c r="AC22" s="11" t="s">
        <v>329</v>
      </c>
      <c r="AD22" s="11">
        <v>1400</v>
      </c>
      <c r="AE22" s="11">
        <v>0</v>
      </c>
      <c r="AF22" s="261">
        <v>1401</v>
      </c>
      <c r="AG22" s="261"/>
      <c r="AH22" s="9">
        <f t="shared" si="4"/>
        <v>1401</v>
      </c>
      <c r="AI22" s="65" t="s">
        <v>326</v>
      </c>
      <c r="AJ22" s="184" t="s">
        <v>3899</v>
      </c>
      <c r="AK22" s="184" t="s">
        <v>3900</v>
      </c>
      <c r="AL22" s="184" t="s">
        <v>3901</v>
      </c>
      <c r="AM22" s="125">
        <v>0</v>
      </c>
      <c r="AN22" s="61" t="s">
        <v>3868</v>
      </c>
      <c r="AO22" s="11">
        <v>1400</v>
      </c>
      <c r="AP22" s="11">
        <v>0</v>
      </c>
      <c r="AQ22" s="11">
        <v>1928</v>
      </c>
      <c r="AR22" s="11">
        <v>0</v>
      </c>
      <c r="AS22" s="11">
        <v>0</v>
      </c>
      <c r="AT22" s="11">
        <v>0</v>
      </c>
    </row>
    <row r="23" spans="1:46" ht="18" customHeight="1">
      <c r="A23" s="260" t="s">
        <v>98</v>
      </c>
      <c r="B23" s="260" t="s">
        <v>99</v>
      </c>
      <c r="C23" s="260" t="s">
        <v>100</v>
      </c>
      <c r="D23" s="260" t="s">
        <v>101</v>
      </c>
      <c r="E23" s="260" t="s">
        <v>294</v>
      </c>
      <c r="F23" s="260" t="s">
        <v>305</v>
      </c>
      <c r="G23" s="260" t="s">
        <v>306</v>
      </c>
      <c r="H23" s="260" t="s">
        <v>330</v>
      </c>
      <c r="I23" s="260" t="s">
        <v>106</v>
      </c>
      <c r="J23" s="260" t="s">
        <v>119</v>
      </c>
      <c r="K23" s="260" t="s">
        <v>331</v>
      </c>
      <c r="L23" s="260" t="s">
        <v>332</v>
      </c>
      <c r="M23" s="260" t="s">
        <v>333</v>
      </c>
      <c r="N23" s="260" t="s">
        <v>111</v>
      </c>
      <c r="O23" s="260" t="s">
        <v>112</v>
      </c>
      <c r="P23" s="10">
        <v>0</v>
      </c>
      <c r="Q23" s="11">
        <v>1</v>
      </c>
      <c r="R23" s="11">
        <f t="shared" si="0"/>
        <v>0.45</v>
      </c>
      <c r="S23" s="184" t="s">
        <v>3902</v>
      </c>
      <c r="T23" s="11">
        <v>0.25</v>
      </c>
      <c r="U23" s="11">
        <v>0</v>
      </c>
      <c r="V23" s="11">
        <v>0.25</v>
      </c>
      <c r="W23" s="11">
        <v>0</v>
      </c>
      <c r="X23" s="11">
        <v>0.25</v>
      </c>
      <c r="Y23" s="11">
        <v>0</v>
      </c>
      <c r="Z23" s="11">
        <v>0.25</v>
      </c>
      <c r="AA23" s="11" t="s">
        <v>334</v>
      </c>
      <c r="AB23" s="11" t="s">
        <v>335</v>
      </c>
      <c r="AC23" s="11" t="s">
        <v>336</v>
      </c>
      <c r="AD23" s="11">
        <v>0.25</v>
      </c>
      <c r="AE23" s="11">
        <v>0</v>
      </c>
      <c r="AF23" s="261">
        <v>0.2</v>
      </c>
      <c r="AG23" s="261"/>
      <c r="AH23" s="9">
        <f t="shared" si="4"/>
        <v>0.2</v>
      </c>
      <c r="AI23" s="261" t="s">
        <v>333</v>
      </c>
      <c r="AJ23" s="183" t="s">
        <v>3903</v>
      </c>
      <c r="AK23" s="184" t="s">
        <v>3904</v>
      </c>
      <c r="AL23" s="184" t="s">
        <v>3901</v>
      </c>
      <c r="AM23" s="125">
        <v>0</v>
      </c>
      <c r="AN23" s="61" t="s">
        <v>3868</v>
      </c>
      <c r="AO23" s="11">
        <v>0.25</v>
      </c>
      <c r="AP23" s="11">
        <v>0</v>
      </c>
      <c r="AQ23" s="11">
        <v>0.25</v>
      </c>
      <c r="AR23" s="11">
        <v>0</v>
      </c>
      <c r="AS23" s="11">
        <v>0</v>
      </c>
      <c r="AT23" s="11">
        <v>0</v>
      </c>
    </row>
    <row r="24" spans="1:46" ht="18" customHeight="1">
      <c r="A24" s="260" t="s">
        <v>98</v>
      </c>
      <c r="B24" s="260" t="s">
        <v>99</v>
      </c>
      <c r="C24" s="260" t="s">
        <v>100</v>
      </c>
      <c r="D24" s="260" t="s">
        <v>101</v>
      </c>
      <c r="E24" s="260" t="s">
        <v>294</v>
      </c>
      <c r="F24" s="260" t="s">
        <v>305</v>
      </c>
      <c r="G24" s="260" t="s">
        <v>306</v>
      </c>
      <c r="H24" s="260" t="s">
        <v>337</v>
      </c>
      <c r="I24" s="260" t="s">
        <v>106</v>
      </c>
      <c r="J24" s="260" t="s">
        <v>338</v>
      </c>
      <c r="K24" s="260" t="s">
        <v>339</v>
      </c>
      <c r="L24" s="260" t="s">
        <v>340</v>
      </c>
      <c r="M24" s="260" t="s">
        <v>341</v>
      </c>
      <c r="N24" s="260" t="s">
        <v>123</v>
      </c>
      <c r="O24" s="260" t="s">
        <v>112</v>
      </c>
      <c r="P24" s="10">
        <v>85</v>
      </c>
      <c r="Q24" s="11">
        <v>10</v>
      </c>
      <c r="R24" s="11">
        <f t="shared" si="0"/>
        <v>3.83</v>
      </c>
      <c r="S24" s="184" t="s">
        <v>3905</v>
      </c>
      <c r="T24" s="11">
        <v>2</v>
      </c>
      <c r="U24" s="11">
        <v>0</v>
      </c>
      <c r="V24" s="11">
        <v>2</v>
      </c>
      <c r="W24" s="11">
        <v>0</v>
      </c>
      <c r="X24" s="11">
        <v>2</v>
      </c>
      <c r="Y24" s="11">
        <v>0</v>
      </c>
      <c r="Z24" s="11">
        <v>2</v>
      </c>
      <c r="AA24" s="11" t="s">
        <v>342</v>
      </c>
      <c r="AB24" s="11" t="s">
        <v>343</v>
      </c>
      <c r="AC24" s="11">
        <v>0</v>
      </c>
      <c r="AD24" s="11">
        <v>2</v>
      </c>
      <c r="AE24" s="11">
        <v>0</v>
      </c>
      <c r="AF24" s="261">
        <v>1.83</v>
      </c>
      <c r="AG24" s="261"/>
      <c r="AH24" s="9">
        <f t="shared" si="4"/>
        <v>1.83</v>
      </c>
      <c r="AI24" s="65" t="s">
        <v>3906</v>
      </c>
      <c r="AJ24" s="184" t="s">
        <v>3905</v>
      </c>
      <c r="AK24" s="184" t="s">
        <v>3907</v>
      </c>
      <c r="AL24" s="184" t="s">
        <v>3908</v>
      </c>
      <c r="AM24" s="125">
        <v>0</v>
      </c>
      <c r="AN24" s="61" t="s">
        <v>3868</v>
      </c>
      <c r="AO24" s="11">
        <v>2</v>
      </c>
      <c r="AP24" s="11">
        <v>0</v>
      </c>
      <c r="AQ24" s="11">
        <v>4</v>
      </c>
      <c r="AR24" s="11">
        <v>0</v>
      </c>
      <c r="AS24" s="11">
        <v>0</v>
      </c>
      <c r="AT24" s="11">
        <v>0</v>
      </c>
    </row>
    <row r="25" spans="1:46" ht="18" customHeight="1">
      <c r="A25" s="260" t="s">
        <v>98</v>
      </c>
      <c r="B25" s="260" t="s">
        <v>99</v>
      </c>
      <c r="C25" s="260" t="s">
        <v>100</v>
      </c>
      <c r="D25" s="260" t="s">
        <v>508</v>
      </c>
      <c r="E25" s="260" t="s">
        <v>509</v>
      </c>
      <c r="F25" s="260" t="s">
        <v>524</v>
      </c>
      <c r="G25" s="260" t="s">
        <v>525</v>
      </c>
      <c r="H25" s="260" t="s">
        <v>530</v>
      </c>
      <c r="I25" s="260"/>
      <c r="J25" s="260" t="s">
        <v>531</v>
      </c>
      <c r="K25" s="260" t="s">
        <v>532</v>
      </c>
      <c r="L25" s="260" t="s">
        <v>533</v>
      </c>
      <c r="M25" s="260" t="s">
        <v>534</v>
      </c>
      <c r="N25" s="260" t="s">
        <v>111</v>
      </c>
      <c r="O25" s="260" t="s">
        <v>112</v>
      </c>
      <c r="P25" s="10">
        <v>0</v>
      </c>
      <c r="Q25" s="11">
        <v>14</v>
      </c>
      <c r="R25" s="11">
        <f t="shared" si="0"/>
        <v>2</v>
      </c>
      <c r="S25" s="184" t="s">
        <v>3909</v>
      </c>
      <c r="T25" s="11">
        <v>1</v>
      </c>
      <c r="U25" s="11">
        <v>0</v>
      </c>
      <c r="V25" s="11">
        <v>1</v>
      </c>
      <c r="W25" s="11">
        <v>0</v>
      </c>
      <c r="X25" s="11">
        <v>0</v>
      </c>
      <c r="Y25" s="11">
        <v>0</v>
      </c>
      <c r="Z25" s="11">
        <v>0</v>
      </c>
      <c r="AA25" s="11" t="s">
        <v>534</v>
      </c>
      <c r="AB25" s="11" t="s">
        <v>535</v>
      </c>
      <c r="AC25" s="11" t="s">
        <v>536</v>
      </c>
      <c r="AD25" s="11">
        <v>6</v>
      </c>
      <c r="AE25" s="11">
        <v>0</v>
      </c>
      <c r="AF25" s="261">
        <v>2</v>
      </c>
      <c r="AG25" s="261"/>
      <c r="AH25" s="9">
        <f t="shared" ref="AH25:AH27" si="5">AF25</f>
        <v>2</v>
      </c>
      <c r="AI25" s="65" t="s">
        <v>534</v>
      </c>
      <c r="AJ25" s="184" t="s">
        <v>3909</v>
      </c>
      <c r="AK25" s="184" t="s">
        <v>3910</v>
      </c>
      <c r="AL25" s="184" t="s">
        <v>3911</v>
      </c>
      <c r="AM25" s="125">
        <v>0</v>
      </c>
      <c r="AN25" s="61" t="s">
        <v>3868</v>
      </c>
      <c r="AO25" s="11">
        <v>4</v>
      </c>
      <c r="AP25" s="11">
        <v>0</v>
      </c>
      <c r="AQ25" s="11">
        <v>4</v>
      </c>
      <c r="AR25" s="11">
        <v>0</v>
      </c>
      <c r="AS25" s="11">
        <v>0</v>
      </c>
      <c r="AT25" s="11">
        <v>0</v>
      </c>
    </row>
    <row r="26" spans="1:46" ht="18" customHeight="1">
      <c r="A26" s="260" t="s">
        <v>98</v>
      </c>
      <c r="B26" s="260" t="s">
        <v>99</v>
      </c>
      <c r="C26" s="260" t="s">
        <v>100</v>
      </c>
      <c r="D26" s="260" t="s">
        <v>508</v>
      </c>
      <c r="E26" s="260" t="s">
        <v>509</v>
      </c>
      <c r="F26" s="260" t="s">
        <v>537</v>
      </c>
      <c r="G26" s="260" t="s">
        <v>538</v>
      </c>
      <c r="H26" s="260" t="s">
        <v>539</v>
      </c>
      <c r="I26" s="260"/>
      <c r="J26" s="260" t="s">
        <v>531</v>
      </c>
      <c r="K26" s="260" t="s">
        <v>540</v>
      </c>
      <c r="L26" s="260" t="s">
        <v>541</v>
      </c>
      <c r="M26" s="260" t="s">
        <v>542</v>
      </c>
      <c r="N26" s="260" t="s">
        <v>111</v>
      </c>
      <c r="O26" s="260" t="s">
        <v>112</v>
      </c>
      <c r="P26" s="10">
        <v>0</v>
      </c>
      <c r="Q26" s="11">
        <v>60</v>
      </c>
      <c r="R26" s="11">
        <f t="shared" si="0"/>
        <v>0</v>
      </c>
      <c r="S26" s="184" t="s">
        <v>3912</v>
      </c>
      <c r="T26" s="11">
        <v>10</v>
      </c>
      <c r="U26" s="11">
        <v>0</v>
      </c>
      <c r="V26" s="11">
        <v>10</v>
      </c>
      <c r="W26" s="11">
        <v>0</v>
      </c>
      <c r="X26" s="11">
        <v>0</v>
      </c>
      <c r="Y26" s="11">
        <v>0</v>
      </c>
      <c r="Z26" s="11">
        <v>0</v>
      </c>
      <c r="AA26" s="11" t="s">
        <v>542</v>
      </c>
      <c r="AB26" s="11" t="s">
        <v>543</v>
      </c>
      <c r="AC26" s="11" t="s">
        <v>544</v>
      </c>
      <c r="AD26" s="11">
        <v>30</v>
      </c>
      <c r="AE26" s="11">
        <v>0</v>
      </c>
      <c r="AF26" s="261">
        <v>0</v>
      </c>
      <c r="AG26" s="261"/>
      <c r="AH26" s="9">
        <f t="shared" si="5"/>
        <v>0</v>
      </c>
      <c r="AI26" s="261" t="s">
        <v>542</v>
      </c>
      <c r="AJ26" s="184" t="s">
        <v>3913</v>
      </c>
      <c r="AK26" s="184" t="s">
        <v>3914</v>
      </c>
      <c r="AL26" s="184" t="s">
        <v>3915</v>
      </c>
      <c r="AM26" s="125">
        <v>0</v>
      </c>
      <c r="AN26" s="61" t="s">
        <v>3868</v>
      </c>
      <c r="AO26" s="11">
        <v>15</v>
      </c>
      <c r="AP26" s="11">
        <v>0</v>
      </c>
      <c r="AQ26" s="11">
        <v>15</v>
      </c>
      <c r="AR26" s="11">
        <v>0</v>
      </c>
      <c r="AS26" s="11">
        <v>0</v>
      </c>
      <c r="AT26" s="11">
        <v>0</v>
      </c>
    </row>
    <row r="27" spans="1:46" ht="18" customHeight="1">
      <c r="A27" s="260" t="s">
        <v>98</v>
      </c>
      <c r="B27" s="260" t="s">
        <v>99</v>
      </c>
      <c r="C27" s="260" t="s">
        <v>100</v>
      </c>
      <c r="D27" s="260" t="s">
        <v>508</v>
      </c>
      <c r="E27" s="260" t="s">
        <v>509</v>
      </c>
      <c r="F27" s="260" t="s">
        <v>537</v>
      </c>
      <c r="G27" s="260" t="s">
        <v>538</v>
      </c>
      <c r="H27" s="260" t="s">
        <v>545</v>
      </c>
      <c r="I27" s="260"/>
      <c r="J27" s="12" t="s">
        <v>546</v>
      </c>
      <c r="K27" s="260" t="s">
        <v>547</v>
      </c>
      <c r="L27" s="260" t="s">
        <v>548</v>
      </c>
      <c r="M27" s="260" t="s">
        <v>549</v>
      </c>
      <c r="N27" s="260" t="s">
        <v>111</v>
      </c>
      <c r="O27" s="260" t="s">
        <v>112</v>
      </c>
      <c r="P27" s="10">
        <v>85</v>
      </c>
      <c r="Q27" s="11">
        <v>80</v>
      </c>
      <c r="R27" s="11">
        <f t="shared" si="0"/>
        <v>41</v>
      </c>
      <c r="S27" s="184" t="s">
        <v>3916</v>
      </c>
      <c r="T27" s="11">
        <v>5</v>
      </c>
      <c r="U27" s="11">
        <v>0</v>
      </c>
      <c r="V27" s="11">
        <v>5</v>
      </c>
      <c r="W27" s="11">
        <v>0</v>
      </c>
      <c r="X27" s="11">
        <v>11</v>
      </c>
      <c r="Y27" s="11">
        <v>0</v>
      </c>
      <c r="Z27" s="11">
        <v>11</v>
      </c>
      <c r="AA27" s="11" t="s">
        <v>549</v>
      </c>
      <c r="AB27" s="11" t="s">
        <v>550</v>
      </c>
      <c r="AC27" s="11" t="s">
        <v>551</v>
      </c>
      <c r="AD27" s="11">
        <v>30</v>
      </c>
      <c r="AE27" s="11">
        <v>0</v>
      </c>
      <c r="AF27" s="261">
        <v>30</v>
      </c>
      <c r="AG27" s="261"/>
      <c r="AH27" s="9">
        <f t="shared" si="5"/>
        <v>30</v>
      </c>
      <c r="AI27" s="261" t="s">
        <v>549</v>
      </c>
      <c r="AJ27" s="184" t="s">
        <v>3917</v>
      </c>
      <c r="AK27" s="184" t="s">
        <v>3868</v>
      </c>
      <c r="AL27" s="184" t="s">
        <v>3918</v>
      </c>
      <c r="AM27" s="125">
        <v>0</v>
      </c>
      <c r="AN27" s="61" t="s">
        <v>3868</v>
      </c>
      <c r="AO27" s="11">
        <v>30</v>
      </c>
      <c r="AP27" s="11">
        <v>0</v>
      </c>
      <c r="AQ27" s="11">
        <v>15</v>
      </c>
      <c r="AR27" s="11">
        <v>0</v>
      </c>
      <c r="AS27" s="11">
        <v>0</v>
      </c>
      <c r="AT27" s="11">
        <v>0</v>
      </c>
    </row>
    <row r="28" spans="1:46" ht="18" customHeight="1">
      <c r="A28" s="260" t="s">
        <v>98</v>
      </c>
      <c r="B28" s="260" t="s">
        <v>99</v>
      </c>
      <c r="C28" s="260" t="s">
        <v>100</v>
      </c>
      <c r="D28" s="260" t="s">
        <v>508</v>
      </c>
      <c r="E28" s="260" t="s">
        <v>509</v>
      </c>
      <c r="F28" s="260" t="s">
        <v>552</v>
      </c>
      <c r="G28" s="260" t="s">
        <v>553</v>
      </c>
      <c r="H28" s="260" t="s">
        <v>554</v>
      </c>
      <c r="I28" s="260"/>
      <c r="J28" s="260" t="s">
        <v>531</v>
      </c>
      <c r="K28" s="260" t="s">
        <v>555</v>
      </c>
      <c r="L28" s="260" t="s">
        <v>556</v>
      </c>
      <c r="M28" s="260" t="s">
        <v>557</v>
      </c>
      <c r="N28" s="260" t="s">
        <v>123</v>
      </c>
      <c r="O28" s="260" t="s">
        <v>124</v>
      </c>
      <c r="P28" s="10">
        <v>0</v>
      </c>
      <c r="Q28" s="11">
        <v>100</v>
      </c>
      <c r="R28" s="11">
        <f>(Z28+AH28)/2</f>
        <v>50.65</v>
      </c>
      <c r="S28" s="183" t="s">
        <v>3919</v>
      </c>
      <c r="T28" s="11">
        <v>0</v>
      </c>
      <c r="U28" s="11">
        <v>100</v>
      </c>
      <c r="V28" s="11">
        <v>0</v>
      </c>
      <c r="W28" s="11">
        <v>100</v>
      </c>
      <c r="X28" s="11" t="s">
        <v>115</v>
      </c>
      <c r="Y28" s="11">
        <v>30</v>
      </c>
      <c r="Z28" s="11">
        <v>30</v>
      </c>
      <c r="AA28" s="11" t="s">
        <v>558</v>
      </c>
      <c r="AB28" s="11" t="s">
        <v>559</v>
      </c>
      <c r="AC28" s="11" t="s">
        <v>560</v>
      </c>
      <c r="AD28" s="11">
        <v>0</v>
      </c>
      <c r="AE28" s="11">
        <v>100</v>
      </c>
      <c r="AF28" s="261"/>
      <c r="AG28" s="261">
        <v>71.3</v>
      </c>
      <c r="AH28" s="11">
        <f>AG28</f>
        <v>71.3</v>
      </c>
      <c r="AI28" s="261" t="s">
        <v>3920</v>
      </c>
      <c r="AJ28" s="184" t="s">
        <v>3921</v>
      </c>
      <c r="AK28" s="183" t="s">
        <v>3922</v>
      </c>
      <c r="AL28" s="183" t="s">
        <v>3923</v>
      </c>
      <c r="AM28" s="125">
        <v>0</v>
      </c>
      <c r="AN28" s="61" t="s">
        <v>3868</v>
      </c>
      <c r="AO28" s="11">
        <v>0</v>
      </c>
      <c r="AP28" s="11">
        <v>100</v>
      </c>
      <c r="AQ28" s="11">
        <v>0</v>
      </c>
      <c r="AR28" s="11">
        <v>100</v>
      </c>
      <c r="AS28" s="11">
        <v>0</v>
      </c>
      <c r="AT28" s="11">
        <v>0</v>
      </c>
    </row>
    <row r="29" spans="1:46" ht="18" customHeight="1">
      <c r="A29" s="260" t="s">
        <v>98</v>
      </c>
      <c r="B29" s="260" t="s">
        <v>99</v>
      </c>
      <c r="C29" s="260" t="s">
        <v>100</v>
      </c>
      <c r="D29" s="260" t="s">
        <v>508</v>
      </c>
      <c r="E29" s="260" t="s">
        <v>509</v>
      </c>
      <c r="F29" s="260" t="s">
        <v>561</v>
      </c>
      <c r="G29" s="260" t="s">
        <v>562</v>
      </c>
      <c r="H29" s="260" t="s">
        <v>563</v>
      </c>
      <c r="I29" s="260"/>
      <c r="J29" s="12" t="s">
        <v>564</v>
      </c>
      <c r="K29" s="260" t="s">
        <v>565</v>
      </c>
      <c r="L29" s="260" t="s">
        <v>566</v>
      </c>
      <c r="M29" s="260" t="s">
        <v>567</v>
      </c>
      <c r="N29" s="260" t="s">
        <v>123</v>
      </c>
      <c r="O29" s="260" t="s">
        <v>112</v>
      </c>
      <c r="P29" s="10">
        <v>50</v>
      </c>
      <c r="Q29" s="11">
        <v>50</v>
      </c>
      <c r="R29" s="11">
        <f t="shared" ref="R29:R30" si="6">Z29+AH29</f>
        <v>8</v>
      </c>
      <c r="S29" s="184" t="s">
        <v>3924</v>
      </c>
      <c r="T29" s="11">
        <v>5</v>
      </c>
      <c r="U29" s="11">
        <v>0</v>
      </c>
      <c r="V29" s="11">
        <v>5</v>
      </c>
      <c r="W29" s="11">
        <v>0</v>
      </c>
      <c r="X29" s="11">
        <v>5</v>
      </c>
      <c r="Y29" s="11">
        <v>0</v>
      </c>
      <c r="Z29" s="11">
        <v>5</v>
      </c>
      <c r="AA29" s="11" t="s">
        <v>568</v>
      </c>
      <c r="AB29" s="11" t="s">
        <v>569</v>
      </c>
      <c r="AC29" s="11" t="s">
        <v>570</v>
      </c>
      <c r="AD29" s="11">
        <v>15</v>
      </c>
      <c r="AE29" s="11">
        <v>0</v>
      </c>
      <c r="AF29" s="261">
        <v>3</v>
      </c>
      <c r="AG29" s="261"/>
      <c r="AH29" s="9">
        <f t="shared" ref="AH29:AH30" si="7">AF29</f>
        <v>3</v>
      </c>
      <c r="AI29" s="261" t="s">
        <v>567</v>
      </c>
      <c r="AJ29" s="184" t="s">
        <v>3925</v>
      </c>
      <c r="AK29" s="184" t="s">
        <v>3926</v>
      </c>
      <c r="AL29" s="184" t="s">
        <v>3927</v>
      </c>
      <c r="AM29" s="125">
        <v>0</v>
      </c>
      <c r="AN29" s="61" t="s">
        <v>3868</v>
      </c>
      <c r="AO29" s="11">
        <v>15</v>
      </c>
      <c r="AP29" s="11">
        <v>0</v>
      </c>
      <c r="AQ29" s="11">
        <v>15</v>
      </c>
      <c r="AR29" s="11">
        <v>0</v>
      </c>
      <c r="AS29" s="11">
        <v>0</v>
      </c>
      <c r="AT29" s="11">
        <v>0</v>
      </c>
    </row>
    <row r="30" spans="1:46" ht="18" customHeight="1">
      <c r="A30" s="260" t="s">
        <v>98</v>
      </c>
      <c r="B30" s="260" t="s">
        <v>99</v>
      </c>
      <c r="C30" s="260" t="s">
        <v>100</v>
      </c>
      <c r="D30" s="260" t="s">
        <v>508</v>
      </c>
      <c r="E30" s="260" t="s">
        <v>509</v>
      </c>
      <c r="F30" s="260" t="s">
        <v>561</v>
      </c>
      <c r="G30" s="260" t="s">
        <v>562</v>
      </c>
      <c r="H30" s="260" t="s">
        <v>571</v>
      </c>
      <c r="I30" s="260"/>
      <c r="J30" s="12" t="s">
        <v>564</v>
      </c>
      <c r="K30" s="260" t="s">
        <v>572</v>
      </c>
      <c r="L30" s="260" t="s">
        <v>573</v>
      </c>
      <c r="M30" s="260" t="s">
        <v>574</v>
      </c>
      <c r="N30" s="260" t="s">
        <v>123</v>
      </c>
      <c r="O30" s="260" t="s">
        <v>112</v>
      </c>
      <c r="P30" s="10">
        <v>88</v>
      </c>
      <c r="Q30" s="11">
        <v>4</v>
      </c>
      <c r="R30" s="11">
        <f t="shared" si="6"/>
        <v>1.2</v>
      </c>
      <c r="S30" s="184" t="s">
        <v>3928</v>
      </c>
      <c r="T30" s="11">
        <v>0.4</v>
      </c>
      <c r="U30" s="11">
        <v>0</v>
      </c>
      <c r="V30" s="11">
        <v>0.4</v>
      </c>
      <c r="W30" s="11">
        <v>0</v>
      </c>
      <c r="X30" s="11">
        <v>1</v>
      </c>
      <c r="Y30" s="11">
        <v>0</v>
      </c>
      <c r="Z30" s="11">
        <v>1</v>
      </c>
      <c r="AA30" s="11" t="s">
        <v>575</v>
      </c>
      <c r="AB30" s="11" t="s">
        <v>576</v>
      </c>
      <c r="AC30" s="11">
        <v>0</v>
      </c>
      <c r="AD30" s="11">
        <v>1.2</v>
      </c>
      <c r="AE30" s="11">
        <v>0</v>
      </c>
      <c r="AF30" s="261">
        <v>0.2</v>
      </c>
      <c r="AG30" s="261"/>
      <c r="AH30" s="9">
        <f t="shared" si="7"/>
        <v>0.2</v>
      </c>
      <c r="AI30" s="261" t="s">
        <v>574</v>
      </c>
      <c r="AJ30" s="184" t="s">
        <v>3928</v>
      </c>
      <c r="AK30" s="184" t="s">
        <v>3868</v>
      </c>
      <c r="AL30" s="184" t="s">
        <v>3929</v>
      </c>
      <c r="AM30" s="125">
        <v>0</v>
      </c>
      <c r="AN30" s="61" t="s">
        <v>3868</v>
      </c>
      <c r="AO30" s="11">
        <v>1.2</v>
      </c>
      <c r="AP30" s="11">
        <v>0</v>
      </c>
      <c r="AQ30" s="11">
        <v>1.2</v>
      </c>
      <c r="AR30" s="11">
        <v>0</v>
      </c>
      <c r="AS30" s="11">
        <v>0</v>
      </c>
      <c r="AT30" s="11">
        <v>0</v>
      </c>
    </row>
    <row r="31" spans="1:46" ht="18" customHeight="1">
      <c r="A31" s="260" t="s">
        <v>98</v>
      </c>
      <c r="B31" s="260" t="s">
        <v>99</v>
      </c>
      <c r="C31" s="260" t="s">
        <v>100</v>
      </c>
      <c r="D31" s="260" t="s">
        <v>508</v>
      </c>
      <c r="E31" s="260" t="s">
        <v>509</v>
      </c>
      <c r="F31" s="260" t="s">
        <v>581</v>
      </c>
      <c r="G31" s="260" t="s">
        <v>582</v>
      </c>
      <c r="H31" s="260" t="s">
        <v>583</v>
      </c>
      <c r="I31" s="260"/>
      <c r="J31" s="12" t="s">
        <v>584</v>
      </c>
      <c r="K31" s="260" t="s">
        <v>585</v>
      </c>
      <c r="L31" s="260" t="s">
        <v>586</v>
      </c>
      <c r="M31" s="260" t="s">
        <v>587</v>
      </c>
      <c r="N31" s="260" t="s">
        <v>123</v>
      </c>
      <c r="O31" s="260" t="s">
        <v>124</v>
      </c>
      <c r="P31" s="10">
        <v>95</v>
      </c>
      <c r="Q31" s="11">
        <v>95</v>
      </c>
      <c r="R31" s="11">
        <f t="shared" ref="R31:R32" si="8">(Z31+AH31)/2</f>
        <v>94</v>
      </c>
      <c r="S31" s="184" t="s">
        <v>3930</v>
      </c>
      <c r="T31" s="11">
        <v>0</v>
      </c>
      <c r="U31" s="11">
        <v>95</v>
      </c>
      <c r="V31" s="11">
        <v>0</v>
      </c>
      <c r="W31" s="11">
        <v>95</v>
      </c>
      <c r="X31" s="11" t="s">
        <v>115</v>
      </c>
      <c r="Y31" s="11">
        <v>95</v>
      </c>
      <c r="Z31" s="11">
        <v>95</v>
      </c>
      <c r="AA31" s="11" t="s">
        <v>588</v>
      </c>
      <c r="AB31" s="11" t="s">
        <v>3931</v>
      </c>
      <c r="AC31" s="11" t="s">
        <v>590</v>
      </c>
      <c r="AD31" s="11">
        <v>0</v>
      </c>
      <c r="AE31" s="11">
        <v>95</v>
      </c>
      <c r="AF31" s="261"/>
      <c r="AG31" s="261">
        <v>93</v>
      </c>
      <c r="AH31" s="11">
        <f t="shared" ref="AH31:AH32" si="9">AG31</f>
        <v>93</v>
      </c>
      <c r="AI31" s="261" t="s">
        <v>3932</v>
      </c>
      <c r="AJ31" s="184" t="s">
        <v>3930</v>
      </c>
      <c r="AK31" s="184" t="s">
        <v>3933</v>
      </c>
      <c r="AL31" s="184" t="s">
        <v>3934</v>
      </c>
      <c r="AM31" s="125">
        <v>0</v>
      </c>
      <c r="AN31" s="61" t="s">
        <v>3868</v>
      </c>
      <c r="AO31" s="11">
        <v>0</v>
      </c>
      <c r="AP31" s="11">
        <v>95</v>
      </c>
      <c r="AQ31" s="11">
        <v>0</v>
      </c>
      <c r="AR31" s="11">
        <v>95</v>
      </c>
      <c r="AS31" s="11">
        <v>0</v>
      </c>
      <c r="AT31" s="11">
        <v>0</v>
      </c>
    </row>
    <row r="32" spans="1:46" ht="18" customHeight="1">
      <c r="A32" s="260" t="s">
        <v>98</v>
      </c>
      <c r="B32" s="260" t="s">
        <v>99</v>
      </c>
      <c r="C32" s="260" t="s">
        <v>100</v>
      </c>
      <c r="D32" s="260" t="s">
        <v>508</v>
      </c>
      <c r="E32" s="260" t="s">
        <v>509</v>
      </c>
      <c r="F32" s="260" t="s">
        <v>581</v>
      </c>
      <c r="G32" s="260" t="s">
        <v>582</v>
      </c>
      <c r="H32" s="260" t="s">
        <v>591</v>
      </c>
      <c r="I32" s="260" t="s">
        <v>106</v>
      </c>
      <c r="J32" s="260" t="s">
        <v>298</v>
      </c>
      <c r="K32" s="260" t="s">
        <v>592</v>
      </c>
      <c r="L32" s="260" t="s">
        <v>593</v>
      </c>
      <c r="M32" s="260" t="s">
        <v>594</v>
      </c>
      <c r="N32" s="260" t="s">
        <v>111</v>
      </c>
      <c r="O32" s="260" t="s">
        <v>124</v>
      </c>
      <c r="P32" s="10">
        <v>116</v>
      </c>
      <c r="Q32" s="11">
        <v>116</v>
      </c>
      <c r="R32" s="11">
        <f t="shared" si="8"/>
        <v>110</v>
      </c>
      <c r="S32" s="184" t="s">
        <v>3935</v>
      </c>
      <c r="T32" s="11">
        <v>0</v>
      </c>
      <c r="U32" s="11">
        <v>116</v>
      </c>
      <c r="V32" s="11">
        <v>0</v>
      </c>
      <c r="W32" s="11">
        <v>116</v>
      </c>
      <c r="X32" s="11" t="s">
        <v>115</v>
      </c>
      <c r="Y32" s="11">
        <v>116</v>
      </c>
      <c r="Z32" s="11">
        <v>116</v>
      </c>
      <c r="AA32" s="11" t="s">
        <v>594</v>
      </c>
      <c r="AB32" s="11" t="s">
        <v>595</v>
      </c>
      <c r="AC32" s="11">
        <v>0</v>
      </c>
      <c r="AD32" s="11">
        <v>0</v>
      </c>
      <c r="AE32" s="11">
        <v>116</v>
      </c>
      <c r="AF32" s="261"/>
      <c r="AG32" s="261">
        <v>104</v>
      </c>
      <c r="AH32" s="11">
        <f t="shared" si="9"/>
        <v>104</v>
      </c>
      <c r="AI32" s="65" t="s">
        <v>594</v>
      </c>
      <c r="AJ32" s="184" t="s">
        <v>3936</v>
      </c>
      <c r="AK32" s="184" t="s">
        <v>3937</v>
      </c>
      <c r="AL32" s="184" t="s">
        <v>3938</v>
      </c>
      <c r="AM32" s="125">
        <v>0</v>
      </c>
      <c r="AN32" s="61" t="s">
        <v>3868</v>
      </c>
      <c r="AO32" s="11">
        <v>0</v>
      </c>
      <c r="AP32" s="11">
        <v>116</v>
      </c>
      <c r="AQ32" s="11">
        <v>0</v>
      </c>
      <c r="AR32" s="11">
        <v>116</v>
      </c>
      <c r="AS32" s="11">
        <v>0</v>
      </c>
      <c r="AT32" s="11">
        <v>0</v>
      </c>
    </row>
    <row r="33" spans="1:46" ht="18" customHeight="1">
      <c r="A33" s="260" t="s">
        <v>98</v>
      </c>
      <c r="B33" s="260" t="s">
        <v>99</v>
      </c>
      <c r="C33" s="260" t="s">
        <v>100</v>
      </c>
      <c r="D33" s="260" t="s">
        <v>508</v>
      </c>
      <c r="E33" s="260" t="s">
        <v>509</v>
      </c>
      <c r="F33" s="260" t="s">
        <v>596</v>
      </c>
      <c r="G33" s="260" t="s">
        <v>597</v>
      </c>
      <c r="H33" s="260" t="s">
        <v>598</v>
      </c>
      <c r="I33" s="260" t="s">
        <v>165</v>
      </c>
      <c r="J33" s="260" t="s">
        <v>531</v>
      </c>
      <c r="K33" s="260" t="s">
        <v>599</v>
      </c>
      <c r="L33" s="260" t="s">
        <v>600</v>
      </c>
      <c r="M33" s="260" t="s">
        <v>601</v>
      </c>
      <c r="N33" s="260" t="s">
        <v>111</v>
      </c>
      <c r="O33" s="260" t="s">
        <v>112</v>
      </c>
      <c r="P33" s="10">
        <v>0</v>
      </c>
      <c r="Q33" s="11">
        <v>4</v>
      </c>
      <c r="R33" s="11">
        <f t="shared" ref="R33:R40" si="10">Z33+AH33</f>
        <v>0</v>
      </c>
      <c r="S33" s="184" t="s">
        <v>3939</v>
      </c>
      <c r="T33" s="11">
        <v>1</v>
      </c>
      <c r="U33" s="11">
        <v>0</v>
      </c>
      <c r="V33" s="11">
        <v>1</v>
      </c>
      <c r="W33" s="11">
        <v>0</v>
      </c>
      <c r="X33" s="11">
        <v>0</v>
      </c>
      <c r="Y33" s="11">
        <v>0</v>
      </c>
      <c r="Z33" s="11">
        <v>0</v>
      </c>
      <c r="AA33" s="11" t="s">
        <v>601</v>
      </c>
      <c r="AB33" s="11" t="s">
        <v>602</v>
      </c>
      <c r="AC33" s="11" t="s">
        <v>603</v>
      </c>
      <c r="AD33" s="11">
        <v>2</v>
      </c>
      <c r="AE33" s="11">
        <v>0</v>
      </c>
      <c r="AF33" s="261">
        <v>0</v>
      </c>
      <c r="AG33" s="261"/>
      <c r="AH33" s="9">
        <f t="shared" ref="AH33" si="11">AF33</f>
        <v>0</v>
      </c>
      <c r="AI33" s="261" t="s">
        <v>3940</v>
      </c>
      <c r="AJ33" s="183" t="s">
        <v>3939</v>
      </c>
      <c r="AK33" s="184" t="s">
        <v>3941</v>
      </c>
      <c r="AL33" s="184" t="s">
        <v>3942</v>
      </c>
      <c r="AM33" s="125">
        <v>0</v>
      </c>
      <c r="AN33" s="61" t="s">
        <v>3868</v>
      </c>
      <c r="AO33" s="11">
        <v>1</v>
      </c>
      <c r="AP33" s="11">
        <v>0</v>
      </c>
      <c r="AQ33" s="11">
        <v>1</v>
      </c>
      <c r="AR33" s="11">
        <v>0</v>
      </c>
      <c r="AS33" s="11">
        <v>0</v>
      </c>
      <c r="AT33" s="11">
        <v>0</v>
      </c>
    </row>
    <row r="34" spans="1:46" ht="18" customHeight="1">
      <c r="A34" s="260" t="s">
        <v>98</v>
      </c>
      <c r="B34" s="260" t="s">
        <v>99</v>
      </c>
      <c r="C34" s="260" t="s">
        <v>100</v>
      </c>
      <c r="D34" s="260" t="s">
        <v>508</v>
      </c>
      <c r="E34" s="260" t="s">
        <v>769</v>
      </c>
      <c r="F34" s="260" t="s">
        <v>810</v>
      </c>
      <c r="G34" s="260" t="s">
        <v>811</v>
      </c>
      <c r="H34" s="260" t="s">
        <v>812</v>
      </c>
      <c r="I34" s="260"/>
      <c r="J34" s="260" t="s">
        <v>298</v>
      </c>
      <c r="K34" s="260" t="s">
        <v>813</v>
      </c>
      <c r="L34" s="260" t="s">
        <v>814</v>
      </c>
      <c r="M34" s="260" t="s">
        <v>815</v>
      </c>
      <c r="N34" s="260" t="s">
        <v>111</v>
      </c>
      <c r="O34" s="260" t="s">
        <v>112</v>
      </c>
      <c r="P34" s="10">
        <v>37</v>
      </c>
      <c r="Q34" s="11">
        <v>16</v>
      </c>
      <c r="R34" s="11">
        <f t="shared" si="10"/>
        <v>8</v>
      </c>
      <c r="S34" s="184" t="s">
        <v>3943</v>
      </c>
      <c r="T34" s="11">
        <v>1</v>
      </c>
      <c r="U34" s="11">
        <v>0</v>
      </c>
      <c r="V34" s="11">
        <v>1</v>
      </c>
      <c r="W34" s="11">
        <v>0</v>
      </c>
      <c r="X34" s="11">
        <v>1</v>
      </c>
      <c r="Y34" s="11">
        <v>0</v>
      </c>
      <c r="Z34" s="11">
        <v>1</v>
      </c>
      <c r="AA34" s="11" t="s">
        <v>816</v>
      </c>
      <c r="AB34" s="11" t="s">
        <v>817</v>
      </c>
      <c r="AC34" s="11" t="s">
        <v>818</v>
      </c>
      <c r="AD34" s="11">
        <v>7</v>
      </c>
      <c r="AE34" s="11">
        <v>0</v>
      </c>
      <c r="AF34" s="261">
        <v>7</v>
      </c>
      <c r="AG34" s="261"/>
      <c r="AH34" s="9">
        <f t="shared" ref="AH34" si="12">AF34</f>
        <v>7</v>
      </c>
      <c r="AI34" s="65" t="s">
        <v>815</v>
      </c>
      <c r="AJ34" s="184" t="s">
        <v>3943</v>
      </c>
      <c r="AK34" s="184" t="s">
        <v>3944</v>
      </c>
      <c r="AL34" s="184" t="s">
        <v>3945</v>
      </c>
      <c r="AM34" s="125">
        <v>0</v>
      </c>
      <c r="AN34" s="61" t="s">
        <v>3868</v>
      </c>
      <c r="AO34" s="11">
        <v>7</v>
      </c>
      <c r="AP34" s="11">
        <v>0</v>
      </c>
      <c r="AQ34" s="11">
        <v>1</v>
      </c>
      <c r="AR34" s="11">
        <v>0</v>
      </c>
      <c r="AS34" s="11">
        <v>0</v>
      </c>
      <c r="AT34" s="11">
        <v>0</v>
      </c>
    </row>
    <row r="35" spans="1:46" ht="18" customHeight="1">
      <c r="A35" s="260" t="s">
        <v>98</v>
      </c>
      <c r="B35" s="260" t="s">
        <v>99</v>
      </c>
      <c r="C35" s="260" t="s">
        <v>100</v>
      </c>
      <c r="D35" s="260" t="s">
        <v>508</v>
      </c>
      <c r="E35" s="260" t="s">
        <v>870</v>
      </c>
      <c r="F35" s="260" t="s">
        <v>890</v>
      </c>
      <c r="G35" s="260" t="s">
        <v>891</v>
      </c>
      <c r="H35" s="260" t="s">
        <v>892</v>
      </c>
      <c r="I35" s="260"/>
      <c r="J35" s="12" t="s">
        <v>893</v>
      </c>
      <c r="K35" s="260" t="s">
        <v>894</v>
      </c>
      <c r="L35" s="260" t="s">
        <v>895</v>
      </c>
      <c r="M35" s="260" t="s">
        <v>896</v>
      </c>
      <c r="N35" s="260" t="s">
        <v>123</v>
      </c>
      <c r="O35" s="260" t="s">
        <v>112</v>
      </c>
      <c r="P35" s="10">
        <v>12</v>
      </c>
      <c r="Q35" s="11">
        <v>2</v>
      </c>
      <c r="R35" s="11">
        <f t="shared" si="10"/>
        <v>0.7</v>
      </c>
      <c r="S35" s="184" t="s">
        <v>3946</v>
      </c>
      <c r="T35" s="11">
        <v>0.1</v>
      </c>
      <c r="U35" s="11">
        <v>0</v>
      </c>
      <c r="V35" s="11">
        <v>0.1</v>
      </c>
      <c r="W35" s="11">
        <v>0</v>
      </c>
      <c r="X35" s="11">
        <v>0.1</v>
      </c>
      <c r="Y35" s="11">
        <v>0</v>
      </c>
      <c r="Z35" s="11">
        <v>0.1</v>
      </c>
      <c r="AA35" s="11" t="s">
        <v>897</v>
      </c>
      <c r="AB35" s="11" t="s">
        <v>898</v>
      </c>
      <c r="AC35" s="11" t="s">
        <v>899</v>
      </c>
      <c r="AD35" s="11">
        <v>0.6</v>
      </c>
      <c r="AE35" s="11">
        <v>0</v>
      </c>
      <c r="AF35" s="261">
        <v>0.6</v>
      </c>
      <c r="AG35" s="261"/>
      <c r="AH35" s="9">
        <f t="shared" ref="AH35:AH36" si="13">AF35</f>
        <v>0.6</v>
      </c>
      <c r="AI35" s="261" t="s">
        <v>3947</v>
      </c>
      <c r="AJ35" s="184" t="s">
        <v>3948</v>
      </c>
      <c r="AK35" s="184" t="s">
        <v>3949</v>
      </c>
      <c r="AL35" s="184" t="s">
        <v>3950</v>
      </c>
      <c r="AM35" s="125">
        <v>0</v>
      </c>
      <c r="AN35" s="61" t="s">
        <v>3868</v>
      </c>
      <c r="AO35" s="11">
        <v>0.6</v>
      </c>
      <c r="AP35" s="11">
        <v>0</v>
      </c>
      <c r="AQ35" s="11">
        <v>0.7</v>
      </c>
      <c r="AR35" s="11">
        <v>0</v>
      </c>
      <c r="AS35" s="11">
        <v>0</v>
      </c>
      <c r="AT35" s="11">
        <v>0</v>
      </c>
    </row>
    <row r="36" spans="1:46" ht="18" customHeight="1">
      <c r="A36" s="260" t="s">
        <v>98</v>
      </c>
      <c r="B36" s="260" t="s">
        <v>99</v>
      </c>
      <c r="C36" s="260" t="s">
        <v>100</v>
      </c>
      <c r="D36" s="260" t="s">
        <v>508</v>
      </c>
      <c r="E36" s="260" t="s">
        <v>870</v>
      </c>
      <c r="F36" s="260" t="s">
        <v>890</v>
      </c>
      <c r="G36" s="260" t="s">
        <v>891</v>
      </c>
      <c r="H36" s="260" t="s">
        <v>900</v>
      </c>
      <c r="I36" s="260"/>
      <c r="J36" s="12" t="s">
        <v>893</v>
      </c>
      <c r="K36" s="260" t="s">
        <v>901</v>
      </c>
      <c r="L36" s="260" t="s">
        <v>902</v>
      </c>
      <c r="M36" s="260" t="s">
        <v>903</v>
      </c>
      <c r="N36" s="260" t="s">
        <v>123</v>
      </c>
      <c r="O36" s="260" t="s">
        <v>112</v>
      </c>
      <c r="P36" s="10">
        <v>10.4</v>
      </c>
      <c r="Q36" s="11">
        <v>2</v>
      </c>
      <c r="R36" s="11">
        <f t="shared" si="10"/>
        <v>0.7</v>
      </c>
      <c r="S36" s="183" t="s">
        <v>3951</v>
      </c>
      <c r="T36" s="11">
        <v>0.1</v>
      </c>
      <c r="U36" s="11">
        <v>0</v>
      </c>
      <c r="V36" s="11">
        <v>0.1</v>
      </c>
      <c r="W36" s="11">
        <v>0</v>
      </c>
      <c r="X36" s="11">
        <v>0</v>
      </c>
      <c r="Y36" s="11">
        <v>0</v>
      </c>
      <c r="Z36" s="11">
        <v>0</v>
      </c>
      <c r="AA36" s="11" t="s">
        <v>904</v>
      </c>
      <c r="AB36" s="11" t="s">
        <v>905</v>
      </c>
      <c r="AC36" s="11" t="s">
        <v>906</v>
      </c>
      <c r="AD36" s="11">
        <v>0.7</v>
      </c>
      <c r="AE36" s="11">
        <v>0</v>
      </c>
      <c r="AF36" s="261">
        <v>0.7</v>
      </c>
      <c r="AG36" s="261"/>
      <c r="AH36" s="9">
        <f t="shared" si="13"/>
        <v>0.7</v>
      </c>
      <c r="AI36" s="261" t="s">
        <v>3952</v>
      </c>
      <c r="AJ36" s="184" t="s">
        <v>3953</v>
      </c>
      <c r="AK36" s="184" t="s">
        <v>3954</v>
      </c>
      <c r="AL36" s="184" t="s">
        <v>3955</v>
      </c>
      <c r="AM36" s="125">
        <v>0</v>
      </c>
      <c r="AN36" s="61" t="s">
        <v>3868</v>
      </c>
      <c r="AO36" s="11">
        <v>0.6</v>
      </c>
      <c r="AP36" s="11">
        <v>0</v>
      </c>
      <c r="AQ36" s="11">
        <v>0.7</v>
      </c>
      <c r="AR36" s="11">
        <v>0</v>
      </c>
      <c r="AS36" s="11">
        <v>0</v>
      </c>
      <c r="AT36" s="11">
        <v>0</v>
      </c>
    </row>
    <row r="37" spans="1:46" ht="18" customHeight="1">
      <c r="A37" s="260" t="s">
        <v>98</v>
      </c>
      <c r="B37" s="260" t="s">
        <v>99</v>
      </c>
      <c r="C37" s="260" t="s">
        <v>100</v>
      </c>
      <c r="D37" s="260" t="s">
        <v>508</v>
      </c>
      <c r="E37" s="260" t="s">
        <v>870</v>
      </c>
      <c r="F37" s="260" t="s">
        <v>909</v>
      </c>
      <c r="G37" s="260" t="s">
        <v>910</v>
      </c>
      <c r="H37" s="260" t="s">
        <v>966</v>
      </c>
      <c r="I37" s="260"/>
      <c r="J37" s="12" t="s">
        <v>323</v>
      </c>
      <c r="K37" s="260" t="s">
        <v>967</v>
      </c>
      <c r="L37" s="260" t="s">
        <v>968</v>
      </c>
      <c r="M37" s="260" t="s">
        <v>969</v>
      </c>
      <c r="N37" s="260" t="s">
        <v>111</v>
      </c>
      <c r="O37" s="260" t="s">
        <v>112</v>
      </c>
      <c r="P37" s="10">
        <v>0</v>
      </c>
      <c r="Q37" s="11">
        <v>116</v>
      </c>
      <c r="R37" s="11">
        <f t="shared" si="10"/>
        <v>58</v>
      </c>
      <c r="S37" s="184" t="s">
        <v>3956</v>
      </c>
      <c r="T37" s="11">
        <v>29</v>
      </c>
      <c r="U37" s="11">
        <v>0</v>
      </c>
      <c r="V37" s="11">
        <v>29</v>
      </c>
      <c r="W37" s="11">
        <v>0</v>
      </c>
      <c r="X37" s="11">
        <v>29</v>
      </c>
      <c r="Y37" s="11">
        <v>0</v>
      </c>
      <c r="Z37" s="11">
        <v>29</v>
      </c>
      <c r="AA37" s="11" t="s">
        <v>969</v>
      </c>
      <c r="AB37" s="11" t="s">
        <v>970</v>
      </c>
      <c r="AC37" s="11" t="s">
        <v>971</v>
      </c>
      <c r="AD37" s="11">
        <v>29</v>
      </c>
      <c r="AE37" s="11">
        <v>0</v>
      </c>
      <c r="AF37" s="261">
        <v>29</v>
      </c>
      <c r="AG37" s="261"/>
      <c r="AH37" s="9">
        <f t="shared" ref="AH37:AH39" si="14">AF37</f>
        <v>29</v>
      </c>
      <c r="AI37" s="261" t="s">
        <v>969</v>
      </c>
      <c r="AJ37" s="184" t="s">
        <v>3957</v>
      </c>
      <c r="AK37" s="184" t="s">
        <v>3958</v>
      </c>
      <c r="AL37" s="184" t="s">
        <v>3959</v>
      </c>
      <c r="AM37" s="125">
        <v>0</v>
      </c>
      <c r="AN37" s="61" t="s">
        <v>3868</v>
      </c>
      <c r="AO37" s="11">
        <v>29</v>
      </c>
      <c r="AP37" s="11">
        <v>0</v>
      </c>
      <c r="AQ37" s="11">
        <v>29</v>
      </c>
      <c r="AR37" s="11">
        <v>0</v>
      </c>
      <c r="AS37" s="11">
        <v>0</v>
      </c>
      <c r="AT37" s="11">
        <v>0</v>
      </c>
    </row>
    <row r="38" spans="1:46" ht="18" customHeight="1">
      <c r="A38" s="260" t="s">
        <v>98</v>
      </c>
      <c r="B38" s="260" t="s">
        <v>99</v>
      </c>
      <c r="C38" s="260" t="s">
        <v>100</v>
      </c>
      <c r="D38" s="260" t="s">
        <v>508</v>
      </c>
      <c r="E38" s="260" t="s">
        <v>870</v>
      </c>
      <c r="F38" s="260" t="s">
        <v>977</v>
      </c>
      <c r="G38" s="260" t="s">
        <v>978</v>
      </c>
      <c r="H38" s="260" t="s">
        <v>979</v>
      </c>
      <c r="I38" s="260" t="s">
        <v>677</v>
      </c>
      <c r="J38" s="260" t="s">
        <v>119</v>
      </c>
      <c r="K38" s="260" t="s">
        <v>980</v>
      </c>
      <c r="L38" s="260" t="s">
        <v>981</v>
      </c>
      <c r="M38" s="260" t="s">
        <v>670</v>
      </c>
      <c r="N38" s="260" t="s">
        <v>111</v>
      </c>
      <c r="O38" s="260" t="s">
        <v>112</v>
      </c>
      <c r="P38" s="10">
        <v>20</v>
      </c>
      <c r="Q38" s="11">
        <v>96</v>
      </c>
      <c r="R38" s="11">
        <f t="shared" si="10"/>
        <v>40</v>
      </c>
      <c r="S38" s="184" t="s">
        <v>3960</v>
      </c>
      <c r="T38" s="11">
        <v>5</v>
      </c>
      <c r="U38" s="11">
        <v>0</v>
      </c>
      <c r="V38" s="11">
        <v>5</v>
      </c>
      <c r="W38" s="11">
        <v>0</v>
      </c>
      <c r="X38" s="11">
        <v>5</v>
      </c>
      <c r="Y38" s="11">
        <v>0</v>
      </c>
      <c r="Z38" s="11">
        <v>5</v>
      </c>
      <c r="AA38" s="11" t="s">
        <v>982</v>
      </c>
      <c r="AB38" s="11" t="s">
        <v>983</v>
      </c>
      <c r="AC38" s="11" t="s">
        <v>984</v>
      </c>
      <c r="AD38" s="11">
        <v>35</v>
      </c>
      <c r="AE38" s="11">
        <v>0</v>
      </c>
      <c r="AF38" s="261">
        <v>35</v>
      </c>
      <c r="AG38" s="261"/>
      <c r="AH38" s="9">
        <f t="shared" si="14"/>
        <v>35</v>
      </c>
      <c r="AI38" s="261" t="s">
        <v>670</v>
      </c>
      <c r="AJ38" s="184" t="s">
        <v>3961</v>
      </c>
      <c r="AK38" s="184" t="s">
        <v>3962</v>
      </c>
      <c r="AL38" s="184" t="s">
        <v>3963</v>
      </c>
      <c r="AM38" s="125">
        <v>0</v>
      </c>
      <c r="AN38" s="61" t="s">
        <v>3868</v>
      </c>
      <c r="AO38" s="11">
        <v>30</v>
      </c>
      <c r="AP38" s="11">
        <v>0</v>
      </c>
      <c r="AQ38" s="11">
        <v>26</v>
      </c>
      <c r="AR38" s="11">
        <v>0</v>
      </c>
      <c r="AS38" s="11">
        <v>0</v>
      </c>
      <c r="AT38" s="11">
        <v>0</v>
      </c>
    </row>
    <row r="39" spans="1:46" ht="18" customHeight="1">
      <c r="A39" s="260" t="s">
        <v>98</v>
      </c>
      <c r="B39" s="260" t="s">
        <v>99</v>
      </c>
      <c r="C39" s="260" t="s">
        <v>100</v>
      </c>
      <c r="D39" s="260" t="s">
        <v>508</v>
      </c>
      <c r="E39" s="260" t="s">
        <v>870</v>
      </c>
      <c r="F39" s="260" t="s">
        <v>985</v>
      </c>
      <c r="G39" s="260" t="s">
        <v>986</v>
      </c>
      <c r="H39" s="260" t="s">
        <v>987</v>
      </c>
      <c r="I39" s="260" t="s">
        <v>106</v>
      </c>
      <c r="J39" s="260" t="s">
        <v>961</v>
      </c>
      <c r="K39" s="260" t="s">
        <v>988</v>
      </c>
      <c r="L39" s="260" t="s">
        <v>989</v>
      </c>
      <c r="M39" s="260" t="s">
        <v>990</v>
      </c>
      <c r="N39" s="260" t="s">
        <v>123</v>
      </c>
      <c r="O39" s="260" t="s">
        <v>112</v>
      </c>
      <c r="P39" s="10">
        <v>0</v>
      </c>
      <c r="Q39" s="11">
        <v>100</v>
      </c>
      <c r="R39" s="11">
        <f t="shared" si="10"/>
        <v>45</v>
      </c>
      <c r="S39" s="184" t="s">
        <v>3964</v>
      </c>
      <c r="T39" s="11">
        <v>15</v>
      </c>
      <c r="U39" s="11">
        <v>0</v>
      </c>
      <c r="V39" s="11">
        <v>15</v>
      </c>
      <c r="W39" s="11">
        <v>0</v>
      </c>
      <c r="X39" s="11">
        <v>10</v>
      </c>
      <c r="Y39" s="11">
        <v>0</v>
      </c>
      <c r="Z39" s="11">
        <v>10</v>
      </c>
      <c r="AA39" s="11" t="s">
        <v>990</v>
      </c>
      <c r="AB39" s="11" t="s">
        <v>991</v>
      </c>
      <c r="AC39" s="11">
        <v>0</v>
      </c>
      <c r="AD39" s="11">
        <v>35</v>
      </c>
      <c r="AE39" s="11">
        <v>0</v>
      </c>
      <c r="AF39" s="261">
        <v>35</v>
      </c>
      <c r="AG39" s="261"/>
      <c r="AH39" s="9">
        <f t="shared" si="14"/>
        <v>35</v>
      </c>
      <c r="AI39" s="261" t="s">
        <v>3965</v>
      </c>
      <c r="AJ39" s="184" t="s">
        <v>3964</v>
      </c>
      <c r="AK39" s="184" t="s">
        <v>3966</v>
      </c>
      <c r="AL39" s="184" t="s">
        <v>3967</v>
      </c>
      <c r="AM39" s="125">
        <v>0</v>
      </c>
      <c r="AN39" s="61" t="s">
        <v>3868</v>
      </c>
      <c r="AO39" s="11">
        <v>30</v>
      </c>
      <c r="AP39" s="11">
        <v>0</v>
      </c>
      <c r="AQ39" s="11">
        <v>25</v>
      </c>
      <c r="AR39" s="11">
        <v>0</v>
      </c>
      <c r="AS39" s="11">
        <v>0</v>
      </c>
      <c r="AT39" s="11">
        <v>0</v>
      </c>
    </row>
    <row r="40" spans="1:46" ht="18" customHeight="1">
      <c r="A40" s="260" t="s">
        <v>98</v>
      </c>
      <c r="B40" s="260" t="s">
        <v>99</v>
      </c>
      <c r="C40" s="260" t="s">
        <v>100</v>
      </c>
      <c r="D40" s="260" t="s">
        <v>1074</v>
      </c>
      <c r="E40" s="260" t="s">
        <v>1075</v>
      </c>
      <c r="F40" s="260" t="s">
        <v>1076</v>
      </c>
      <c r="G40" s="260" t="s">
        <v>1077</v>
      </c>
      <c r="H40" s="260" t="s">
        <v>1126</v>
      </c>
      <c r="I40" s="260"/>
      <c r="J40" s="12" t="s">
        <v>1127</v>
      </c>
      <c r="K40" s="260" t="s">
        <v>1128</v>
      </c>
      <c r="L40" s="260" t="s">
        <v>1129</v>
      </c>
      <c r="M40" s="260" t="s">
        <v>1130</v>
      </c>
      <c r="N40" s="260" t="s">
        <v>111</v>
      </c>
      <c r="O40" s="260" t="s">
        <v>112</v>
      </c>
      <c r="P40" s="10">
        <v>0</v>
      </c>
      <c r="Q40" s="11">
        <v>6</v>
      </c>
      <c r="R40" s="11">
        <f t="shared" si="10"/>
        <v>3</v>
      </c>
      <c r="S40" s="184" t="s">
        <v>3968</v>
      </c>
      <c r="T40" s="11">
        <v>1</v>
      </c>
      <c r="U40" s="11">
        <v>0</v>
      </c>
      <c r="V40" s="11">
        <v>1</v>
      </c>
      <c r="W40" s="11">
        <v>0</v>
      </c>
      <c r="X40" s="11">
        <v>1</v>
      </c>
      <c r="Y40" s="11">
        <v>0</v>
      </c>
      <c r="Z40" s="11">
        <v>1</v>
      </c>
      <c r="AA40" s="11" t="s">
        <v>1131</v>
      </c>
      <c r="AB40" s="11" t="s">
        <v>1132</v>
      </c>
      <c r="AC40" s="11" t="s">
        <v>1133</v>
      </c>
      <c r="AD40" s="11">
        <v>2</v>
      </c>
      <c r="AE40" s="11">
        <v>0</v>
      </c>
      <c r="AF40" s="261">
        <v>2</v>
      </c>
      <c r="AG40" s="261"/>
      <c r="AH40" s="9">
        <f t="shared" ref="AH40" si="15">AF40</f>
        <v>2</v>
      </c>
      <c r="AI40" s="261" t="s">
        <v>3969</v>
      </c>
      <c r="AJ40" s="184"/>
      <c r="AK40" s="184" t="s">
        <v>3868</v>
      </c>
      <c r="AL40" s="184" t="s">
        <v>3970</v>
      </c>
      <c r="AM40" s="125">
        <v>0</v>
      </c>
      <c r="AN40" s="61" t="s">
        <v>3868</v>
      </c>
      <c r="AO40" s="11">
        <v>2</v>
      </c>
      <c r="AP40" s="11">
        <v>0</v>
      </c>
      <c r="AQ40" s="11">
        <v>1</v>
      </c>
      <c r="AR40" s="11">
        <v>0</v>
      </c>
      <c r="AS40" s="11">
        <v>0</v>
      </c>
      <c r="AT40" s="11">
        <v>0</v>
      </c>
    </row>
    <row r="41" spans="1:46" ht="18" customHeight="1">
      <c r="A41" s="260" t="s">
        <v>98</v>
      </c>
      <c r="B41" s="260" t="s">
        <v>99</v>
      </c>
      <c r="C41" s="260" t="s">
        <v>100</v>
      </c>
      <c r="D41" s="260" t="s">
        <v>1074</v>
      </c>
      <c r="E41" s="260" t="s">
        <v>1134</v>
      </c>
      <c r="F41" s="260" t="s">
        <v>1217</v>
      </c>
      <c r="G41" s="260" t="s">
        <v>1218</v>
      </c>
      <c r="H41" s="260" t="s">
        <v>1219</v>
      </c>
      <c r="I41" s="260" t="s">
        <v>106</v>
      </c>
      <c r="J41" s="260" t="s">
        <v>607</v>
      </c>
      <c r="K41" s="260" t="s">
        <v>1220</v>
      </c>
      <c r="L41" s="260" t="s">
        <v>1221</v>
      </c>
      <c r="M41" s="260" t="s">
        <v>1222</v>
      </c>
      <c r="N41" s="260" t="s">
        <v>111</v>
      </c>
      <c r="O41" s="260" t="s">
        <v>124</v>
      </c>
      <c r="P41" s="10">
        <v>50</v>
      </c>
      <c r="Q41" s="11">
        <v>116</v>
      </c>
      <c r="R41" s="11">
        <f>(Z41+AH41)/2</f>
        <v>103.5</v>
      </c>
      <c r="S41" s="184" t="s">
        <v>3971</v>
      </c>
      <c r="T41" s="11">
        <v>0</v>
      </c>
      <c r="U41" s="11">
        <v>116</v>
      </c>
      <c r="V41" s="11">
        <v>0</v>
      </c>
      <c r="W41" s="11">
        <v>116</v>
      </c>
      <c r="X41" s="11" t="s">
        <v>115</v>
      </c>
      <c r="Y41" s="11">
        <v>116</v>
      </c>
      <c r="Z41" s="11">
        <v>116</v>
      </c>
      <c r="AA41" s="11" t="s">
        <v>1222</v>
      </c>
      <c r="AB41" s="11" t="s">
        <v>1223</v>
      </c>
      <c r="AC41" s="11" t="s">
        <v>1224</v>
      </c>
      <c r="AD41" s="11">
        <v>0</v>
      </c>
      <c r="AE41" s="11">
        <v>116</v>
      </c>
      <c r="AF41" s="261"/>
      <c r="AG41" s="261">
        <v>91</v>
      </c>
      <c r="AH41" s="11">
        <f>AG41</f>
        <v>91</v>
      </c>
      <c r="AI41" s="261" t="s">
        <v>3972</v>
      </c>
      <c r="AJ41" s="184" t="s">
        <v>3973</v>
      </c>
      <c r="AK41" s="184" t="s">
        <v>3868</v>
      </c>
      <c r="AL41" s="186" t="s">
        <v>3974</v>
      </c>
      <c r="AM41" s="125">
        <v>0</v>
      </c>
      <c r="AN41" s="61" t="s">
        <v>3868</v>
      </c>
      <c r="AO41" s="11">
        <v>0</v>
      </c>
      <c r="AP41" s="11">
        <v>116</v>
      </c>
      <c r="AQ41" s="11">
        <v>0</v>
      </c>
      <c r="AR41" s="11">
        <v>116</v>
      </c>
      <c r="AS41" s="11">
        <v>0</v>
      </c>
      <c r="AT41" s="11">
        <v>0</v>
      </c>
    </row>
    <row r="42" spans="1:46" ht="18" customHeight="1">
      <c r="A42" s="260" t="s">
        <v>98</v>
      </c>
      <c r="B42" s="260" t="s">
        <v>99</v>
      </c>
      <c r="C42" s="260" t="s">
        <v>1828</v>
      </c>
      <c r="D42" s="260" t="s">
        <v>1829</v>
      </c>
      <c r="E42" s="260" t="s">
        <v>1830</v>
      </c>
      <c r="F42" s="260" t="s">
        <v>1843</v>
      </c>
      <c r="G42" s="260" t="s">
        <v>1844</v>
      </c>
      <c r="H42" s="260" t="s">
        <v>1894</v>
      </c>
      <c r="I42" s="260" t="s">
        <v>200</v>
      </c>
      <c r="J42" s="260" t="s">
        <v>1895</v>
      </c>
      <c r="K42" s="260" t="s">
        <v>1896</v>
      </c>
      <c r="L42" s="260" t="s">
        <v>1897</v>
      </c>
      <c r="M42" s="260" t="s">
        <v>1898</v>
      </c>
      <c r="N42" s="260" t="s">
        <v>111</v>
      </c>
      <c r="O42" s="260" t="s">
        <v>124</v>
      </c>
      <c r="P42" s="10">
        <v>0</v>
      </c>
      <c r="Q42" s="11">
        <v>7</v>
      </c>
      <c r="R42" s="11">
        <f t="shared" ref="R42" si="16">(Z42+AH42)/2</f>
        <v>7</v>
      </c>
      <c r="S42" s="184" t="s">
        <v>3975</v>
      </c>
      <c r="T42" s="11">
        <v>0</v>
      </c>
      <c r="U42" s="11">
        <v>7</v>
      </c>
      <c r="V42" s="11">
        <v>0</v>
      </c>
      <c r="W42" s="11">
        <v>7</v>
      </c>
      <c r="X42" s="11" t="s">
        <v>115</v>
      </c>
      <c r="Y42" s="11">
        <v>7</v>
      </c>
      <c r="Z42" s="11">
        <v>7</v>
      </c>
      <c r="AA42" s="11" t="s">
        <v>1899</v>
      </c>
      <c r="AB42" s="11" t="s">
        <v>1900</v>
      </c>
      <c r="AC42" s="11" t="s">
        <v>1901</v>
      </c>
      <c r="AD42" s="11">
        <v>0</v>
      </c>
      <c r="AE42" s="11">
        <v>7</v>
      </c>
      <c r="AF42" s="261"/>
      <c r="AG42" s="261">
        <v>7</v>
      </c>
      <c r="AH42" s="11">
        <f t="shared" ref="AH42" si="17">AG42</f>
        <v>7</v>
      </c>
      <c r="AI42" s="261" t="s">
        <v>1898</v>
      </c>
      <c r="AJ42" s="184"/>
      <c r="AK42" s="184"/>
      <c r="AL42" s="184" t="s">
        <v>3976</v>
      </c>
      <c r="AM42" s="125">
        <v>0</v>
      </c>
      <c r="AN42" s="61" t="s">
        <v>3868</v>
      </c>
      <c r="AO42" s="11">
        <v>0</v>
      </c>
      <c r="AP42" s="11">
        <v>7</v>
      </c>
      <c r="AQ42" s="11">
        <v>0</v>
      </c>
      <c r="AR42" s="11">
        <v>7</v>
      </c>
      <c r="AS42" s="11">
        <v>0</v>
      </c>
      <c r="AT42" s="11">
        <v>0</v>
      </c>
    </row>
    <row r="43" spans="1:46" ht="18" customHeight="1">
      <c r="A43" s="260" t="s">
        <v>98</v>
      </c>
      <c r="B43" s="260" t="s">
        <v>99</v>
      </c>
      <c r="C43" s="260" t="s">
        <v>1828</v>
      </c>
      <c r="D43" s="260" t="s">
        <v>1829</v>
      </c>
      <c r="E43" s="260" t="s">
        <v>1830</v>
      </c>
      <c r="F43" s="260" t="s">
        <v>1843</v>
      </c>
      <c r="G43" s="260" t="s">
        <v>1844</v>
      </c>
      <c r="H43" s="260" t="s">
        <v>1902</v>
      </c>
      <c r="I43" s="260" t="s">
        <v>1903</v>
      </c>
      <c r="J43" s="12" t="s">
        <v>393</v>
      </c>
      <c r="K43" s="260" t="s">
        <v>1904</v>
      </c>
      <c r="L43" s="260" t="s">
        <v>1905</v>
      </c>
      <c r="M43" s="260" t="s">
        <v>1906</v>
      </c>
      <c r="N43" s="260" t="s">
        <v>111</v>
      </c>
      <c r="O43" s="260" t="s">
        <v>112</v>
      </c>
      <c r="P43" s="10">
        <v>25</v>
      </c>
      <c r="Q43" s="11">
        <v>40</v>
      </c>
      <c r="R43" s="11">
        <f t="shared" ref="R43:R46" si="18">Z43+AH43</f>
        <v>17</v>
      </c>
      <c r="S43" s="184" t="s">
        <v>3977</v>
      </c>
      <c r="T43" s="11">
        <v>5</v>
      </c>
      <c r="U43" s="11">
        <v>0</v>
      </c>
      <c r="V43" s="11">
        <v>5</v>
      </c>
      <c r="W43" s="11">
        <v>0</v>
      </c>
      <c r="X43" s="11">
        <v>5</v>
      </c>
      <c r="Y43" s="11">
        <v>0</v>
      </c>
      <c r="Z43" s="11">
        <v>5</v>
      </c>
      <c r="AA43" s="11" t="s">
        <v>1907</v>
      </c>
      <c r="AB43" s="11" t="s">
        <v>1908</v>
      </c>
      <c r="AC43" s="11" t="s">
        <v>1909</v>
      </c>
      <c r="AD43" s="11">
        <v>15</v>
      </c>
      <c r="AE43" s="11">
        <v>0</v>
      </c>
      <c r="AF43" s="261">
        <v>12</v>
      </c>
      <c r="AG43" s="261"/>
      <c r="AH43" s="9">
        <f t="shared" ref="AH43:AH44" si="19">AF43</f>
        <v>12</v>
      </c>
      <c r="AI43" s="261" t="s">
        <v>1906</v>
      </c>
      <c r="AJ43" s="183" t="s">
        <v>3978</v>
      </c>
      <c r="AK43" s="183" t="s">
        <v>3868</v>
      </c>
      <c r="AL43" s="183" t="s">
        <v>3979</v>
      </c>
      <c r="AM43" s="125">
        <v>0</v>
      </c>
      <c r="AN43" s="61" t="s">
        <v>3868</v>
      </c>
      <c r="AO43" s="11">
        <v>10</v>
      </c>
      <c r="AP43" s="11">
        <v>0</v>
      </c>
      <c r="AQ43" s="11">
        <v>10</v>
      </c>
      <c r="AR43" s="11">
        <v>0</v>
      </c>
      <c r="AS43" s="11">
        <v>0</v>
      </c>
      <c r="AT43" s="11">
        <v>0</v>
      </c>
    </row>
    <row r="44" spans="1:46" ht="18" customHeight="1">
      <c r="A44" s="260" t="s">
        <v>98</v>
      </c>
      <c r="B44" s="260" t="s">
        <v>99</v>
      </c>
      <c r="C44" s="260" t="s">
        <v>1828</v>
      </c>
      <c r="D44" s="260" t="s">
        <v>1829</v>
      </c>
      <c r="E44" s="260" t="s">
        <v>1939</v>
      </c>
      <c r="F44" s="260" t="s">
        <v>1869</v>
      </c>
      <c r="G44" s="260" t="s">
        <v>1870</v>
      </c>
      <c r="H44" s="260" t="s">
        <v>1952</v>
      </c>
      <c r="I44" s="260"/>
      <c r="J44" s="12" t="s">
        <v>393</v>
      </c>
      <c r="K44" s="260" t="s">
        <v>1953</v>
      </c>
      <c r="L44" s="260" t="s">
        <v>1954</v>
      </c>
      <c r="M44" s="260" t="s">
        <v>1955</v>
      </c>
      <c r="N44" s="260" t="s">
        <v>123</v>
      </c>
      <c r="O44" s="260" t="s">
        <v>112</v>
      </c>
      <c r="P44" s="10">
        <v>80</v>
      </c>
      <c r="Q44" s="11">
        <v>10</v>
      </c>
      <c r="R44" s="11">
        <f t="shared" si="18"/>
        <v>3</v>
      </c>
      <c r="S44" s="184" t="s">
        <v>3980</v>
      </c>
      <c r="T44" s="11">
        <v>1</v>
      </c>
      <c r="U44" s="11">
        <v>0</v>
      </c>
      <c r="V44" s="11">
        <v>1</v>
      </c>
      <c r="W44" s="11">
        <v>0</v>
      </c>
      <c r="X44" s="11">
        <v>1</v>
      </c>
      <c r="Y44" s="11">
        <v>0</v>
      </c>
      <c r="Z44" s="11">
        <v>1</v>
      </c>
      <c r="AA44" s="11" t="s">
        <v>1956</v>
      </c>
      <c r="AB44" s="11" t="s">
        <v>1957</v>
      </c>
      <c r="AC44" s="11" t="s">
        <v>1958</v>
      </c>
      <c r="AD44" s="11">
        <v>4</v>
      </c>
      <c r="AE44" s="11">
        <v>0</v>
      </c>
      <c r="AF44" s="261">
        <v>2</v>
      </c>
      <c r="AG44" s="261"/>
      <c r="AH44" s="9">
        <f t="shared" si="19"/>
        <v>2</v>
      </c>
      <c r="AI44" s="65" t="s">
        <v>1955</v>
      </c>
      <c r="AJ44" s="184" t="s">
        <v>3981</v>
      </c>
      <c r="AK44" s="184" t="s">
        <v>3982</v>
      </c>
      <c r="AL44" s="184" t="s">
        <v>3983</v>
      </c>
      <c r="AM44" s="125">
        <v>0</v>
      </c>
      <c r="AN44" s="61" t="s">
        <v>3868</v>
      </c>
      <c r="AO44" s="11">
        <v>4</v>
      </c>
      <c r="AP44" s="11">
        <v>0</v>
      </c>
      <c r="AQ44" s="11">
        <v>1</v>
      </c>
      <c r="AR44" s="11">
        <v>0</v>
      </c>
      <c r="AS44" s="11">
        <v>0</v>
      </c>
      <c r="AT44" s="11">
        <v>0</v>
      </c>
    </row>
    <row r="45" spans="1:46" ht="18" customHeight="1">
      <c r="A45" s="260" t="s">
        <v>98</v>
      </c>
      <c r="B45" s="260" t="s">
        <v>99</v>
      </c>
      <c r="C45" s="260" t="s">
        <v>2371</v>
      </c>
      <c r="D45" s="260" t="s">
        <v>2372</v>
      </c>
      <c r="E45" s="260" t="s">
        <v>2373</v>
      </c>
      <c r="F45" s="260" t="s">
        <v>2374</v>
      </c>
      <c r="G45" s="260" t="s">
        <v>2375</v>
      </c>
      <c r="H45" s="260" t="s">
        <v>2403</v>
      </c>
      <c r="I45" s="260" t="s">
        <v>1903</v>
      </c>
      <c r="J45" s="260"/>
      <c r="K45" s="260" t="s">
        <v>2404</v>
      </c>
      <c r="L45" s="260" t="s">
        <v>2405</v>
      </c>
      <c r="M45" s="260" t="s">
        <v>2406</v>
      </c>
      <c r="N45" s="260" t="s">
        <v>123</v>
      </c>
      <c r="O45" s="260" t="s">
        <v>112</v>
      </c>
      <c r="P45" s="10">
        <v>95.7</v>
      </c>
      <c r="Q45" s="11">
        <v>3.3</v>
      </c>
      <c r="R45" s="11">
        <f t="shared" si="18"/>
        <v>0.95</v>
      </c>
      <c r="S45" s="184" t="s">
        <v>3984</v>
      </c>
      <c r="T45" s="11">
        <v>0.5</v>
      </c>
      <c r="U45" s="11">
        <v>0</v>
      </c>
      <c r="V45" s="11">
        <v>0.5</v>
      </c>
      <c r="W45" s="11">
        <v>0</v>
      </c>
      <c r="X45" s="11">
        <v>0.5</v>
      </c>
      <c r="Y45" s="11">
        <v>0</v>
      </c>
      <c r="Z45" s="11">
        <v>0.5</v>
      </c>
      <c r="AA45" s="11" t="s">
        <v>2407</v>
      </c>
      <c r="AB45" s="11" t="s">
        <v>2408</v>
      </c>
      <c r="AC45" s="11" t="s">
        <v>2409</v>
      </c>
      <c r="AD45" s="11">
        <v>0.5</v>
      </c>
      <c r="AE45" s="11">
        <v>0</v>
      </c>
      <c r="AF45" s="261">
        <v>0.45</v>
      </c>
      <c r="AG45" s="261"/>
      <c r="AH45" s="9">
        <f t="shared" ref="AH45:AH46" si="20">AF45</f>
        <v>0.45</v>
      </c>
      <c r="AI45" s="261" t="s">
        <v>3985</v>
      </c>
      <c r="AJ45" s="184"/>
      <c r="AK45" s="184" t="s">
        <v>3986</v>
      </c>
      <c r="AL45" s="187" t="s">
        <v>3987</v>
      </c>
      <c r="AM45" s="125">
        <v>0</v>
      </c>
      <c r="AN45" s="61" t="s">
        <v>3868</v>
      </c>
      <c r="AO45" s="11">
        <v>0.5</v>
      </c>
      <c r="AP45" s="11">
        <v>0</v>
      </c>
      <c r="AQ45" s="11">
        <v>1.8</v>
      </c>
      <c r="AR45" s="11">
        <v>0</v>
      </c>
      <c r="AS45" s="11">
        <v>0</v>
      </c>
      <c r="AT45" s="11">
        <v>0</v>
      </c>
    </row>
    <row r="46" spans="1:46" ht="18" customHeight="1">
      <c r="A46" s="260" t="s">
        <v>98</v>
      </c>
      <c r="B46" s="260" t="s">
        <v>99</v>
      </c>
      <c r="C46" s="260" t="s">
        <v>2371</v>
      </c>
      <c r="D46" s="260" t="s">
        <v>2372</v>
      </c>
      <c r="E46" s="260" t="s">
        <v>2373</v>
      </c>
      <c r="F46" s="260" t="s">
        <v>2374</v>
      </c>
      <c r="G46" s="260" t="s">
        <v>2375</v>
      </c>
      <c r="H46" s="260" t="s">
        <v>2410</v>
      </c>
      <c r="I46" s="260" t="s">
        <v>106</v>
      </c>
      <c r="J46" s="260" t="s">
        <v>316</v>
      </c>
      <c r="K46" s="260" t="s">
        <v>2411</v>
      </c>
      <c r="L46" s="260" t="s">
        <v>2412</v>
      </c>
      <c r="M46" s="260" t="s">
        <v>2413</v>
      </c>
      <c r="N46" s="260" t="s">
        <v>123</v>
      </c>
      <c r="O46" s="260" t="s">
        <v>112</v>
      </c>
      <c r="P46" s="10">
        <v>9.4</v>
      </c>
      <c r="Q46" s="11">
        <v>100</v>
      </c>
      <c r="R46" s="11">
        <f t="shared" si="18"/>
        <v>48</v>
      </c>
      <c r="S46" s="184" t="s">
        <v>3988</v>
      </c>
      <c r="T46" s="11">
        <v>25</v>
      </c>
      <c r="U46" s="11">
        <v>0</v>
      </c>
      <c r="V46" s="11">
        <v>25</v>
      </c>
      <c r="W46" s="11">
        <v>0</v>
      </c>
      <c r="X46" s="11">
        <v>25</v>
      </c>
      <c r="Y46" s="11">
        <v>0</v>
      </c>
      <c r="Z46" s="11">
        <v>25</v>
      </c>
      <c r="AA46" s="11" t="s">
        <v>2413</v>
      </c>
      <c r="AB46" s="11" t="s">
        <v>2414</v>
      </c>
      <c r="AC46" s="11" t="s">
        <v>2415</v>
      </c>
      <c r="AD46" s="11">
        <v>25</v>
      </c>
      <c r="AE46" s="11">
        <v>0</v>
      </c>
      <c r="AF46" s="261">
        <v>23</v>
      </c>
      <c r="AG46" s="261"/>
      <c r="AH46" s="9">
        <f t="shared" si="20"/>
        <v>23</v>
      </c>
      <c r="AI46" s="65" t="s">
        <v>2413</v>
      </c>
      <c r="AJ46" s="184" t="s">
        <v>3989</v>
      </c>
      <c r="AK46" s="185" t="s">
        <v>3990</v>
      </c>
      <c r="AL46" s="183" t="s">
        <v>3991</v>
      </c>
      <c r="AM46" s="125">
        <v>0</v>
      </c>
      <c r="AN46" s="61" t="s">
        <v>3868</v>
      </c>
      <c r="AO46" s="11">
        <v>25</v>
      </c>
      <c r="AP46" s="11">
        <v>0</v>
      </c>
      <c r="AQ46" s="11">
        <v>25</v>
      </c>
      <c r="AR46" s="11">
        <v>0</v>
      </c>
      <c r="AS46" s="11">
        <v>0</v>
      </c>
      <c r="AT46" s="11">
        <v>0</v>
      </c>
    </row>
    <row r="47" spans="1:46" ht="18" customHeight="1">
      <c r="A47" s="260" t="s">
        <v>98</v>
      </c>
      <c r="B47" s="260" t="s">
        <v>99</v>
      </c>
      <c r="C47" s="260" t="s">
        <v>2371</v>
      </c>
      <c r="D47" s="260" t="s">
        <v>2372</v>
      </c>
      <c r="E47" s="260" t="s">
        <v>2416</v>
      </c>
      <c r="F47" s="260" t="s">
        <v>2417</v>
      </c>
      <c r="G47" s="260" t="s">
        <v>2418</v>
      </c>
      <c r="H47" s="260" t="s">
        <v>2424</v>
      </c>
      <c r="I47" s="260" t="s">
        <v>106</v>
      </c>
      <c r="J47" s="260" t="s">
        <v>622</v>
      </c>
      <c r="K47" s="260" t="s">
        <v>2425</v>
      </c>
      <c r="L47" s="260" t="s">
        <v>2426</v>
      </c>
      <c r="M47" s="260" t="s">
        <v>2427</v>
      </c>
      <c r="N47" s="260" t="s">
        <v>111</v>
      </c>
      <c r="O47" s="260" t="s">
        <v>124</v>
      </c>
      <c r="P47" s="10">
        <v>53</v>
      </c>
      <c r="Q47" s="11">
        <v>53</v>
      </c>
      <c r="R47" s="11">
        <f>(Z47+AH47)/2</f>
        <v>53</v>
      </c>
      <c r="S47" s="184" t="s">
        <v>3992</v>
      </c>
      <c r="T47" s="11">
        <v>0</v>
      </c>
      <c r="U47" s="11">
        <v>53</v>
      </c>
      <c r="V47" s="11">
        <v>0</v>
      </c>
      <c r="W47" s="11">
        <v>53</v>
      </c>
      <c r="X47" s="11" t="s">
        <v>115</v>
      </c>
      <c r="Y47" s="11">
        <v>53</v>
      </c>
      <c r="Z47" s="11">
        <v>53</v>
      </c>
      <c r="AA47" s="11" t="s">
        <v>2428</v>
      </c>
      <c r="AB47" s="11" t="s">
        <v>2429</v>
      </c>
      <c r="AC47" s="11" t="s">
        <v>2430</v>
      </c>
      <c r="AD47" s="11">
        <v>0</v>
      </c>
      <c r="AE47" s="11">
        <v>53</v>
      </c>
      <c r="AF47" s="261"/>
      <c r="AG47" s="261">
        <v>53</v>
      </c>
      <c r="AH47" s="11">
        <f>AG47</f>
        <v>53</v>
      </c>
      <c r="AI47" s="65" t="s">
        <v>2427</v>
      </c>
      <c r="AJ47" s="184" t="s">
        <v>3993</v>
      </c>
      <c r="AK47" s="184" t="s">
        <v>3994</v>
      </c>
      <c r="AL47" s="184" t="s">
        <v>3995</v>
      </c>
      <c r="AM47" s="125">
        <v>0</v>
      </c>
      <c r="AN47" s="61" t="s">
        <v>3868</v>
      </c>
      <c r="AO47" s="11">
        <v>0</v>
      </c>
      <c r="AP47" s="11">
        <v>53</v>
      </c>
      <c r="AQ47" s="11">
        <v>0</v>
      </c>
      <c r="AR47" s="11">
        <v>53</v>
      </c>
      <c r="AS47" s="11">
        <v>0</v>
      </c>
      <c r="AT47" s="11">
        <v>0</v>
      </c>
    </row>
    <row r="48" spans="1:46" ht="18" customHeight="1">
      <c r="A48" s="260" t="s">
        <v>98</v>
      </c>
      <c r="B48" s="260" t="s">
        <v>99</v>
      </c>
      <c r="C48" s="260" t="s">
        <v>2371</v>
      </c>
      <c r="D48" s="260" t="s">
        <v>2372</v>
      </c>
      <c r="E48" s="260" t="s">
        <v>2458</v>
      </c>
      <c r="F48" s="260" t="s">
        <v>2459</v>
      </c>
      <c r="G48" s="260" t="s">
        <v>2460</v>
      </c>
      <c r="H48" s="260" t="s">
        <v>2476</v>
      </c>
      <c r="I48" s="260"/>
      <c r="J48" s="12" t="s">
        <v>2477</v>
      </c>
      <c r="K48" s="260" t="s">
        <v>2478</v>
      </c>
      <c r="L48" s="260" t="s">
        <v>2479</v>
      </c>
      <c r="M48" s="260" t="s">
        <v>2480</v>
      </c>
      <c r="N48" s="260" t="s">
        <v>123</v>
      </c>
      <c r="O48" s="260" t="s">
        <v>124</v>
      </c>
      <c r="P48" s="10">
        <v>90</v>
      </c>
      <c r="Q48" s="11">
        <v>90</v>
      </c>
      <c r="R48" s="11">
        <f t="shared" ref="R48:R52" si="21">(Z48+AH48)/2</f>
        <v>90</v>
      </c>
      <c r="S48" s="184" t="s">
        <v>3996</v>
      </c>
      <c r="T48" s="11">
        <v>0</v>
      </c>
      <c r="U48" s="11">
        <v>90</v>
      </c>
      <c r="V48" s="11">
        <v>0</v>
      </c>
      <c r="W48" s="11">
        <v>90</v>
      </c>
      <c r="X48" s="11" t="s">
        <v>115</v>
      </c>
      <c r="Y48" s="11">
        <v>90</v>
      </c>
      <c r="Z48" s="11">
        <v>90</v>
      </c>
      <c r="AA48" s="11" t="s">
        <v>2480</v>
      </c>
      <c r="AB48" s="11" t="s">
        <v>2481</v>
      </c>
      <c r="AC48" s="11" t="s">
        <v>2482</v>
      </c>
      <c r="AD48" s="11">
        <v>0</v>
      </c>
      <c r="AE48" s="11">
        <v>90</v>
      </c>
      <c r="AF48" s="261"/>
      <c r="AG48" s="261">
        <v>90</v>
      </c>
      <c r="AH48" s="11">
        <f t="shared" ref="AH48:AH52" si="22">AG48</f>
        <v>90</v>
      </c>
      <c r="AI48" s="261" t="s">
        <v>2480</v>
      </c>
      <c r="AJ48" s="184" t="s">
        <v>3997</v>
      </c>
      <c r="AK48" s="184" t="s">
        <v>3998</v>
      </c>
      <c r="AL48" s="184" t="s">
        <v>3999</v>
      </c>
      <c r="AM48" s="125">
        <v>0</v>
      </c>
      <c r="AN48" s="61" t="s">
        <v>3868</v>
      </c>
      <c r="AO48" s="11">
        <v>0</v>
      </c>
      <c r="AP48" s="11">
        <v>90</v>
      </c>
      <c r="AQ48" s="11">
        <v>0</v>
      </c>
      <c r="AR48" s="11">
        <v>90</v>
      </c>
      <c r="AS48" s="11">
        <v>0</v>
      </c>
      <c r="AT48" s="11">
        <v>0</v>
      </c>
    </row>
    <row r="49" spans="1:46" ht="18" customHeight="1">
      <c r="A49" s="260" t="s">
        <v>98</v>
      </c>
      <c r="B49" s="260" t="s">
        <v>99</v>
      </c>
      <c r="C49" s="260" t="s">
        <v>2371</v>
      </c>
      <c r="D49" s="260" t="s">
        <v>2372</v>
      </c>
      <c r="E49" s="260" t="s">
        <v>2458</v>
      </c>
      <c r="F49" s="260" t="s">
        <v>2459</v>
      </c>
      <c r="G49" s="260" t="s">
        <v>2460</v>
      </c>
      <c r="H49" s="260" t="s">
        <v>2483</v>
      </c>
      <c r="I49" s="260"/>
      <c r="J49" s="260"/>
      <c r="K49" s="260" t="s">
        <v>2484</v>
      </c>
      <c r="L49" s="260" t="s">
        <v>2485</v>
      </c>
      <c r="M49" s="260" t="s">
        <v>2486</v>
      </c>
      <c r="N49" s="260" t="s">
        <v>123</v>
      </c>
      <c r="O49" s="260" t="s">
        <v>124</v>
      </c>
      <c r="P49" s="10">
        <v>100</v>
      </c>
      <c r="Q49" s="11">
        <v>100</v>
      </c>
      <c r="R49" s="11">
        <f t="shared" si="21"/>
        <v>95</v>
      </c>
      <c r="S49" s="183" t="s">
        <v>4000</v>
      </c>
      <c r="T49" s="11">
        <v>0</v>
      </c>
      <c r="U49" s="11">
        <v>100</v>
      </c>
      <c r="V49" s="11">
        <v>0</v>
      </c>
      <c r="W49" s="11">
        <v>100</v>
      </c>
      <c r="X49" s="11" t="s">
        <v>115</v>
      </c>
      <c r="Y49" s="11">
        <v>100</v>
      </c>
      <c r="Z49" s="11">
        <v>100</v>
      </c>
      <c r="AA49" s="11" t="s">
        <v>2486</v>
      </c>
      <c r="AB49" s="11" t="s">
        <v>2487</v>
      </c>
      <c r="AC49" s="11" t="s">
        <v>2488</v>
      </c>
      <c r="AD49" s="11">
        <v>0</v>
      </c>
      <c r="AE49" s="11">
        <v>100</v>
      </c>
      <c r="AF49" s="261"/>
      <c r="AG49" s="261">
        <v>90</v>
      </c>
      <c r="AH49" s="11">
        <f t="shared" si="22"/>
        <v>90</v>
      </c>
      <c r="AI49" s="261" t="s">
        <v>2486</v>
      </c>
      <c r="AJ49" s="184" t="s">
        <v>4001</v>
      </c>
      <c r="AK49" s="184" t="s">
        <v>4002</v>
      </c>
      <c r="AL49" s="184" t="s">
        <v>4003</v>
      </c>
      <c r="AM49" s="125">
        <v>0</v>
      </c>
      <c r="AN49" s="61" t="s">
        <v>3868</v>
      </c>
      <c r="AO49" s="11">
        <v>0</v>
      </c>
      <c r="AP49" s="11">
        <v>100</v>
      </c>
      <c r="AQ49" s="11">
        <v>0</v>
      </c>
      <c r="AR49" s="11">
        <v>100</v>
      </c>
      <c r="AS49" s="11">
        <v>0</v>
      </c>
      <c r="AT49" s="11">
        <v>0</v>
      </c>
    </row>
    <row r="50" spans="1:46" ht="18" customHeight="1">
      <c r="A50" s="260" t="s">
        <v>98</v>
      </c>
      <c r="B50" s="260" t="s">
        <v>99</v>
      </c>
      <c r="C50" s="260" t="s">
        <v>2371</v>
      </c>
      <c r="D50" s="260" t="s">
        <v>2372</v>
      </c>
      <c r="E50" s="260" t="s">
        <v>2458</v>
      </c>
      <c r="F50" s="260" t="s">
        <v>2459</v>
      </c>
      <c r="G50" s="260" t="s">
        <v>2460</v>
      </c>
      <c r="H50" s="260" t="s">
        <v>2489</v>
      </c>
      <c r="I50" s="260" t="s">
        <v>106</v>
      </c>
      <c r="J50" s="260"/>
      <c r="K50" s="260" t="s">
        <v>2490</v>
      </c>
      <c r="L50" s="260" t="s">
        <v>2491</v>
      </c>
      <c r="M50" s="260" t="s">
        <v>2492</v>
      </c>
      <c r="N50" s="260" t="s">
        <v>123</v>
      </c>
      <c r="O50" s="260" t="s">
        <v>124</v>
      </c>
      <c r="P50" s="10">
        <v>100</v>
      </c>
      <c r="Q50" s="11">
        <v>100</v>
      </c>
      <c r="R50" s="11">
        <f t="shared" si="21"/>
        <v>92.5</v>
      </c>
      <c r="S50" s="184" t="s">
        <v>4004</v>
      </c>
      <c r="T50" s="11">
        <v>0</v>
      </c>
      <c r="U50" s="11">
        <v>100</v>
      </c>
      <c r="V50" s="11">
        <v>0</v>
      </c>
      <c r="W50" s="11">
        <v>100</v>
      </c>
      <c r="X50" s="11" t="s">
        <v>115</v>
      </c>
      <c r="Y50" s="11">
        <v>100</v>
      </c>
      <c r="Z50" s="11">
        <v>100</v>
      </c>
      <c r="AA50" s="11" t="s">
        <v>2492</v>
      </c>
      <c r="AB50" s="11" t="s">
        <v>2493</v>
      </c>
      <c r="AC50" s="11" t="s">
        <v>2494</v>
      </c>
      <c r="AD50" s="11">
        <v>0</v>
      </c>
      <c r="AE50" s="11">
        <v>100</v>
      </c>
      <c r="AF50" s="261"/>
      <c r="AG50" s="261">
        <v>85</v>
      </c>
      <c r="AH50" s="11">
        <f t="shared" si="22"/>
        <v>85</v>
      </c>
      <c r="AI50" s="261" t="s">
        <v>2492</v>
      </c>
      <c r="AJ50" s="184" t="s">
        <v>4005</v>
      </c>
      <c r="AK50" s="184" t="s">
        <v>4006</v>
      </c>
      <c r="AL50" s="184" t="s">
        <v>4007</v>
      </c>
      <c r="AM50" s="125">
        <v>0</v>
      </c>
      <c r="AN50" s="61" t="s">
        <v>3868</v>
      </c>
      <c r="AO50" s="11">
        <v>0</v>
      </c>
      <c r="AP50" s="11">
        <v>100</v>
      </c>
      <c r="AQ50" s="11">
        <v>0</v>
      </c>
      <c r="AR50" s="11">
        <v>100</v>
      </c>
      <c r="AS50" s="11">
        <v>0</v>
      </c>
      <c r="AT50" s="11">
        <v>0</v>
      </c>
    </row>
    <row r="51" spans="1:46" ht="18" customHeight="1">
      <c r="A51" s="260" t="s">
        <v>98</v>
      </c>
      <c r="B51" s="260" t="s">
        <v>99</v>
      </c>
      <c r="C51" s="260" t="s">
        <v>2371</v>
      </c>
      <c r="D51" s="260" t="s">
        <v>2372</v>
      </c>
      <c r="E51" s="260" t="s">
        <v>2458</v>
      </c>
      <c r="F51" s="260" t="s">
        <v>2459</v>
      </c>
      <c r="G51" s="260" t="s">
        <v>2460</v>
      </c>
      <c r="H51" s="260" t="s">
        <v>2495</v>
      </c>
      <c r="I51" s="260" t="s">
        <v>106</v>
      </c>
      <c r="J51" s="260"/>
      <c r="K51" s="260" t="s">
        <v>2496</v>
      </c>
      <c r="L51" s="260" t="s">
        <v>2497</v>
      </c>
      <c r="M51" s="260" t="s">
        <v>2498</v>
      </c>
      <c r="N51" s="260" t="s">
        <v>123</v>
      </c>
      <c r="O51" s="260" t="s">
        <v>124</v>
      </c>
      <c r="P51" s="10">
        <v>100</v>
      </c>
      <c r="Q51" s="11">
        <v>100</v>
      </c>
      <c r="R51" s="11">
        <f t="shared" si="21"/>
        <v>100</v>
      </c>
      <c r="S51" s="184" t="s">
        <v>4008</v>
      </c>
      <c r="T51" s="11">
        <v>0</v>
      </c>
      <c r="U51" s="11">
        <v>100</v>
      </c>
      <c r="V51" s="11">
        <v>0</v>
      </c>
      <c r="W51" s="11">
        <v>100</v>
      </c>
      <c r="X51" s="11" t="s">
        <v>115</v>
      </c>
      <c r="Y51" s="11">
        <v>100</v>
      </c>
      <c r="Z51" s="11">
        <v>100</v>
      </c>
      <c r="AA51" s="11" t="s">
        <v>2498</v>
      </c>
      <c r="AB51" s="11" t="s">
        <v>2499</v>
      </c>
      <c r="AC51" s="11" t="s">
        <v>2500</v>
      </c>
      <c r="AD51" s="11">
        <v>0</v>
      </c>
      <c r="AE51" s="11">
        <v>100</v>
      </c>
      <c r="AF51" s="261"/>
      <c r="AG51" s="261">
        <v>100</v>
      </c>
      <c r="AH51" s="11">
        <f t="shared" si="22"/>
        <v>100</v>
      </c>
      <c r="AI51" s="261" t="s">
        <v>2498</v>
      </c>
      <c r="AJ51" s="184" t="s">
        <v>4009</v>
      </c>
      <c r="AK51" s="184" t="s">
        <v>3868</v>
      </c>
      <c r="AL51" s="184" t="s">
        <v>4010</v>
      </c>
      <c r="AM51" s="125">
        <v>0</v>
      </c>
      <c r="AN51" s="61" t="s">
        <v>3868</v>
      </c>
      <c r="AO51" s="11">
        <v>0</v>
      </c>
      <c r="AP51" s="11">
        <v>100</v>
      </c>
      <c r="AQ51" s="11">
        <v>0</v>
      </c>
      <c r="AR51" s="11">
        <v>100</v>
      </c>
      <c r="AS51" s="11">
        <v>0</v>
      </c>
      <c r="AT51" s="11">
        <v>0</v>
      </c>
    </row>
    <row r="52" spans="1:46" ht="18" customHeight="1">
      <c r="A52" s="260" t="s">
        <v>98</v>
      </c>
      <c r="B52" s="260" t="s">
        <v>99</v>
      </c>
      <c r="C52" s="260" t="s">
        <v>2371</v>
      </c>
      <c r="D52" s="260" t="s">
        <v>2372</v>
      </c>
      <c r="E52" s="260" t="s">
        <v>2458</v>
      </c>
      <c r="F52" s="260" t="s">
        <v>2459</v>
      </c>
      <c r="G52" s="260" t="s">
        <v>2460</v>
      </c>
      <c r="H52" s="260" t="s">
        <v>2501</v>
      </c>
      <c r="I52" s="260" t="s">
        <v>106</v>
      </c>
      <c r="J52" s="260" t="s">
        <v>119</v>
      </c>
      <c r="K52" s="260" t="s">
        <v>2502</v>
      </c>
      <c r="L52" s="260" t="s">
        <v>2503</v>
      </c>
      <c r="M52" s="260" t="s">
        <v>2504</v>
      </c>
      <c r="N52" s="260" t="s">
        <v>111</v>
      </c>
      <c r="O52" s="260" t="s">
        <v>124</v>
      </c>
      <c r="P52" s="10">
        <v>116</v>
      </c>
      <c r="Q52" s="11">
        <v>116</v>
      </c>
      <c r="R52" s="11">
        <f t="shared" si="21"/>
        <v>116</v>
      </c>
      <c r="S52" s="184" t="s">
        <v>2506</v>
      </c>
      <c r="T52" s="11">
        <v>0</v>
      </c>
      <c r="U52" s="11">
        <v>116</v>
      </c>
      <c r="V52" s="11">
        <v>0</v>
      </c>
      <c r="W52" s="11">
        <v>116</v>
      </c>
      <c r="X52" s="11" t="s">
        <v>115</v>
      </c>
      <c r="Y52" s="11">
        <v>116</v>
      </c>
      <c r="Z52" s="11">
        <v>116</v>
      </c>
      <c r="AA52" s="11" t="s">
        <v>2505</v>
      </c>
      <c r="AB52" s="11" t="s">
        <v>2506</v>
      </c>
      <c r="AC52" s="11">
        <v>0</v>
      </c>
      <c r="AD52" s="11">
        <v>0</v>
      </c>
      <c r="AE52" s="11">
        <v>116</v>
      </c>
      <c r="AF52" s="261"/>
      <c r="AG52" s="261">
        <v>116</v>
      </c>
      <c r="AH52" s="11">
        <f t="shared" si="22"/>
        <v>116</v>
      </c>
      <c r="AI52" s="261" t="s">
        <v>2504</v>
      </c>
      <c r="AJ52" s="184" t="s">
        <v>4011</v>
      </c>
      <c r="AK52" s="184" t="s">
        <v>4012</v>
      </c>
      <c r="AL52" s="184" t="s">
        <v>4013</v>
      </c>
      <c r="AM52" s="125">
        <v>0</v>
      </c>
      <c r="AN52" s="61" t="s">
        <v>3868</v>
      </c>
      <c r="AO52" s="11">
        <v>0</v>
      </c>
      <c r="AP52" s="11">
        <v>116</v>
      </c>
      <c r="AQ52" s="11">
        <v>0</v>
      </c>
      <c r="AR52" s="11">
        <v>116</v>
      </c>
      <c r="AS52" s="11">
        <v>0</v>
      </c>
      <c r="AT52" s="11">
        <v>0</v>
      </c>
    </row>
    <row r="53" spans="1:46" ht="18" customHeight="1">
      <c r="A53" s="260" t="s">
        <v>98</v>
      </c>
      <c r="B53" s="260" t="s">
        <v>99</v>
      </c>
      <c r="C53" s="260" t="s">
        <v>2371</v>
      </c>
      <c r="D53" s="260" t="s">
        <v>2588</v>
      </c>
      <c r="E53" s="260" t="s">
        <v>2606</v>
      </c>
      <c r="F53" s="260" t="s">
        <v>2607</v>
      </c>
      <c r="G53" s="260" t="s">
        <v>2608</v>
      </c>
      <c r="H53" s="260" t="s">
        <v>2659</v>
      </c>
      <c r="I53" s="260" t="s">
        <v>677</v>
      </c>
      <c r="J53" s="260" t="s">
        <v>1895</v>
      </c>
      <c r="K53" s="260" t="s">
        <v>2660</v>
      </c>
      <c r="L53" s="260" t="s">
        <v>2661</v>
      </c>
      <c r="M53" s="260" t="s">
        <v>2662</v>
      </c>
      <c r="N53" s="260" t="s">
        <v>111</v>
      </c>
      <c r="O53" s="260" t="s">
        <v>112</v>
      </c>
      <c r="P53" s="10">
        <v>0</v>
      </c>
      <c r="Q53" s="11">
        <v>53</v>
      </c>
      <c r="R53" s="11">
        <f t="shared" ref="R53:R54" si="23">Z53+AH53</f>
        <v>0</v>
      </c>
      <c r="S53" s="184" t="s">
        <v>4014</v>
      </c>
      <c r="T53" s="11">
        <v>8</v>
      </c>
      <c r="U53" s="11">
        <v>0</v>
      </c>
      <c r="V53" s="11">
        <v>8</v>
      </c>
      <c r="W53" s="11">
        <v>0</v>
      </c>
      <c r="X53" s="11">
        <v>0</v>
      </c>
      <c r="Y53" s="11">
        <v>0</v>
      </c>
      <c r="Z53" s="11">
        <v>0</v>
      </c>
      <c r="AA53" s="11" t="s">
        <v>2662</v>
      </c>
      <c r="AB53" s="11" t="s">
        <v>2663</v>
      </c>
      <c r="AC53" s="11" t="s">
        <v>2664</v>
      </c>
      <c r="AD53" s="11">
        <v>23</v>
      </c>
      <c r="AE53" s="11">
        <v>0</v>
      </c>
      <c r="AF53" s="261">
        <v>0</v>
      </c>
      <c r="AG53" s="261"/>
      <c r="AH53" s="9">
        <f t="shared" ref="AH53:AH54" si="24">AF53</f>
        <v>0</v>
      </c>
      <c r="AI53" s="261" t="s">
        <v>4015</v>
      </c>
      <c r="AJ53" s="184" t="s">
        <v>4016</v>
      </c>
      <c r="AK53" s="184" t="s">
        <v>4017</v>
      </c>
      <c r="AL53" s="184" t="s">
        <v>4018</v>
      </c>
      <c r="AM53" s="125">
        <v>0</v>
      </c>
      <c r="AN53" s="61" t="s">
        <v>3868</v>
      </c>
      <c r="AO53" s="11">
        <v>15</v>
      </c>
      <c r="AP53" s="11">
        <v>0</v>
      </c>
      <c r="AQ53" s="11">
        <v>15</v>
      </c>
      <c r="AR53" s="11">
        <v>0</v>
      </c>
      <c r="AS53" s="11">
        <v>0</v>
      </c>
      <c r="AT53" s="11">
        <v>0</v>
      </c>
    </row>
    <row r="54" spans="1:46" ht="18" customHeight="1">
      <c r="A54" s="260" t="s">
        <v>98</v>
      </c>
      <c r="B54" s="260" t="s">
        <v>99</v>
      </c>
      <c r="C54" s="260" t="s">
        <v>2371</v>
      </c>
      <c r="D54" s="260" t="s">
        <v>2702</v>
      </c>
      <c r="E54" s="260" t="s">
        <v>2703</v>
      </c>
      <c r="F54" s="260" t="s">
        <v>2704</v>
      </c>
      <c r="G54" s="260" t="s">
        <v>2705</v>
      </c>
      <c r="H54" s="260" t="s">
        <v>2706</v>
      </c>
      <c r="I54" s="260" t="s">
        <v>106</v>
      </c>
      <c r="J54" s="12" t="s">
        <v>2707</v>
      </c>
      <c r="K54" s="260" t="s">
        <v>2708</v>
      </c>
      <c r="L54" s="260" t="s">
        <v>2709</v>
      </c>
      <c r="M54" s="260" t="s">
        <v>2710</v>
      </c>
      <c r="N54" s="260" t="s">
        <v>123</v>
      </c>
      <c r="O54" s="260" t="s">
        <v>112</v>
      </c>
      <c r="P54" s="10">
        <v>50</v>
      </c>
      <c r="Q54" s="11">
        <v>30</v>
      </c>
      <c r="R54" s="11">
        <f t="shared" si="23"/>
        <v>19.100000000000001</v>
      </c>
      <c r="S54" s="184" t="s">
        <v>4019</v>
      </c>
      <c r="T54" s="11">
        <v>10</v>
      </c>
      <c r="U54" s="11">
        <v>0</v>
      </c>
      <c r="V54" s="11">
        <v>10</v>
      </c>
      <c r="W54" s="11">
        <v>0</v>
      </c>
      <c r="X54" s="11">
        <v>10</v>
      </c>
      <c r="Y54" s="11">
        <v>0</v>
      </c>
      <c r="Z54" s="11">
        <v>10</v>
      </c>
      <c r="AA54" s="11" t="s">
        <v>2711</v>
      </c>
      <c r="AB54" s="11" t="s">
        <v>2712</v>
      </c>
      <c r="AC54" s="11" t="s">
        <v>2713</v>
      </c>
      <c r="AD54" s="11">
        <v>10</v>
      </c>
      <c r="AE54" s="11">
        <v>0</v>
      </c>
      <c r="AF54" s="261">
        <v>9.1</v>
      </c>
      <c r="AG54" s="261"/>
      <c r="AH54" s="9">
        <f t="shared" si="24"/>
        <v>9.1</v>
      </c>
      <c r="AI54" s="65" t="s">
        <v>2710</v>
      </c>
      <c r="AJ54" s="184" t="s">
        <v>4020</v>
      </c>
      <c r="AK54" s="184" t="s">
        <v>4021</v>
      </c>
      <c r="AL54" s="184" t="s">
        <v>4022</v>
      </c>
      <c r="AM54" s="125">
        <v>0</v>
      </c>
      <c r="AN54" s="61" t="s">
        <v>3868</v>
      </c>
      <c r="AO54" s="11">
        <v>5</v>
      </c>
      <c r="AP54" s="11">
        <v>0</v>
      </c>
      <c r="AQ54" s="11">
        <v>5</v>
      </c>
      <c r="AR54" s="11">
        <v>0</v>
      </c>
      <c r="AS54" s="11">
        <v>0</v>
      </c>
      <c r="AT54" s="11">
        <v>0</v>
      </c>
    </row>
    <row r="55" spans="1:46" s="3" customFormat="1">
      <c r="L55" s="5"/>
      <c r="AD55" s="83"/>
      <c r="AM55" s="124"/>
    </row>
  </sheetData>
  <sheetProtection algorithmName="SHA-512" hashValue="+0Qev2JJqPPb+JhI8ISi+X7T5VLYMprWTl+GnIRRfEDXnfUI/6GqctilZ4kUbHJmwiGzr4qC9gEVhTcgJ9J1ng==" saltValue="A3OpC66FVM+iJpmBWbAefA==" spinCount="100000" sheet="1" autoFilter="0"/>
  <autoFilter ref="A12:IZ54" xr:uid="{00000000-0009-0000-0000-000018000000}"/>
  <customSheetViews>
    <customSheetView guid="{75629C99-8367-48E9-A2A2-D8C49A9E68E3}" scale="80" showAutoFilter="1" hiddenRows="1" topLeftCell="AC1">
      <pane ySplit="12" topLeftCell="A31" activePane="bottomLeft" state="frozen"/>
      <selection pane="bottomLeft" activeCell="AC37" sqref="AC37"/>
      <pageMargins left="0" right="0" top="0" bottom="0" header="0" footer="0"/>
      <pageSetup orientation="portrait" r:id="rId1"/>
      <autoFilter ref="A12:IZ54" xr:uid="{B47FF8E1-9CD6-4144-8681-1DD8A047CE61}"/>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6BE2F-46C3-4C78-9436-F15ED2F05D98}">
  <sheetPr codeName="Hoja37"/>
  <dimension ref="A1:AT23"/>
  <sheetViews>
    <sheetView topLeftCell="W1" zoomScale="80" zoomScaleNormal="80" workbookViewId="0">
      <selection activeCell="AG13" sqref="AG13"/>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5" width="12.7109375" customWidth="1"/>
    <col min="36" max="36" width="32.28515625" customWidth="1"/>
    <col min="37" max="38" width="12.7109375" customWidth="1"/>
    <col min="39" max="39" width="18"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44408</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87"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55.5" customHeight="1">
      <c r="A13" s="260" t="s">
        <v>1937</v>
      </c>
      <c r="B13" s="260" t="s">
        <v>4023</v>
      </c>
      <c r="C13" s="260" t="s">
        <v>1828</v>
      </c>
      <c r="D13" s="260" t="s">
        <v>1829</v>
      </c>
      <c r="E13" s="260" t="s">
        <v>1939</v>
      </c>
      <c r="F13" s="260" t="s">
        <v>1940</v>
      </c>
      <c r="G13" s="260" t="s">
        <v>1941</v>
      </c>
      <c r="H13" s="260" t="s">
        <v>1942</v>
      </c>
      <c r="I13" s="260"/>
      <c r="J13" s="260"/>
      <c r="K13" s="260" t="s">
        <v>1943</v>
      </c>
      <c r="L13" s="260" t="s">
        <v>1944</v>
      </c>
      <c r="M13" s="260" t="s">
        <v>1945</v>
      </c>
      <c r="N13" s="260" t="s">
        <v>111</v>
      </c>
      <c r="O13" s="260" t="s">
        <v>112</v>
      </c>
      <c r="P13" s="10">
        <v>109</v>
      </c>
      <c r="Q13" s="11">
        <v>116</v>
      </c>
      <c r="R13" s="11">
        <f t="shared" ref="R13:R14" si="0">Z13+AH13</f>
        <v>23</v>
      </c>
      <c r="S13" s="65" t="s">
        <v>4024</v>
      </c>
      <c r="T13" s="11">
        <v>0</v>
      </c>
      <c r="U13" s="11">
        <v>0</v>
      </c>
      <c r="V13" s="11">
        <v>0</v>
      </c>
      <c r="W13" s="11">
        <v>0</v>
      </c>
      <c r="X13" s="11">
        <v>0</v>
      </c>
      <c r="Y13" s="11">
        <v>0</v>
      </c>
      <c r="Z13" s="11">
        <v>0</v>
      </c>
      <c r="AA13" s="65"/>
      <c r="AB13" s="247"/>
      <c r="AC13" s="11"/>
      <c r="AD13" s="11">
        <v>23</v>
      </c>
      <c r="AE13" s="11">
        <v>0</v>
      </c>
      <c r="AF13" s="261">
        <v>23</v>
      </c>
      <c r="AG13" s="261"/>
      <c r="AH13" s="9">
        <f t="shared" ref="AH13:AH14" si="1">AF13</f>
        <v>23</v>
      </c>
      <c r="AI13" s="65" t="s">
        <v>4025</v>
      </c>
      <c r="AJ13" s="65" t="s">
        <v>4024</v>
      </c>
      <c r="AK13" s="261" t="s">
        <v>4026</v>
      </c>
      <c r="AL13" s="261" t="s">
        <v>4027</v>
      </c>
      <c r="AM13" s="118">
        <v>51376000</v>
      </c>
      <c r="AN13" s="261" t="s">
        <v>4028</v>
      </c>
      <c r="AO13" s="11">
        <v>47</v>
      </c>
      <c r="AP13" s="11">
        <v>0</v>
      </c>
      <c r="AQ13" s="11">
        <v>46</v>
      </c>
      <c r="AR13" s="11">
        <v>0</v>
      </c>
      <c r="AS13" s="11">
        <v>0</v>
      </c>
      <c r="AT13" s="11">
        <v>0</v>
      </c>
    </row>
    <row r="14" spans="1:46" ht="42" customHeight="1">
      <c r="A14" s="260" t="s">
        <v>1937</v>
      </c>
      <c r="B14" s="260" t="s">
        <v>4023</v>
      </c>
      <c r="C14" s="260" t="s">
        <v>1828</v>
      </c>
      <c r="D14" s="260" t="s">
        <v>1829</v>
      </c>
      <c r="E14" s="260" t="s">
        <v>1939</v>
      </c>
      <c r="F14" s="260" t="s">
        <v>1940</v>
      </c>
      <c r="G14" s="260" t="s">
        <v>1941</v>
      </c>
      <c r="H14" s="260" t="s">
        <v>1946</v>
      </c>
      <c r="I14" s="260"/>
      <c r="J14" s="260"/>
      <c r="K14" s="260" t="s">
        <v>1947</v>
      </c>
      <c r="L14" s="260" t="s">
        <v>1948</v>
      </c>
      <c r="M14" s="260" t="s">
        <v>1949</v>
      </c>
      <c r="N14" s="260" t="s">
        <v>111</v>
      </c>
      <c r="O14" s="260" t="s">
        <v>112</v>
      </c>
      <c r="P14" s="10">
        <v>0</v>
      </c>
      <c r="Q14" s="11">
        <v>1</v>
      </c>
      <c r="R14" s="11">
        <f t="shared" si="0"/>
        <v>0.3</v>
      </c>
      <c r="S14" s="66" t="s">
        <v>4029</v>
      </c>
      <c r="T14" s="11">
        <v>0</v>
      </c>
      <c r="U14" s="11">
        <v>0</v>
      </c>
      <c r="V14" s="11">
        <v>0.35</v>
      </c>
      <c r="W14" s="11">
        <v>0</v>
      </c>
      <c r="X14" s="11">
        <v>0.3</v>
      </c>
      <c r="Y14" s="11">
        <v>0</v>
      </c>
      <c r="Z14" s="11">
        <v>0.3</v>
      </c>
      <c r="AA14" s="11" t="s">
        <v>1950</v>
      </c>
      <c r="AB14" s="11" t="s">
        <v>1951</v>
      </c>
      <c r="AC14" s="11">
        <v>0</v>
      </c>
      <c r="AD14" s="11">
        <v>0.2</v>
      </c>
      <c r="AE14" s="11">
        <v>0</v>
      </c>
      <c r="AF14" s="261">
        <v>0</v>
      </c>
      <c r="AG14" s="261"/>
      <c r="AH14" s="9">
        <f t="shared" si="1"/>
        <v>0</v>
      </c>
      <c r="AI14" s="261"/>
      <c r="AJ14" s="65" t="s">
        <v>4030</v>
      </c>
      <c r="AK14" s="261" t="s">
        <v>4031</v>
      </c>
      <c r="AL14" s="261" t="s">
        <v>4032</v>
      </c>
      <c r="AM14" s="118"/>
      <c r="AN14" s="261"/>
      <c r="AO14" s="11">
        <v>0.5</v>
      </c>
      <c r="AP14" s="11">
        <v>0</v>
      </c>
      <c r="AQ14" s="11">
        <v>0</v>
      </c>
      <c r="AR14" s="11">
        <v>0</v>
      </c>
      <c r="AS14" s="11">
        <v>0</v>
      </c>
      <c r="AT14" s="11">
        <v>0</v>
      </c>
    </row>
    <row r="15" spans="1:46" s="3" customFormat="1">
      <c r="L15" s="5"/>
      <c r="AM15" s="124"/>
    </row>
    <row r="23" spans="40:40">
      <c r="AN23" cm="2">
        <f t="array" aca="1" ref="AN23" ca="1">+AN23:AT24</f>
        <v>0</v>
      </c>
    </row>
  </sheetData>
  <sheetProtection autoFilter="0"/>
  <autoFilter ref="A12:IZ14" xr:uid="{00000000-0009-0000-0000-00000C000000}"/>
  <customSheetViews>
    <customSheetView guid="{75629C99-8367-48E9-A2A2-D8C49A9E68E3}" scale="80" showAutoFilter="1" hiddenRows="1" topLeftCell="X1">
      <selection activeCell="AO13" sqref="AO13"/>
      <pageMargins left="0" right="0" top="0" bottom="0" header="0" footer="0"/>
      <pageSetup orientation="portrait" r:id="rId1"/>
      <autoFilter ref="A12:IZ14" xr:uid="{6AE6E389-F2A3-4B02-9128-CC2ED4CF6F2B}"/>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14">
    <cfRule type="duplicateValues" dxfId="5" priority="1"/>
  </conditionalFormatting>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F00"/>
  </sheetPr>
  <dimension ref="B2:B38"/>
  <sheetViews>
    <sheetView topLeftCell="A27" workbookViewId="0">
      <selection activeCell="E33" sqref="E33"/>
    </sheetView>
  </sheetViews>
  <sheetFormatPr defaultColWidth="11.42578125" defaultRowHeight="14.45"/>
  <cols>
    <col min="1" max="1" width="7" customWidth="1"/>
    <col min="2" max="2" width="45.5703125" bestFit="1" customWidth="1"/>
  </cols>
  <sheetData>
    <row r="2" spans="2:2">
      <c r="B2" s="62" t="s">
        <v>3087</v>
      </c>
    </row>
    <row r="3" spans="2:2">
      <c r="B3" s="17" t="s">
        <v>3088</v>
      </c>
    </row>
    <row r="4" spans="2:2">
      <c r="B4" s="17" t="s">
        <v>3089</v>
      </c>
    </row>
    <row r="5" spans="2:2">
      <c r="B5" s="17" t="s">
        <v>3090</v>
      </c>
    </row>
    <row r="6" spans="2:2">
      <c r="B6" s="17" t="s">
        <v>3091</v>
      </c>
    </row>
    <row r="7" spans="2:2">
      <c r="B7" s="17" t="s">
        <v>3092</v>
      </c>
    </row>
    <row r="8" spans="2:2">
      <c r="B8" s="17" t="s">
        <v>3093</v>
      </c>
    </row>
    <row r="9" spans="2:2">
      <c r="B9" s="17" t="s">
        <v>3094</v>
      </c>
    </row>
    <row r="10" spans="2:2">
      <c r="B10" s="17" t="s">
        <v>3095</v>
      </c>
    </row>
    <row r="11" spans="2:2">
      <c r="B11" s="17" t="s">
        <v>3096</v>
      </c>
    </row>
    <row r="12" spans="2:2">
      <c r="B12" s="17" t="s">
        <v>3097</v>
      </c>
    </row>
    <row r="13" spans="2:2">
      <c r="B13" s="17" t="s">
        <v>3098</v>
      </c>
    </row>
    <row r="14" spans="2:2">
      <c r="B14" s="17" t="s">
        <v>3099</v>
      </c>
    </row>
    <row r="15" spans="2:2">
      <c r="B15" s="17" t="s">
        <v>3100</v>
      </c>
    </row>
    <row r="16" spans="2:2">
      <c r="B16" s="17" t="s">
        <v>3101</v>
      </c>
    </row>
    <row r="17" spans="2:2">
      <c r="B17" s="17" t="s">
        <v>3102</v>
      </c>
    </row>
    <row r="18" spans="2:2">
      <c r="B18" s="17" t="s">
        <v>3103</v>
      </c>
    </row>
    <row r="19" spans="2:2">
      <c r="B19" s="17" t="s">
        <v>3104</v>
      </c>
    </row>
    <row r="20" spans="2:2">
      <c r="B20" s="17" t="s">
        <v>3105</v>
      </c>
    </row>
    <row r="21" spans="2:2">
      <c r="B21" s="17" t="s">
        <v>3106</v>
      </c>
    </row>
    <row r="22" spans="2:2">
      <c r="B22" s="17" t="s">
        <v>3107</v>
      </c>
    </row>
    <row r="23" spans="2:2">
      <c r="B23" s="17" t="s">
        <v>3108</v>
      </c>
    </row>
    <row r="24" spans="2:2">
      <c r="B24" s="17" t="s">
        <v>3109</v>
      </c>
    </row>
    <row r="25" spans="2:2">
      <c r="B25" s="17" t="s">
        <v>3110</v>
      </c>
    </row>
    <row r="26" spans="2:2">
      <c r="B26" s="17" t="s">
        <v>3111</v>
      </c>
    </row>
    <row r="27" spans="2:2">
      <c r="B27" s="17" t="s">
        <v>3112</v>
      </c>
    </row>
    <row r="28" spans="2:2">
      <c r="B28" s="17" t="s">
        <v>3113</v>
      </c>
    </row>
    <row r="29" spans="2:2">
      <c r="B29" s="17" t="s">
        <v>3114</v>
      </c>
    </row>
    <row r="30" spans="2:2">
      <c r="B30" s="17" t="s">
        <v>3115</v>
      </c>
    </row>
    <row r="31" spans="2:2">
      <c r="B31" s="17" t="s">
        <v>3116</v>
      </c>
    </row>
    <row r="32" spans="2:2">
      <c r="B32" s="17" t="s">
        <v>3117</v>
      </c>
    </row>
    <row r="33" spans="2:2">
      <c r="B33" s="17" t="s">
        <v>3118</v>
      </c>
    </row>
    <row r="34" spans="2:2">
      <c r="B34" s="17" t="s">
        <v>3119</v>
      </c>
    </row>
    <row r="35" spans="2:2">
      <c r="B35" s="17" t="s">
        <v>3120</v>
      </c>
    </row>
    <row r="36" spans="2:2">
      <c r="B36" s="17" t="s">
        <v>3121</v>
      </c>
    </row>
    <row r="37" spans="2:2">
      <c r="B37" s="17" t="s">
        <v>3122</v>
      </c>
    </row>
    <row r="38" spans="2:2">
      <c r="B38" s="17" t="s">
        <v>3123</v>
      </c>
    </row>
  </sheetData>
  <customSheetViews>
    <customSheetView guid="{75629C99-8367-48E9-A2A2-D8C49A9E68E3}" topLeftCell="A13">
      <selection activeCell="B29" sqref="B29"/>
      <pageMargins left="0" right="0" top="0" bottom="0" header="0" footer="0"/>
    </customSheetView>
  </customSheetViews>
  <hyperlinks>
    <hyperlink ref="B3" location="'1103 General'!A1" display="1103 SECRETARIA GENERAL" xr:uid="{00000000-0004-0000-0100-000000000000}"/>
    <hyperlink ref="B4" location="'1104 Jurídica'!A1" display="1104 SECRETARIA JURIDICA" xr:uid="{00000000-0004-0000-0100-000001000000}"/>
    <hyperlink ref="B5" location="'1105 Gobierno'!A1" display="1105 SECRETARIA DE GOBIERNO" xr:uid="{00000000-0004-0000-0100-000002000000}"/>
    <hyperlink ref="B6" location="'1106 Hacienda'!A1" display="1106 SECRETARIA HACIENDA" xr:uid="{00000000-0004-0000-0100-000003000000}"/>
    <hyperlink ref="B7" location="'1108 Educación'!A1" display="1108 SECRETARIA DE EDUCACION" xr:uid="{00000000-0004-0000-0100-000004000000}"/>
    <hyperlink ref="B8" location="'1113 Planeación'!A1" display="1113 SECRETARIA DE PLANEACION" xr:uid="{00000000-0004-0000-0100-000005000000}"/>
    <hyperlink ref="B9" location="'1114 Función Pub.'!A1" display="1114 SECRETARIA DE FUNCION PUBLICA" xr:uid="{00000000-0004-0000-0100-000006000000}"/>
    <hyperlink ref="B10" location="'1120 Competitividad'!A1" display="1120 SRIA COMPETITIVIDAD Y DES.ECONOMICO" xr:uid="{00000000-0004-0000-0100-000007000000}"/>
    <hyperlink ref="B11" location="'1121 Ambiente'!A1" display="1121 SECRETARIA DEL  AMBIENTE" xr:uid="{00000000-0004-0000-0100-000008000000}"/>
    <hyperlink ref="B12" location="'1123 Transporte'!A1" display="1123 SRIA DE TRANSPORTE Y MOVILIDAD" xr:uid="{00000000-0004-0000-0100-000009000000}"/>
    <hyperlink ref="B13" location="'1124 Agricultura'!A1" display="1124 SECRETARIA DE AGRICULTURA Y DES.RURAL" xr:uid="{00000000-0004-0000-0100-00000A000000}"/>
    <hyperlink ref="B14" location="'1125 CTeI'!A1" display="1125 SECRETARIA DE CIENCIA  TECNOLOGIA E INNO" xr:uid="{00000000-0004-0000-0100-00000B000000}"/>
    <hyperlink ref="B15" location="'1126 Desarrollo Social'!A1" display="1126 SECRETARIA DESARROLLO INCLUSION" xr:uid="{00000000-0004-0000-0100-00000C000000}"/>
    <hyperlink ref="B16" location="'1128 TICS'!A1" display="1128 SECRETARIA DE TECNOLOGIAS DE LA INFORMA" xr:uid="{00000000-0004-0000-0100-00000D000000}"/>
    <hyperlink ref="B17" location="'1129 Integración'!A1" display="1129 SECRETARIA DE INTEGRACION REGIONAL" xr:uid="{00000000-0004-0000-0100-00000E000000}"/>
    <hyperlink ref="B18" location="'1130 Mujer'!A1" display="1130 SECRETARIA DE LA MUJER Y EQUIDAD DE GENE" xr:uid="{00000000-0004-0000-0100-00000F000000}"/>
    <hyperlink ref="B19" location="'1131 Hábitat'!A1" display="1131 SECRETARIA DE  HABITAT Y VIVIENDA" xr:uid="{00000000-0004-0000-0100-000010000000}"/>
    <hyperlink ref="B20" location="'1132 Minas'!A1" display="1132 SECRETARIA DE MINAS ENERGÍA Y GAS" xr:uid="{00000000-0004-0000-0100-000011000000}"/>
    <hyperlink ref="B21" location="'1133 Felicidad'!A1" display="1133 ALTA CONSEJERÍA PARA LA FELICIDAD" xr:uid="{00000000-0004-0000-0100-000012000000}"/>
    <hyperlink ref="B22" location="'1135 Asuntos Int.'!A1" display="1135 SECRETARIA DE ASUNTOS INTERNACIONALES" xr:uid="{00000000-0004-0000-0100-000014000000}"/>
    <hyperlink ref="B24" location="'1152 UAEGRD'!A1" display="1152 UNIDAD ADM.ESPECIAL PARA LA GESTION DEL" xr:uid="{00000000-0004-0000-0100-000015000000}"/>
    <hyperlink ref="B25" location="'1184 Prensa'!A1" display="1184 SECRETARIA DE PRENSA Y COMUNICACIONES" xr:uid="{00000000-0004-0000-0100-000016000000}"/>
    <hyperlink ref="B26" location="'1197 Salud'!A1" display="1197 SECRETARIA DE SALUD" xr:uid="{00000000-0004-0000-0100-000017000000}"/>
    <hyperlink ref="B27" location="'1202 PAZ'!A1" display="1202 AGENCIA DPTAL PARA LA PAZ Y POSTCONFLICT" xr:uid="{00000000-0004-0000-0100-000018000000}"/>
    <hyperlink ref="B29" location="'1204 IDACO'!A1" display="1204 INST DEPARTAMENTAL DE ACCION COMUNAL" xr:uid="{00000000-0004-0000-0100-000019000000}"/>
    <hyperlink ref="B30" location="'1207 Beneficencia'!A1" display="1207 BENEFICENCIA DE CUND. (702-Ordz30-2006)" xr:uid="{00000000-0004-0000-0100-00001A000000}"/>
    <hyperlink ref="B31" location="'1208 Indeportes'!A1" display="1208 INST.DPTAL PARA LA RECREACION Y EL DEPOR" xr:uid="{00000000-0004-0000-0100-00001B000000}"/>
    <hyperlink ref="B32" location="'1215 Corporación'!A1" display="1215 CORPORACION SOCIAL DE CUNDINAMARCA CSC" xr:uid="{00000000-0004-0000-0100-00001C000000}"/>
    <hyperlink ref="B33" location="'1220 IDECUT'!A1" display="1220 INST. DEPARTAMENTAL DE CULTURA TURISMO" xr:uid="{00000000-0004-0000-0100-00001D000000}"/>
    <hyperlink ref="B34" location="'1223 ICCU'!A1" display="1223 INSTITUTO DE INFRAESTRUCTURA .I.C.C.U" xr:uid="{00000000-0004-0000-0100-00001E000000}"/>
    <hyperlink ref="B36" location="'1263 Pensiones'!A1" display="1263 UNIDAD ADM.ESPECIAL DE PENSIONES DEL DEP" xr:uid="{00000000-0004-0000-0100-00001F000000}"/>
    <hyperlink ref="B37" location="'1285 EPC'!A1" display="1285 EMPRESAS PUBLICAS DE CUNDINAMARCA" xr:uid="{00000000-0004-0000-0100-000020000000}"/>
    <hyperlink ref="B23" location="'1136 APEC'!A1" display="1136 AGENCIA PUBLICA DE EMPLEO DE CUNDINAMARCA" xr:uid="{878B40CD-D884-4D96-972E-CA0FE4D6F366}"/>
    <hyperlink ref="B35" location="'1230 Ag. Catastral'!A1" display="1230 AGENCIA CATASTRAL" xr:uid="{F1E8BB36-37BB-4633-BFA4-86203272A8A2}"/>
    <hyperlink ref="B38" location="'1290 ACIC'!A1" display="1290 AGENCIA DE COMERCIALIZACIÓN" xr:uid="{371DA88A-52A8-4292-8EC1-59C2F48E230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AT18"/>
  <sheetViews>
    <sheetView zoomScale="80" zoomScaleNormal="80" workbookViewId="0">
      <pane ySplit="11" topLeftCell="A12" activePane="bottomLeft" state="frozen"/>
      <selection pane="bottomLeft" activeCell="AG24" sqref="AG24"/>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ht="15" thickBot="1">
      <c r="A3" s="502"/>
      <c r="B3" s="502"/>
      <c r="C3" s="502"/>
      <c r="D3" s="502"/>
      <c r="E3" s="489"/>
      <c r="F3" s="490"/>
      <c r="G3" s="490"/>
      <c r="H3" s="490"/>
      <c r="I3" s="491"/>
      <c r="J3" s="492" t="s">
        <v>3146</v>
      </c>
      <c r="K3" s="493"/>
      <c r="L3" s="494"/>
    </row>
    <row r="4" spans="1:46" ht="15" hidden="1" thickBot="1"/>
    <row r="5" spans="1:46" ht="15" hidden="1" thickBot="1">
      <c r="A5" s="503" t="s">
        <v>3125</v>
      </c>
      <c r="B5" s="503"/>
      <c r="C5" s="503"/>
      <c r="D5" s="1">
        <v>44218</v>
      </c>
    </row>
    <row r="6" spans="1:46" ht="15" thickBot="1">
      <c r="A6" s="503" t="s">
        <v>5</v>
      </c>
      <c r="B6" s="503"/>
      <c r="C6" s="503"/>
      <c r="D6" s="1">
        <v>44255</v>
      </c>
    </row>
    <row r="7" spans="1:46" ht="15" hidden="1" thickBot="1"/>
    <row r="8" spans="1:46" ht="26.45" thickBot="1">
      <c r="A8" s="454" t="s">
        <v>7</v>
      </c>
      <c r="B8" s="455"/>
      <c r="C8" s="455"/>
      <c r="D8" s="455"/>
      <c r="E8" s="455"/>
      <c r="F8" s="455"/>
      <c r="G8" s="455"/>
      <c r="H8" s="455"/>
      <c r="I8" s="455"/>
      <c r="J8" s="455"/>
      <c r="K8" s="455"/>
      <c r="L8" s="456"/>
      <c r="M8" s="455"/>
      <c r="N8" s="455"/>
      <c r="O8" s="455"/>
      <c r="P8" s="457"/>
      <c r="Q8" s="466" t="s">
        <v>8</v>
      </c>
      <c r="R8" s="467"/>
      <c r="S8" s="467"/>
      <c r="T8" s="467"/>
      <c r="U8" s="467"/>
      <c r="V8" s="467"/>
      <c r="W8" s="467"/>
      <c r="X8" s="467"/>
      <c r="Y8" s="467"/>
      <c r="Z8" s="467"/>
      <c r="AA8" s="467"/>
      <c r="AB8" s="467"/>
      <c r="AC8" s="467"/>
      <c r="AD8" s="467"/>
      <c r="AE8" s="467"/>
      <c r="AF8" s="467"/>
      <c r="AG8" s="467"/>
      <c r="AH8" s="467"/>
      <c r="AI8" s="467"/>
      <c r="AJ8" s="467"/>
      <c r="AK8" s="467"/>
      <c r="AL8" s="467"/>
      <c r="AM8" s="467"/>
      <c r="AN8" s="467"/>
      <c r="AO8" s="467"/>
      <c r="AP8" s="467"/>
      <c r="AQ8" s="467"/>
      <c r="AR8" s="467"/>
      <c r="AS8" s="467"/>
      <c r="AT8" s="467"/>
    </row>
    <row r="9" spans="1:46" ht="20.25" customHeight="1" thickBot="1">
      <c r="A9" s="458"/>
      <c r="B9" s="459"/>
      <c r="C9" s="459"/>
      <c r="D9" s="459"/>
      <c r="E9" s="459"/>
      <c r="F9" s="459"/>
      <c r="G9" s="459"/>
      <c r="H9" s="459"/>
      <c r="I9" s="459"/>
      <c r="J9" s="459"/>
      <c r="K9" s="459"/>
      <c r="L9" s="460"/>
      <c r="M9" s="459"/>
      <c r="N9" s="459"/>
      <c r="O9" s="459"/>
      <c r="P9" s="461"/>
      <c r="Q9" s="434" t="s">
        <v>13</v>
      </c>
      <c r="R9" s="435"/>
      <c r="S9" s="436"/>
      <c r="T9" s="440">
        <v>2020</v>
      </c>
      <c r="U9" s="441"/>
      <c r="V9" s="441"/>
      <c r="W9" s="441"/>
      <c r="X9" s="441"/>
      <c r="Y9" s="441"/>
      <c r="Z9" s="441"/>
      <c r="AA9" s="441"/>
      <c r="AB9" s="441"/>
      <c r="AC9" s="441"/>
      <c r="AD9" s="440">
        <v>2021</v>
      </c>
      <c r="AE9" s="441"/>
      <c r="AF9" s="441"/>
      <c r="AG9" s="441"/>
      <c r="AH9" s="441"/>
      <c r="AI9" s="441"/>
      <c r="AJ9" s="441"/>
      <c r="AK9" s="441"/>
      <c r="AL9" s="269"/>
      <c r="AM9" s="120"/>
      <c r="AN9" s="269"/>
      <c r="AO9" s="441">
        <v>2022</v>
      </c>
      <c r="AP9" s="441"/>
      <c r="AQ9" s="440">
        <v>2023</v>
      </c>
      <c r="AR9" s="442"/>
      <c r="AS9" s="441">
        <v>2024</v>
      </c>
      <c r="AT9" s="441"/>
    </row>
    <row r="10" spans="1:46" ht="20.25" customHeight="1" thickBot="1">
      <c r="A10" s="462"/>
      <c r="B10" s="463"/>
      <c r="C10" s="463"/>
      <c r="D10" s="463"/>
      <c r="E10" s="463"/>
      <c r="F10" s="463"/>
      <c r="G10" s="463"/>
      <c r="H10" s="463"/>
      <c r="I10" s="463"/>
      <c r="J10" s="463"/>
      <c r="K10" s="463"/>
      <c r="L10" s="464"/>
      <c r="M10" s="463"/>
      <c r="N10" s="463"/>
      <c r="O10" s="463"/>
      <c r="P10" s="465"/>
      <c r="Q10" s="437"/>
      <c r="R10" s="438"/>
      <c r="S10" s="439"/>
      <c r="T10" s="440" t="s">
        <v>14</v>
      </c>
      <c r="U10" s="441"/>
      <c r="V10" s="441"/>
      <c r="W10" s="441"/>
      <c r="X10" s="441"/>
      <c r="Y10" s="441"/>
      <c r="Z10" s="441"/>
      <c r="AA10" s="441"/>
      <c r="AB10" s="441"/>
      <c r="AC10" s="442"/>
      <c r="AD10" s="440" t="s">
        <v>14</v>
      </c>
      <c r="AE10" s="441"/>
      <c r="AF10" s="441"/>
      <c r="AG10" s="441"/>
      <c r="AH10" s="441"/>
      <c r="AI10" s="441"/>
      <c r="AJ10" s="441"/>
      <c r="AK10" s="441"/>
      <c r="AL10" s="269"/>
      <c r="AM10" s="120"/>
      <c r="AN10" s="269"/>
      <c r="AO10" s="441" t="s">
        <v>14</v>
      </c>
      <c r="AP10" s="441"/>
      <c r="AQ10" s="441" t="s">
        <v>14</v>
      </c>
      <c r="AR10" s="441"/>
      <c r="AS10" s="441" t="s">
        <v>14</v>
      </c>
      <c r="AT10" s="441"/>
    </row>
    <row r="11" spans="1:46" ht="90" customHeight="1" thickBot="1">
      <c r="A11" s="21" t="s">
        <v>15</v>
      </c>
      <c r="B11" s="21" t="s">
        <v>16</v>
      </c>
      <c r="C11" s="21" t="s">
        <v>17</v>
      </c>
      <c r="D11" s="21" t="s">
        <v>18</v>
      </c>
      <c r="E11" s="21" t="s">
        <v>19</v>
      </c>
      <c r="F11" s="21" t="s">
        <v>20</v>
      </c>
      <c r="G11" s="21" t="s">
        <v>21</v>
      </c>
      <c r="H11" s="21" t="s">
        <v>22</v>
      </c>
      <c r="I11" s="21" t="s">
        <v>23</v>
      </c>
      <c r="J11" s="21" t="s">
        <v>24</v>
      </c>
      <c r="K11" s="21" t="s">
        <v>25</v>
      </c>
      <c r="L11" s="21" t="s">
        <v>26</v>
      </c>
      <c r="M11" s="21" t="s">
        <v>27</v>
      </c>
      <c r="N11" s="21" t="s">
        <v>28</v>
      </c>
      <c r="O11" s="21" t="s">
        <v>29</v>
      </c>
      <c r="P11" s="22" t="s">
        <v>30</v>
      </c>
      <c r="Q11" s="20" t="s">
        <v>31</v>
      </c>
      <c r="R11" s="20" t="s">
        <v>32</v>
      </c>
      <c r="S11" s="23" t="s">
        <v>33</v>
      </c>
      <c r="T11" s="2" t="s">
        <v>34</v>
      </c>
      <c r="U11" s="2" t="s">
        <v>35</v>
      </c>
      <c r="V11" s="2" t="s">
        <v>36</v>
      </c>
      <c r="W11" s="2" t="s">
        <v>37</v>
      </c>
      <c r="X11" s="18" t="s">
        <v>38</v>
      </c>
      <c r="Y11" s="18" t="s">
        <v>39</v>
      </c>
      <c r="Z11" s="18" t="s">
        <v>40</v>
      </c>
      <c r="AA11" s="18" t="s">
        <v>41</v>
      </c>
      <c r="AB11" s="18" t="s">
        <v>42</v>
      </c>
      <c r="AC11" s="18" t="s">
        <v>43</v>
      </c>
      <c r="AD11" s="19" t="s">
        <v>44</v>
      </c>
      <c r="AE11" s="19" t="s">
        <v>45</v>
      </c>
      <c r="AF11" s="23" t="s">
        <v>46</v>
      </c>
      <c r="AG11" s="23" t="s">
        <v>47</v>
      </c>
      <c r="AH11" s="19" t="s">
        <v>48</v>
      </c>
      <c r="AI11" s="23" t="s">
        <v>41</v>
      </c>
      <c r="AJ11" s="23" t="s">
        <v>42</v>
      </c>
      <c r="AK11" s="23" t="s">
        <v>43</v>
      </c>
      <c r="AL11" s="23" t="s">
        <v>3126</v>
      </c>
      <c r="AM11" s="117" t="s">
        <v>3127</v>
      </c>
      <c r="AN11" s="117" t="s">
        <v>3128</v>
      </c>
      <c r="AO11" s="2" t="s">
        <v>49</v>
      </c>
      <c r="AP11" s="2" t="s">
        <v>50</v>
      </c>
      <c r="AQ11" s="2" t="s">
        <v>51</v>
      </c>
      <c r="AR11" s="2" t="s">
        <v>52</v>
      </c>
      <c r="AS11" s="2" t="s">
        <v>53</v>
      </c>
      <c r="AT11" s="2" t="s">
        <v>54</v>
      </c>
    </row>
    <row r="12" spans="1:46" ht="18" customHeight="1">
      <c r="A12" s="260" t="s">
        <v>2665</v>
      </c>
      <c r="B12" s="260" t="s">
        <v>2666</v>
      </c>
      <c r="C12" s="260" t="s">
        <v>2371</v>
      </c>
      <c r="D12" s="260" t="s">
        <v>2588</v>
      </c>
      <c r="E12" s="260" t="s">
        <v>2667</v>
      </c>
      <c r="F12" s="260" t="s">
        <v>2668</v>
      </c>
      <c r="G12" s="260" t="s">
        <v>2669</v>
      </c>
      <c r="H12" s="260" t="s">
        <v>2670</v>
      </c>
      <c r="I12" s="260"/>
      <c r="J12" s="260"/>
      <c r="K12" s="260" t="s">
        <v>2671</v>
      </c>
      <c r="L12" s="260" t="s">
        <v>2672</v>
      </c>
      <c r="M12" s="260" t="s">
        <v>2673</v>
      </c>
      <c r="N12" s="260" t="s">
        <v>111</v>
      </c>
      <c r="O12" s="260" t="s">
        <v>112</v>
      </c>
      <c r="P12" s="10">
        <v>2000</v>
      </c>
      <c r="Q12" s="11">
        <v>3000</v>
      </c>
      <c r="R12" s="11">
        <f t="shared" ref="R12:R17" si="0">Z12+AH12</f>
        <v>1312</v>
      </c>
      <c r="S12" s="261" t="s">
        <v>4033</v>
      </c>
      <c r="T12" s="11">
        <v>0</v>
      </c>
      <c r="U12" s="11">
        <v>0</v>
      </c>
      <c r="V12" s="11">
        <v>200</v>
      </c>
      <c r="W12" s="11">
        <v>0</v>
      </c>
      <c r="X12" s="11">
        <v>217</v>
      </c>
      <c r="Y12" s="11">
        <v>0</v>
      </c>
      <c r="Z12" s="11">
        <v>217</v>
      </c>
      <c r="AA12" s="11" t="s">
        <v>2674</v>
      </c>
      <c r="AB12" s="11" t="s">
        <v>2675</v>
      </c>
      <c r="AC12" s="11" t="s">
        <v>2676</v>
      </c>
      <c r="AD12" s="11">
        <v>1000</v>
      </c>
      <c r="AE12" s="11">
        <v>0</v>
      </c>
      <c r="AF12" s="261">
        <v>1095</v>
      </c>
      <c r="AG12" s="261"/>
      <c r="AH12" s="9">
        <f>AF12</f>
        <v>1095</v>
      </c>
      <c r="AI12" s="261" t="s">
        <v>4034</v>
      </c>
      <c r="AJ12" s="261" t="s">
        <v>4035</v>
      </c>
      <c r="AK12" s="261" t="s">
        <v>4036</v>
      </c>
      <c r="AL12" s="261" t="s">
        <v>4037</v>
      </c>
      <c r="AM12" s="118"/>
      <c r="AN12" s="261"/>
      <c r="AO12" s="11">
        <v>900</v>
      </c>
      <c r="AP12" s="11">
        <v>0</v>
      </c>
      <c r="AQ12" s="11">
        <v>900</v>
      </c>
      <c r="AR12" s="11">
        <v>0</v>
      </c>
      <c r="AS12" s="11">
        <v>0</v>
      </c>
      <c r="AT12" s="11">
        <v>0</v>
      </c>
    </row>
    <row r="13" spans="1:46" ht="18" customHeight="1">
      <c r="A13" s="260" t="s">
        <v>2665</v>
      </c>
      <c r="B13" s="260" t="s">
        <v>2666</v>
      </c>
      <c r="C13" s="260" t="s">
        <v>2371</v>
      </c>
      <c r="D13" s="260" t="s">
        <v>2588</v>
      </c>
      <c r="E13" s="260" t="s">
        <v>2667</v>
      </c>
      <c r="F13" s="260" t="s">
        <v>2668</v>
      </c>
      <c r="G13" s="260" t="s">
        <v>2669</v>
      </c>
      <c r="H13" s="260" t="s">
        <v>2677</v>
      </c>
      <c r="I13" s="260"/>
      <c r="J13" s="260"/>
      <c r="K13" s="260" t="s">
        <v>2678</v>
      </c>
      <c r="L13" s="260" t="s">
        <v>2679</v>
      </c>
      <c r="M13" s="260" t="s">
        <v>2680</v>
      </c>
      <c r="N13" s="260" t="s">
        <v>111</v>
      </c>
      <c r="O13" s="260" t="s">
        <v>112</v>
      </c>
      <c r="P13" s="10">
        <v>1</v>
      </c>
      <c r="Q13" s="11">
        <v>3</v>
      </c>
      <c r="R13" s="11">
        <f t="shared" si="0"/>
        <v>1</v>
      </c>
      <c r="S13" s="261" t="s">
        <v>4038</v>
      </c>
      <c r="T13" s="11">
        <v>0</v>
      </c>
      <c r="U13" s="11">
        <v>0</v>
      </c>
      <c r="V13" s="11">
        <v>0</v>
      </c>
      <c r="W13" s="11">
        <v>0</v>
      </c>
      <c r="X13" s="11">
        <v>0</v>
      </c>
      <c r="Y13" s="11">
        <v>0</v>
      </c>
      <c r="Z13" s="11">
        <v>0</v>
      </c>
      <c r="AA13" s="11"/>
      <c r="AB13" s="11"/>
      <c r="AC13" s="11"/>
      <c r="AD13" s="11">
        <v>1</v>
      </c>
      <c r="AE13" s="11">
        <v>0</v>
      </c>
      <c r="AF13" s="261">
        <v>1</v>
      </c>
      <c r="AG13" s="261"/>
      <c r="AH13" s="9">
        <f t="shared" ref="AH13:AH17" si="1">AF13</f>
        <v>1</v>
      </c>
      <c r="AI13" s="261" t="s">
        <v>4039</v>
      </c>
      <c r="AJ13" s="261" t="s">
        <v>4040</v>
      </c>
      <c r="AK13" s="261" t="s">
        <v>4036</v>
      </c>
      <c r="AL13" s="261" t="s">
        <v>4037</v>
      </c>
      <c r="AM13" s="118"/>
      <c r="AN13" s="261"/>
      <c r="AO13" s="11">
        <v>1</v>
      </c>
      <c r="AP13" s="11">
        <v>0</v>
      </c>
      <c r="AQ13" s="11">
        <v>1</v>
      </c>
      <c r="AR13" s="11">
        <v>0</v>
      </c>
      <c r="AS13" s="11">
        <v>0</v>
      </c>
      <c r="AT13" s="11">
        <v>0</v>
      </c>
    </row>
    <row r="14" spans="1:46" ht="18" customHeight="1">
      <c r="A14" s="260" t="s">
        <v>2665</v>
      </c>
      <c r="B14" s="260" t="s">
        <v>2666</v>
      </c>
      <c r="C14" s="260" t="s">
        <v>2371</v>
      </c>
      <c r="D14" s="260" t="s">
        <v>2588</v>
      </c>
      <c r="E14" s="260" t="s">
        <v>2667</v>
      </c>
      <c r="F14" s="260" t="s">
        <v>2668</v>
      </c>
      <c r="G14" s="260" t="s">
        <v>2669</v>
      </c>
      <c r="H14" s="260" t="s">
        <v>2681</v>
      </c>
      <c r="I14" s="260"/>
      <c r="J14" s="260"/>
      <c r="K14" s="260" t="s">
        <v>2682</v>
      </c>
      <c r="L14" s="260" t="s">
        <v>2683</v>
      </c>
      <c r="M14" s="260" t="s">
        <v>2684</v>
      </c>
      <c r="N14" s="260" t="s">
        <v>123</v>
      </c>
      <c r="O14" s="260" t="s">
        <v>112</v>
      </c>
      <c r="P14" s="10">
        <v>0</v>
      </c>
      <c r="Q14" s="11">
        <v>1</v>
      </c>
      <c r="R14" s="11">
        <f t="shared" si="0"/>
        <v>1</v>
      </c>
      <c r="S14" s="261" t="s">
        <v>4041</v>
      </c>
      <c r="T14" s="11">
        <v>0</v>
      </c>
      <c r="U14" s="11">
        <v>0</v>
      </c>
      <c r="V14" s="11">
        <v>0.1</v>
      </c>
      <c r="W14" s="11">
        <v>0</v>
      </c>
      <c r="X14" s="11">
        <v>0.1</v>
      </c>
      <c r="Y14" s="11">
        <v>0</v>
      </c>
      <c r="Z14" s="11">
        <v>0.1</v>
      </c>
      <c r="AA14" s="11">
        <v>0</v>
      </c>
      <c r="AB14" s="11" t="s">
        <v>2685</v>
      </c>
      <c r="AC14" s="11" t="s">
        <v>2676</v>
      </c>
      <c r="AD14" s="11">
        <v>0.9</v>
      </c>
      <c r="AE14" s="11">
        <v>0</v>
      </c>
      <c r="AF14" s="261">
        <v>0.9</v>
      </c>
      <c r="AG14" s="261"/>
      <c r="AH14" s="9">
        <f t="shared" si="1"/>
        <v>0.9</v>
      </c>
      <c r="AI14" s="261" t="s">
        <v>4042</v>
      </c>
      <c r="AJ14" s="261" t="s">
        <v>4043</v>
      </c>
      <c r="AK14" s="261" t="s">
        <v>4044</v>
      </c>
      <c r="AL14" s="261" t="s">
        <v>4037</v>
      </c>
      <c r="AM14" s="261"/>
      <c r="AN14" s="261"/>
      <c r="AO14" s="11">
        <v>0</v>
      </c>
      <c r="AP14" s="11">
        <v>0</v>
      </c>
      <c r="AQ14" s="11">
        <v>0</v>
      </c>
      <c r="AR14" s="11">
        <v>0</v>
      </c>
      <c r="AS14" s="11">
        <v>0</v>
      </c>
      <c r="AT14" s="11">
        <v>0</v>
      </c>
    </row>
    <row r="15" spans="1:46" ht="18" customHeight="1">
      <c r="A15" s="260" t="s">
        <v>2665</v>
      </c>
      <c r="B15" s="260" t="s">
        <v>2666</v>
      </c>
      <c r="C15" s="260" t="s">
        <v>2371</v>
      </c>
      <c r="D15" s="260" t="s">
        <v>2588</v>
      </c>
      <c r="E15" s="260" t="s">
        <v>2667</v>
      </c>
      <c r="F15" s="260" t="s">
        <v>2668</v>
      </c>
      <c r="G15" s="260" t="s">
        <v>2669</v>
      </c>
      <c r="H15" s="260" t="s">
        <v>2686</v>
      </c>
      <c r="I15" s="260"/>
      <c r="J15" s="260"/>
      <c r="K15" s="260" t="s">
        <v>2687</v>
      </c>
      <c r="L15" s="260" t="s">
        <v>2688</v>
      </c>
      <c r="M15" s="260" t="s">
        <v>2689</v>
      </c>
      <c r="N15" s="260" t="s">
        <v>111</v>
      </c>
      <c r="O15" s="260" t="s">
        <v>112</v>
      </c>
      <c r="P15" s="10">
        <v>620</v>
      </c>
      <c r="Q15" s="11">
        <v>1450</v>
      </c>
      <c r="R15" s="11">
        <f t="shared" si="0"/>
        <v>254</v>
      </c>
      <c r="S15" s="65" t="s">
        <v>4045</v>
      </c>
      <c r="T15" s="11">
        <v>0</v>
      </c>
      <c r="U15" s="11">
        <v>0</v>
      </c>
      <c r="V15" s="11">
        <v>150</v>
      </c>
      <c r="W15" s="11">
        <v>0</v>
      </c>
      <c r="X15" s="11">
        <v>126</v>
      </c>
      <c r="Y15" s="11">
        <v>0</v>
      </c>
      <c r="Z15" s="11">
        <v>126</v>
      </c>
      <c r="AA15" s="11" t="s">
        <v>2690</v>
      </c>
      <c r="AB15" s="11" t="s">
        <v>2691</v>
      </c>
      <c r="AC15" s="11" t="s">
        <v>2676</v>
      </c>
      <c r="AD15" s="11">
        <v>850</v>
      </c>
      <c r="AE15" s="11">
        <v>0</v>
      </c>
      <c r="AF15" s="261">
        <v>128</v>
      </c>
      <c r="AG15" s="261"/>
      <c r="AH15" s="9">
        <f t="shared" si="1"/>
        <v>128</v>
      </c>
      <c r="AI15" s="261" t="s">
        <v>4046</v>
      </c>
      <c r="AJ15" s="65" t="s">
        <v>4047</v>
      </c>
      <c r="AK15" s="261" t="s">
        <v>4044</v>
      </c>
      <c r="AL15" s="261" t="s">
        <v>4037</v>
      </c>
      <c r="AM15" s="118"/>
      <c r="AN15" s="261"/>
      <c r="AO15" s="11">
        <v>200</v>
      </c>
      <c r="AP15" s="11">
        <v>0</v>
      </c>
      <c r="AQ15" s="11">
        <v>100</v>
      </c>
      <c r="AR15" s="11">
        <v>0</v>
      </c>
      <c r="AS15" s="11">
        <v>0</v>
      </c>
      <c r="AT15" s="11">
        <v>0</v>
      </c>
    </row>
    <row r="16" spans="1:46" ht="18" customHeight="1">
      <c r="A16" s="260" t="s">
        <v>2665</v>
      </c>
      <c r="B16" s="260" t="s">
        <v>2666</v>
      </c>
      <c r="C16" s="260" t="s">
        <v>2371</v>
      </c>
      <c r="D16" s="260" t="s">
        <v>2588</v>
      </c>
      <c r="E16" s="260" t="s">
        <v>2667</v>
      </c>
      <c r="F16" s="260" t="s">
        <v>2668</v>
      </c>
      <c r="G16" s="260" t="s">
        <v>2669</v>
      </c>
      <c r="H16" s="260" t="s">
        <v>2692</v>
      </c>
      <c r="I16" s="260"/>
      <c r="J16" s="260"/>
      <c r="K16" s="260" t="s">
        <v>2693</v>
      </c>
      <c r="L16" s="260" t="s">
        <v>2694</v>
      </c>
      <c r="M16" s="260" t="s">
        <v>2695</v>
      </c>
      <c r="N16" s="260" t="s">
        <v>111</v>
      </c>
      <c r="O16" s="260" t="s">
        <v>112</v>
      </c>
      <c r="P16" s="10">
        <v>2000</v>
      </c>
      <c r="Q16" s="11">
        <v>2200</v>
      </c>
      <c r="R16" s="11">
        <f t="shared" si="0"/>
        <v>777</v>
      </c>
      <c r="S16" s="65" t="s">
        <v>4048</v>
      </c>
      <c r="T16" s="11">
        <v>0</v>
      </c>
      <c r="U16" s="11">
        <v>0</v>
      </c>
      <c r="V16" s="11">
        <v>40</v>
      </c>
      <c r="W16" s="11">
        <v>0</v>
      </c>
      <c r="X16" s="11">
        <v>0</v>
      </c>
      <c r="Y16" s="11">
        <v>0</v>
      </c>
      <c r="Z16" s="11">
        <v>0</v>
      </c>
      <c r="AA16" s="11">
        <v>0</v>
      </c>
      <c r="AB16" s="11" t="s">
        <v>2696</v>
      </c>
      <c r="AC16" s="11" t="s">
        <v>2676</v>
      </c>
      <c r="AD16" s="11">
        <v>760</v>
      </c>
      <c r="AE16" s="11">
        <v>0</v>
      </c>
      <c r="AF16" s="261">
        <v>777</v>
      </c>
      <c r="AG16" s="261"/>
      <c r="AH16" s="9">
        <f t="shared" si="1"/>
        <v>777</v>
      </c>
      <c r="AI16" s="261" t="s">
        <v>4049</v>
      </c>
      <c r="AJ16" s="149" t="s">
        <v>4050</v>
      </c>
      <c r="AK16" s="261" t="s">
        <v>4044</v>
      </c>
      <c r="AL16" s="261" t="s">
        <v>4037</v>
      </c>
      <c r="AM16" s="118"/>
      <c r="AN16" s="261"/>
      <c r="AO16" s="11">
        <v>700</v>
      </c>
      <c r="AP16" s="11">
        <v>0</v>
      </c>
      <c r="AQ16" s="11">
        <v>700</v>
      </c>
      <c r="AR16" s="11">
        <v>0</v>
      </c>
      <c r="AS16" s="11">
        <v>0</v>
      </c>
      <c r="AT16" s="11">
        <v>0</v>
      </c>
    </row>
    <row r="17" spans="1:46" ht="18" customHeight="1">
      <c r="A17" s="260" t="s">
        <v>2665</v>
      </c>
      <c r="B17" s="260" t="s">
        <v>2666</v>
      </c>
      <c r="C17" s="260" t="s">
        <v>2371</v>
      </c>
      <c r="D17" s="260" t="s">
        <v>2588</v>
      </c>
      <c r="E17" s="260" t="s">
        <v>2667</v>
      </c>
      <c r="F17" s="260" t="s">
        <v>2668</v>
      </c>
      <c r="G17" s="260" t="s">
        <v>2669</v>
      </c>
      <c r="H17" s="260" t="s">
        <v>2697</v>
      </c>
      <c r="I17" s="260"/>
      <c r="J17" s="260"/>
      <c r="K17" s="260" t="s">
        <v>2698</v>
      </c>
      <c r="L17" s="260" t="s">
        <v>2699</v>
      </c>
      <c r="M17" s="260" t="s">
        <v>2700</v>
      </c>
      <c r="N17" s="260" t="s">
        <v>111</v>
      </c>
      <c r="O17" s="260" t="s">
        <v>112</v>
      </c>
      <c r="P17" s="10">
        <v>165</v>
      </c>
      <c r="Q17" s="11">
        <v>170</v>
      </c>
      <c r="R17" s="11">
        <f t="shared" si="0"/>
        <v>44</v>
      </c>
      <c r="S17" s="261" t="s">
        <v>4051</v>
      </c>
      <c r="T17" s="11">
        <v>0</v>
      </c>
      <c r="U17" s="11">
        <v>0</v>
      </c>
      <c r="V17" s="11">
        <v>1</v>
      </c>
      <c r="W17" s="11">
        <v>0</v>
      </c>
      <c r="X17" s="11">
        <v>0</v>
      </c>
      <c r="Y17" s="11">
        <v>0</v>
      </c>
      <c r="Z17" s="11">
        <v>0</v>
      </c>
      <c r="AA17" s="11">
        <v>0</v>
      </c>
      <c r="AB17" s="11" t="s">
        <v>2701</v>
      </c>
      <c r="AC17" s="11" t="s">
        <v>2676</v>
      </c>
      <c r="AD17" s="11">
        <v>44</v>
      </c>
      <c r="AE17" s="11">
        <v>0</v>
      </c>
      <c r="AF17" s="261">
        <v>44</v>
      </c>
      <c r="AG17" s="261"/>
      <c r="AH17" s="9">
        <f t="shared" si="1"/>
        <v>44</v>
      </c>
      <c r="AI17" s="261" t="s">
        <v>4052</v>
      </c>
      <c r="AJ17" s="65" t="s">
        <v>4053</v>
      </c>
      <c r="AK17" s="261" t="s">
        <v>4044</v>
      </c>
      <c r="AL17" s="261" t="s">
        <v>4037</v>
      </c>
      <c r="AM17" s="118"/>
      <c r="AN17" s="261"/>
      <c r="AO17" s="11">
        <v>63</v>
      </c>
      <c r="AP17" s="11">
        <v>0</v>
      </c>
      <c r="AQ17" s="11">
        <v>63</v>
      </c>
      <c r="AR17" s="11">
        <v>0</v>
      </c>
      <c r="AS17" s="11">
        <v>0</v>
      </c>
      <c r="AT17" s="11">
        <v>0</v>
      </c>
    </row>
    <row r="18" spans="1:46" s="3" customFormat="1">
      <c r="L18" s="5"/>
      <c r="AM18" s="124"/>
    </row>
  </sheetData>
  <sheetProtection autoFilter="0"/>
  <autoFilter ref="A11:IZ17" xr:uid="{00000000-0009-0000-0000-00001B000000}"/>
  <customSheetViews>
    <customSheetView guid="{75629C99-8367-48E9-A2A2-D8C49A9E68E3}" scale="80" showAutoFilter="1" hiddenRows="1" topLeftCell="Z1">
      <pane ySplit="12" topLeftCell="A13" activePane="bottomLeft" state="frozen"/>
      <selection pane="bottomLeft" activeCell="AO13" sqref="AO13:AP18"/>
      <pageMargins left="0" right="0" top="0" bottom="0" header="0" footer="0"/>
      <pageSetup orientation="portrait" r:id="rId1"/>
      <autoFilter ref="A12:IZ18" xr:uid="{45ADA051-2329-40B3-8B89-E5E043C11EC5}"/>
    </customSheetView>
  </customSheetViews>
  <mergeCells count="21">
    <mergeCell ref="A5:C5"/>
    <mergeCell ref="A6:C6"/>
    <mergeCell ref="A8:P10"/>
    <mergeCell ref="Q8:AT8"/>
    <mergeCell ref="Q9:S10"/>
    <mergeCell ref="T9:AC9"/>
    <mergeCell ref="AD9:AK9"/>
    <mergeCell ref="AO9:AP9"/>
    <mergeCell ref="AQ9:AR9"/>
    <mergeCell ref="AS9:AT9"/>
    <mergeCell ref="T10:AC10"/>
    <mergeCell ref="AD10:AK10"/>
    <mergeCell ref="AO10:AP10"/>
    <mergeCell ref="AQ10:AR10"/>
    <mergeCell ref="AS10:AT10"/>
    <mergeCell ref="A1:D3"/>
    <mergeCell ref="E1:I2"/>
    <mergeCell ref="J1:L1"/>
    <mergeCell ref="J2:L2"/>
    <mergeCell ref="E3:I3"/>
    <mergeCell ref="J3:L3"/>
  </mergeCells>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T18"/>
  <sheetViews>
    <sheetView topLeftCell="R1" zoomScale="80" zoomScaleNormal="80" workbookViewId="0">
      <pane ySplit="12" topLeftCell="A13" activePane="bottomLeft" state="frozen"/>
      <selection pane="bottomLeft" activeCell="AD13" sqref="AD13:AD15"/>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907</v>
      </c>
      <c r="B13" s="260" t="s">
        <v>908</v>
      </c>
      <c r="C13" s="260" t="s">
        <v>100</v>
      </c>
      <c r="D13" s="260" t="s">
        <v>508</v>
      </c>
      <c r="E13" s="260" t="s">
        <v>870</v>
      </c>
      <c r="F13" s="260" t="s">
        <v>909</v>
      </c>
      <c r="G13" s="260" t="s">
        <v>910</v>
      </c>
      <c r="H13" s="260" t="s">
        <v>911</v>
      </c>
      <c r="I13" s="260"/>
      <c r="J13" s="260"/>
      <c r="K13" s="260" t="s">
        <v>912</v>
      </c>
      <c r="L13" s="260" t="s">
        <v>913</v>
      </c>
      <c r="M13" s="260" t="s">
        <v>914</v>
      </c>
      <c r="N13" s="260" t="s">
        <v>111</v>
      </c>
      <c r="O13" s="260" t="s">
        <v>124</v>
      </c>
      <c r="P13" s="10">
        <v>790</v>
      </c>
      <c r="Q13" s="11">
        <v>790</v>
      </c>
      <c r="R13" s="11">
        <f>(Z13+AH13)/2</f>
        <v>1009.5</v>
      </c>
      <c r="S13" s="261" t="s">
        <v>4054</v>
      </c>
      <c r="T13" s="11">
        <v>0</v>
      </c>
      <c r="U13" s="11">
        <v>790</v>
      </c>
      <c r="V13" s="11">
        <v>0</v>
      </c>
      <c r="W13" s="11">
        <v>790</v>
      </c>
      <c r="X13" s="11" t="s">
        <v>115</v>
      </c>
      <c r="Y13" s="11">
        <v>1377</v>
      </c>
      <c r="Z13" s="11">
        <v>1377</v>
      </c>
      <c r="AA13" s="11" t="s">
        <v>915</v>
      </c>
      <c r="AB13" s="11" t="s">
        <v>916</v>
      </c>
      <c r="AC13" s="11" t="s">
        <v>917</v>
      </c>
      <c r="AD13" s="11">
        <v>0</v>
      </c>
      <c r="AE13" s="11">
        <v>790</v>
      </c>
      <c r="AF13" s="261" t="s">
        <v>115</v>
      </c>
      <c r="AG13" s="261">
        <v>642</v>
      </c>
      <c r="AH13" s="11">
        <f>AG13</f>
        <v>642</v>
      </c>
      <c r="AI13" s="261" t="s">
        <v>4055</v>
      </c>
      <c r="AJ13" s="149" t="s">
        <v>4056</v>
      </c>
      <c r="AK13" s="261" t="s">
        <v>4057</v>
      </c>
      <c r="AL13" s="149" t="s">
        <v>4058</v>
      </c>
      <c r="AM13" s="118"/>
      <c r="AN13" s="261"/>
      <c r="AO13" s="11">
        <v>0</v>
      </c>
      <c r="AP13" s="11">
        <v>790</v>
      </c>
      <c r="AQ13" s="11">
        <v>0</v>
      </c>
      <c r="AR13" s="11">
        <v>790</v>
      </c>
      <c r="AS13" s="11">
        <v>0</v>
      </c>
      <c r="AT13" s="11">
        <v>0</v>
      </c>
    </row>
    <row r="14" spans="1:46" ht="18" customHeight="1">
      <c r="A14" s="260" t="s">
        <v>907</v>
      </c>
      <c r="B14" s="260" t="s">
        <v>908</v>
      </c>
      <c r="C14" s="260" t="s">
        <v>100</v>
      </c>
      <c r="D14" s="260" t="s">
        <v>508</v>
      </c>
      <c r="E14" s="260" t="s">
        <v>870</v>
      </c>
      <c r="F14" s="260" t="s">
        <v>909</v>
      </c>
      <c r="G14" s="260" t="s">
        <v>910</v>
      </c>
      <c r="H14" s="260" t="s">
        <v>972</v>
      </c>
      <c r="I14" s="260" t="s">
        <v>973</v>
      </c>
      <c r="J14" s="260"/>
      <c r="K14" s="260" t="s">
        <v>974</v>
      </c>
      <c r="L14" s="260" t="s">
        <v>975</v>
      </c>
      <c r="M14" s="260" t="s">
        <v>976</v>
      </c>
      <c r="N14" s="260" t="s">
        <v>111</v>
      </c>
      <c r="O14" s="260" t="s">
        <v>112</v>
      </c>
      <c r="P14" s="10">
        <v>0</v>
      </c>
      <c r="Q14" s="11">
        <v>200</v>
      </c>
      <c r="R14" s="11">
        <f t="shared" ref="R14" si="0">Z14+AH14</f>
        <v>0</v>
      </c>
      <c r="S14" s="261"/>
      <c r="T14" s="11">
        <v>0</v>
      </c>
      <c r="U14" s="11">
        <v>0</v>
      </c>
      <c r="V14" s="11">
        <v>0</v>
      </c>
      <c r="W14" s="11">
        <v>0</v>
      </c>
      <c r="X14" s="11">
        <v>0</v>
      </c>
      <c r="Y14" s="11">
        <v>0</v>
      </c>
      <c r="Z14" s="11">
        <v>0</v>
      </c>
      <c r="AA14" s="11"/>
      <c r="AB14" s="11"/>
      <c r="AC14" s="11"/>
      <c r="AD14" s="11">
        <v>150</v>
      </c>
      <c r="AE14" s="11">
        <v>0</v>
      </c>
      <c r="AF14" s="261">
        <v>0</v>
      </c>
      <c r="AG14" s="261">
        <v>0</v>
      </c>
      <c r="AH14" s="9">
        <f t="shared" ref="AH14" si="1">AF14</f>
        <v>0</v>
      </c>
      <c r="AI14" s="261"/>
      <c r="AJ14" s="261" t="s">
        <v>4059</v>
      </c>
      <c r="AK14" s="261" t="s">
        <v>4060</v>
      </c>
      <c r="AL14" s="261"/>
      <c r="AM14" s="118"/>
      <c r="AN14" s="261"/>
      <c r="AO14" s="11">
        <v>150</v>
      </c>
      <c r="AP14" s="11">
        <v>0</v>
      </c>
      <c r="AQ14" s="11">
        <v>200</v>
      </c>
      <c r="AR14" s="11">
        <v>0</v>
      </c>
      <c r="AS14" s="11">
        <v>0</v>
      </c>
      <c r="AT14" s="11">
        <v>0</v>
      </c>
    </row>
    <row r="15" spans="1:46" ht="18" customHeight="1">
      <c r="A15" s="260" t="s">
        <v>907</v>
      </c>
      <c r="B15" s="260" t="s">
        <v>908</v>
      </c>
      <c r="C15" s="260" t="s">
        <v>100</v>
      </c>
      <c r="D15" s="260" t="s">
        <v>1074</v>
      </c>
      <c r="E15" s="260" t="s">
        <v>1134</v>
      </c>
      <c r="F15" s="260" t="s">
        <v>1135</v>
      </c>
      <c r="G15" s="260" t="s">
        <v>1136</v>
      </c>
      <c r="H15" s="260" t="s">
        <v>1137</v>
      </c>
      <c r="I15" s="260" t="s">
        <v>973</v>
      </c>
      <c r="J15" s="260"/>
      <c r="K15" s="260" t="s">
        <v>1138</v>
      </c>
      <c r="L15" s="260" t="s">
        <v>1139</v>
      </c>
      <c r="M15" s="260" t="s">
        <v>1140</v>
      </c>
      <c r="N15" s="260" t="s">
        <v>111</v>
      </c>
      <c r="O15" s="260" t="s">
        <v>124</v>
      </c>
      <c r="P15" s="10">
        <v>1500</v>
      </c>
      <c r="Q15" s="11">
        <v>650</v>
      </c>
      <c r="R15" s="11">
        <f>(Z15+AH15)/2</f>
        <v>1349.5</v>
      </c>
      <c r="S15" s="261" t="s">
        <v>4061</v>
      </c>
      <c r="T15" s="11">
        <v>0</v>
      </c>
      <c r="U15" s="11">
        <v>1500</v>
      </c>
      <c r="V15" s="11">
        <v>0</v>
      </c>
      <c r="W15" s="11">
        <v>1500</v>
      </c>
      <c r="X15" s="11" t="s">
        <v>115</v>
      </c>
      <c r="Y15" s="11">
        <v>1365</v>
      </c>
      <c r="Z15" s="11">
        <v>1365</v>
      </c>
      <c r="AA15" s="11" t="s">
        <v>1141</v>
      </c>
      <c r="AB15" s="11" t="s">
        <v>1142</v>
      </c>
      <c r="AC15" s="11" t="s">
        <v>1143</v>
      </c>
      <c r="AD15" s="11">
        <v>0</v>
      </c>
      <c r="AE15" s="11">
        <v>1500</v>
      </c>
      <c r="AF15" s="261" t="s">
        <v>115</v>
      </c>
      <c r="AG15" s="261">
        <v>1334</v>
      </c>
      <c r="AH15" s="11">
        <f>AG15</f>
        <v>1334</v>
      </c>
      <c r="AI15" s="261" t="s">
        <v>4062</v>
      </c>
      <c r="AJ15" s="149" t="s">
        <v>4063</v>
      </c>
      <c r="AK15" s="261" t="s">
        <v>4060</v>
      </c>
      <c r="AL15" s="148" t="s">
        <v>4064</v>
      </c>
      <c r="AM15" s="118"/>
      <c r="AN15" s="261"/>
      <c r="AO15" s="11">
        <v>0</v>
      </c>
      <c r="AP15" s="11">
        <v>1500</v>
      </c>
      <c r="AQ15" s="11">
        <v>0</v>
      </c>
      <c r="AR15" s="11">
        <v>1500</v>
      </c>
      <c r="AS15" s="11">
        <v>0</v>
      </c>
      <c r="AT15" s="11">
        <v>0</v>
      </c>
    </row>
    <row r="16" spans="1:46" s="3" customFormat="1">
      <c r="L16" s="5"/>
      <c r="S16" s="55"/>
      <c r="AF16" s="55"/>
      <c r="AG16" s="55"/>
      <c r="AI16" s="55"/>
      <c r="AJ16" s="55"/>
      <c r="AK16" s="55"/>
      <c r="AL16" s="136"/>
      <c r="AM16" s="121"/>
      <c r="AN16" s="55"/>
    </row>
    <row r="17" spans="19:40">
      <c r="S17" s="56"/>
      <c r="AF17" s="56"/>
      <c r="AG17" s="56"/>
      <c r="AI17" s="56"/>
      <c r="AJ17" s="56"/>
      <c r="AK17" s="56"/>
      <c r="AL17" s="137" t="s">
        <v>3151</v>
      </c>
      <c r="AM17" s="126"/>
      <c r="AN17" s="56"/>
    </row>
    <row r="18" spans="19:40">
      <c r="S18" s="56"/>
      <c r="AF18" s="56"/>
      <c r="AG18" s="56"/>
      <c r="AI18" s="56"/>
      <c r="AJ18" s="56"/>
      <c r="AK18" s="56"/>
      <c r="AL18" s="56"/>
      <c r="AM18" s="126"/>
      <c r="AN18" s="56"/>
    </row>
  </sheetData>
  <sheetProtection algorithmName="SHA-512" hashValue="/q0X2FpMSNw/cPpLMXpUcRla0xJovkuxklqhUCR3hJ2rGMIG3yNIjZ02VZK2PFIwxnla0axIiI385YWDDQccgw==" saltValue="ecNoDJbc0/ShbMIR1c+Bvw==" spinCount="100000" sheet="1" autoFilter="0"/>
  <autoFilter ref="A12:IZ15" xr:uid="{00000000-0009-0000-0000-00001C000000}"/>
  <customSheetViews>
    <customSheetView guid="{75629C99-8367-48E9-A2A2-D8C49A9E68E3}" scale="80" showAutoFilter="1" hiddenRows="1" topLeftCell="X1">
      <pane ySplit="12" topLeftCell="A16" activePane="bottomLeft" state="frozen"/>
      <selection pane="bottomLeft" activeCell="AJ16" sqref="AJ16"/>
      <pageMargins left="0" right="0" top="0" bottom="0" header="0" footer="0"/>
      <pageSetup orientation="portrait" r:id="rId1"/>
      <autoFilter ref="A12:IZ15" xr:uid="{9D20F863-2E6E-4FB4-B99F-47A7A5AE72CC}"/>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15">
    <cfRule type="duplicateValues" dxfId="4" priority="1"/>
  </conditionalFormatting>
  <pageMargins left="0.7" right="0.7" top="0.75" bottom="0.75" header="0.3" footer="0.3"/>
  <pageSetup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T40"/>
  <sheetViews>
    <sheetView topLeftCell="F1" zoomScale="80" zoomScaleNormal="80" workbookViewId="0">
      <pane ySplit="12" topLeftCell="A30" activePane="bottomLeft" state="frozen"/>
      <selection pane="bottomLeft" activeCell="H30" sqref="H30"/>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29" width="12.7109375" hidden="1" customWidth="1"/>
    <col min="30" max="38" width="12.7109375" customWidth="1"/>
    <col min="39" max="39" width="12.7109375" style="119" customWidth="1"/>
    <col min="40" max="46" width="12.7109375" customWidth="1"/>
  </cols>
  <sheetData>
    <row r="1" spans="1:46" hidden="1">
      <c r="A1" s="502"/>
      <c r="B1" s="502"/>
      <c r="C1" s="502"/>
      <c r="D1" s="502"/>
      <c r="E1" s="486" t="s">
        <v>0</v>
      </c>
      <c r="F1" s="487"/>
      <c r="G1" s="487"/>
      <c r="H1" s="487"/>
      <c r="I1" s="488"/>
      <c r="J1" s="492" t="s">
        <v>1</v>
      </c>
      <c r="K1" s="493"/>
      <c r="L1" s="494"/>
    </row>
    <row r="2" spans="1:46" hidden="1">
      <c r="A2" s="502"/>
      <c r="B2" s="502"/>
      <c r="C2" s="502"/>
      <c r="D2" s="502"/>
      <c r="E2" s="489"/>
      <c r="F2" s="490"/>
      <c r="G2" s="490"/>
      <c r="H2" s="490"/>
      <c r="I2" s="491"/>
      <c r="J2" s="486" t="s">
        <v>2</v>
      </c>
      <c r="K2" s="487"/>
      <c r="L2" s="495"/>
    </row>
    <row r="3" spans="1:46" hidden="1">
      <c r="A3" s="502"/>
      <c r="B3" s="502"/>
      <c r="C3" s="502"/>
      <c r="D3" s="502"/>
      <c r="E3" s="486" t="s">
        <v>3</v>
      </c>
      <c r="F3" s="487"/>
      <c r="G3" s="487"/>
      <c r="H3" s="487"/>
      <c r="I3" s="488"/>
      <c r="J3" s="489"/>
      <c r="K3" s="490"/>
      <c r="L3" s="496"/>
    </row>
    <row r="4" spans="1:46" ht="15" hidden="1"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hidden="1"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248</v>
      </c>
      <c r="B13" s="260" t="s">
        <v>249</v>
      </c>
      <c r="C13" s="260" t="s">
        <v>100</v>
      </c>
      <c r="D13" s="260" t="s">
        <v>101</v>
      </c>
      <c r="E13" s="260" t="s">
        <v>189</v>
      </c>
      <c r="F13" s="260" t="s">
        <v>190</v>
      </c>
      <c r="G13" s="260" t="s">
        <v>191</v>
      </c>
      <c r="H13" s="260" t="s">
        <v>250</v>
      </c>
      <c r="I13" s="260" t="s">
        <v>106</v>
      </c>
      <c r="J13" s="260"/>
      <c r="K13" s="260" t="s">
        <v>251</v>
      </c>
      <c r="L13" s="260" t="s">
        <v>252</v>
      </c>
      <c r="M13" s="260" t="s">
        <v>253</v>
      </c>
      <c r="N13" s="260" t="s">
        <v>111</v>
      </c>
      <c r="O13" s="260" t="s">
        <v>112</v>
      </c>
      <c r="P13" s="10">
        <v>2</v>
      </c>
      <c r="Q13" s="11">
        <v>4</v>
      </c>
      <c r="R13" s="11">
        <f t="shared" ref="R13:R32" si="0">Z13+AH13</f>
        <v>1</v>
      </c>
      <c r="S13" s="261"/>
      <c r="T13" s="11">
        <v>0</v>
      </c>
      <c r="U13" s="11">
        <v>0</v>
      </c>
      <c r="V13" s="11">
        <v>0</v>
      </c>
      <c r="W13" s="11">
        <v>0</v>
      </c>
      <c r="X13" s="11">
        <v>0</v>
      </c>
      <c r="Y13" s="11">
        <v>0</v>
      </c>
      <c r="Z13" s="11">
        <v>0</v>
      </c>
      <c r="AA13" s="11"/>
      <c r="AB13" s="11"/>
      <c r="AC13" s="11"/>
      <c r="AD13" s="11">
        <v>1</v>
      </c>
      <c r="AE13" s="11">
        <v>0</v>
      </c>
      <c r="AF13" s="261">
        <v>1</v>
      </c>
      <c r="AG13" s="261"/>
      <c r="AH13" s="9">
        <f t="shared" ref="AH13:AH19" si="1">AF13</f>
        <v>1</v>
      </c>
      <c r="AI13" s="261"/>
      <c r="AJ13" s="261" t="s">
        <v>4065</v>
      </c>
      <c r="AK13" s="261"/>
      <c r="AL13" s="61"/>
      <c r="AM13" s="125"/>
      <c r="AN13" s="61"/>
      <c r="AO13" s="11">
        <v>0</v>
      </c>
      <c r="AP13" s="11">
        <v>0</v>
      </c>
      <c r="AQ13" s="11">
        <v>1</v>
      </c>
      <c r="AR13" s="11">
        <v>0</v>
      </c>
      <c r="AS13" s="11">
        <v>0</v>
      </c>
      <c r="AT13" s="11">
        <v>0</v>
      </c>
    </row>
    <row r="14" spans="1:46" ht="15.6" customHeight="1">
      <c r="A14" s="260" t="s">
        <v>248</v>
      </c>
      <c r="B14" s="260" t="s">
        <v>249</v>
      </c>
      <c r="C14" s="260" t="s">
        <v>100</v>
      </c>
      <c r="D14" s="260" t="s">
        <v>101</v>
      </c>
      <c r="E14" s="260" t="s">
        <v>189</v>
      </c>
      <c r="F14" s="260" t="s">
        <v>190</v>
      </c>
      <c r="G14" s="260" t="s">
        <v>191</v>
      </c>
      <c r="H14" s="260" t="s">
        <v>254</v>
      </c>
      <c r="I14" s="260" t="s">
        <v>255</v>
      </c>
      <c r="J14" s="260"/>
      <c r="K14" s="260" t="s">
        <v>256</v>
      </c>
      <c r="L14" s="260" t="s">
        <v>257</v>
      </c>
      <c r="M14" s="260" t="s">
        <v>258</v>
      </c>
      <c r="N14" s="260" t="s">
        <v>111</v>
      </c>
      <c r="O14" s="260" t="s">
        <v>112</v>
      </c>
      <c r="P14" s="10">
        <v>6000</v>
      </c>
      <c r="Q14" s="11">
        <v>8000</v>
      </c>
      <c r="R14" s="11">
        <f t="shared" si="0"/>
        <v>4285</v>
      </c>
      <c r="S14" s="261" t="s">
        <v>4066</v>
      </c>
      <c r="T14" s="11">
        <v>1500</v>
      </c>
      <c r="U14" s="11">
        <v>0</v>
      </c>
      <c r="V14" s="11">
        <v>1500</v>
      </c>
      <c r="W14" s="11">
        <v>0</v>
      </c>
      <c r="X14" s="11">
        <v>1774</v>
      </c>
      <c r="Y14" s="11">
        <v>0</v>
      </c>
      <c r="Z14" s="11">
        <v>1774</v>
      </c>
      <c r="AA14" s="11">
        <v>0</v>
      </c>
      <c r="AB14" s="11" t="s">
        <v>259</v>
      </c>
      <c r="AC14" s="11">
        <v>0</v>
      </c>
      <c r="AD14" s="11">
        <v>2000</v>
      </c>
      <c r="AE14" s="11">
        <v>0</v>
      </c>
      <c r="AF14" s="261">
        <v>2511</v>
      </c>
      <c r="AG14" s="261"/>
      <c r="AH14" s="9">
        <f t="shared" si="1"/>
        <v>2511</v>
      </c>
      <c r="AI14" s="261"/>
      <c r="AJ14" s="65" t="s">
        <v>4067</v>
      </c>
      <c r="AK14" s="261"/>
      <c r="AL14" s="261"/>
      <c r="AM14" s="118"/>
      <c r="AN14" s="261"/>
      <c r="AO14" s="11">
        <v>2000</v>
      </c>
      <c r="AP14" s="11">
        <v>0</v>
      </c>
      <c r="AQ14" s="11">
        <v>2226</v>
      </c>
      <c r="AR14" s="11">
        <v>0</v>
      </c>
      <c r="AS14" s="11">
        <v>0</v>
      </c>
      <c r="AT14" s="11">
        <v>0</v>
      </c>
    </row>
    <row r="15" spans="1:46" ht="18" customHeight="1">
      <c r="A15" s="260" t="s">
        <v>248</v>
      </c>
      <c r="B15" s="260" t="s">
        <v>249</v>
      </c>
      <c r="C15" s="260" t="s">
        <v>100</v>
      </c>
      <c r="D15" s="260" t="s">
        <v>101</v>
      </c>
      <c r="E15" s="260" t="s">
        <v>189</v>
      </c>
      <c r="F15" s="260" t="s">
        <v>190</v>
      </c>
      <c r="G15" s="260" t="s">
        <v>191</v>
      </c>
      <c r="H15" s="260" t="s">
        <v>260</v>
      </c>
      <c r="I15" s="260" t="s">
        <v>106</v>
      </c>
      <c r="J15" s="260"/>
      <c r="K15" s="260" t="s">
        <v>261</v>
      </c>
      <c r="L15" s="260" t="s">
        <v>262</v>
      </c>
      <c r="M15" s="260" t="s">
        <v>263</v>
      </c>
      <c r="N15" s="260" t="s">
        <v>111</v>
      </c>
      <c r="O15" s="260" t="s">
        <v>112</v>
      </c>
      <c r="P15" s="10">
        <v>142000</v>
      </c>
      <c r="Q15" s="11">
        <v>160000</v>
      </c>
      <c r="R15" s="11">
        <f t="shared" si="0"/>
        <v>106147</v>
      </c>
      <c r="S15" s="261" t="s">
        <v>4068</v>
      </c>
      <c r="T15" s="11">
        <v>30000</v>
      </c>
      <c r="U15" s="11">
        <v>0</v>
      </c>
      <c r="V15" s="11">
        <v>30000</v>
      </c>
      <c r="W15" s="11">
        <v>0</v>
      </c>
      <c r="X15" s="11">
        <v>33000</v>
      </c>
      <c r="Y15" s="11">
        <v>0</v>
      </c>
      <c r="Z15" s="11">
        <v>33000</v>
      </c>
      <c r="AA15" s="11">
        <v>0</v>
      </c>
      <c r="AB15" s="11" t="s">
        <v>264</v>
      </c>
      <c r="AC15" s="11">
        <v>0</v>
      </c>
      <c r="AD15" s="11">
        <v>40000</v>
      </c>
      <c r="AE15" s="11">
        <v>0</v>
      </c>
      <c r="AF15" s="261">
        <v>73147</v>
      </c>
      <c r="AG15" s="261"/>
      <c r="AH15" s="9">
        <f t="shared" si="1"/>
        <v>73147</v>
      </c>
      <c r="AI15" s="261"/>
      <c r="AJ15" s="65" t="s">
        <v>4069</v>
      </c>
      <c r="AK15" s="261"/>
      <c r="AL15" s="261"/>
      <c r="AM15" s="118"/>
      <c r="AN15" s="261"/>
      <c r="AO15" s="11">
        <v>40000</v>
      </c>
      <c r="AP15" s="11">
        <v>0</v>
      </c>
      <c r="AQ15" s="11">
        <v>47000</v>
      </c>
      <c r="AR15" s="11">
        <v>0</v>
      </c>
      <c r="AS15" s="11">
        <v>0</v>
      </c>
      <c r="AT15" s="11">
        <v>0</v>
      </c>
    </row>
    <row r="16" spans="1:46" ht="18" customHeight="1">
      <c r="A16" s="260" t="s">
        <v>248</v>
      </c>
      <c r="B16" s="260" t="s">
        <v>249</v>
      </c>
      <c r="C16" s="260" t="s">
        <v>100</v>
      </c>
      <c r="D16" s="260" t="s">
        <v>101</v>
      </c>
      <c r="E16" s="260" t="s">
        <v>189</v>
      </c>
      <c r="F16" s="260" t="s">
        <v>190</v>
      </c>
      <c r="G16" s="260" t="s">
        <v>191</v>
      </c>
      <c r="H16" s="260" t="s">
        <v>265</v>
      </c>
      <c r="I16" s="260" t="s">
        <v>106</v>
      </c>
      <c r="J16" s="260"/>
      <c r="K16" s="260" t="s">
        <v>266</v>
      </c>
      <c r="L16" s="260" t="s">
        <v>267</v>
      </c>
      <c r="M16" s="260" t="s">
        <v>268</v>
      </c>
      <c r="N16" s="260" t="s">
        <v>111</v>
      </c>
      <c r="O16" s="260" t="s">
        <v>112</v>
      </c>
      <c r="P16" s="10">
        <v>0</v>
      </c>
      <c r="Q16" s="11">
        <v>3</v>
      </c>
      <c r="R16" s="11">
        <f t="shared" si="0"/>
        <v>0</v>
      </c>
      <c r="S16" s="261"/>
      <c r="T16" s="11">
        <v>0</v>
      </c>
      <c r="U16" s="11">
        <v>0</v>
      </c>
      <c r="V16" s="11">
        <v>0</v>
      </c>
      <c r="W16" s="11">
        <v>0</v>
      </c>
      <c r="X16" s="11">
        <v>0</v>
      </c>
      <c r="Y16" s="11">
        <v>0</v>
      </c>
      <c r="Z16" s="11">
        <v>0</v>
      </c>
      <c r="AA16" s="11"/>
      <c r="AB16" s="11"/>
      <c r="AC16" s="11"/>
      <c r="AD16" s="11">
        <v>1</v>
      </c>
      <c r="AE16" s="11">
        <v>0</v>
      </c>
      <c r="AF16" s="261">
        <v>0</v>
      </c>
      <c r="AG16" s="261"/>
      <c r="AH16" s="9">
        <f t="shared" si="1"/>
        <v>0</v>
      </c>
      <c r="AI16" s="261"/>
      <c r="AJ16" s="261" t="s">
        <v>4070</v>
      </c>
      <c r="AK16" s="261"/>
      <c r="AL16" s="261"/>
      <c r="AM16" s="118"/>
      <c r="AN16" s="261"/>
      <c r="AO16" s="11">
        <v>1</v>
      </c>
      <c r="AP16" s="11">
        <v>0</v>
      </c>
      <c r="AQ16" s="11">
        <v>1</v>
      </c>
      <c r="AR16" s="11">
        <v>0</v>
      </c>
      <c r="AS16" s="11">
        <v>0</v>
      </c>
      <c r="AT16" s="11">
        <v>0</v>
      </c>
    </row>
    <row r="17" spans="1:46" ht="18" customHeight="1">
      <c r="A17" s="260" t="s">
        <v>248</v>
      </c>
      <c r="B17" s="260" t="s">
        <v>249</v>
      </c>
      <c r="C17" s="260" t="s">
        <v>100</v>
      </c>
      <c r="D17" s="260" t="s">
        <v>101</v>
      </c>
      <c r="E17" s="260" t="s">
        <v>189</v>
      </c>
      <c r="F17" s="260" t="s">
        <v>190</v>
      </c>
      <c r="G17" s="260" t="s">
        <v>191</v>
      </c>
      <c r="H17" s="260" t="s">
        <v>269</v>
      </c>
      <c r="I17" s="260" t="s">
        <v>106</v>
      </c>
      <c r="J17" s="260"/>
      <c r="K17" s="260" t="s">
        <v>270</v>
      </c>
      <c r="L17" s="260" t="s">
        <v>271</v>
      </c>
      <c r="M17" s="260" t="s">
        <v>272</v>
      </c>
      <c r="N17" s="260" t="s">
        <v>111</v>
      </c>
      <c r="O17" s="260" t="s">
        <v>112</v>
      </c>
      <c r="P17" s="10">
        <v>0</v>
      </c>
      <c r="Q17" s="11">
        <v>1</v>
      </c>
      <c r="R17" s="11">
        <f t="shared" si="0"/>
        <v>0</v>
      </c>
      <c r="S17" s="261"/>
      <c r="T17" s="11">
        <v>0</v>
      </c>
      <c r="U17" s="11">
        <v>0</v>
      </c>
      <c r="V17" s="11">
        <v>0</v>
      </c>
      <c r="W17" s="11">
        <v>0</v>
      </c>
      <c r="X17" s="11">
        <v>0</v>
      </c>
      <c r="Y17" s="11">
        <v>0</v>
      </c>
      <c r="Z17" s="11">
        <v>0</v>
      </c>
      <c r="AA17" s="11"/>
      <c r="AB17" s="11"/>
      <c r="AC17" s="11"/>
      <c r="AD17" s="11">
        <v>1</v>
      </c>
      <c r="AE17" s="11">
        <v>0</v>
      </c>
      <c r="AF17" s="261">
        <v>0</v>
      </c>
      <c r="AG17" s="261"/>
      <c r="AH17" s="9">
        <f t="shared" si="1"/>
        <v>0</v>
      </c>
      <c r="AI17" s="261"/>
      <c r="AJ17" s="261" t="s">
        <v>4071</v>
      </c>
      <c r="AK17" s="261"/>
      <c r="AL17" s="261"/>
      <c r="AM17" s="118"/>
      <c r="AN17" s="261"/>
      <c r="AO17" s="11">
        <v>0</v>
      </c>
      <c r="AP17" s="11">
        <v>0</v>
      </c>
      <c r="AQ17" s="11">
        <v>0</v>
      </c>
      <c r="AR17" s="11">
        <v>0</v>
      </c>
      <c r="AS17" s="11">
        <v>0</v>
      </c>
      <c r="AT17" s="11">
        <v>0</v>
      </c>
    </row>
    <row r="18" spans="1:46" ht="18" customHeight="1">
      <c r="A18" s="260" t="s">
        <v>248</v>
      </c>
      <c r="B18" s="260" t="s">
        <v>249</v>
      </c>
      <c r="C18" s="260" t="s">
        <v>100</v>
      </c>
      <c r="D18" s="260" t="s">
        <v>101</v>
      </c>
      <c r="E18" s="260" t="s">
        <v>189</v>
      </c>
      <c r="F18" s="260" t="s">
        <v>190</v>
      </c>
      <c r="G18" s="260" t="s">
        <v>191</v>
      </c>
      <c r="H18" s="260" t="s">
        <v>273</v>
      </c>
      <c r="I18" s="260" t="s">
        <v>106</v>
      </c>
      <c r="J18" s="260"/>
      <c r="K18" s="260" t="s">
        <v>274</v>
      </c>
      <c r="L18" s="260" t="s">
        <v>275</v>
      </c>
      <c r="M18" s="260" t="s">
        <v>276</v>
      </c>
      <c r="N18" s="260" t="s">
        <v>111</v>
      </c>
      <c r="O18" s="260" t="s">
        <v>112</v>
      </c>
      <c r="P18" s="10">
        <v>41</v>
      </c>
      <c r="Q18" s="11">
        <v>60</v>
      </c>
      <c r="R18" s="11">
        <f t="shared" si="0"/>
        <v>25</v>
      </c>
      <c r="S18" s="65" t="s">
        <v>4072</v>
      </c>
      <c r="T18" s="11">
        <v>10</v>
      </c>
      <c r="U18" s="11">
        <v>0</v>
      </c>
      <c r="V18" s="11">
        <v>10</v>
      </c>
      <c r="W18" s="11">
        <v>0</v>
      </c>
      <c r="X18" s="11">
        <v>12</v>
      </c>
      <c r="Y18" s="11">
        <v>0</v>
      </c>
      <c r="Z18" s="11">
        <v>12</v>
      </c>
      <c r="AA18" s="11">
        <v>0</v>
      </c>
      <c r="AB18" s="11" t="s">
        <v>277</v>
      </c>
      <c r="AC18" s="11">
        <v>0</v>
      </c>
      <c r="AD18" s="11">
        <v>15</v>
      </c>
      <c r="AE18" s="11">
        <v>0</v>
      </c>
      <c r="AF18" s="261">
        <v>13</v>
      </c>
      <c r="AG18" s="65" t="s">
        <v>4072</v>
      </c>
      <c r="AH18" s="9">
        <f t="shared" si="1"/>
        <v>13</v>
      </c>
      <c r="AI18" s="261"/>
      <c r="AJ18" s="65" t="s">
        <v>4073</v>
      </c>
      <c r="AK18" s="261"/>
      <c r="AL18" s="261"/>
      <c r="AM18" s="118"/>
      <c r="AN18" s="261"/>
      <c r="AO18" s="11">
        <v>15</v>
      </c>
      <c r="AP18" s="11">
        <v>0</v>
      </c>
      <c r="AQ18" s="11">
        <v>18</v>
      </c>
      <c r="AR18" s="11">
        <v>0</v>
      </c>
      <c r="AS18" s="11">
        <v>0</v>
      </c>
      <c r="AT18" s="11">
        <v>0</v>
      </c>
    </row>
    <row r="19" spans="1:46" ht="18" customHeight="1">
      <c r="A19" s="260" t="s">
        <v>248</v>
      </c>
      <c r="B19" s="260" t="s">
        <v>249</v>
      </c>
      <c r="C19" s="260" t="s">
        <v>100</v>
      </c>
      <c r="D19" s="260" t="s">
        <v>101</v>
      </c>
      <c r="E19" s="260" t="s">
        <v>189</v>
      </c>
      <c r="F19" s="260" t="s">
        <v>190</v>
      </c>
      <c r="G19" s="260" t="s">
        <v>191</v>
      </c>
      <c r="H19" s="260" t="s">
        <v>278</v>
      </c>
      <c r="I19" s="260" t="s">
        <v>106</v>
      </c>
      <c r="J19" s="260"/>
      <c r="K19" s="260" t="s">
        <v>279</v>
      </c>
      <c r="L19" s="260" t="s">
        <v>280</v>
      </c>
      <c r="M19" s="260" t="s">
        <v>281</v>
      </c>
      <c r="N19" s="260" t="s">
        <v>111</v>
      </c>
      <c r="O19" s="260" t="s">
        <v>112</v>
      </c>
      <c r="P19" s="10">
        <v>56</v>
      </c>
      <c r="Q19" s="11">
        <v>150</v>
      </c>
      <c r="R19" s="11">
        <f t="shared" si="0"/>
        <v>103</v>
      </c>
      <c r="S19" s="261" t="s">
        <v>4074</v>
      </c>
      <c r="T19" s="11">
        <v>15</v>
      </c>
      <c r="U19" s="11">
        <v>0</v>
      </c>
      <c r="V19" s="11">
        <v>15</v>
      </c>
      <c r="W19" s="11">
        <v>0</v>
      </c>
      <c r="X19" s="11">
        <v>14</v>
      </c>
      <c r="Y19" s="11">
        <v>0</v>
      </c>
      <c r="Z19" s="11">
        <v>14</v>
      </c>
      <c r="AA19" s="11">
        <v>0</v>
      </c>
      <c r="AB19" s="11" t="s">
        <v>282</v>
      </c>
      <c r="AC19" s="11">
        <v>0</v>
      </c>
      <c r="AD19" s="11">
        <v>40</v>
      </c>
      <c r="AE19" s="11">
        <v>0</v>
      </c>
      <c r="AF19" s="261">
        <v>89</v>
      </c>
      <c r="AG19" s="261"/>
      <c r="AH19" s="9">
        <f t="shared" si="1"/>
        <v>89</v>
      </c>
      <c r="AI19" s="261"/>
      <c r="AJ19" s="65" t="s">
        <v>4075</v>
      </c>
      <c r="AK19" s="261"/>
      <c r="AL19" s="261"/>
      <c r="AM19" s="118"/>
      <c r="AN19" s="261"/>
      <c r="AO19" s="11">
        <v>41</v>
      </c>
      <c r="AP19" s="11">
        <v>0</v>
      </c>
      <c r="AQ19" s="11">
        <v>55</v>
      </c>
      <c r="AR19" s="11">
        <v>0</v>
      </c>
      <c r="AS19" s="11">
        <v>0</v>
      </c>
      <c r="AT19" s="11">
        <v>0</v>
      </c>
    </row>
    <row r="20" spans="1:46" ht="18" customHeight="1">
      <c r="A20" s="260" t="s">
        <v>248</v>
      </c>
      <c r="B20" s="260" t="s">
        <v>249</v>
      </c>
      <c r="C20" s="260" t="s">
        <v>100</v>
      </c>
      <c r="D20" s="260" t="s">
        <v>101</v>
      </c>
      <c r="E20" s="260" t="s">
        <v>294</v>
      </c>
      <c r="F20" s="260" t="s">
        <v>190</v>
      </c>
      <c r="G20" s="260" t="s">
        <v>191</v>
      </c>
      <c r="H20" s="260" t="s">
        <v>344</v>
      </c>
      <c r="I20" s="260" t="s">
        <v>106</v>
      </c>
      <c r="J20" s="260"/>
      <c r="K20" s="260" t="s">
        <v>345</v>
      </c>
      <c r="L20" s="260" t="s">
        <v>346</v>
      </c>
      <c r="M20" s="260" t="s">
        <v>347</v>
      </c>
      <c r="N20" s="260" t="s">
        <v>111</v>
      </c>
      <c r="O20" s="260" t="s">
        <v>112</v>
      </c>
      <c r="P20" s="10">
        <v>0</v>
      </c>
      <c r="Q20" s="11">
        <v>1350</v>
      </c>
      <c r="R20" s="11">
        <f t="shared" si="0"/>
        <v>600</v>
      </c>
      <c r="S20" s="261" t="s">
        <v>4076</v>
      </c>
      <c r="T20" s="11">
        <v>300</v>
      </c>
      <c r="U20" s="11">
        <v>0</v>
      </c>
      <c r="V20" s="11">
        <v>300</v>
      </c>
      <c r="W20" s="11">
        <v>0</v>
      </c>
      <c r="X20" s="11">
        <v>0</v>
      </c>
      <c r="Y20" s="11">
        <v>0</v>
      </c>
      <c r="Z20" s="11">
        <v>0</v>
      </c>
      <c r="AA20" s="11">
        <v>0</v>
      </c>
      <c r="AB20" s="11" t="s">
        <v>348</v>
      </c>
      <c r="AC20" s="11">
        <v>0</v>
      </c>
      <c r="AD20" s="11">
        <v>600</v>
      </c>
      <c r="AE20" s="11">
        <v>0</v>
      </c>
      <c r="AF20" s="261">
        <v>600</v>
      </c>
      <c r="AG20" s="261"/>
      <c r="AH20" s="9">
        <f t="shared" ref="AH20:AH23" si="2">AF20</f>
        <v>600</v>
      </c>
      <c r="AI20" s="261"/>
      <c r="AJ20" s="261" t="s">
        <v>4077</v>
      </c>
      <c r="AK20" s="261"/>
      <c r="AL20" s="261"/>
      <c r="AM20" s="118"/>
      <c r="AN20" s="261"/>
      <c r="AO20" s="11">
        <v>300</v>
      </c>
      <c r="AP20" s="11">
        <v>0</v>
      </c>
      <c r="AQ20" s="11">
        <v>300</v>
      </c>
      <c r="AR20" s="11">
        <v>0</v>
      </c>
      <c r="AS20" s="11">
        <v>0</v>
      </c>
      <c r="AT20" s="11">
        <v>0</v>
      </c>
    </row>
    <row r="21" spans="1:46" ht="18" customHeight="1">
      <c r="A21" s="260" t="s">
        <v>248</v>
      </c>
      <c r="B21" s="260" t="s">
        <v>249</v>
      </c>
      <c r="C21" s="260" t="s">
        <v>100</v>
      </c>
      <c r="D21" s="260" t="s">
        <v>101</v>
      </c>
      <c r="E21" s="260" t="s">
        <v>294</v>
      </c>
      <c r="F21" s="260" t="s">
        <v>190</v>
      </c>
      <c r="G21" s="260" t="s">
        <v>191</v>
      </c>
      <c r="H21" s="260" t="s">
        <v>349</v>
      </c>
      <c r="I21" s="260" t="s">
        <v>106</v>
      </c>
      <c r="J21" s="260"/>
      <c r="K21" s="260" t="s">
        <v>350</v>
      </c>
      <c r="L21" s="260" t="s">
        <v>351</v>
      </c>
      <c r="M21" s="260" t="s">
        <v>352</v>
      </c>
      <c r="N21" s="260" t="s">
        <v>111</v>
      </c>
      <c r="O21" s="260" t="s">
        <v>112</v>
      </c>
      <c r="P21" s="10">
        <v>200</v>
      </c>
      <c r="Q21" s="11">
        <v>300</v>
      </c>
      <c r="R21" s="11">
        <f t="shared" si="0"/>
        <v>112</v>
      </c>
      <c r="S21" s="261" t="s">
        <v>4078</v>
      </c>
      <c r="T21" s="11">
        <v>15</v>
      </c>
      <c r="U21" s="11">
        <v>0</v>
      </c>
      <c r="V21" s="11">
        <v>15</v>
      </c>
      <c r="W21" s="11">
        <v>0</v>
      </c>
      <c r="X21" s="11">
        <v>0</v>
      </c>
      <c r="Y21" s="11">
        <v>0</v>
      </c>
      <c r="Z21" s="11">
        <v>0</v>
      </c>
      <c r="AA21" s="11">
        <v>0</v>
      </c>
      <c r="AB21" s="11" t="s">
        <v>353</v>
      </c>
      <c r="AC21" s="11">
        <v>0</v>
      </c>
      <c r="AD21" s="11">
        <v>115</v>
      </c>
      <c r="AE21" s="11">
        <v>0</v>
      </c>
      <c r="AF21" s="261">
        <v>112</v>
      </c>
      <c r="AG21" s="261"/>
      <c r="AH21" s="9">
        <f t="shared" si="2"/>
        <v>112</v>
      </c>
      <c r="AI21" s="261"/>
      <c r="AJ21" s="261" t="s">
        <v>4079</v>
      </c>
      <c r="AK21" s="261"/>
      <c r="AL21" s="261"/>
      <c r="AM21" s="118"/>
      <c r="AN21" s="261"/>
      <c r="AO21" s="11">
        <v>100</v>
      </c>
      <c r="AP21" s="11">
        <v>0</v>
      </c>
      <c r="AQ21" s="11">
        <v>85</v>
      </c>
      <c r="AR21" s="11">
        <v>0</v>
      </c>
      <c r="AS21" s="11">
        <v>0</v>
      </c>
      <c r="AT21" s="11">
        <v>0</v>
      </c>
    </row>
    <row r="22" spans="1:46" ht="18" customHeight="1">
      <c r="A22" s="260" t="s">
        <v>248</v>
      </c>
      <c r="B22" s="260" t="s">
        <v>249</v>
      </c>
      <c r="C22" s="260" t="s">
        <v>100</v>
      </c>
      <c r="D22" s="260" t="s">
        <v>101</v>
      </c>
      <c r="E22" s="260" t="s">
        <v>294</v>
      </c>
      <c r="F22" s="260" t="s">
        <v>190</v>
      </c>
      <c r="G22" s="260" t="s">
        <v>191</v>
      </c>
      <c r="H22" s="260" t="s">
        <v>354</v>
      </c>
      <c r="I22" s="260" t="s">
        <v>106</v>
      </c>
      <c r="J22" s="260"/>
      <c r="K22" s="260" t="s">
        <v>355</v>
      </c>
      <c r="L22" s="260" t="s">
        <v>356</v>
      </c>
      <c r="M22" s="260" t="s">
        <v>357</v>
      </c>
      <c r="N22" s="260" t="s">
        <v>111</v>
      </c>
      <c r="O22" s="260" t="s">
        <v>112</v>
      </c>
      <c r="P22" s="10">
        <v>58</v>
      </c>
      <c r="Q22" s="11">
        <v>103</v>
      </c>
      <c r="R22" s="11">
        <f t="shared" si="0"/>
        <v>0</v>
      </c>
      <c r="S22" s="261" t="s">
        <v>4080</v>
      </c>
      <c r="T22" s="11">
        <v>10</v>
      </c>
      <c r="U22" s="11">
        <v>0</v>
      </c>
      <c r="V22" s="11">
        <v>10</v>
      </c>
      <c r="W22" s="11">
        <v>0</v>
      </c>
      <c r="X22" s="11">
        <v>0</v>
      </c>
      <c r="Y22" s="11">
        <v>0</v>
      </c>
      <c r="Z22" s="11">
        <v>0</v>
      </c>
      <c r="AA22" s="11">
        <v>0</v>
      </c>
      <c r="AB22" s="11" t="s">
        <v>358</v>
      </c>
      <c r="AC22" s="11">
        <v>0</v>
      </c>
      <c r="AD22" s="11">
        <v>65</v>
      </c>
      <c r="AE22" s="11">
        <v>0</v>
      </c>
      <c r="AF22" s="261">
        <v>0</v>
      </c>
      <c r="AG22" s="261"/>
      <c r="AH22" s="9">
        <f t="shared" si="2"/>
        <v>0</v>
      </c>
      <c r="AI22" s="261"/>
      <c r="AJ22" s="261" t="s">
        <v>4081</v>
      </c>
      <c r="AK22" s="261"/>
      <c r="AL22" s="261"/>
      <c r="AM22" s="118"/>
      <c r="AN22" s="261"/>
      <c r="AO22" s="11">
        <v>0</v>
      </c>
      <c r="AP22" s="11">
        <v>0</v>
      </c>
      <c r="AQ22" s="11">
        <v>0</v>
      </c>
      <c r="AR22" s="11">
        <v>0</v>
      </c>
      <c r="AS22" s="11">
        <v>0</v>
      </c>
      <c r="AT22" s="11">
        <v>0</v>
      </c>
    </row>
    <row r="23" spans="1:46" ht="18" customHeight="1">
      <c r="A23" s="260" t="s">
        <v>248</v>
      </c>
      <c r="B23" s="260" t="s">
        <v>249</v>
      </c>
      <c r="C23" s="260" t="s">
        <v>100</v>
      </c>
      <c r="D23" s="260" t="s">
        <v>101</v>
      </c>
      <c r="E23" s="260" t="s">
        <v>294</v>
      </c>
      <c r="F23" s="260" t="s">
        <v>190</v>
      </c>
      <c r="G23" s="260" t="s">
        <v>191</v>
      </c>
      <c r="H23" s="260" t="s">
        <v>359</v>
      </c>
      <c r="I23" s="260" t="s">
        <v>106</v>
      </c>
      <c r="J23" s="260"/>
      <c r="K23" s="260" t="s">
        <v>360</v>
      </c>
      <c r="L23" s="260" t="s">
        <v>361</v>
      </c>
      <c r="M23" s="260" t="s">
        <v>362</v>
      </c>
      <c r="N23" s="260" t="s">
        <v>111</v>
      </c>
      <c r="O23" s="260" t="s">
        <v>112</v>
      </c>
      <c r="P23" s="10">
        <v>0</v>
      </c>
      <c r="Q23" s="11">
        <v>1</v>
      </c>
      <c r="R23" s="11">
        <f t="shared" si="0"/>
        <v>0</v>
      </c>
      <c r="S23" s="261"/>
      <c r="T23" s="11">
        <v>0.25</v>
      </c>
      <c r="U23" s="11">
        <v>0</v>
      </c>
      <c r="V23" s="11">
        <v>0.25</v>
      </c>
      <c r="W23" s="11">
        <v>0</v>
      </c>
      <c r="X23" s="11">
        <v>0</v>
      </c>
      <c r="Y23" s="11">
        <v>0</v>
      </c>
      <c r="Z23" s="11">
        <v>0</v>
      </c>
      <c r="AA23" s="11"/>
      <c r="AB23" s="11"/>
      <c r="AC23" s="11"/>
      <c r="AD23" s="11">
        <v>0.25</v>
      </c>
      <c r="AE23" s="11">
        <v>0</v>
      </c>
      <c r="AF23" s="261">
        <v>0</v>
      </c>
      <c r="AG23" s="261"/>
      <c r="AH23" s="9">
        <f t="shared" si="2"/>
        <v>0</v>
      </c>
      <c r="AI23" s="261"/>
      <c r="AJ23" s="261" t="s">
        <v>4082</v>
      </c>
      <c r="AK23" s="261"/>
      <c r="AL23" s="261"/>
      <c r="AM23" s="118"/>
      <c r="AN23" s="261"/>
      <c r="AO23" s="11">
        <v>0.25</v>
      </c>
      <c r="AP23" s="11">
        <v>0</v>
      </c>
      <c r="AQ23" s="11">
        <v>0.5</v>
      </c>
      <c r="AR23" s="11">
        <v>0</v>
      </c>
      <c r="AS23" s="11">
        <v>0</v>
      </c>
      <c r="AT23" s="11">
        <v>0</v>
      </c>
    </row>
    <row r="24" spans="1:46" ht="18" customHeight="1">
      <c r="A24" s="260" t="s">
        <v>248</v>
      </c>
      <c r="B24" s="260" t="s">
        <v>249</v>
      </c>
      <c r="C24" s="260" t="s">
        <v>100</v>
      </c>
      <c r="D24" s="260" t="s">
        <v>508</v>
      </c>
      <c r="E24" s="260" t="s">
        <v>509</v>
      </c>
      <c r="F24" s="260" t="s">
        <v>190</v>
      </c>
      <c r="G24" s="260" t="s">
        <v>191</v>
      </c>
      <c r="H24" s="260" t="s">
        <v>510</v>
      </c>
      <c r="I24" s="260"/>
      <c r="J24" s="260"/>
      <c r="K24" s="260" t="s">
        <v>511</v>
      </c>
      <c r="L24" s="260" t="s">
        <v>512</v>
      </c>
      <c r="M24" s="260" t="s">
        <v>513</v>
      </c>
      <c r="N24" s="260" t="s">
        <v>514</v>
      </c>
      <c r="O24" s="260" t="s">
        <v>112</v>
      </c>
      <c r="P24" s="10">
        <v>0</v>
      </c>
      <c r="Q24" s="11">
        <v>4</v>
      </c>
      <c r="R24" s="11">
        <f t="shared" si="0"/>
        <v>2</v>
      </c>
      <c r="S24" s="261" t="s">
        <v>4083</v>
      </c>
      <c r="T24" s="11">
        <v>1</v>
      </c>
      <c r="U24" s="11">
        <v>0</v>
      </c>
      <c r="V24" s="11">
        <v>1</v>
      </c>
      <c r="W24" s="11">
        <v>0</v>
      </c>
      <c r="X24" s="11">
        <v>1</v>
      </c>
      <c r="Y24" s="11">
        <v>0</v>
      </c>
      <c r="Z24" s="11">
        <v>1</v>
      </c>
      <c r="AA24" s="11">
        <v>0</v>
      </c>
      <c r="AB24" s="11" t="s">
        <v>515</v>
      </c>
      <c r="AC24" s="11">
        <v>0</v>
      </c>
      <c r="AD24" s="11">
        <v>1</v>
      </c>
      <c r="AE24" s="11">
        <v>0</v>
      </c>
      <c r="AF24" s="261">
        <v>1</v>
      </c>
      <c r="AG24" s="261"/>
      <c r="AH24" s="9">
        <f t="shared" ref="AH24:AH26" si="3">AF24</f>
        <v>1</v>
      </c>
      <c r="AI24" s="261"/>
      <c r="AJ24" s="261" t="s">
        <v>4084</v>
      </c>
      <c r="AK24" s="261"/>
      <c r="AL24" s="261"/>
      <c r="AM24" s="118"/>
      <c r="AN24" s="261"/>
      <c r="AO24" s="11">
        <v>1</v>
      </c>
      <c r="AP24" s="11">
        <v>0</v>
      </c>
      <c r="AQ24" s="11">
        <v>1</v>
      </c>
      <c r="AR24" s="11">
        <v>0</v>
      </c>
      <c r="AS24" s="11">
        <v>0</v>
      </c>
      <c r="AT24" s="11">
        <v>0</v>
      </c>
    </row>
    <row r="25" spans="1:46" ht="18" customHeight="1">
      <c r="A25" s="260" t="s">
        <v>248</v>
      </c>
      <c r="B25" s="260" t="s">
        <v>249</v>
      </c>
      <c r="C25" s="260" t="s">
        <v>100</v>
      </c>
      <c r="D25" s="260" t="s">
        <v>508</v>
      </c>
      <c r="E25" s="260" t="s">
        <v>509</v>
      </c>
      <c r="F25" s="260" t="s">
        <v>190</v>
      </c>
      <c r="G25" s="260" t="s">
        <v>191</v>
      </c>
      <c r="H25" s="260" t="s">
        <v>516</v>
      </c>
      <c r="I25" s="260"/>
      <c r="J25" s="260"/>
      <c r="K25" s="260" t="s">
        <v>517</v>
      </c>
      <c r="L25" s="260" t="s">
        <v>518</v>
      </c>
      <c r="M25" s="260" t="s">
        <v>519</v>
      </c>
      <c r="N25" s="260" t="s">
        <v>111</v>
      </c>
      <c r="O25" s="260" t="s">
        <v>112</v>
      </c>
      <c r="P25" s="10">
        <v>200</v>
      </c>
      <c r="Q25" s="11">
        <v>200</v>
      </c>
      <c r="R25" s="11">
        <f t="shared" si="0"/>
        <v>0</v>
      </c>
      <c r="S25" s="261" t="s">
        <v>4085</v>
      </c>
      <c r="T25" s="11">
        <v>10</v>
      </c>
      <c r="U25" s="11">
        <v>0</v>
      </c>
      <c r="V25" s="11">
        <v>0</v>
      </c>
      <c r="W25" s="11">
        <v>0</v>
      </c>
      <c r="X25" s="11">
        <v>0</v>
      </c>
      <c r="Y25" s="11">
        <v>0</v>
      </c>
      <c r="Z25" s="11">
        <v>0</v>
      </c>
      <c r="AA25" s="11">
        <v>0</v>
      </c>
      <c r="AB25" s="11"/>
      <c r="AC25" s="11">
        <v>0</v>
      </c>
      <c r="AD25" s="11">
        <v>70</v>
      </c>
      <c r="AE25" s="11">
        <v>0</v>
      </c>
      <c r="AF25" s="261">
        <v>0</v>
      </c>
      <c r="AG25" s="261"/>
      <c r="AH25" s="9">
        <f t="shared" si="3"/>
        <v>0</v>
      </c>
      <c r="AI25" s="261"/>
      <c r="AJ25" s="261" t="s">
        <v>4086</v>
      </c>
      <c r="AK25" s="261"/>
      <c r="AL25" s="261"/>
      <c r="AM25" s="118"/>
      <c r="AN25" s="261"/>
      <c r="AO25" s="11">
        <v>60</v>
      </c>
      <c r="AP25" s="11">
        <v>0</v>
      </c>
      <c r="AQ25" s="11">
        <v>70</v>
      </c>
      <c r="AR25" s="11">
        <v>0</v>
      </c>
      <c r="AS25" s="11">
        <v>0</v>
      </c>
      <c r="AT25" s="11">
        <v>0</v>
      </c>
    </row>
    <row r="26" spans="1:46" ht="18" customHeight="1">
      <c r="A26" s="260" t="s">
        <v>248</v>
      </c>
      <c r="B26" s="260" t="s">
        <v>249</v>
      </c>
      <c r="C26" s="260" t="s">
        <v>100</v>
      </c>
      <c r="D26" s="260" t="s">
        <v>508</v>
      </c>
      <c r="E26" s="260" t="s">
        <v>509</v>
      </c>
      <c r="F26" s="260" t="s">
        <v>190</v>
      </c>
      <c r="G26" s="260" t="s">
        <v>191</v>
      </c>
      <c r="H26" s="260" t="s">
        <v>520</v>
      </c>
      <c r="I26" s="260"/>
      <c r="J26" s="260"/>
      <c r="K26" s="260" t="s">
        <v>521</v>
      </c>
      <c r="L26" s="260" t="s">
        <v>522</v>
      </c>
      <c r="M26" s="260" t="s">
        <v>523</v>
      </c>
      <c r="N26" s="260" t="s">
        <v>111</v>
      </c>
      <c r="O26" s="260" t="s">
        <v>112</v>
      </c>
      <c r="P26" s="10">
        <v>160</v>
      </c>
      <c r="Q26" s="11">
        <v>160</v>
      </c>
      <c r="R26" s="11">
        <f t="shared" si="0"/>
        <v>0</v>
      </c>
      <c r="S26" s="261" t="s">
        <v>4085</v>
      </c>
      <c r="T26" s="11">
        <v>10</v>
      </c>
      <c r="U26" s="11">
        <v>0</v>
      </c>
      <c r="V26" s="11">
        <v>0</v>
      </c>
      <c r="W26" s="11">
        <v>0</v>
      </c>
      <c r="X26" s="11">
        <v>0</v>
      </c>
      <c r="Y26" s="11">
        <v>0</v>
      </c>
      <c r="Z26" s="11">
        <v>0</v>
      </c>
      <c r="AA26" s="11">
        <v>0</v>
      </c>
      <c r="AB26" s="11"/>
      <c r="AC26" s="11">
        <v>0</v>
      </c>
      <c r="AD26" s="11">
        <v>60</v>
      </c>
      <c r="AE26" s="11">
        <v>0</v>
      </c>
      <c r="AF26" s="261">
        <v>0</v>
      </c>
      <c r="AG26" s="261"/>
      <c r="AH26" s="9">
        <f t="shared" si="3"/>
        <v>0</v>
      </c>
      <c r="AI26" s="261"/>
      <c r="AJ26" s="261" t="s">
        <v>4086</v>
      </c>
      <c r="AK26" s="261"/>
      <c r="AL26" s="261"/>
      <c r="AM26" s="118"/>
      <c r="AN26" s="261"/>
      <c r="AO26" s="11">
        <v>50</v>
      </c>
      <c r="AP26" s="11">
        <v>0</v>
      </c>
      <c r="AQ26" s="11">
        <v>50</v>
      </c>
      <c r="AR26" s="11">
        <v>0</v>
      </c>
      <c r="AS26" s="11">
        <v>0</v>
      </c>
      <c r="AT26" s="11">
        <v>0</v>
      </c>
    </row>
    <row r="27" spans="1:46" ht="18" customHeight="1">
      <c r="A27" s="260" t="s">
        <v>248</v>
      </c>
      <c r="B27" s="260" t="s">
        <v>249</v>
      </c>
      <c r="C27" s="260" t="s">
        <v>100</v>
      </c>
      <c r="D27" s="260" t="s">
        <v>508</v>
      </c>
      <c r="E27" s="260" t="s">
        <v>509</v>
      </c>
      <c r="F27" s="260" t="s">
        <v>706</v>
      </c>
      <c r="G27" s="260" t="s">
        <v>707</v>
      </c>
      <c r="H27" s="260" t="s">
        <v>708</v>
      </c>
      <c r="I27" s="260" t="s">
        <v>106</v>
      </c>
      <c r="J27" s="260"/>
      <c r="K27" s="260" t="s">
        <v>709</v>
      </c>
      <c r="L27" s="260" t="s">
        <v>710</v>
      </c>
      <c r="M27" s="260" t="s">
        <v>711</v>
      </c>
      <c r="N27" s="260" t="s">
        <v>111</v>
      </c>
      <c r="O27" s="260" t="s">
        <v>112</v>
      </c>
      <c r="P27" s="10">
        <v>3</v>
      </c>
      <c r="Q27" s="11">
        <v>3</v>
      </c>
      <c r="R27" s="11">
        <f t="shared" si="0"/>
        <v>1</v>
      </c>
      <c r="S27" s="261" t="s">
        <v>4087</v>
      </c>
      <c r="T27" s="11">
        <v>1</v>
      </c>
      <c r="U27" s="11">
        <v>0</v>
      </c>
      <c r="V27" s="11">
        <v>1</v>
      </c>
      <c r="W27" s="11">
        <v>0</v>
      </c>
      <c r="X27" s="11">
        <v>1</v>
      </c>
      <c r="Y27" s="11">
        <v>0</v>
      </c>
      <c r="Z27" s="11">
        <v>1</v>
      </c>
      <c r="AA27" s="11">
        <v>0</v>
      </c>
      <c r="AB27" s="11" t="s">
        <v>712</v>
      </c>
      <c r="AC27" s="11">
        <v>0</v>
      </c>
      <c r="AD27" s="11">
        <v>1</v>
      </c>
      <c r="AE27" s="11">
        <v>0</v>
      </c>
      <c r="AF27" s="261">
        <v>0</v>
      </c>
      <c r="AG27" s="261"/>
      <c r="AH27" s="9">
        <f t="shared" ref="AH27" si="4">AF27</f>
        <v>0</v>
      </c>
      <c r="AI27" s="261"/>
      <c r="AJ27" s="261" t="s">
        <v>4088</v>
      </c>
      <c r="AK27" s="261"/>
      <c r="AL27" s="261"/>
      <c r="AM27" s="118"/>
      <c r="AN27" s="261"/>
      <c r="AO27" s="11">
        <v>1</v>
      </c>
      <c r="AP27" s="11">
        <v>0</v>
      </c>
      <c r="AQ27" s="11">
        <v>0</v>
      </c>
      <c r="AR27" s="11">
        <v>0</v>
      </c>
      <c r="AS27" s="11">
        <v>0</v>
      </c>
      <c r="AT27" s="11">
        <v>0</v>
      </c>
    </row>
    <row r="28" spans="1:46" ht="18" customHeight="1">
      <c r="A28" s="260" t="s">
        <v>248</v>
      </c>
      <c r="B28" s="260" t="s">
        <v>249</v>
      </c>
      <c r="C28" s="260" t="s">
        <v>100</v>
      </c>
      <c r="D28" s="260" t="s">
        <v>508</v>
      </c>
      <c r="E28" s="260" t="s">
        <v>769</v>
      </c>
      <c r="F28" s="260" t="s">
        <v>770</v>
      </c>
      <c r="G28" s="260" t="s">
        <v>771</v>
      </c>
      <c r="H28" s="260" t="s">
        <v>772</v>
      </c>
      <c r="I28" s="260"/>
      <c r="J28" s="260"/>
      <c r="K28" s="260" t="s">
        <v>773</v>
      </c>
      <c r="L28" s="260" t="s">
        <v>774</v>
      </c>
      <c r="M28" s="260" t="s">
        <v>775</v>
      </c>
      <c r="N28" s="260" t="s">
        <v>111</v>
      </c>
      <c r="O28" s="260" t="s">
        <v>112</v>
      </c>
      <c r="P28" s="10">
        <v>0</v>
      </c>
      <c r="Q28" s="11">
        <v>4</v>
      </c>
      <c r="R28" s="11">
        <f t="shared" si="0"/>
        <v>1</v>
      </c>
      <c r="S28" s="261"/>
      <c r="T28" s="11">
        <v>1</v>
      </c>
      <c r="U28" s="11">
        <v>0</v>
      </c>
      <c r="V28" s="11">
        <v>1</v>
      </c>
      <c r="W28" s="11">
        <v>0</v>
      </c>
      <c r="X28" s="11">
        <v>1</v>
      </c>
      <c r="Y28" s="11">
        <v>0</v>
      </c>
      <c r="Z28" s="11">
        <v>1</v>
      </c>
      <c r="AA28" s="11">
        <v>0</v>
      </c>
      <c r="AB28" s="11" t="s">
        <v>776</v>
      </c>
      <c r="AC28" s="11">
        <v>0</v>
      </c>
      <c r="AD28" s="11">
        <v>1</v>
      </c>
      <c r="AE28" s="11">
        <v>0</v>
      </c>
      <c r="AF28" s="261">
        <v>0</v>
      </c>
      <c r="AG28" s="261"/>
      <c r="AH28" s="9">
        <f t="shared" ref="AH28:AH32" si="5">AF28</f>
        <v>0</v>
      </c>
      <c r="AI28" s="261"/>
      <c r="AJ28" s="261" t="s">
        <v>4089</v>
      </c>
      <c r="AK28" s="261"/>
      <c r="AL28" s="261"/>
      <c r="AM28" s="118"/>
      <c r="AN28" s="261"/>
      <c r="AO28" s="11">
        <v>1</v>
      </c>
      <c r="AP28" s="11">
        <v>0</v>
      </c>
      <c r="AQ28" s="11">
        <v>1</v>
      </c>
      <c r="AR28" s="11">
        <v>0</v>
      </c>
      <c r="AS28" s="11">
        <v>0</v>
      </c>
      <c r="AT28" s="11">
        <v>0</v>
      </c>
    </row>
    <row r="29" spans="1:46" ht="18" customHeight="1">
      <c r="A29" s="260" t="s">
        <v>248</v>
      </c>
      <c r="B29" s="260" t="s">
        <v>249</v>
      </c>
      <c r="C29" s="260" t="s">
        <v>100</v>
      </c>
      <c r="D29" s="260" t="s">
        <v>508</v>
      </c>
      <c r="E29" s="260" t="s">
        <v>769</v>
      </c>
      <c r="F29" s="260" t="s">
        <v>770</v>
      </c>
      <c r="G29" s="260" t="s">
        <v>771</v>
      </c>
      <c r="H29" s="260" t="s">
        <v>777</v>
      </c>
      <c r="I29" s="260"/>
      <c r="J29" s="260"/>
      <c r="K29" s="260" t="s">
        <v>778</v>
      </c>
      <c r="L29" s="260" t="s">
        <v>779</v>
      </c>
      <c r="M29" s="260" t="s">
        <v>780</v>
      </c>
      <c r="N29" s="260" t="s">
        <v>111</v>
      </c>
      <c r="O29" s="260" t="s">
        <v>112</v>
      </c>
      <c r="P29" s="10">
        <v>104</v>
      </c>
      <c r="Q29" s="11">
        <v>105</v>
      </c>
      <c r="R29" s="11">
        <f t="shared" si="0"/>
        <v>45</v>
      </c>
      <c r="S29" s="261" t="s">
        <v>4090</v>
      </c>
      <c r="T29" s="11">
        <v>15</v>
      </c>
      <c r="U29" s="11">
        <v>0</v>
      </c>
      <c r="V29" s="11">
        <v>15</v>
      </c>
      <c r="W29" s="11">
        <v>0</v>
      </c>
      <c r="X29" s="11">
        <v>15</v>
      </c>
      <c r="Y29" s="11">
        <v>0</v>
      </c>
      <c r="Z29" s="11">
        <v>15</v>
      </c>
      <c r="AA29" s="11">
        <v>0</v>
      </c>
      <c r="AB29" s="11" t="s">
        <v>781</v>
      </c>
      <c r="AC29" s="11">
        <v>0</v>
      </c>
      <c r="AD29" s="11">
        <v>30</v>
      </c>
      <c r="AE29" s="11">
        <v>0</v>
      </c>
      <c r="AF29" s="261">
        <v>30</v>
      </c>
      <c r="AG29" s="261"/>
      <c r="AH29" s="9">
        <f t="shared" si="5"/>
        <v>30</v>
      </c>
      <c r="AI29" s="261"/>
      <c r="AJ29" s="261" t="s">
        <v>4091</v>
      </c>
      <c r="AK29" s="261"/>
      <c r="AL29" s="261"/>
      <c r="AM29" s="118"/>
      <c r="AN29" s="261"/>
      <c r="AO29" s="11">
        <v>30</v>
      </c>
      <c r="AP29" s="11">
        <v>0</v>
      </c>
      <c r="AQ29" s="11">
        <v>30</v>
      </c>
      <c r="AR29" s="11">
        <v>0</v>
      </c>
      <c r="AS29" s="11">
        <v>0</v>
      </c>
      <c r="AT29" s="11">
        <v>0</v>
      </c>
    </row>
    <row r="30" spans="1:46" ht="18" customHeight="1">
      <c r="A30" s="260" t="s">
        <v>248</v>
      </c>
      <c r="B30" s="260" t="s">
        <v>249</v>
      </c>
      <c r="C30" s="260" t="s">
        <v>100</v>
      </c>
      <c r="D30" s="260" t="s">
        <v>508</v>
      </c>
      <c r="E30" s="260" t="s">
        <v>769</v>
      </c>
      <c r="F30" s="260" t="s">
        <v>770</v>
      </c>
      <c r="G30" s="260" t="s">
        <v>771</v>
      </c>
      <c r="H30" s="260" t="s">
        <v>782</v>
      </c>
      <c r="I30" s="260"/>
      <c r="J30" s="260"/>
      <c r="K30" s="260" t="s">
        <v>783</v>
      </c>
      <c r="L30" s="260" t="s">
        <v>784</v>
      </c>
      <c r="M30" s="260" t="s">
        <v>785</v>
      </c>
      <c r="N30" s="260" t="s">
        <v>111</v>
      </c>
      <c r="O30" s="260" t="s">
        <v>112</v>
      </c>
      <c r="P30" s="10">
        <v>600</v>
      </c>
      <c r="Q30" s="11">
        <v>1200</v>
      </c>
      <c r="R30" s="11">
        <f t="shared" si="0"/>
        <v>531</v>
      </c>
      <c r="S30" s="261" t="s">
        <v>4092</v>
      </c>
      <c r="T30" s="11">
        <v>150</v>
      </c>
      <c r="U30" s="11">
        <v>0</v>
      </c>
      <c r="V30" s="11">
        <v>242</v>
      </c>
      <c r="W30" s="11">
        <v>0</v>
      </c>
      <c r="X30" s="11">
        <v>250</v>
      </c>
      <c r="Y30" s="11">
        <v>0</v>
      </c>
      <c r="Z30" s="11">
        <v>250</v>
      </c>
      <c r="AA30" s="11">
        <v>0</v>
      </c>
      <c r="AB30" s="11" t="s">
        <v>786</v>
      </c>
      <c r="AC30" s="11">
        <v>0</v>
      </c>
      <c r="AD30" s="11">
        <v>136</v>
      </c>
      <c r="AE30" s="11">
        <v>0</v>
      </c>
      <c r="AF30" s="261">
        <v>281</v>
      </c>
      <c r="AG30" s="261"/>
      <c r="AH30" s="9">
        <f t="shared" si="5"/>
        <v>281</v>
      </c>
      <c r="AI30" s="261"/>
      <c r="AJ30" s="261" t="s">
        <v>4093</v>
      </c>
      <c r="AK30" s="261"/>
      <c r="AL30" s="261"/>
      <c r="AM30" s="118"/>
      <c r="AN30" s="261"/>
      <c r="AO30" s="11">
        <v>128</v>
      </c>
      <c r="AP30" s="11">
        <v>0</v>
      </c>
      <c r="AQ30" s="11">
        <v>136</v>
      </c>
      <c r="AR30" s="11">
        <v>0</v>
      </c>
      <c r="AS30" s="11">
        <v>0</v>
      </c>
      <c r="AT30" s="11">
        <v>0</v>
      </c>
    </row>
    <row r="31" spans="1:46" ht="18" customHeight="1">
      <c r="A31" s="260" t="s">
        <v>248</v>
      </c>
      <c r="B31" s="260" t="s">
        <v>249</v>
      </c>
      <c r="C31" s="260" t="s">
        <v>100</v>
      </c>
      <c r="D31" s="260" t="s">
        <v>508</v>
      </c>
      <c r="E31" s="260" t="s">
        <v>769</v>
      </c>
      <c r="F31" s="260" t="s">
        <v>770</v>
      </c>
      <c r="G31" s="260" t="s">
        <v>771</v>
      </c>
      <c r="H31" s="260" t="s">
        <v>787</v>
      </c>
      <c r="I31" s="260"/>
      <c r="J31" s="260"/>
      <c r="K31" s="260" t="s">
        <v>788</v>
      </c>
      <c r="L31" s="260" t="s">
        <v>789</v>
      </c>
      <c r="M31" s="260" t="s">
        <v>790</v>
      </c>
      <c r="N31" s="260" t="s">
        <v>111</v>
      </c>
      <c r="O31" s="260" t="s">
        <v>112</v>
      </c>
      <c r="P31" s="10">
        <v>4</v>
      </c>
      <c r="Q31" s="11">
        <v>3</v>
      </c>
      <c r="R31" s="11">
        <f t="shared" si="0"/>
        <v>1</v>
      </c>
      <c r="S31" s="261" t="s">
        <v>4094</v>
      </c>
      <c r="T31" s="11">
        <v>1</v>
      </c>
      <c r="U31" s="11">
        <v>0</v>
      </c>
      <c r="V31" s="11">
        <v>1</v>
      </c>
      <c r="W31" s="11">
        <v>0</v>
      </c>
      <c r="X31" s="11">
        <v>0</v>
      </c>
      <c r="Y31" s="11">
        <v>0</v>
      </c>
      <c r="Z31" s="11">
        <v>0</v>
      </c>
      <c r="AA31" s="11">
        <v>0</v>
      </c>
      <c r="AB31" s="11" t="s">
        <v>791</v>
      </c>
      <c r="AC31" s="11">
        <v>0</v>
      </c>
      <c r="AD31" s="11">
        <v>1</v>
      </c>
      <c r="AE31" s="11">
        <v>0</v>
      </c>
      <c r="AF31" s="261">
        <v>1</v>
      </c>
      <c r="AG31" s="261"/>
      <c r="AH31" s="9">
        <f t="shared" si="5"/>
        <v>1</v>
      </c>
      <c r="AI31" s="261"/>
      <c r="AJ31" s="261" t="s">
        <v>4095</v>
      </c>
      <c r="AK31" s="261"/>
      <c r="AL31" s="261"/>
      <c r="AM31" s="118"/>
      <c r="AN31" s="261"/>
      <c r="AO31" s="11">
        <v>1</v>
      </c>
      <c r="AP31" s="11">
        <v>0</v>
      </c>
      <c r="AQ31" s="11">
        <v>0</v>
      </c>
      <c r="AR31" s="11">
        <v>0</v>
      </c>
      <c r="AS31" s="11">
        <v>0</v>
      </c>
      <c r="AT31" s="11">
        <v>0</v>
      </c>
    </row>
    <row r="32" spans="1:46" ht="18" customHeight="1">
      <c r="A32" s="260" t="s">
        <v>248</v>
      </c>
      <c r="B32" s="260" t="s">
        <v>249</v>
      </c>
      <c r="C32" s="260" t="s">
        <v>100</v>
      </c>
      <c r="D32" s="260" t="s">
        <v>508</v>
      </c>
      <c r="E32" s="260" t="s">
        <v>769</v>
      </c>
      <c r="F32" s="260" t="s">
        <v>770</v>
      </c>
      <c r="G32" s="260" t="s">
        <v>771</v>
      </c>
      <c r="H32" s="260" t="s">
        <v>792</v>
      </c>
      <c r="I32" s="260"/>
      <c r="J32" s="260"/>
      <c r="K32" s="260" t="s">
        <v>793</v>
      </c>
      <c r="L32" s="260" t="s">
        <v>794</v>
      </c>
      <c r="M32" s="260" t="s">
        <v>795</v>
      </c>
      <c r="N32" s="260" t="s">
        <v>111</v>
      </c>
      <c r="O32" s="260" t="s">
        <v>112</v>
      </c>
      <c r="P32" s="10">
        <v>580</v>
      </c>
      <c r="Q32" s="11">
        <v>600</v>
      </c>
      <c r="R32" s="11">
        <f t="shared" si="0"/>
        <v>316</v>
      </c>
      <c r="S32" s="261" t="s">
        <v>4096</v>
      </c>
      <c r="T32" s="11">
        <v>100</v>
      </c>
      <c r="U32" s="11">
        <v>0</v>
      </c>
      <c r="V32" s="11">
        <v>100</v>
      </c>
      <c r="W32" s="11">
        <v>0</v>
      </c>
      <c r="X32" s="11">
        <v>151</v>
      </c>
      <c r="Y32" s="11">
        <v>0</v>
      </c>
      <c r="Z32" s="11">
        <v>151</v>
      </c>
      <c r="AA32" s="11">
        <v>0</v>
      </c>
      <c r="AB32" s="11" t="s">
        <v>796</v>
      </c>
      <c r="AC32" s="11">
        <v>0</v>
      </c>
      <c r="AD32" s="11">
        <v>150</v>
      </c>
      <c r="AE32" s="11">
        <v>0</v>
      </c>
      <c r="AF32" s="261">
        <v>165</v>
      </c>
      <c r="AG32" s="261"/>
      <c r="AH32" s="9">
        <f t="shared" si="5"/>
        <v>165</v>
      </c>
      <c r="AI32" s="261"/>
      <c r="AJ32" s="65" t="s">
        <v>4097</v>
      </c>
      <c r="AK32" s="261"/>
      <c r="AL32" s="261"/>
      <c r="AM32" s="118"/>
      <c r="AN32" s="261"/>
      <c r="AO32" s="11">
        <v>99</v>
      </c>
      <c r="AP32" s="11">
        <v>0</v>
      </c>
      <c r="AQ32" s="11">
        <v>200</v>
      </c>
      <c r="AR32" s="11">
        <v>0</v>
      </c>
      <c r="AS32" s="11">
        <v>0</v>
      </c>
      <c r="AT32" s="11">
        <v>0</v>
      </c>
    </row>
    <row r="33" spans="1:46" ht="18" customHeight="1">
      <c r="A33" s="260" t="s">
        <v>248</v>
      </c>
      <c r="B33" s="260" t="s">
        <v>249</v>
      </c>
      <c r="C33" s="260" t="s">
        <v>100</v>
      </c>
      <c r="D33" s="260" t="s">
        <v>508</v>
      </c>
      <c r="E33" s="260" t="s">
        <v>769</v>
      </c>
      <c r="F33" s="260" t="s">
        <v>819</v>
      </c>
      <c r="G33" s="260" t="s">
        <v>820</v>
      </c>
      <c r="H33" s="260" t="s">
        <v>828</v>
      </c>
      <c r="I33" s="260"/>
      <c r="J33" s="260"/>
      <c r="K33" s="260" t="s">
        <v>829</v>
      </c>
      <c r="L33" s="260" t="s">
        <v>830</v>
      </c>
      <c r="M33" s="260" t="s">
        <v>831</v>
      </c>
      <c r="N33" s="260" t="s">
        <v>111</v>
      </c>
      <c r="O33" s="260" t="s">
        <v>124</v>
      </c>
      <c r="P33" s="10">
        <v>0</v>
      </c>
      <c r="Q33" s="11">
        <v>370</v>
      </c>
      <c r="R33" s="11">
        <f>(Z33+AH33)/2</f>
        <v>389</v>
      </c>
      <c r="S33" s="261" t="s">
        <v>832</v>
      </c>
      <c r="T33" s="11">
        <v>0</v>
      </c>
      <c r="U33" s="11">
        <v>300</v>
      </c>
      <c r="V33" s="11">
        <v>0</v>
      </c>
      <c r="W33" s="11">
        <v>300</v>
      </c>
      <c r="X33" s="11" t="s">
        <v>115</v>
      </c>
      <c r="Y33" s="11">
        <v>334</v>
      </c>
      <c r="Z33" s="11">
        <v>334</v>
      </c>
      <c r="AA33" s="11">
        <v>0</v>
      </c>
      <c r="AB33" s="11" t="s">
        <v>832</v>
      </c>
      <c r="AC33" s="11">
        <v>0</v>
      </c>
      <c r="AD33" s="11">
        <v>0</v>
      </c>
      <c r="AE33" s="11">
        <v>300</v>
      </c>
      <c r="AF33" s="261">
        <v>0</v>
      </c>
      <c r="AG33" s="261">
        <v>444</v>
      </c>
      <c r="AH33" s="11">
        <f>AG33</f>
        <v>444</v>
      </c>
      <c r="AI33" s="261"/>
      <c r="AJ33" s="261" t="s">
        <v>4098</v>
      </c>
      <c r="AK33" s="261"/>
      <c r="AL33" s="261"/>
      <c r="AM33" s="118"/>
      <c r="AN33" s="261"/>
      <c r="AO33" s="11">
        <v>0</v>
      </c>
      <c r="AP33" s="11">
        <v>300</v>
      </c>
      <c r="AQ33" s="11">
        <v>0</v>
      </c>
      <c r="AR33" s="11">
        <v>300</v>
      </c>
      <c r="AS33" s="11">
        <v>0</v>
      </c>
      <c r="AT33" s="11">
        <v>0</v>
      </c>
    </row>
    <row r="34" spans="1:46" ht="18" customHeight="1">
      <c r="A34" s="260" t="s">
        <v>248</v>
      </c>
      <c r="B34" s="260" t="s">
        <v>249</v>
      </c>
      <c r="C34" s="260" t="s">
        <v>100</v>
      </c>
      <c r="D34" s="260" t="s">
        <v>508</v>
      </c>
      <c r="E34" s="260" t="s">
        <v>769</v>
      </c>
      <c r="F34" s="260" t="s">
        <v>819</v>
      </c>
      <c r="G34" s="260" t="s">
        <v>820</v>
      </c>
      <c r="H34" s="260" t="s">
        <v>833</v>
      </c>
      <c r="I34" s="260"/>
      <c r="J34" s="260"/>
      <c r="K34" s="260" t="s">
        <v>834</v>
      </c>
      <c r="L34" s="260" t="s">
        <v>835</v>
      </c>
      <c r="M34" s="260" t="s">
        <v>836</v>
      </c>
      <c r="N34" s="260" t="s">
        <v>111</v>
      </c>
      <c r="O34" s="260" t="s">
        <v>112</v>
      </c>
      <c r="P34" s="10">
        <v>0</v>
      </c>
      <c r="Q34" s="11">
        <v>3</v>
      </c>
      <c r="R34" s="11">
        <f>Z34+AH34</f>
        <v>0</v>
      </c>
      <c r="S34" s="261" t="s">
        <v>4099</v>
      </c>
      <c r="T34" s="11">
        <v>1</v>
      </c>
      <c r="U34" s="11">
        <v>0</v>
      </c>
      <c r="V34" s="11">
        <v>1</v>
      </c>
      <c r="W34" s="11">
        <v>0</v>
      </c>
      <c r="X34" s="11">
        <v>0</v>
      </c>
      <c r="Y34" s="11">
        <v>0</v>
      </c>
      <c r="Z34" s="11">
        <v>0</v>
      </c>
      <c r="AA34" s="11">
        <v>0</v>
      </c>
      <c r="AB34" s="11"/>
      <c r="AC34" s="11">
        <v>0</v>
      </c>
      <c r="AD34" s="11">
        <v>1</v>
      </c>
      <c r="AE34" s="11">
        <v>0</v>
      </c>
      <c r="AF34" s="261">
        <v>0</v>
      </c>
      <c r="AG34" s="261"/>
      <c r="AH34" s="9">
        <f>AF34</f>
        <v>0</v>
      </c>
      <c r="AI34" s="261"/>
      <c r="AJ34" s="261" t="s">
        <v>4100</v>
      </c>
      <c r="AK34" s="261"/>
      <c r="AL34" s="261"/>
      <c r="AM34" s="118"/>
      <c r="AN34" s="261"/>
      <c r="AO34" s="11">
        <v>1</v>
      </c>
      <c r="AP34" s="11">
        <v>0</v>
      </c>
      <c r="AQ34" s="11">
        <v>1</v>
      </c>
      <c r="AR34" s="11">
        <v>0</v>
      </c>
      <c r="AS34" s="11">
        <v>0</v>
      </c>
      <c r="AT34" s="11">
        <v>0</v>
      </c>
    </row>
    <row r="35" spans="1:46" ht="18" customHeight="1">
      <c r="A35" s="260" t="s">
        <v>248</v>
      </c>
      <c r="B35" s="260" t="s">
        <v>249</v>
      </c>
      <c r="C35" s="260" t="s">
        <v>100</v>
      </c>
      <c r="D35" s="260" t="s">
        <v>508</v>
      </c>
      <c r="E35" s="260" t="s">
        <v>870</v>
      </c>
      <c r="F35" s="260" t="s">
        <v>909</v>
      </c>
      <c r="G35" s="260" t="s">
        <v>910</v>
      </c>
      <c r="H35" s="260" t="s">
        <v>918</v>
      </c>
      <c r="I35" s="260"/>
      <c r="J35" s="260"/>
      <c r="K35" s="260" t="s">
        <v>919</v>
      </c>
      <c r="L35" s="260" t="s">
        <v>920</v>
      </c>
      <c r="M35" s="260" t="s">
        <v>921</v>
      </c>
      <c r="N35" s="260" t="s">
        <v>111</v>
      </c>
      <c r="O35" s="260" t="s">
        <v>112</v>
      </c>
      <c r="P35" s="10">
        <v>10000</v>
      </c>
      <c r="Q35" s="11">
        <v>12000</v>
      </c>
      <c r="R35" s="11">
        <f>Z35+AH35</f>
        <v>5840</v>
      </c>
      <c r="S35" s="261" t="s">
        <v>4101</v>
      </c>
      <c r="T35" s="11">
        <v>3000</v>
      </c>
      <c r="U35" s="11">
        <v>0</v>
      </c>
      <c r="V35" s="11">
        <v>3000</v>
      </c>
      <c r="W35" s="11">
        <v>0</v>
      </c>
      <c r="X35" s="11">
        <v>1740</v>
      </c>
      <c r="Y35" s="11">
        <v>0</v>
      </c>
      <c r="Z35" s="11">
        <v>1740</v>
      </c>
      <c r="AA35" s="11">
        <v>0</v>
      </c>
      <c r="AB35" s="11" t="s">
        <v>922</v>
      </c>
      <c r="AC35" s="11">
        <v>0</v>
      </c>
      <c r="AD35" s="11">
        <v>4000</v>
      </c>
      <c r="AE35" s="11">
        <v>0</v>
      </c>
      <c r="AF35" s="261">
        <v>4100</v>
      </c>
      <c r="AG35" s="261"/>
      <c r="AH35" s="9">
        <f>AF35</f>
        <v>4100</v>
      </c>
      <c r="AI35" s="261"/>
      <c r="AJ35" s="261" t="s">
        <v>4102</v>
      </c>
      <c r="AK35" s="261"/>
      <c r="AL35" s="261"/>
      <c r="AM35" s="118"/>
      <c r="AN35" s="261"/>
      <c r="AO35" s="11">
        <v>3500</v>
      </c>
      <c r="AP35" s="11">
        <v>0</v>
      </c>
      <c r="AQ35" s="11">
        <v>2760</v>
      </c>
      <c r="AR35" s="11">
        <v>0</v>
      </c>
      <c r="AS35" s="11">
        <v>0</v>
      </c>
      <c r="AT35" s="11">
        <v>0</v>
      </c>
    </row>
    <row r="36" spans="1:46" ht="18" customHeight="1">
      <c r="A36" s="260" t="s">
        <v>248</v>
      </c>
      <c r="B36" s="260" t="s">
        <v>249</v>
      </c>
      <c r="C36" s="260" t="s">
        <v>100</v>
      </c>
      <c r="D36" s="260" t="s">
        <v>994</v>
      </c>
      <c r="E36" s="260" t="s">
        <v>995</v>
      </c>
      <c r="F36" s="260" t="s">
        <v>1007</v>
      </c>
      <c r="G36" s="260" t="s">
        <v>1008</v>
      </c>
      <c r="H36" s="260" t="s">
        <v>1016</v>
      </c>
      <c r="I36" s="260"/>
      <c r="J36" s="260"/>
      <c r="K36" s="260" t="s">
        <v>1017</v>
      </c>
      <c r="L36" s="260" t="s">
        <v>1018</v>
      </c>
      <c r="M36" s="260" t="s">
        <v>1019</v>
      </c>
      <c r="N36" s="260" t="s">
        <v>111</v>
      </c>
      <c r="O36" s="260" t="s">
        <v>124</v>
      </c>
      <c r="P36" s="10">
        <v>1</v>
      </c>
      <c r="Q36" s="11">
        <v>1</v>
      </c>
      <c r="R36" s="11">
        <f>(Z36+AH36)/2</f>
        <v>0</v>
      </c>
      <c r="S36" s="261" t="s">
        <v>4103</v>
      </c>
      <c r="T36" s="11">
        <v>0</v>
      </c>
      <c r="U36" s="11">
        <v>1</v>
      </c>
      <c r="V36" s="11">
        <v>0</v>
      </c>
      <c r="W36" s="11">
        <v>1</v>
      </c>
      <c r="X36" s="11" t="s">
        <v>115</v>
      </c>
      <c r="Y36" s="11">
        <v>0</v>
      </c>
      <c r="Z36" s="11">
        <v>0</v>
      </c>
      <c r="AA36" s="11">
        <v>0</v>
      </c>
      <c r="AB36" s="11"/>
      <c r="AC36" s="11">
        <v>0</v>
      </c>
      <c r="AD36" s="11">
        <v>0</v>
      </c>
      <c r="AE36" s="11">
        <v>1</v>
      </c>
      <c r="AF36" s="261">
        <v>0</v>
      </c>
      <c r="AG36" s="261"/>
      <c r="AH36" s="11">
        <f>AG36</f>
        <v>0</v>
      </c>
      <c r="AI36" s="261"/>
      <c r="AJ36" s="261" t="s">
        <v>4100</v>
      </c>
      <c r="AK36" s="261"/>
      <c r="AL36" s="261"/>
      <c r="AM36" s="118"/>
      <c r="AN36" s="261"/>
      <c r="AO36" s="11">
        <v>0</v>
      </c>
      <c r="AP36" s="11">
        <v>1</v>
      </c>
      <c r="AQ36" s="11">
        <v>0</v>
      </c>
      <c r="AR36" s="11">
        <v>1</v>
      </c>
      <c r="AS36" s="11">
        <v>0</v>
      </c>
      <c r="AT36" s="11">
        <v>0</v>
      </c>
    </row>
    <row r="37" spans="1:46" ht="18" customHeight="1">
      <c r="A37" s="260" t="s">
        <v>248</v>
      </c>
      <c r="B37" s="260" t="s">
        <v>249</v>
      </c>
      <c r="C37" s="260" t="s">
        <v>100</v>
      </c>
      <c r="D37" s="260" t="s">
        <v>994</v>
      </c>
      <c r="E37" s="260" t="s">
        <v>995</v>
      </c>
      <c r="F37" s="260" t="s">
        <v>1007</v>
      </c>
      <c r="G37" s="260" t="s">
        <v>1008</v>
      </c>
      <c r="H37" s="260" t="s">
        <v>1020</v>
      </c>
      <c r="I37" s="260"/>
      <c r="J37" s="260"/>
      <c r="K37" s="260" t="s">
        <v>1021</v>
      </c>
      <c r="L37" s="260" t="s">
        <v>1022</v>
      </c>
      <c r="M37" s="260" t="s">
        <v>1023</v>
      </c>
      <c r="N37" s="260" t="s">
        <v>111</v>
      </c>
      <c r="O37" s="260" t="s">
        <v>112</v>
      </c>
      <c r="P37" s="10">
        <v>40</v>
      </c>
      <c r="Q37" s="11">
        <v>50</v>
      </c>
      <c r="R37" s="11">
        <f t="shared" ref="R37:R39" si="6">Z37+AH37</f>
        <v>11</v>
      </c>
      <c r="S37" s="261"/>
      <c r="T37" s="11">
        <v>3</v>
      </c>
      <c r="U37" s="11">
        <v>0</v>
      </c>
      <c r="V37" s="11">
        <v>0</v>
      </c>
      <c r="W37" s="11">
        <v>0</v>
      </c>
      <c r="X37" s="11">
        <v>0</v>
      </c>
      <c r="Y37" s="11">
        <v>0</v>
      </c>
      <c r="Z37" s="11">
        <v>0</v>
      </c>
      <c r="AA37" s="11"/>
      <c r="AB37" s="11"/>
      <c r="AC37" s="11"/>
      <c r="AD37" s="11">
        <v>15</v>
      </c>
      <c r="AE37" s="11">
        <v>0</v>
      </c>
      <c r="AF37" s="261">
        <v>11</v>
      </c>
      <c r="AG37" s="261"/>
      <c r="AH37" s="9">
        <f t="shared" ref="AH37:AH38" si="7">AF37</f>
        <v>11</v>
      </c>
      <c r="AI37" s="261"/>
      <c r="AJ37" s="65" t="s">
        <v>4104</v>
      </c>
      <c r="AK37" s="261"/>
      <c r="AL37" s="261"/>
      <c r="AM37" s="118"/>
      <c r="AN37" s="261"/>
      <c r="AO37" s="11">
        <v>18</v>
      </c>
      <c r="AP37" s="11">
        <v>0</v>
      </c>
      <c r="AQ37" s="11">
        <v>17</v>
      </c>
      <c r="AR37" s="11">
        <v>0</v>
      </c>
      <c r="AS37" s="11">
        <v>0</v>
      </c>
      <c r="AT37" s="11">
        <v>0</v>
      </c>
    </row>
    <row r="38" spans="1:46" ht="18" customHeight="1">
      <c r="A38" s="260" t="s">
        <v>248</v>
      </c>
      <c r="B38" s="260" t="s">
        <v>249</v>
      </c>
      <c r="C38" s="260" t="s">
        <v>100</v>
      </c>
      <c r="D38" s="260" t="s">
        <v>1074</v>
      </c>
      <c r="E38" s="260" t="s">
        <v>1075</v>
      </c>
      <c r="F38" s="260" t="s">
        <v>1076</v>
      </c>
      <c r="G38" s="260" t="s">
        <v>1077</v>
      </c>
      <c r="H38" s="260" t="s">
        <v>1092</v>
      </c>
      <c r="I38" s="260"/>
      <c r="J38" s="260"/>
      <c r="K38" s="260" t="s">
        <v>1093</v>
      </c>
      <c r="L38" s="260" t="s">
        <v>1094</v>
      </c>
      <c r="M38" s="260" t="s">
        <v>1095</v>
      </c>
      <c r="N38" s="260" t="s">
        <v>111</v>
      </c>
      <c r="O38" s="260" t="s">
        <v>112</v>
      </c>
      <c r="P38" s="10">
        <v>40</v>
      </c>
      <c r="Q38" s="11">
        <v>40</v>
      </c>
      <c r="R38" s="11">
        <f t="shared" si="6"/>
        <v>20</v>
      </c>
      <c r="S38" s="261" t="s">
        <v>4105</v>
      </c>
      <c r="T38" s="11">
        <v>5</v>
      </c>
      <c r="U38" s="11">
        <v>0</v>
      </c>
      <c r="V38" s="11">
        <v>5</v>
      </c>
      <c r="W38" s="11">
        <v>0</v>
      </c>
      <c r="X38" s="11">
        <v>7</v>
      </c>
      <c r="Y38" s="11">
        <v>0</v>
      </c>
      <c r="Z38" s="11">
        <v>7</v>
      </c>
      <c r="AA38" s="11">
        <v>0</v>
      </c>
      <c r="AB38" s="11" t="s">
        <v>1096</v>
      </c>
      <c r="AC38" s="11">
        <v>0</v>
      </c>
      <c r="AD38" s="11">
        <v>12</v>
      </c>
      <c r="AE38" s="11">
        <v>0</v>
      </c>
      <c r="AF38" s="261">
        <v>13</v>
      </c>
      <c r="AG38" s="261"/>
      <c r="AH38" s="9">
        <f t="shared" si="7"/>
        <v>13</v>
      </c>
      <c r="AI38" s="261"/>
      <c r="AJ38" s="65" t="s">
        <v>4106</v>
      </c>
      <c r="AK38" s="261"/>
      <c r="AL38" s="261"/>
      <c r="AM38" s="118"/>
      <c r="AN38" s="261"/>
      <c r="AO38" s="11">
        <v>10</v>
      </c>
      <c r="AP38" s="11">
        <v>0</v>
      </c>
      <c r="AQ38" s="11">
        <v>11</v>
      </c>
      <c r="AR38" s="11">
        <v>0</v>
      </c>
      <c r="AS38" s="11">
        <v>0</v>
      </c>
      <c r="AT38" s="11">
        <v>0</v>
      </c>
    </row>
    <row r="39" spans="1:46" ht="18" customHeight="1">
      <c r="A39" s="260" t="s">
        <v>248</v>
      </c>
      <c r="B39" s="260" t="s">
        <v>249</v>
      </c>
      <c r="C39" s="260" t="s">
        <v>100</v>
      </c>
      <c r="D39" s="260" t="s">
        <v>1074</v>
      </c>
      <c r="E39" s="260" t="s">
        <v>1134</v>
      </c>
      <c r="F39" s="260" t="s">
        <v>1135</v>
      </c>
      <c r="G39" s="260" t="s">
        <v>1136</v>
      </c>
      <c r="H39" s="260" t="s">
        <v>1151</v>
      </c>
      <c r="I39" s="260" t="s">
        <v>106</v>
      </c>
      <c r="J39" s="260"/>
      <c r="K39" s="260" t="s">
        <v>1152</v>
      </c>
      <c r="L39" s="260" t="s">
        <v>1153</v>
      </c>
      <c r="M39" s="260" t="s">
        <v>1154</v>
      </c>
      <c r="N39" s="260" t="s">
        <v>111</v>
      </c>
      <c r="O39" s="260" t="s">
        <v>112</v>
      </c>
      <c r="P39" s="10">
        <v>10</v>
      </c>
      <c r="Q39" s="11">
        <v>13</v>
      </c>
      <c r="R39" s="11">
        <f t="shared" si="6"/>
        <v>17</v>
      </c>
      <c r="S39" s="261" t="s">
        <v>4107</v>
      </c>
      <c r="T39" s="11">
        <v>13</v>
      </c>
      <c r="U39" s="11">
        <v>0</v>
      </c>
      <c r="V39" s="11">
        <v>13</v>
      </c>
      <c r="W39" s="11">
        <v>0</v>
      </c>
      <c r="X39" s="11">
        <v>6</v>
      </c>
      <c r="Y39" s="11">
        <v>0</v>
      </c>
      <c r="Z39" s="11">
        <v>6</v>
      </c>
      <c r="AA39" s="11">
        <v>0</v>
      </c>
      <c r="AB39" s="11" t="s">
        <v>1155</v>
      </c>
      <c r="AC39" s="11">
        <v>0</v>
      </c>
      <c r="AD39" s="11">
        <v>13</v>
      </c>
      <c r="AE39" s="11">
        <v>0</v>
      </c>
      <c r="AF39" s="261">
        <v>11</v>
      </c>
      <c r="AG39" s="261"/>
      <c r="AH39" s="9">
        <f t="shared" ref="AH39" si="8">AF39</f>
        <v>11</v>
      </c>
      <c r="AI39" s="261"/>
      <c r="AJ39" s="65" t="s">
        <v>4108</v>
      </c>
      <c r="AK39" s="261"/>
      <c r="AL39" s="261"/>
      <c r="AM39" s="118"/>
      <c r="AN39" s="261"/>
      <c r="AO39" s="11">
        <v>13</v>
      </c>
      <c r="AP39" s="11">
        <v>0</v>
      </c>
      <c r="AQ39" s="11">
        <v>13</v>
      </c>
      <c r="AR39" s="11">
        <v>0</v>
      </c>
      <c r="AS39" s="11">
        <v>0</v>
      </c>
      <c r="AT39" s="11">
        <v>0</v>
      </c>
    </row>
    <row r="40" spans="1:46" s="3" customFormat="1">
      <c r="L40" s="5"/>
      <c r="AM40" s="124"/>
    </row>
  </sheetData>
  <sheetProtection algorithmName="SHA-512" hashValue="IxyUsV+ULdcMQOwFB4Ghycc9uQINYyyqRdrEU7NzTtIQUSugoT1gBjFr4+jwE8wOZSXEYoYZVo3CkVjSbDEW0g==" saltValue="Kgt/OL/Aoj0xWbt0wSskHA==" spinCount="100000" sheet="1" autoFilter="0"/>
  <autoFilter ref="A12:IZ39" xr:uid="{00000000-0009-0000-0000-00001D000000}"/>
  <customSheetViews>
    <customSheetView guid="{75629C99-8367-48E9-A2A2-D8C49A9E68E3}" scale="80" showAutoFilter="1" hiddenRows="1" hiddenColumns="1" topLeftCell="S1">
      <pane ySplit="12" topLeftCell="A13" activePane="bottomLeft" state="frozen"/>
      <selection pane="bottomLeft" activeCell="Q1" sqref="Q1"/>
      <pageMargins left="0" right="0" top="0" bottom="0" header="0" footer="0"/>
      <pageSetup orientation="portrait" r:id="rId1"/>
      <autoFilter ref="A12:IZ39" xr:uid="{9184424C-5579-40ED-974A-8D1631E74570}"/>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39">
    <cfRule type="duplicateValues" dxfId="3" priority="1"/>
  </conditionalFormatting>
  <pageMargins left="0.7" right="0.7" top="0.75" bottom="0.75" header="0.3" footer="0.3"/>
  <pageSetup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T15"/>
  <sheetViews>
    <sheetView topLeftCell="X1" zoomScale="80" zoomScaleNormal="80" workbookViewId="0">
      <selection activeCell="AN17" sqref="AN17"/>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212</v>
      </c>
      <c r="B13" s="260" t="s">
        <v>213</v>
      </c>
      <c r="C13" s="260" t="s">
        <v>100</v>
      </c>
      <c r="D13" s="260" t="s">
        <v>101</v>
      </c>
      <c r="E13" s="260" t="s">
        <v>189</v>
      </c>
      <c r="F13" s="260" t="s">
        <v>190</v>
      </c>
      <c r="G13" s="260" t="s">
        <v>191</v>
      </c>
      <c r="H13" s="260" t="s">
        <v>214</v>
      </c>
      <c r="I13" s="260"/>
      <c r="J13" s="260"/>
      <c r="K13" s="260" t="s">
        <v>215</v>
      </c>
      <c r="L13" s="260" t="s">
        <v>216</v>
      </c>
      <c r="M13" s="260" t="s">
        <v>217</v>
      </c>
      <c r="N13" s="260" t="s">
        <v>111</v>
      </c>
      <c r="O13" s="260" t="s">
        <v>112</v>
      </c>
      <c r="P13" s="10">
        <v>651</v>
      </c>
      <c r="Q13" s="11">
        <v>7000</v>
      </c>
      <c r="R13" s="11">
        <f t="shared" ref="R13:R14" si="0">Z13+AH13</f>
        <v>5873</v>
      </c>
      <c r="S13" s="261" t="s">
        <v>4109</v>
      </c>
      <c r="T13" s="11">
        <v>100</v>
      </c>
      <c r="U13" s="11">
        <v>0</v>
      </c>
      <c r="V13" s="11">
        <v>100</v>
      </c>
      <c r="W13" s="11">
        <v>0</v>
      </c>
      <c r="X13" s="11">
        <v>3852</v>
      </c>
      <c r="Y13" s="11">
        <v>0</v>
      </c>
      <c r="Z13" s="11">
        <v>3852</v>
      </c>
      <c r="AA13" s="11" t="s">
        <v>218</v>
      </c>
      <c r="AB13" s="11" t="s">
        <v>219</v>
      </c>
      <c r="AC13" s="11" t="s">
        <v>220</v>
      </c>
      <c r="AD13" s="11">
        <v>1900</v>
      </c>
      <c r="AE13" s="11">
        <v>0</v>
      </c>
      <c r="AF13" s="261">
        <v>2021</v>
      </c>
      <c r="AG13" s="261">
        <v>0</v>
      </c>
      <c r="AH13" s="9">
        <f t="shared" ref="AH13" si="1">AF13</f>
        <v>2021</v>
      </c>
      <c r="AI13" s="261" t="s">
        <v>4110</v>
      </c>
      <c r="AJ13" s="149" t="s">
        <v>4111</v>
      </c>
      <c r="AK13" s="261" t="s">
        <v>3702</v>
      </c>
      <c r="AL13" s="149" t="s">
        <v>4112</v>
      </c>
      <c r="AM13" s="152" t="s">
        <v>3868</v>
      </c>
      <c r="AN13" s="152" t="s">
        <v>3868</v>
      </c>
      <c r="AO13" s="11">
        <v>1000</v>
      </c>
      <c r="AP13" s="11">
        <v>0</v>
      </c>
      <c r="AQ13" s="11">
        <v>1000</v>
      </c>
      <c r="AR13" s="11">
        <v>0</v>
      </c>
      <c r="AS13" s="11">
        <v>0</v>
      </c>
      <c r="AT13" s="11">
        <v>0</v>
      </c>
    </row>
    <row r="14" spans="1:46" ht="18" customHeight="1">
      <c r="A14" s="260" t="s">
        <v>212</v>
      </c>
      <c r="B14" s="260" t="s">
        <v>213</v>
      </c>
      <c r="C14" s="260" t="s">
        <v>1286</v>
      </c>
      <c r="D14" s="260" t="s">
        <v>1287</v>
      </c>
      <c r="E14" s="260" t="s">
        <v>1288</v>
      </c>
      <c r="F14" s="260" t="s">
        <v>1289</v>
      </c>
      <c r="G14" s="260" t="s">
        <v>1290</v>
      </c>
      <c r="H14" s="260" t="s">
        <v>1291</v>
      </c>
      <c r="I14" s="260"/>
      <c r="J14" s="260"/>
      <c r="K14" s="260" t="s">
        <v>1292</v>
      </c>
      <c r="L14" s="260" t="s">
        <v>1293</v>
      </c>
      <c r="M14" s="260" t="s">
        <v>1294</v>
      </c>
      <c r="N14" s="260" t="s">
        <v>111</v>
      </c>
      <c r="O14" s="260" t="s">
        <v>112</v>
      </c>
      <c r="P14" s="10">
        <v>0</v>
      </c>
      <c r="Q14" s="11">
        <v>3</v>
      </c>
      <c r="R14" s="11">
        <f t="shared" si="0"/>
        <v>6</v>
      </c>
      <c r="S14" s="261" t="s">
        <v>4113</v>
      </c>
      <c r="T14" s="11">
        <v>3</v>
      </c>
      <c r="U14" s="11">
        <v>0</v>
      </c>
      <c r="V14" s="11">
        <v>3</v>
      </c>
      <c r="W14" s="11">
        <v>0</v>
      </c>
      <c r="X14" s="11">
        <v>3</v>
      </c>
      <c r="Y14" s="11">
        <v>0</v>
      </c>
      <c r="Z14" s="11">
        <v>3</v>
      </c>
      <c r="AA14" s="11"/>
      <c r="AB14" s="11" t="s">
        <v>1295</v>
      </c>
      <c r="AC14" s="11"/>
      <c r="AD14" s="11">
        <v>0</v>
      </c>
      <c r="AE14" s="11">
        <v>3</v>
      </c>
      <c r="AF14" s="261">
        <v>0</v>
      </c>
      <c r="AG14" s="261">
        <v>3</v>
      </c>
      <c r="AH14" s="9">
        <f>AG14</f>
        <v>3</v>
      </c>
      <c r="AI14" s="261" t="s">
        <v>4114</v>
      </c>
      <c r="AJ14" s="149" t="s">
        <v>4115</v>
      </c>
      <c r="AK14" s="261" t="s">
        <v>3702</v>
      </c>
      <c r="AL14" s="149" t="s">
        <v>4112</v>
      </c>
      <c r="AM14" s="152" t="s">
        <v>3868</v>
      </c>
      <c r="AN14" s="149" t="s">
        <v>3868</v>
      </c>
      <c r="AO14" s="11">
        <v>0</v>
      </c>
      <c r="AP14" s="11">
        <v>0</v>
      </c>
      <c r="AQ14" s="11">
        <v>0</v>
      </c>
      <c r="AR14" s="11">
        <v>0</v>
      </c>
      <c r="AS14" s="11">
        <v>0</v>
      </c>
      <c r="AT14" s="11">
        <v>0</v>
      </c>
    </row>
    <row r="15" spans="1:46" s="3" customFormat="1">
      <c r="L15" s="5"/>
      <c r="AM15" s="124"/>
    </row>
  </sheetData>
  <sheetProtection algorithmName="SHA-512" hashValue="QFU7OfKvFgZk99Bax1LcGu4Q9ZgZd5ruU3MnYZ4VqsLhn4GM39cPZ8SATrWhkpmVCRBfSs/JfjZXBPccCjJTHQ==" saltValue="BW1Cl8HcHM65DT7G/Wcznw==" spinCount="100000" sheet="1" autoFilter="0"/>
  <autoFilter ref="A12:IZ14" xr:uid="{00000000-0009-0000-0000-00001E000000}"/>
  <customSheetViews>
    <customSheetView guid="{75629C99-8367-48E9-A2A2-D8C49A9E68E3}" scale="80" showAutoFilter="1" hiddenRows="1" topLeftCell="X10">
      <selection activeCell="AF21" sqref="AF21:AP23"/>
      <pageMargins left="0" right="0" top="0" bottom="0" header="0" footer="0"/>
      <pageSetup orientation="portrait" r:id="rId1"/>
      <autoFilter ref="A12:IZ14" xr:uid="{DB496A76-8815-42AF-8D75-54B36059529D}"/>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AT49"/>
  <sheetViews>
    <sheetView topLeftCell="O9" zoomScale="80" zoomScaleNormal="80" workbookViewId="0">
      <pane ySplit="4" topLeftCell="A45" activePane="bottomLeft" state="frozen"/>
      <selection pane="bottomLeft" activeCell="AI48" sqref="AI48"/>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221</v>
      </c>
      <c r="B13" s="260" t="s">
        <v>222</v>
      </c>
      <c r="C13" s="260" t="s">
        <v>100</v>
      </c>
      <c r="D13" s="260" t="s">
        <v>101</v>
      </c>
      <c r="E13" s="260" t="s">
        <v>189</v>
      </c>
      <c r="F13" s="260" t="s">
        <v>190</v>
      </c>
      <c r="G13" s="260" t="s">
        <v>191</v>
      </c>
      <c r="H13" s="260" t="s">
        <v>223</v>
      </c>
      <c r="I13" s="260"/>
      <c r="J13" s="260"/>
      <c r="K13" s="260" t="s">
        <v>224</v>
      </c>
      <c r="L13" s="260" t="s">
        <v>225</v>
      </c>
      <c r="M13" s="260" t="s">
        <v>226</v>
      </c>
      <c r="N13" s="260" t="s">
        <v>111</v>
      </c>
      <c r="O13" s="260" t="s">
        <v>112</v>
      </c>
      <c r="P13" s="10">
        <v>15</v>
      </c>
      <c r="Q13" s="11">
        <v>25</v>
      </c>
      <c r="R13" s="11">
        <f t="shared" ref="R13:R14" si="0">Z13+AH13</f>
        <v>17</v>
      </c>
      <c r="S13" s="154" t="s">
        <v>4116</v>
      </c>
      <c r="T13" s="11">
        <v>5</v>
      </c>
      <c r="U13" s="11">
        <v>0</v>
      </c>
      <c r="V13" s="11">
        <v>5</v>
      </c>
      <c r="W13" s="11">
        <v>0</v>
      </c>
      <c r="X13" s="11">
        <v>8</v>
      </c>
      <c r="Y13" s="11">
        <v>0</v>
      </c>
      <c r="Z13" s="11">
        <v>8</v>
      </c>
      <c r="AA13" s="11" t="s">
        <v>227</v>
      </c>
      <c r="AB13" s="11" t="s">
        <v>228</v>
      </c>
      <c r="AC13" s="11" t="s">
        <v>229</v>
      </c>
      <c r="AD13" s="11">
        <v>7</v>
      </c>
      <c r="AE13" s="11">
        <v>0</v>
      </c>
      <c r="AF13" s="261">
        <v>9</v>
      </c>
      <c r="AG13" s="261"/>
      <c r="AH13" s="9">
        <f t="shared" ref="AH13:AH14" si="1">AF13</f>
        <v>9</v>
      </c>
      <c r="AI13" s="261" t="s">
        <v>4117</v>
      </c>
      <c r="AJ13" s="65" t="s">
        <v>4118</v>
      </c>
      <c r="AK13" s="261"/>
      <c r="AL13" s="261"/>
      <c r="AM13" s="118"/>
      <c r="AN13" s="261"/>
      <c r="AO13" s="11">
        <v>7</v>
      </c>
      <c r="AP13" s="11">
        <v>0</v>
      </c>
      <c r="AQ13" s="11">
        <v>6</v>
      </c>
      <c r="AR13" s="11">
        <v>0</v>
      </c>
      <c r="AS13" s="11">
        <v>0</v>
      </c>
      <c r="AT13" s="11">
        <v>0</v>
      </c>
    </row>
    <row r="14" spans="1:46" ht="18" customHeight="1">
      <c r="A14" s="260" t="s">
        <v>221</v>
      </c>
      <c r="B14" s="260" t="s">
        <v>222</v>
      </c>
      <c r="C14" s="260" t="s">
        <v>100</v>
      </c>
      <c r="D14" s="260" t="s">
        <v>101</v>
      </c>
      <c r="E14" s="260" t="s">
        <v>189</v>
      </c>
      <c r="F14" s="260" t="s">
        <v>190</v>
      </c>
      <c r="G14" s="260" t="s">
        <v>191</v>
      </c>
      <c r="H14" s="260" t="s">
        <v>230</v>
      </c>
      <c r="I14" s="260"/>
      <c r="J14" s="260"/>
      <c r="K14" s="260" t="s">
        <v>231</v>
      </c>
      <c r="L14" s="260" t="s">
        <v>232</v>
      </c>
      <c r="M14" s="260" t="s">
        <v>233</v>
      </c>
      <c r="N14" s="260" t="s">
        <v>111</v>
      </c>
      <c r="O14" s="260" t="s">
        <v>112</v>
      </c>
      <c r="P14" s="10">
        <v>4</v>
      </c>
      <c r="Q14" s="11">
        <v>12</v>
      </c>
      <c r="R14" s="11">
        <f t="shared" si="0"/>
        <v>3</v>
      </c>
      <c r="S14" s="65" t="s">
        <v>4119</v>
      </c>
      <c r="T14" s="11">
        <v>1</v>
      </c>
      <c r="U14" s="11">
        <v>0</v>
      </c>
      <c r="V14" s="11">
        <v>1</v>
      </c>
      <c r="W14" s="11">
        <v>0</v>
      </c>
      <c r="X14" s="11">
        <v>0</v>
      </c>
      <c r="Y14" s="11">
        <v>0</v>
      </c>
      <c r="Z14" s="11">
        <v>0</v>
      </c>
      <c r="AA14" s="11"/>
      <c r="AB14" s="11"/>
      <c r="AC14" s="11"/>
      <c r="AD14" s="11">
        <v>4</v>
      </c>
      <c r="AE14" s="11">
        <v>0</v>
      </c>
      <c r="AF14" s="261">
        <v>3</v>
      </c>
      <c r="AG14" s="261"/>
      <c r="AH14" s="9">
        <f t="shared" si="1"/>
        <v>3</v>
      </c>
      <c r="AI14" s="261" t="s">
        <v>4120</v>
      </c>
      <c r="AJ14" s="65" t="s">
        <v>4121</v>
      </c>
      <c r="AK14" s="261"/>
      <c r="AL14" s="261"/>
      <c r="AM14" s="118"/>
      <c r="AN14" s="261"/>
      <c r="AO14" s="11">
        <v>4</v>
      </c>
      <c r="AP14" s="11">
        <v>0</v>
      </c>
      <c r="AQ14" s="11">
        <v>3</v>
      </c>
      <c r="AR14" s="11">
        <v>0</v>
      </c>
      <c r="AS14" s="11">
        <v>0</v>
      </c>
      <c r="AT14" s="11">
        <v>0</v>
      </c>
    </row>
    <row r="15" spans="1:46" ht="18" customHeight="1">
      <c r="A15" s="260" t="s">
        <v>221</v>
      </c>
      <c r="B15" s="260" t="s">
        <v>222</v>
      </c>
      <c r="C15" s="260" t="s">
        <v>100</v>
      </c>
      <c r="D15" s="260" t="s">
        <v>101</v>
      </c>
      <c r="E15" s="260" t="s">
        <v>189</v>
      </c>
      <c r="F15" s="260" t="s">
        <v>190</v>
      </c>
      <c r="G15" s="260" t="s">
        <v>191</v>
      </c>
      <c r="H15" s="260" t="s">
        <v>234</v>
      </c>
      <c r="I15" s="260"/>
      <c r="J15" s="260"/>
      <c r="K15" s="260" t="s">
        <v>235</v>
      </c>
      <c r="L15" s="260" t="s">
        <v>236</v>
      </c>
      <c r="M15" s="260" t="s">
        <v>237</v>
      </c>
      <c r="N15" s="260" t="s">
        <v>111</v>
      </c>
      <c r="O15" s="260" t="s">
        <v>124</v>
      </c>
      <c r="P15" s="10">
        <v>90</v>
      </c>
      <c r="Q15" s="11">
        <v>90</v>
      </c>
      <c r="R15" s="11">
        <f>(Z15+AH15)/2</f>
        <v>97.5</v>
      </c>
      <c r="S15" s="65" t="s">
        <v>4122</v>
      </c>
      <c r="T15" s="11">
        <v>0</v>
      </c>
      <c r="U15" s="11">
        <v>90</v>
      </c>
      <c r="V15" s="11">
        <v>0</v>
      </c>
      <c r="W15" s="11">
        <v>90</v>
      </c>
      <c r="X15" s="11" t="s">
        <v>115</v>
      </c>
      <c r="Y15" s="11">
        <v>92</v>
      </c>
      <c r="Z15" s="11">
        <v>92</v>
      </c>
      <c r="AA15" s="11" t="s">
        <v>238</v>
      </c>
      <c r="AB15" s="11" t="s">
        <v>239</v>
      </c>
      <c r="AC15" s="11" t="e">
        <f ca="1">- Debido a la pandemia los procesos se iniciaron fuera del cronograma inicialmente establecido.- la cobertura ha disminuido en los municipios, Debido a que por la pandemia las personas han dejado de asistir.</f>
        <v>#NAME?</v>
      </c>
      <c r="AD15" s="11">
        <v>0</v>
      </c>
      <c r="AE15" s="11">
        <v>90</v>
      </c>
      <c r="AF15" s="261"/>
      <c r="AG15" s="261">
        <v>103</v>
      </c>
      <c r="AH15" s="11">
        <f>AG15</f>
        <v>103</v>
      </c>
      <c r="AI15" s="261" t="s">
        <v>4123</v>
      </c>
      <c r="AJ15" s="65" t="s">
        <v>4124</v>
      </c>
      <c r="AK15" s="261"/>
      <c r="AL15" s="261"/>
      <c r="AM15" s="118"/>
      <c r="AN15" s="261"/>
      <c r="AO15" s="11">
        <v>0</v>
      </c>
      <c r="AP15" s="11">
        <v>90</v>
      </c>
      <c r="AQ15" s="11">
        <v>0</v>
      </c>
      <c r="AR15" s="11">
        <v>90</v>
      </c>
      <c r="AS15" s="11">
        <v>0</v>
      </c>
      <c r="AT15" s="11">
        <v>0</v>
      </c>
    </row>
    <row r="16" spans="1:46" ht="18" customHeight="1">
      <c r="A16" s="260" t="s">
        <v>221</v>
      </c>
      <c r="B16" s="260" t="s">
        <v>222</v>
      </c>
      <c r="C16" s="260" t="s">
        <v>100</v>
      </c>
      <c r="D16" s="260" t="s">
        <v>101</v>
      </c>
      <c r="E16" s="260" t="s">
        <v>189</v>
      </c>
      <c r="F16" s="260" t="s">
        <v>190</v>
      </c>
      <c r="G16" s="260" t="s">
        <v>191</v>
      </c>
      <c r="H16" s="260" t="s">
        <v>241</v>
      </c>
      <c r="I16" s="260"/>
      <c r="J16" s="260"/>
      <c r="K16" s="260" t="s">
        <v>242</v>
      </c>
      <c r="L16" s="260" t="s">
        <v>243</v>
      </c>
      <c r="M16" s="260" t="s">
        <v>244</v>
      </c>
      <c r="N16" s="260" t="s">
        <v>111</v>
      </c>
      <c r="O16" s="260" t="s">
        <v>112</v>
      </c>
      <c r="P16" s="10">
        <v>17</v>
      </c>
      <c r="Q16" s="11">
        <v>40</v>
      </c>
      <c r="R16" s="11">
        <f t="shared" ref="R16:R18" si="2">Z16+AH16</f>
        <v>21</v>
      </c>
      <c r="S16" s="65" t="s">
        <v>4125</v>
      </c>
      <c r="T16" s="11">
        <v>10</v>
      </c>
      <c r="U16" s="11">
        <v>0</v>
      </c>
      <c r="V16" s="11">
        <v>8</v>
      </c>
      <c r="W16" s="11">
        <v>0</v>
      </c>
      <c r="X16" s="11">
        <v>8</v>
      </c>
      <c r="Y16" s="11">
        <v>0</v>
      </c>
      <c r="Z16" s="11">
        <v>8</v>
      </c>
      <c r="AA16" s="11" t="s">
        <v>245</v>
      </c>
      <c r="AB16" s="11" t="s">
        <v>246</v>
      </c>
      <c r="AC16" s="11" t="s">
        <v>247</v>
      </c>
      <c r="AD16" s="11">
        <v>12</v>
      </c>
      <c r="AE16" s="11">
        <v>0</v>
      </c>
      <c r="AF16" s="261">
        <v>13</v>
      </c>
      <c r="AG16" s="261"/>
      <c r="AH16" s="9">
        <f t="shared" ref="AH16" si="3">AF16</f>
        <v>13</v>
      </c>
      <c r="AI16" s="261" t="s">
        <v>4126</v>
      </c>
      <c r="AJ16" s="65" t="s">
        <v>4127</v>
      </c>
      <c r="AK16" s="261"/>
      <c r="AL16" s="261"/>
      <c r="AM16" s="118"/>
      <c r="AN16" s="261"/>
      <c r="AO16" s="11">
        <v>10</v>
      </c>
      <c r="AP16" s="11">
        <v>0</v>
      </c>
      <c r="AQ16" s="11">
        <v>10</v>
      </c>
      <c r="AR16" s="11">
        <v>0</v>
      </c>
      <c r="AS16" s="11">
        <v>0</v>
      </c>
      <c r="AT16" s="11">
        <v>0</v>
      </c>
    </row>
    <row r="17" spans="1:46" ht="18" customHeight="1">
      <c r="A17" s="260" t="s">
        <v>221</v>
      </c>
      <c r="B17" s="260" t="s">
        <v>222</v>
      </c>
      <c r="C17" s="260" t="s">
        <v>100</v>
      </c>
      <c r="D17" s="260" t="s">
        <v>101</v>
      </c>
      <c r="E17" s="260" t="s">
        <v>294</v>
      </c>
      <c r="F17" s="260" t="s">
        <v>398</v>
      </c>
      <c r="G17" s="260" t="s">
        <v>399</v>
      </c>
      <c r="H17" s="260" t="s">
        <v>400</v>
      </c>
      <c r="I17" s="260"/>
      <c r="J17" s="260"/>
      <c r="K17" s="260" t="s">
        <v>401</v>
      </c>
      <c r="L17" s="260" t="s">
        <v>402</v>
      </c>
      <c r="M17" s="260" t="s">
        <v>403</v>
      </c>
      <c r="N17" s="260" t="s">
        <v>111</v>
      </c>
      <c r="O17" s="260" t="s">
        <v>112</v>
      </c>
      <c r="P17" s="10">
        <v>30</v>
      </c>
      <c r="Q17" s="11">
        <v>30</v>
      </c>
      <c r="R17" s="11">
        <f t="shared" si="2"/>
        <v>7</v>
      </c>
      <c r="S17" s="261" t="s">
        <v>4128</v>
      </c>
      <c r="T17" s="11">
        <v>0</v>
      </c>
      <c r="U17" s="11">
        <v>0</v>
      </c>
      <c r="V17" s="11">
        <v>0</v>
      </c>
      <c r="W17" s="11">
        <v>0</v>
      </c>
      <c r="X17" s="11">
        <v>0</v>
      </c>
      <c r="Y17" s="11">
        <v>0</v>
      </c>
      <c r="Z17" s="11">
        <v>0</v>
      </c>
      <c r="AA17" s="11"/>
      <c r="AB17" s="11"/>
      <c r="AC17" s="11"/>
      <c r="AD17" s="11">
        <v>10</v>
      </c>
      <c r="AE17" s="11">
        <v>0</v>
      </c>
      <c r="AF17" s="261">
        <v>7</v>
      </c>
      <c r="AG17" s="261"/>
      <c r="AH17" s="9">
        <f t="shared" ref="AH17:AH18" si="4">AF17</f>
        <v>7</v>
      </c>
      <c r="AI17" s="261" t="s">
        <v>4129</v>
      </c>
      <c r="AJ17" s="261" t="s">
        <v>4128</v>
      </c>
      <c r="AK17" s="261"/>
      <c r="AL17" s="261"/>
      <c r="AM17" s="118"/>
      <c r="AN17" s="261"/>
      <c r="AO17" s="11">
        <v>10</v>
      </c>
      <c r="AP17" s="11">
        <v>0</v>
      </c>
      <c r="AQ17" s="11">
        <v>10</v>
      </c>
      <c r="AR17" s="11">
        <v>0</v>
      </c>
      <c r="AS17" s="11">
        <v>0</v>
      </c>
      <c r="AT17" s="11">
        <v>0</v>
      </c>
    </row>
    <row r="18" spans="1:46" ht="18" customHeight="1">
      <c r="A18" s="260" t="s">
        <v>221</v>
      </c>
      <c r="B18" s="260" t="s">
        <v>222</v>
      </c>
      <c r="C18" s="260" t="s">
        <v>100</v>
      </c>
      <c r="D18" s="260" t="s">
        <v>101</v>
      </c>
      <c r="E18" s="260" t="s">
        <v>294</v>
      </c>
      <c r="F18" s="260" t="s">
        <v>398</v>
      </c>
      <c r="G18" s="260" t="s">
        <v>399</v>
      </c>
      <c r="H18" s="260" t="s">
        <v>404</v>
      </c>
      <c r="I18" s="260"/>
      <c r="J18" s="260"/>
      <c r="K18" s="260" t="s">
        <v>405</v>
      </c>
      <c r="L18" s="260" t="s">
        <v>406</v>
      </c>
      <c r="M18" s="260" t="s">
        <v>407</v>
      </c>
      <c r="N18" s="260" t="s">
        <v>111</v>
      </c>
      <c r="O18" s="260" t="s">
        <v>112</v>
      </c>
      <c r="P18" s="10">
        <v>1</v>
      </c>
      <c r="Q18" s="11">
        <v>1</v>
      </c>
      <c r="R18" s="11">
        <f t="shared" si="2"/>
        <v>0.45</v>
      </c>
      <c r="S18" s="65" t="s">
        <v>4130</v>
      </c>
      <c r="T18" s="11">
        <v>0.25</v>
      </c>
      <c r="U18" s="11">
        <v>0</v>
      </c>
      <c r="V18" s="11">
        <v>0.25</v>
      </c>
      <c r="W18" s="11">
        <v>0</v>
      </c>
      <c r="X18" s="11">
        <v>0.25</v>
      </c>
      <c r="Y18" s="11">
        <v>0</v>
      </c>
      <c r="Z18" s="11">
        <v>0.25</v>
      </c>
      <c r="AA18" s="11" t="s">
        <v>408</v>
      </c>
      <c r="AB18" s="11" t="s">
        <v>409</v>
      </c>
      <c r="AC18" s="11" t="e">
        <f ca="1">- las vías en mal estado para los desplazamientos del equipo de acompañamiento territorial.- Incremento en el valor de trasporte municipal.</f>
        <v>#NAME?</v>
      </c>
      <c r="AD18" s="11">
        <v>0.25</v>
      </c>
      <c r="AE18" s="11">
        <v>0</v>
      </c>
      <c r="AF18" s="261">
        <v>0.2</v>
      </c>
      <c r="AG18" s="261"/>
      <c r="AH18" s="9">
        <f t="shared" si="4"/>
        <v>0.2</v>
      </c>
      <c r="AI18" s="261" t="s">
        <v>4131</v>
      </c>
      <c r="AJ18" s="261" t="s">
        <v>4132</v>
      </c>
      <c r="AK18" s="56"/>
      <c r="AL18" s="261"/>
      <c r="AM18" s="118"/>
      <c r="AN18" s="261"/>
      <c r="AO18" s="11">
        <v>0.25</v>
      </c>
      <c r="AP18" s="11">
        <v>0</v>
      </c>
      <c r="AQ18" s="11">
        <v>0.25</v>
      </c>
      <c r="AR18" s="11">
        <v>0</v>
      </c>
      <c r="AS18" s="11">
        <v>0</v>
      </c>
      <c r="AT18" s="11">
        <v>0</v>
      </c>
    </row>
    <row r="19" spans="1:46" ht="27.75" customHeight="1">
      <c r="A19" s="260" t="s">
        <v>221</v>
      </c>
      <c r="B19" s="260" t="s">
        <v>222</v>
      </c>
      <c r="C19" s="260" t="s">
        <v>100</v>
      </c>
      <c r="D19" s="260" t="s">
        <v>101</v>
      </c>
      <c r="E19" s="260" t="s">
        <v>294</v>
      </c>
      <c r="F19" s="260" t="s">
        <v>398</v>
      </c>
      <c r="G19" s="260" t="s">
        <v>399</v>
      </c>
      <c r="H19" s="260" t="s">
        <v>411</v>
      </c>
      <c r="I19" s="260"/>
      <c r="J19" s="260"/>
      <c r="K19" s="260" t="s">
        <v>412</v>
      </c>
      <c r="L19" s="260" t="s">
        <v>413</v>
      </c>
      <c r="M19" s="260" t="s">
        <v>414</v>
      </c>
      <c r="N19" s="260" t="s">
        <v>123</v>
      </c>
      <c r="O19" s="260" t="s">
        <v>124</v>
      </c>
      <c r="P19" s="10">
        <v>81</v>
      </c>
      <c r="Q19" s="11">
        <v>100</v>
      </c>
      <c r="R19" s="11">
        <f>(Z19+AH19)/2</f>
        <v>100</v>
      </c>
      <c r="S19" s="65" t="s">
        <v>4133</v>
      </c>
      <c r="T19" s="11">
        <v>0</v>
      </c>
      <c r="U19" s="11">
        <v>100</v>
      </c>
      <c r="V19" s="11">
        <v>0</v>
      </c>
      <c r="W19" s="11">
        <v>100</v>
      </c>
      <c r="X19" s="11" t="s">
        <v>115</v>
      </c>
      <c r="Y19" s="11">
        <v>100</v>
      </c>
      <c r="Z19" s="11">
        <v>100</v>
      </c>
      <c r="AA19" s="11">
        <v>0</v>
      </c>
      <c r="AB19" s="11" t="s">
        <v>415</v>
      </c>
      <c r="AC19" s="11">
        <v>0</v>
      </c>
      <c r="AD19" s="11">
        <v>0</v>
      </c>
      <c r="AE19" s="11">
        <v>100</v>
      </c>
      <c r="AF19" s="261"/>
      <c r="AG19" s="261">
        <v>100</v>
      </c>
      <c r="AH19" s="11">
        <f>AG19</f>
        <v>100</v>
      </c>
      <c r="AI19" s="261" t="s">
        <v>4131</v>
      </c>
      <c r="AJ19" s="65" t="s">
        <v>4134</v>
      </c>
      <c r="AK19" s="261"/>
      <c r="AL19" s="261"/>
      <c r="AM19" s="118"/>
      <c r="AN19" s="261"/>
      <c r="AO19" s="11">
        <v>0</v>
      </c>
      <c r="AP19" s="11">
        <v>100</v>
      </c>
      <c r="AQ19" s="11">
        <v>0</v>
      </c>
      <c r="AR19" s="11">
        <v>100</v>
      </c>
      <c r="AS19" s="11">
        <v>0</v>
      </c>
      <c r="AT19" s="11">
        <v>0</v>
      </c>
    </row>
    <row r="20" spans="1:46" ht="18" customHeight="1">
      <c r="A20" s="260" t="s">
        <v>221</v>
      </c>
      <c r="B20" s="260" t="s">
        <v>222</v>
      </c>
      <c r="C20" s="260" t="s">
        <v>100</v>
      </c>
      <c r="D20" s="260" t="s">
        <v>101</v>
      </c>
      <c r="E20" s="260" t="s">
        <v>294</v>
      </c>
      <c r="F20" s="260" t="s">
        <v>398</v>
      </c>
      <c r="G20" s="260" t="s">
        <v>399</v>
      </c>
      <c r="H20" s="260" t="s">
        <v>416</v>
      </c>
      <c r="I20" s="260"/>
      <c r="J20" s="260"/>
      <c r="K20" s="260" t="s">
        <v>417</v>
      </c>
      <c r="L20" s="260" t="s">
        <v>418</v>
      </c>
      <c r="M20" s="260" t="s">
        <v>419</v>
      </c>
      <c r="N20" s="260" t="s">
        <v>111</v>
      </c>
      <c r="O20" s="260" t="s">
        <v>112</v>
      </c>
      <c r="P20" s="10">
        <v>0</v>
      </c>
      <c r="Q20" s="11">
        <v>1</v>
      </c>
      <c r="R20" s="11">
        <f t="shared" ref="R20:R28" si="5">Z20+AH20</f>
        <v>0</v>
      </c>
      <c r="S20" s="261"/>
      <c r="T20" s="11">
        <v>0</v>
      </c>
      <c r="U20" s="11">
        <v>0</v>
      </c>
      <c r="V20" s="11">
        <v>0</v>
      </c>
      <c r="W20" s="11">
        <v>0</v>
      </c>
      <c r="X20" s="11">
        <v>0</v>
      </c>
      <c r="Y20" s="11">
        <v>0</v>
      </c>
      <c r="Z20" s="11">
        <v>0</v>
      </c>
      <c r="AA20" s="11"/>
      <c r="AB20" s="11"/>
      <c r="AC20" s="11"/>
      <c r="AD20" s="11">
        <v>0</v>
      </c>
      <c r="AE20" s="11">
        <v>0</v>
      </c>
      <c r="AF20" s="261">
        <v>0</v>
      </c>
      <c r="AG20" s="261"/>
      <c r="AH20" s="9">
        <f t="shared" ref="AH20:AH22" si="6">AF20</f>
        <v>0</v>
      </c>
      <c r="AI20" s="261"/>
      <c r="AJ20" s="261"/>
      <c r="AK20" s="261"/>
      <c r="AL20" s="261"/>
      <c r="AM20" s="118"/>
      <c r="AN20" s="261"/>
      <c r="AO20" s="11">
        <v>0.5</v>
      </c>
      <c r="AP20" s="11">
        <v>0</v>
      </c>
      <c r="AQ20" s="11">
        <v>0.5</v>
      </c>
      <c r="AR20" s="11">
        <v>0</v>
      </c>
      <c r="AS20" s="11">
        <v>0</v>
      </c>
      <c r="AT20" s="11">
        <v>0</v>
      </c>
    </row>
    <row r="21" spans="1:46" ht="18" customHeight="1">
      <c r="A21" s="260" t="s">
        <v>221</v>
      </c>
      <c r="B21" s="260" t="s">
        <v>222</v>
      </c>
      <c r="C21" s="260" t="s">
        <v>100</v>
      </c>
      <c r="D21" s="260" t="s">
        <v>101</v>
      </c>
      <c r="E21" s="260" t="s">
        <v>294</v>
      </c>
      <c r="F21" s="260" t="s">
        <v>398</v>
      </c>
      <c r="G21" s="260" t="s">
        <v>399</v>
      </c>
      <c r="H21" s="260" t="s">
        <v>420</v>
      </c>
      <c r="I21" s="260"/>
      <c r="J21" s="260"/>
      <c r="K21" s="260" t="s">
        <v>421</v>
      </c>
      <c r="L21" s="260" t="s">
        <v>422</v>
      </c>
      <c r="M21" s="260" t="s">
        <v>423</v>
      </c>
      <c r="N21" s="260" t="s">
        <v>111</v>
      </c>
      <c r="O21" s="260" t="s">
        <v>112</v>
      </c>
      <c r="P21" s="10">
        <v>8</v>
      </c>
      <c r="Q21" s="11">
        <v>8</v>
      </c>
      <c r="R21" s="11">
        <f t="shared" si="5"/>
        <v>5</v>
      </c>
      <c r="S21" s="261" t="s">
        <v>4135</v>
      </c>
      <c r="T21" s="11">
        <v>0</v>
      </c>
      <c r="U21" s="11">
        <v>0</v>
      </c>
      <c r="V21" s="11">
        <v>0</v>
      </c>
      <c r="W21" s="11">
        <v>0</v>
      </c>
      <c r="X21" s="11">
        <v>0</v>
      </c>
      <c r="Y21" s="11">
        <v>0</v>
      </c>
      <c r="Z21" s="11">
        <v>0</v>
      </c>
      <c r="AA21" s="11"/>
      <c r="AB21" s="11"/>
      <c r="AC21" s="11"/>
      <c r="AD21" s="11">
        <v>2</v>
      </c>
      <c r="AE21" s="11">
        <v>0</v>
      </c>
      <c r="AF21" s="261">
        <v>5</v>
      </c>
      <c r="AG21" s="261"/>
      <c r="AH21" s="9">
        <f t="shared" si="6"/>
        <v>5</v>
      </c>
      <c r="AI21" s="261" t="s">
        <v>4136</v>
      </c>
      <c r="AJ21" s="261" t="s">
        <v>4137</v>
      </c>
      <c r="AK21" s="261"/>
      <c r="AL21" s="261"/>
      <c r="AM21" s="118"/>
      <c r="AN21" s="261"/>
      <c r="AO21" s="11">
        <v>3</v>
      </c>
      <c r="AP21" s="11">
        <v>0</v>
      </c>
      <c r="AQ21" s="11">
        <v>3</v>
      </c>
      <c r="AR21" s="11">
        <v>0</v>
      </c>
      <c r="AS21" s="11">
        <v>0</v>
      </c>
      <c r="AT21" s="11">
        <v>0</v>
      </c>
    </row>
    <row r="22" spans="1:46" ht="18" customHeight="1">
      <c r="A22" s="260" t="s">
        <v>221</v>
      </c>
      <c r="B22" s="260" t="s">
        <v>222</v>
      </c>
      <c r="C22" s="260" t="s">
        <v>100</v>
      </c>
      <c r="D22" s="260" t="s">
        <v>101</v>
      </c>
      <c r="E22" s="260" t="s">
        <v>294</v>
      </c>
      <c r="F22" s="260" t="s">
        <v>398</v>
      </c>
      <c r="G22" s="260" t="s">
        <v>399</v>
      </c>
      <c r="H22" s="260" t="s">
        <v>424</v>
      </c>
      <c r="I22" s="260"/>
      <c r="J22" s="260"/>
      <c r="K22" s="260" t="s">
        <v>425</v>
      </c>
      <c r="L22" s="260" t="s">
        <v>426</v>
      </c>
      <c r="M22" s="260" t="s">
        <v>427</v>
      </c>
      <c r="N22" s="260" t="s">
        <v>111</v>
      </c>
      <c r="O22" s="260" t="s">
        <v>112</v>
      </c>
      <c r="P22" s="10">
        <v>12</v>
      </c>
      <c r="Q22" s="11">
        <v>8</v>
      </c>
      <c r="R22" s="11">
        <f t="shared" si="5"/>
        <v>3</v>
      </c>
      <c r="S22" s="261" t="s">
        <v>4138</v>
      </c>
      <c r="T22" s="11">
        <v>0</v>
      </c>
      <c r="U22" s="11">
        <v>0</v>
      </c>
      <c r="V22" s="11">
        <v>0</v>
      </c>
      <c r="W22" s="11">
        <v>0</v>
      </c>
      <c r="X22" s="11">
        <v>0</v>
      </c>
      <c r="Y22" s="11">
        <v>0</v>
      </c>
      <c r="Z22" s="11">
        <v>0</v>
      </c>
      <c r="AA22" s="11"/>
      <c r="AB22" s="11"/>
      <c r="AC22" s="11"/>
      <c r="AD22" s="11">
        <v>2</v>
      </c>
      <c r="AE22" s="11">
        <v>0</v>
      </c>
      <c r="AF22" s="261">
        <v>3</v>
      </c>
      <c r="AG22" s="261"/>
      <c r="AH22" s="9">
        <f t="shared" si="6"/>
        <v>3</v>
      </c>
      <c r="AI22" s="56" t="s">
        <v>4139</v>
      </c>
      <c r="AJ22" s="65" t="s">
        <v>4140</v>
      </c>
      <c r="AK22" s="261"/>
      <c r="AL22" s="261"/>
      <c r="AM22" s="118"/>
      <c r="AN22" s="261"/>
      <c r="AO22" s="11">
        <v>3</v>
      </c>
      <c r="AP22" s="11">
        <v>0</v>
      </c>
      <c r="AQ22" s="11">
        <v>3</v>
      </c>
      <c r="AR22" s="11">
        <v>0</v>
      </c>
      <c r="AS22" s="11">
        <v>0</v>
      </c>
      <c r="AT22" s="11">
        <v>0</v>
      </c>
    </row>
    <row r="23" spans="1:46" ht="18" customHeight="1">
      <c r="A23" s="260" t="s">
        <v>221</v>
      </c>
      <c r="B23" s="260" t="s">
        <v>222</v>
      </c>
      <c r="C23" s="260" t="s">
        <v>100</v>
      </c>
      <c r="D23" s="260" t="s">
        <v>508</v>
      </c>
      <c r="E23" s="260" t="s">
        <v>509</v>
      </c>
      <c r="F23" s="260" t="s">
        <v>763</v>
      </c>
      <c r="G23" s="260" t="s">
        <v>764</v>
      </c>
      <c r="H23" s="260" t="s">
        <v>765</v>
      </c>
      <c r="I23" s="260"/>
      <c r="J23" s="260"/>
      <c r="K23" s="260" t="s">
        <v>766</v>
      </c>
      <c r="L23" s="260" t="s">
        <v>767</v>
      </c>
      <c r="M23" s="260" t="s">
        <v>768</v>
      </c>
      <c r="N23" s="260" t="s">
        <v>111</v>
      </c>
      <c r="O23" s="260" t="s">
        <v>112</v>
      </c>
      <c r="P23" s="10">
        <v>4</v>
      </c>
      <c r="Q23" s="11">
        <v>4</v>
      </c>
      <c r="R23" s="11">
        <f t="shared" si="5"/>
        <v>1</v>
      </c>
      <c r="S23" s="65" t="s">
        <v>4141</v>
      </c>
      <c r="T23" s="11">
        <v>0</v>
      </c>
      <c r="U23" s="11">
        <v>0</v>
      </c>
      <c r="V23" s="11">
        <v>0</v>
      </c>
      <c r="W23" s="11">
        <v>0</v>
      </c>
      <c r="X23" s="11">
        <v>0</v>
      </c>
      <c r="Y23" s="11">
        <v>0</v>
      </c>
      <c r="Z23" s="11">
        <v>0</v>
      </c>
      <c r="AA23" s="11"/>
      <c r="AB23" s="11"/>
      <c r="AC23" s="11"/>
      <c r="AD23" s="11">
        <v>2</v>
      </c>
      <c r="AE23" s="11">
        <v>0</v>
      </c>
      <c r="AF23" s="261">
        <v>1</v>
      </c>
      <c r="AG23" s="261"/>
      <c r="AH23" s="9">
        <f t="shared" ref="AH23:AH24" si="7">AF23</f>
        <v>1</v>
      </c>
      <c r="AI23" s="261" t="s">
        <v>4139</v>
      </c>
      <c r="AJ23" s="65" t="s">
        <v>4142</v>
      </c>
      <c r="AK23" s="261"/>
      <c r="AL23" s="261"/>
      <c r="AM23" s="118"/>
      <c r="AN23" s="261"/>
      <c r="AO23" s="11">
        <v>1</v>
      </c>
      <c r="AP23" s="11">
        <v>0</v>
      </c>
      <c r="AQ23" s="11">
        <v>1</v>
      </c>
      <c r="AR23" s="11">
        <v>0</v>
      </c>
      <c r="AS23" s="11">
        <v>0</v>
      </c>
      <c r="AT23" s="11">
        <v>0</v>
      </c>
    </row>
    <row r="24" spans="1:46" ht="18" customHeight="1">
      <c r="A24" s="260" t="s">
        <v>221</v>
      </c>
      <c r="B24" s="260" t="s">
        <v>222</v>
      </c>
      <c r="C24" s="260" t="s">
        <v>100</v>
      </c>
      <c r="D24" s="260" t="s">
        <v>508</v>
      </c>
      <c r="E24" s="260" t="s">
        <v>769</v>
      </c>
      <c r="F24" s="260" t="s">
        <v>819</v>
      </c>
      <c r="G24" s="260" t="s">
        <v>820</v>
      </c>
      <c r="H24" s="260" t="s">
        <v>821</v>
      </c>
      <c r="I24" s="260"/>
      <c r="J24" s="260"/>
      <c r="K24" s="260" t="s">
        <v>822</v>
      </c>
      <c r="L24" s="260" t="s">
        <v>823</v>
      </c>
      <c r="M24" s="260" t="s">
        <v>824</v>
      </c>
      <c r="N24" s="260" t="s">
        <v>111</v>
      </c>
      <c r="O24" s="260" t="s">
        <v>112</v>
      </c>
      <c r="P24" s="10">
        <v>15</v>
      </c>
      <c r="Q24" s="11">
        <v>40</v>
      </c>
      <c r="R24" s="11">
        <f t="shared" si="5"/>
        <v>19</v>
      </c>
      <c r="S24" s="65" t="s">
        <v>4143</v>
      </c>
      <c r="T24" s="11">
        <v>2</v>
      </c>
      <c r="U24" s="11">
        <v>0</v>
      </c>
      <c r="V24" s="11">
        <v>2</v>
      </c>
      <c r="W24" s="11">
        <v>0</v>
      </c>
      <c r="X24" s="11">
        <v>7</v>
      </c>
      <c r="Y24" s="11">
        <v>0</v>
      </c>
      <c r="Z24" s="11">
        <v>7</v>
      </c>
      <c r="AA24" s="11" t="s">
        <v>825</v>
      </c>
      <c r="AB24" s="11" t="s">
        <v>826</v>
      </c>
      <c r="AC24" s="11" t="s">
        <v>827</v>
      </c>
      <c r="AD24" s="11">
        <v>6</v>
      </c>
      <c r="AE24" s="11">
        <v>0</v>
      </c>
      <c r="AF24" s="261">
        <v>12</v>
      </c>
      <c r="AG24" s="261"/>
      <c r="AH24" s="9">
        <f t="shared" si="7"/>
        <v>12</v>
      </c>
      <c r="AI24" s="261" t="s">
        <v>4144</v>
      </c>
      <c r="AJ24" s="65" t="s">
        <v>4145</v>
      </c>
      <c r="AK24" s="261"/>
      <c r="AL24" s="261"/>
      <c r="AM24" s="118"/>
      <c r="AN24" s="261"/>
      <c r="AO24" s="11">
        <v>6</v>
      </c>
      <c r="AP24" s="11">
        <v>0</v>
      </c>
      <c r="AQ24" s="11">
        <v>6</v>
      </c>
      <c r="AR24" s="11">
        <v>0</v>
      </c>
      <c r="AS24" s="11">
        <v>0</v>
      </c>
      <c r="AT24" s="11">
        <v>0</v>
      </c>
    </row>
    <row r="25" spans="1:46" ht="18" customHeight="1">
      <c r="A25" s="260" t="s">
        <v>221</v>
      </c>
      <c r="B25" s="260" t="s">
        <v>222</v>
      </c>
      <c r="C25" s="260" t="s">
        <v>100</v>
      </c>
      <c r="D25" s="260" t="s">
        <v>1074</v>
      </c>
      <c r="E25" s="260" t="s">
        <v>1134</v>
      </c>
      <c r="F25" s="260" t="s">
        <v>1135</v>
      </c>
      <c r="G25" s="260" t="s">
        <v>1136</v>
      </c>
      <c r="H25" s="260" t="s">
        <v>1144</v>
      </c>
      <c r="I25" s="260"/>
      <c r="J25" s="260"/>
      <c r="K25" s="260" t="s">
        <v>1145</v>
      </c>
      <c r="L25" s="260" t="s">
        <v>1146</v>
      </c>
      <c r="M25" s="260" t="s">
        <v>1147</v>
      </c>
      <c r="N25" s="260" t="s">
        <v>111</v>
      </c>
      <c r="O25" s="260" t="s">
        <v>112</v>
      </c>
      <c r="P25" s="10">
        <v>0</v>
      </c>
      <c r="Q25" s="11">
        <v>6</v>
      </c>
      <c r="R25" s="11">
        <f t="shared" si="5"/>
        <v>2</v>
      </c>
      <c r="S25" s="115" t="s">
        <v>4146</v>
      </c>
      <c r="T25" s="11">
        <v>1</v>
      </c>
      <c r="U25" s="11">
        <v>0</v>
      </c>
      <c r="V25" s="11">
        <v>1</v>
      </c>
      <c r="W25" s="11">
        <v>0</v>
      </c>
      <c r="X25" s="11">
        <v>1</v>
      </c>
      <c r="Y25" s="11">
        <v>0</v>
      </c>
      <c r="Z25" s="11">
        <v>1</v>
      </c>
      <c r="AA25" s="11" t="s">
        <v>1148</v>
      </c>
      <c r="AB25" s="11" t="s">
        <v>1149</v>
      </c>
      <c r="AC25" s="11" t="s">
        <v>1150</v>
      </c>
      <c r="AD25" s="11">
        <v>2</v>
      </c>
      <c r="AE25" s="11">
        <v>0</v>
      </c>
      <c r="AF25" s="261">
        <v>1</v>
      </c>
      <c r="AG25" s="261"/>
      <c r="AH25" s="9">
        <f t="shared" ref="AH25" si="8">AF25</f>
        <v>1</v>
      </c>
      <c r="AI25" s="261" t="s">
        <v>4147</v>
      </c>
      <c r="AJ25" s="261" t="s">
        <v>4148</v>
      </c>
      <c r="AK25" s="261"/>
      <c r="AL25" s="261"/>
      <c r="AM25" s="118"/>
      <c r="AN25" s="261"/>
      <c r="AO25" s="11">
        <v>2</v>
      </c>
      <c r="AP25" s="11">
        <v>0</v>
      </c>
      <c r="AQ25" s="11">
        <v>1</v>
      </c>
      <c r="AR25" s="11">
        <v>0</v>
      </c>
      <c r="AS25" s="11">
        <v>0</v>
      </c>
      <c r="AT25" s="11">
        <v>0</v>
      </c>
    </row>
    <row r="26" spans="1:46" ht="18" customHeight="1">
      <c r="A26" s="260" t="s">
        <v>221</v>
      </c>
      <c r="B26" s="260" t="s">
        <v>222</v>
      </c>
      <c r="C26" s="260" t="s">
        <v>1286</v>
      </c>
      <c r="D26" s="260" t="s">
        <v>1389</v>
      </c>
      <c r="E26" s="260" t="s">
        <v>1390</v>
      </c>
      <c r="F26" s="260" t="s">
        <v>1391</v>
      </c>
      <c r="G26" s="260" t="s">
        <v>1392</v>
      </c>
      <c r="H26" s="260" t="s">
        <v>1397</v>
      </c>
      <c r="I26" s="260"/>
      <c r="J26" s="260"/>
      <c r="K26" s="260" t="s">
        <v>1398</v>
      </c>
      <c r="L26" s="260" t="s">
        <v>1399</v>
      </c>
      <c r="M26" s="260" t="s">
        <v>1400</v>
      </c>
      <c r="N26" s="260" t="s">
        <v>111</v>
      </c>
      <c r="O26" s="260" t="s">
        <v>112</v>
      </c>
      <c r="P26" s="10">
        <v>0</v>
      </c>
      <c r="Q26" s="11">
        <v>1</v>
      </c>
      <c r="R26" s="11">
        <f t="shared" si="5"/>
        <v>0</v>
      </c>
      <c r="S26" s="261"/>
      <c r="T26" s="11">
        <v>0</v>
      </c>
      <c r="U26" s="11">
        <v>0</v>
      </c>
      <c r="V26" s="11">
        <v>0</v>
      </c>
      <c r="W26" s="11">
        <v>0</v>
      </c>
      <c r="X26" s="11">
        <v>0</v>
      </c>
      <c r="Y26" s="11">
        <v>0</v>
      </c>
      <c r="Z26" s="11">
        <v>0</v>
      </c>
      <c r="AA26" s="11"/>
      <c r="AB26" s="11"/>
      <c r="AC26" s="11"/>
      <c r="AD26" s="11">
        <v>0</v>
      </c>
      <c r="AE26" s="11">
        <v>0</v>
      </c>
      <c r="AF26" s="261">
        <v>0</v>
      </c>
      <c r="AG26" s="261"/>
      <c r="AH26" s="9">
        <f t="shared" ref="AH26" si="9">AF26</f>
        <v>0</v>
      </c>
      <c r="AI26" s="261"/>
      <c r="AJ26" s="261"/>
      <c r="AK26" s="261"/>
      <c r="AL26" s="261"/>
      <c r="AM26" s="118"/>
      <c r="AN26" s="261"/>
      <c r="AO26" s="11">
        <v>0.5</v>
      </c>
      <c r="AP26" s="11">
        <v>0</v>
      </c>
      <c r="AQ26" s="11">
        <v>0.5</v>
      </c>
      <c r="AR26" s="11">
        <v>0</v>
      </c>
      <c r="AS26" s="11">
        <v>0</v>
      </c>
      <c r="AT26" s="11">
        <v>0</v>
      </c>
    </row>
    <row r="27" spans="1:46" ht="18" customHeight="1">
      <c r="A27" s="260" t="s">
        <v>221</v>
      </c>
      <c r="B27" s="260" t="s">
        <v>222</v>
      </c>
      <c r="C27" s="260" t="s">
        <v>1286</v>
      </c>
      <c r="D27" s="260" t="s">
        <v>1496</v>
      </c>
      <c r="E27" s="260" t="s">
        <v>1561</v>
      </c>
      <c r="F27" s="260" t="s">
        <v>1562</v>
      </c>
      <c r="G27" s="260" t="s">
        <v>1563</v>
      </c>
      <c r="H27" s="260" t="s">
        <v>1564</v>
      </c>
      <c r="I27" s="260"/>
      <c r="J27" s="260"/>
      <c r="K27" s="260" t="s">
        <v>1565</v>
      </c>
      <c r="L27" s="260" t="s">
        <v>1566</v>
      </c>
      <c r="M27" s="260" t="s">
        <v>1567</v>
      </c>
      <c r="N27" s="260" t="s">
        <v>111</v>
      </c>
      <c r="O27" s="260" t="s">
        <v>112</v>
      </c>
      <c r="P27" s="10">
        <v>4</v>
      </c>
      <c r="Q27" s="11">
        <v>10</v>
      </c>
      <c r="R27" s="11">
        <f t="shared" si="5"/>
        <v>1</v>
      </c>
      <c r="S27" s="65" t="s">
        <v>4149</v>
      </c>
      <c r="T27" s="11">
        <v>0</v>
      </c>
      <c r="U27" s="11">
        <v>0</v>
      </c>
      <c r="V27" s="11">
        <v>0</v>
      </c>
      <c r="W27" s="11">
        <v>0</v>
      </c>
      <c r="X27" s="11">
        <v>0</v>
      </c>
      <c r="Y27" s="11">
        <v>0</v>
      </c>
      <c r="Z27" s="11">
        <v>0</v>
      </c>
      <c r="AA27" s="11"/>
      <c r="AB27" s="11"/>
      <c r="AC27" s="11"/>
      <c r="AD27" s="11">
        <v>3</v>
      </c>
      <c r="AE27" s="11">
        <v>0</v>
      </c>
      <c r="AF27" s="261">
        <v>1</v>
      </c>
      <c r="AG27" s="261"/>
      <c r="AH27" s="9">
        <f t="shared" ref="AH27:AH28" si="10">AF27</f>
        <v>1</v>
      </c>
      <c r="AI27" s="261" t="s">
        <v>4139</v>
      </c>
      <c r="AJ27" s="65" t="s">
        <v>4150</v>
      </c>
      <c r="AK27" s="261"/>
      <c r="AL27" s="261"/>
      <c r="AM27" s="118"/>
      <c r="AN27" s="261"/>
      <c r="AO27" s="11">
        <v>4</v>
      </c>
      <c r="AP27" s="11">
        <v>0</v>
      </c>
      <c r="AQ27" s="11">
        <v>3</v>
      </c>
      <c r="AR27" s="11">
        <v>0</v>
      </c>
      <c r="AS27" s="11">
        <v>0</v>
      </c>
      <c r="AT27" s="11">
        <v>0</v>
      </c>
    </row>
    <row r="28" spans="1:46" ht="18" customHeight="1">
      <c r="A28" s="260" t="s">
        <v>221</v>
      </c>
      <c r="B28" s="260" t="s">
        <v>222</v>
      </c>
      <c r="C28" s="260" t="s">
        <v>1286</v>
      </c>
      <c r="D28" s="260" t="s">
        <v>1657</v>
      </c>
      <c r="E28" s="260" t="s">
        <v>1658</v>
      </c>
      <c r="F28" s="260" t="s">
        <v>1659</v>
      </c>
      <c r="G28" s="260" t="s">
        <v>1660</v>
      </c>
      <c r="H28" s="260" t="s">
        <v>1661</v>
      </c>
      <c r="I28" s="260"/>
      <c r="J28" s="260"/>
      <c r="K28" s="260" t="s">
        <v>1662</v>
      </c>
      <c r="L28" s="260" t="s">
        <v>1663</v>
      </c>
      <c r="M28" s="260" t="s">
        <v>1664</v>
      </c>
      <c r="N28" s="260" t="s">
        <v>111</v>
      </c>
      <c r="O28" s="260" t="s">
        <v>112</v>
      </c>
      <c r="P28" s="10">
        <v>23</v>
      </c>
      <c r="Q28" s="11">
        <v>450</v>
      </c>
      <c r="R28" s="11">
        <f t="shared" si="5"/>
        <v>346</v>
      </c>
      <c r="S28" s="261" t="s">
        <v>4151</v>
      </c>
      <c r="T28" s="11">
        <v>0</v>
      </c>
      <c r="U28" s="11">
        <v>0</v>
      </c>
      <c r="V28" s="11">
        <v>30</v>
      </c>
      <c r="W28" s="11">
        <v>0</v>
      </c>
      <c r="X28" s="11">
        <v>346</v>
      </c>
      <c r="Y28" s="11">
        <v>0</v>
      </c>
      <c r="Z28" s="11">
        <v>346</v>
      </c>
      <c r="AA28" s="11" t="s">
        <v>1665</v>
      </c>
      <c r="AB28" s="11" t="s">
        <v>1666</v>
      </c>
      <c r="AC28" s="11" t="s">
        <v>1667</v>
      </c>
      <c r="AD28" s="11">
        <v>30</v>
      </c>
      <c r="AE28" s="11">
        <v>0</v>
      </c>
      <c r="AF28" s="261">
        <v>0</v>
      </c>
      <c r="AG28" s="261"/>
      <c r="AH28" s="9">
        <f t="shared" si="10"/>
        <v>0</v>
      </c>
      <c r="AI28" s="261"/>
      <c r="AJ28" s="261"/>
      <c r="AK28" s="261"/>
      <c r="AL28" s="261"/>
      <c r="AM28" s="118"/>
      <c r="AN28" s="261"/>
      <c r="AO28" s="11">
        <v>10</v>
      </c>
      <c r="AP28" s="11">
        <v>0</v>
      </c>
      <c r="AQ28" s="11">
        <v>10</v>
      </c>
      <c r="AR28" s="11">
        <v>0</v>
      </c>
      <c r="AS28" s="11">
        <v>0</v>
      </c>
      <c r="AT28" s="11">
        <v>0</v>
      </c>
    </row>
    <row r="29" spans="1:46" ht="18" customHeight="1">
      <c r="A29" s="260" t="s">
        <v>221</v>
      </c>
      <c r="B29" s="260" t="s">
        <v>222</v>
      </c>
      <c r="C29" s="260" t="s">
        <v>1286</v>
      </c>
      <c r="D29" s="260" t="s">
        <v>1657</v>
      </c>
      <c r="E29" s="260" t="s">
        <v>1696</v>
      </c>
      <c r="F29" s="260" t="s">
        <v>1697</v>
      </c>
      <c r="G29" s="260" t="s">
        <v>1698</v>
      </c>
      <c r="H29" s="260" t="s">
        <v>1699</v>
      </c>
      <c r="I29" s="260"/>
      <c r="J29" s="260"/>
      <c r="K29" s="260" t="s">
        <v>1700</v>
      </c>
      <c r="L29" s="260" t="s">
        <v>1701</v>
      </c>
      <c r="M29" s="260" t="s">
        <v>1702</v>
      </c>
      <c r="N29" s="260" t="s">
        <v>111</v>
      </c>
      <c r="O29" s="260" t="s">
        <v>124</v>
      </c>
      <c r="P29" s="10">
        <v>0</v>
      </c>
      <c r="Q29" s="11">
        <v>1</v>
      </c>
      <c r="R29" s="11">
        <f>(Z29+AH29)/2</f>
        <v>1</v>
      </c>
      <c r="S29" s="65" t="s">
        <v>4152</v>
      </c>
      <c r="T29" s="11">
        <v>0</v>
      </c>
      <c r="U29" s="11">
        <v>1</v>
      </c>
      <c r="V29" s="11">
        <v>0</v>
      </c>
      <c r="W29" s="11">
        <v>1</v>
      </c>
      <c r="X29" s="11" t="s">
        <v>115</v>
      </c>
      <c r="Y29" s="11">
        <v>1</v>
      </c>
      <c r="Z29" s="11">
        <v>1</v>
      </c>
      <c r="AA29" s="11" t="s">
        <v>1703</v>
      </c>
      <c r="AB29" s="11" t="s">
        <v>1704</v>
      </c>
      <c r="AC29" s="11" t="e">
        <f ca="1">- Articulación institucional</f>
        <v>#NAME?</v>
      </c>
      <c r="AD29" s="11">
        <v>0</v>
      </c>
      <c r="AE29" s="11">
        <v>1</v>
      </c>
      <c r="AF29" s="261"/>
      <c r="AG29" s="261">
        <v>1</v>
      </c>
      <c r="AH29" s="11">
        <f>AG29</f>
        <v>1</v>
      </c>
      <c r="AI29" s="261" t="s">
        <v>4153</v>
      </c>
      <c r="AJ29" s="65" t="s">
        <v>4154</v>
      </c>
      <c r="AK29" s="261"/>
      <c r="AL29" s="261"/>
      <c r="AM29" s="118"/>
      <c r="AN29" s="261"/>
      <c r="AO29" s="11">
        <v>0</v>
      </c>
      <c r="AP29" s="11">
        <v>1</v>
      </c>
      <c r="AQ29" s="11">
        <v>0</v>
      </c>
      <c r="AR29" s="11">
        <v>1</v>
      </c>
      <c r="AS29" s="11">
        <v>0</v>
      </c>
      <c r="AT29" s="11">
        <v>0</v>
      </c>
    </row>
    <row r="30" spans="1:46" ht="18" customHeight="1">
      <c r="A30" s="260" t="s">
        <v>221</v>
      </c>
      <c r="B30" s="260" t="s">
        <v>222</v>
      </c>
      <c r="C30" s="260" t="s">
        <v>1286</v>
      </c>
      <c r="D30" s="260" t="s">
        <v>1657</v>
      </c>
      <c r="E30" s="260" t="s">
        <v>1696</v>
      </c>
      <c r="F30" s="260" t="s">
        <v>1697</v>
      </c>
      <c r="G30" s="260" t="s">
        <v>1698</v>
      </c>
      <c r="H30" s="260" t="s">
        <v>1705</v>
      </c>
      <c r="I30" s="260"/>
      <c r="J30" s="260"/>
      <c r="K30" s="260" t="s">
        <v>1706</v>
      </c>
      <c r="L30" s="260" t="s">
        <v>1707</v>
      </c>
      <c r="M30" s="260" t="s">
        <v>1708</v>
      </c>
      <c r="N30" s="260" t="s">
        <v>111</v>
      </c>
      <c r="O30" s="260" t="s">
        <v>112</v>
      </c>
      <c r="P30" s="10">
        <v>0</v>
      </c>
      <c r="Q30" s="11">
        <v>6</v>
      </c>
      <c r="R30" s="11">
        <f t="shared" ref="R30:R48" si="11">Z30+AH30</f>
        <v>1</v>
      </c>
      <c r="S30" s="261" t="s">
        <v>4155</v>
      </c>
      <c r="T30" s="11">
        <v>0</v>
      </c>
      <c r="U30" s="11">
        <v>0</v>
      </c>
      <c r="V30" s="11">
        <v>0</v>
      </c>
      <c r="W30" s="11">
        <v>0</v>
      </c>
      <c r="X30" s="11">
        <v>0</v>
      </c>
      <c r="Y30" s="11">
        <v>0</v>
      </c>
      <c r="Z30" s="11">
        <v>0</v>
      </c>
      <c r="AA30" s="11"/>
      <c r="AB30" s="11"/>
      <c r="AC30" s="11"/>
      <c r="AD30" s="11">
        <v>2</v>
      </c>
      <c r="AE30" s="11">
        <v>0</v>
      </c>
      <c r="AF30" s="261">
        <v>1</v>
      </c>
      <c r="AG30" s="261"/>
      <c r="AH30" s="9">
        <f t="shared" ref="AH30:AH40" si="12">AF30</f>
        <v>1</v>
      </c>
      <c r="AI30" s="261" t="s">
        <v>4156</v>
      </c>
      <c r="AJ30" s="135" t="s">
        <v>4157</v>
      </c>
      <c r="AK30" s="261"/>
      <c r="AL30" s="261"/>
      <c r="AM30" s="118"/>
      <c r="AN30" s="261"/>
      <c r="AO30" s="11">
        <v>2</v>
      </c>
      <c r="AP30" s="11">
        <v>0</v>
      </c>
      <c r="AQ30" s="11">
        <v>2</v>
      </c>
      <c r="AR30" s="11">
        <v>0</v>
      </c>
      <c r="AS30" s="11">
        <v>0</v>
      </c>
      <c r="AT30" s="11">
        <v>0</v>
      </c>
    </row>
    <row r="31" spans="1:46" ht="18" customHeight="1">
      <c r="A31" s="260" t="s">
        <v>221</v>
      </c>
      <c r="B31" s="260" t="s">
        <v>222</v>
      </c>
      <c r="C31" s="260" t="s">
        <v>1286</v>
      </c>
      <c r="D31" s="260" t="s">
        <v>1657</v>
      </c>
      <c r="E31" s="260" t="s">
        <v>1696</v>
      </c>
      <c r="F31" s="260" t="s">
        <v>1697</v>
      </c>
      <c r="G31" s="260" t="s">
        <v>1698</v>
      </c>
      <c r="H31" s="260" t="s">
        <v>1709</v>
      </c>
      <c r="I31" s="260"/>
      <c r="J31" s="260"/>
      <c r="K31" s="260" t="s">
        <v>1710</v>
      </c>
      <c r="L31" s="260" t="s">
        <v>1711</v>
      </c>
      <c r="M31" s="260" t="s">
        <v>1712</v>
      </c>
      <c r="N31" s="260" t="s">
        <v>111</v>
      </c>
      <c r="O31" s="260" t="s">
        <v>112</v>
      </c>
      <c r="P31" s="10">
        <v>0</v>
      </c>
      <c r="Q31" s="11">
        <v>50</v>
      </c>
      <c r="R31" s="11">
        <f t="shared" si="11"/>
        <v>0</v>
      </c>
      <c r="S31" s="65" t="s">
        <v>4158</v>
      </c>
      <c r="T31" s="11">
        <v>0</v>
      </c>
      <c r="U31" s="11">
        <v>0</v>
      </c>
      <c r="V31" s="11">
        <v>0</v>
      </c>
      <c r="W31" s="11">
        <v>0</v>
      </c>
      <c r="X31" s="11">
        <v>0</v>
      </c>
      <c r="Y31" s="11">
        <v>0</v>
      </c>
      <c r="Z31" s="11">
        <v>0</v>
      </c>
      <c r="AA31" s="11"/>
      <c r="AB31" s="11"/>
      <c r="AC31" s="11"/>
      <c r="AD31" s="11">
        <v>20</v>
      </c>
      <c r="AE31" s="11">
        <v>0</v>
      </c>
      <c r="AF31" s="261">
        <v>0</v>
      </c>
      <c r="AG31" s="261"/>
      <c r="AH31" s="9">
        <f t="shared" si="12"/>
        <v>0</v>
      </c>
      <c r="AI31" s="261" t="s">
        <v>4159</v>
      </c>
      <c r="AJ31" s="65" t="s">
        <v>4160</v>
      </c>
      <c r="AK31" s="261"/>
      <c r="AL31" s="261"/>
      <c r="AM31" s="118"/>
      <c r="AN31" s="261"/>
      <c r="AO31" s="11">
        <v>20</v>
      </c>
      <c r="AP31" s="11">
        <v>0</v>
      </c>
      <c r="AQ31" s="11">
        <v>10</v>
      </c>
      <c r="AR31" s="11">
        <v>0</v>
      </c>
      <c r="AS31" s="11">
        <v>0</v>
      </c>
      <c r="AT31" s="11">
        <v>0</v>
      </c>
    </row>
    <row r="32" spans="1:46" ht="18" customHeight="1">
      <c r="A32" s="260" t="s">
        <v>221</v>
      </c>
      <c r="B32" s="260" t="s">
        <v>222</v>
      </c>
      <c r="C32" s="260" t="s">
        <v>1286</v>
      </c>
      <c r="D32" s="260" t="s">
        <v>1657</v>
      </c>
      <c r="E32" s="260" t="s">
        <v>1696</v>
      </c>
      <c r="F32" s="260" t="s">
        <v>1697</v>
      </c>
      <c r="G32" s="260" t="s">
        <v>1698</v>
      </c>
      <c r="H32" s="260" t="s">
        <v>1713</v>
      </c>
      <c r="I32" s="260"/>
      <c r="J32" s="260"/>
      <c r="K32" s="260" t="s">
        <v>1714</v>
      </c>
      <c r="L32" s="260" t="s">
        <v>1715</v>
      </c>
      <c r="M32" s="260" t="s">
        <v>1716</v>
      </c>
      <c r="N32" s="260" t="s">
        <v>111</v>
      </c>
      <c r="O32" s="260" t="s">
        <v>112</v>
      </c>
      <c r="P32" s="10">
        <v>0</v>
      </c>
      <c r="Q32" s="11">
        <v>500</v>
      </c>
      <c r="R32" s="11">
        <f t="shared" si="11"/>
        <v>557</v>
      </c>
      <c r="S32" s="65" t="s">
        <v>4161</v>
      </c>
      <c r="T32" s="11">
        <v>0</v>
      </c>
      <c r="U32" s="11">
        <v>0</v>
      </c>
      <c r="V32" s="11">
        <v>15</v>
      </c>
      <c r="W32" s="11">
        <v>0</v>
      </c>
      <c r="X32" s="11">
        <v>391</v>
      </c>
      <c r="Y32" s="11">
        <v>0</v>
      </c>
      <c r="Z32" s="11">
        <v>391</v>
      </c>
      <c r="AA32" s="11" t="e">
        <f ca="1">- Incentivos económicos.- Capaciones.- Compra de artesanías.</f>
        <v>#NAME?</v>
      </c>
      <c r="AB32" s="11" t="s">
        <v>1718</v>
      </c>
      <c r="AC32" s="11" t="e">
        <f ca="1">- Falta de apoyo por parte de las administraciones municipales en la socialización de las convocatorias.</f>
        <v>#NAME?</v>
      </c>
      <c r="AD32" s="11">
        <v>15</v>
      </c>
      <c r="AE32" s="11">
        <v>0</v>
      </c>
      <c r="AF32" s="261">
        <v>166</v>
      </c>
      <c r="AG32" s="261"/>
      <c r="AH32" s="9">
        <f t="shared" si="12"/>
        <v>166</v>
      </c>
      <c r="AI32" s="261" t="s">
        <v>4162</v>
      </c>
      <c r="AJ32" s="65" t="s">
        <v>4163</v>
      </c>
      <c r="AK32" s="261"/>
      <c r="AL32" s="261"/>
      <c r="AM32" s="118"/>
      <c r="AN32" s="261"/>
      <c r="AO32" s="11">
        <v>10</v>
      </c>
      <c r="AP32" s="11">
        <v>0</v>
      </c>
      <c r="AQ32" s="11">
        <v>10</v>
      </c>
      <c r="AR32" s="11">
        <v>0</v>
      </c>
      <c r="AS32" s="11">
        <v>0</v>
      </c>
      <c r="AT32" s="11">
        <v>0</v>
      </c>
    </row>
    <row r="33" spans="1:46" ht="18" customHeight="1">
      <c r="A33" s="260" t="s">
        <v>221</v>
      </c>
      <c r="B33" s="260" t="s">
        <v>222</v>
      </c>
      <c r="C33" s="260" t="s">
        <v>1286</v>
      </c>
      <c r="D33" s="260" t="s">
        <v>1657</v>
      </c>
      <c r="E33" s="260" t="s">
        <v>1696</v>
      </c>
      <c r="F33" s="260" t="s">
        <v>1697</v>
      </c>
      <c r="G33" s="260" t="s">
        <v>1698</v>
      </c>
      <c r="H33" s="260" t="s">
        <v>1720</v>
      </c>
      <c r="I33" s="260"/>
      <c r="J33" s="260"/>
      <c r="K33" s="260" t="s">
        <v>1721</v>
      </c>
      <c r="L33" s="260" t="s">
        <v>1722</v>
      </c>
      <c r="M33" s="260" t="s">
        <v>1723</v>
      </c>
      <c r="N33" s="260" t="s">
        <v>111</v>
      </c>
      <c r="O33" s="260" t="s">
        <v>112</v>
      </c>
      <c r="P33" s="10">
        <v>22</v>
      </c>
      <c r="Q33" s="11">
        <v>10</v>
      </c>
      <c r="R33" s="11">
        <f t="shared" si="11"/>
        <v>7</v>
      </c>
      <c r="S33" s="65" t="s">
        <v>4164</v>
      </c>
      <c r="T33" s="11">
        <v>0</v>
      </c>
      <c r="U33" s="11">
        <v>0</v>
      </c>
      <c r="V33" s="11">
        <v>0</v>
      </c>
      <c r="W33" s="11">
        <v>0</v>
      </c>
      <c r="X33" s="11">
        <v>0</v>
      </c>
      <c r="Y33" s="11">
        <v>0</v>
      </c>
      <c r="Z33" s="11">
        <v>0</v>
      </c>
      <c r="AA33" s="11"/>
      <c r="AB33" s="11"/>
      <c r="AC33" s="11"/>
      <c r="AD33" s="11">
        <v>3</v>
      </c>
      <c r="AE33" s="11">
        <v>0</v>
      </c>
      <c r="AF33" s="261">
        <v>7</v>
      </c>
      <c r="AG33" s="261"/>
      <c r="AH33" s="9">
        <f t="shared" si="12"/>
        <v>7</v>
      </c>
      <c r="AI33" s="261" t="s">
        <v>4165</v>
      </c>
      <c r="AJ33" s="135" t="s">
        <v>4166</v>
      </c>
      <c r="AK33" s="261"/>
      <c r="AL33" s="261"/>
      <c r="AM33" s="118"/>
      <c r="AN33" s="261"/>
      <c r="AO33" s="11">
        <v>4</v>
      </c>
      <c r="AP33" s="11">
        <v>0</v>
      </c>
      <c r="AQ33" s="11">
        <v>3</v>
      </c>
      <c r="AR33" s="11">
        <v>0</v>
      </c>
      <c r="AS33" s="11">
        <v>0</v>
      </c>
      <c r="AT33" s="11">
        <v>0</v>
      </c>
    </row>
    <row r="34" spans="1:46" ht="18" customHeight="1">
      <c r="A34" s="260" t="s">
        <v>221</v>
      </c>
      <c r="B34" s="260" t="s">
        <v>222</v>
      </c>
      <c r="C34" s="260" t="s">
        <v>1286</v>
      </c>
      <c r="D34" s="260" t="s">
        <v>1657</v>
      </c>
      <c r="E34" s="260" t="s">
        <v>1696</v>
      </c>
      <c r="F34" s="260" t="s">
        <v>1697</v>
      </c>
      <c r="G34" s="260" t="s">
        <v>1698</v>
      </c>
      <c r="H34" s="260" t="s">
        <v>1724</v>
      </c>
      <c r="I34" s="260"/>
      <c r="J34" s="260"/>
      <c r="K34" s="260" t="s">
        <v>1725</v>
      </c>
      <c r="L34" s="260" t="s">
        <v>1726</v>
      </c>
      <c r="M34" s="260" t="s">
        <v>1727</v>
      </c>
      <c r="N34" s="260" t="s">
        <v>111</v>
      </c>
      <c r="O34" s="260" t="s">
        <v>112</v>
      </c>
      <c r="P34" s="10">
        <v>0</v>
      </c>
      <c r="Q34" s="11">
        <v>200</v>
      </c>
      <c r="R34" s="11">
        <f t="shared" si="11"/>
        <v>255</v>
      </c>
      <c r="S34" s="65" t="s">
        <v>4167</v>
      </c>
      <c r="T34" s="11">
        <v>0</v>
      </c>
      <c r="U34" s="11">
        <v>0</v>
      </c>
      <c r="V34" s="11">
        <v>50</v>
      </c>
      <c r="W34" s="11">
        <v>0</v>
      </c>
      <c r="X34" s="11">
        <v>140</v>
      </c>
      <c r="Y34" s="11">
        <v>0</v>
      </c>
      <c r="Z34" s="11">
        <v>140</v>
      </c>
      <c r="AA34" s="11" t="s">
        <v>1728</v>
      </c>
      <c r="AB34" s="11" t="s">
        <v>1729</v>
      </c>
      <c r="AC34" s="11" t="s">
        <v>1730</v>
      </c>
      <c r="AD34" s="11">
        <v>50</v>
      </c>
      <c r="AE34" s="11">
        <v>0</v>
      </c>
      <c r="AF34" s="261">
        <v>115</v>
      </c>
      <c r="AG34" s="261"/>
      <c r="AH34" s="9">
        <f t="shared" si="12"/>
        <v>115</v>
      </c>
      <c r="AI34" s="261" t="s">
        <v>4168</v>
      </c>
      <c r="AJ34" s="135" t="s">
        <v>4169</v>
      </c>
      <c r="AK34" s="261"/>
      <c r="AL34" s="261"/>
      <c r="AM34" s="118" t="s">
        <v>4170</v>
      </c>
      <c r="AN34" s="261" t="s">
        <v>4171</v>
      </c>
      <c r="AO34" s="11">
        <v>0</v>
      </c>
      <c r="AP34" s="11">
        <v>0</v>
      </c>
      <c r="AQ34" s="11">
        <v>0</v>
      </c>
      <c r="AR34" s="11">
        <v>0</v>
      </c>
      <c r="AS34" s="11">
        <v>0</v>
      </c>
      <c r="AT34" s="11">
        <v>0</v>
      </c>
    </row>
    <row r="35" spans="1:46" ht="18" customHeight="1">
      <c r="A35" s="260" t="s">
        <v>221</v>
      </c>
      <c r="B35" s="260" t="s">
        <v>222</v>
      </c>
      <c r="C35" s="260" t="s">
        <v>1286</v>
      </c>
      <c r="D35" s="260" t="s">
        <v>1657</v>
      </c>
      <c r="E35" s="260" t="s">
        <v>1696</v>
      </c>
      <c r="F35" s="260" t="s">
        <v>1697</v>
      </c>
      <c r="G35" s="260" t="s">
        <v>1698</v>
      </c>
      <c r="H35" s="260" t="s">
        <v>1731</v>
      </c>
      <c r="I35" s="260"/>
      <c r="J35" s="260"/>
      <c r="K35" s="260" t="s">
        <v>1732</v>
      </c>
      <c r="L35" s="260" t="s">
        <v>1733</v>
      </c>
      <c r="M35" s="260" t="s">
        <v>1734</v>
      </c>
      <c r="N35" s="260" t="s">
        <v>111</v>
      </c>
      <c r="O35" s="260" t="s">
        <v>112</v>
      </c>
      <c r="P35" s="10">
        <v>240</v>
      </c>
      <c r="Q35" s="11">
        <v>150</v>
      </c>
      <c r="R35" s="11">
        <f t="shared" si="11"/>
        <v>12</v>
      </c>
      <c r="S35" s="65" t="s">
        <v>4172</v>
      </c>
      <c r="T35" s="11">
        <v>0</v>
      </c>
      <c r="U35" s="11">
        <v>0</v>
      </c>
      <c r="V35" s="11">
        <v>0</v>
      </c>
      <c r="W35" s="11">
        <v>0</v>
      </c>
      <c r="X35" s="11">
        <v>0</v>
      </c>
      <c r="Y35" s="11">
        <v>0</v>
      </c>
      <c r="Z35" s="11">
        <v>0</v>
      </c>
      <c r="AA35" s="11"/>
      <c r="AB35" s="11"/>
      <c r="AC35" s="11"/>
      <c r="AD35" s="11">
        <v>80</v>
      </c>
      <c r="AE35" s="11">
        <v>0</v>
      </c>
      <c r="AF35" s="261">
        <v>12</v>
      </c>
      <c r="AG35" s="261"/>
      <c r="AH35" s="9">
        <f t="shared" si="12"/>
        <v>12</v>
      </c>
      <c r="AI35" s="261" t="s">
        <v>4173</v>
      </c>
      <c r="AJ35" s="65" t="s">
        <v>4174</v>
      </c>
      <c r="AK35" s="261"/>
      <c r="AL35" s="261"/>
      <c r="AM35" s="118"/>
      <c r="AN35" s="261"/>
      <c r="AO35" s="11">
        <v>90</v>
      </c>
      <c r="AP35" s="11">
        <v>0</v>
      </c>
      <c r="AQ35" s="11">
        <v>80</v>
      </c>
      <c r="AR35" s="11">
        <v>0</v>
      </c>
      <c r="AS35" s="11">
        <v>0</v>
      </c>
      <c r="AT35" s="11">
        <v>0</v>
      </c>
    </row>
    <row r="36" spans="1:46" ht="18" customHeight="1">
      <c r="A36" s="260" t="s">
        <v>221</v>
      </c>
      <c r="B36" s="260" t="s">
        <v>222</v>
      </c>
      <c r="C36" s="260" t="s">
        <v>1286</v>
      </c>
      <c r="D36" s="260" t="s">
        <v>1657</v>
      </c>
      <c r="E36" s="260" t="s">
        <v>1751</v>
      </c>
      <c r="F36" s="260" t="s">
        <v>1752</v>
      </c>
      <c r="G36" s="260" t="s">
        <v>1753</v>
      </c>
      <c r="H36" s="260" t="s">
        <v>1754</v>
      </c>
      <c r="I36" s="260"/>
      <c r="J36" s="260"/>
      <c r="K36" s="260" t="s">
        <v>1755</v>
      </c>
      <c r="L36" s="260" t="s">
        <v>1756</v>
      </c>
      <c r="M36" s="260" t="s">
        <v>1757</v>
      </c>
      <c r="N36" s="260" t="s">
        <v>111</v>
      </c>
      <c r="O36" s="260" t="s">
        <v>112</v>
      </c>
      <c r="P36" s="10">
        <v>354</v>
      </c>
      <c r="Q36" s="11">
        <v>200</v>
      </c>
      <c r="R36" s="11">
        <f t="shared" si="11"/>
        <v>43</v>
      </c>
      <c r="S36" s="65" t="s">
        <v>4175</v>
      </c>
      <c r="T36" s="11">
        <v>10</v>
      </c>
      <c r="U36" s="11">
        <v>0</v>
      </c>
      <c r="V36" s="11">
        <v>30</v>
      </c>
      <c r="W36" s="11">
        <v>0</v>
      </c>
      <c r="X36" s="11">
        <v>29</v>
      </c>
      <c r="Y36" s="11">
        <v>0</v>
      </c>
      <c r="Z36" s="11">
        <v>29</v>
      </c>
      <c r="AA36" s="11" t="s">
        <v>1758</v>
      </c>
      <c r="AB36" s="11" t="s">
        <v>1759</v>
      </c>
      <c r="AC36" s="11" t="e">
        <f ca="1">- Desarrollo de los eventos por Falta de conectividad.- Poca participación de la comunidad a los eventos.</f>
        <v>#NAME?</v>
      </c>
      <c r="AD36" s="11">
        <v>50</v>
      </c>
      <c r="AE36" s="11">
        <v>0</v>
      </c>
      <c r="AF36" s="261">
        <v>14</v>
      </c>
      <c r="AG36" s="261"/>
      <c r="AH36" s="9">
        <f t="shared" si="12"/>
        <v>14</v>
      </c>
      <c r="AI36" s="261" t="s">
        <v>4139</v>
      </c>
      <c r="AJ36" s="65" t="s">
        <v>4176</v>
      </c>
      <c r="AK36" s="261"/>
      <c r="AL36" s="261"/>
      <c r="AM36" s="118"/>
      <c r="AN36" s="261"/>
      <c r="AO36" s="11">
        <v>60</v>
      </c>
      <c r="AP36" s="11">
        <v>0</v>
      </c>
      <c r="AQ36" s="11">
        <v>60</v>
      </c>
      <c r="AR36" s="11">
        <v>0</v>
      </c>
      <c r="AS36" s="11">
        <v>0</v>
      </c>
      <c r="AT36" s="11">
        <v>0</v>
      </c>
    </row>
    <row r="37" spans="1:46" ht="18" customHeight="1">
      <c r="A37" s="260" t="s">
        <v>221</v>
      </c>
      <c r="B37" s="260" t="s">
        <v>222</v>
      </c>
      <c r="C37" s="260" t="s">
        <v>1286</v>
      </c>
      <c r="D37" s="260" t="s">
        <v>1657</v>
      </c>
      <c r="E37" s="260" t="s">
        <v>1751</v>
      </c>
      <c r="F37" s="260" t="s">
        <v>1752</v>
      </c>
      <c r="G37" s="260" t="s">
        <v>1753</v>
      </c>
      <c r="H37" s="260" t="s">
        <v>1760</v>
      </c>
      <c r="I37" s="260"/>
      <c r="J37" s="260"/>
      <c r="K37" s="260" t="s">
        <v>1761</v>
      </c>
      <c r="L37" s="260" t="s">
        <v>1762</v>
      </c>
      <c r="M37" s="260" t="s">
        <v>1763</v>
      </c>
      <c r="N37" s="260" t="s">
        <v>111</v>
      </c>
      <c r="O37" s="260" t="s">
        <v>112</v>
      </c>
      <c r="P37" s="10">
        <v>168</v>
      </c>
      <c r="Q37" s="11">
        <v>1500</v>
      </c>
      <c r="R37" s="11">
        <f t="shared" si="11"/>
        <v>970</v>
      </c>
      <c r="S37" s="261" t="s">
        <v>4177</v>
      </c>
      <c r="T37" s="11">
        <v>600</v>
      </c>
      <c r="U37" s="11">
        <v>0</v>
      </c>
      <c r="V37" s="11">
        <v>800</v>
      </c>
      <c r="W37" s="11">
        <v>0</v>
      </c>
      <c r="X37" s="11">
        <v>810</v>
      </c>
      <c r="Y37" s="11">
        <v>0</v>
      </c>
      <c r="Z37" s="11">
        <v>810</v>
      </c>
      <c r="AA37" s="11" t="s">
        <v>1764</v>
      </c>
      <c r="AB37" s="11" t="s">
        <v>1765</v>
      </c>
      <c r="AC37" s="11" t="s">
        <v>1766</v>
      </c>
      <c r="AD37" s="11">
        <v>250</v>
      </c>
      <c r="AE37" s="11">
        <v>0</v>
      </c>
      <c r="AF37" s="261">
        <v>160</v>
      </c>
      <c r="AG37" s="261"/>
      <c r="AH37" s="9">
        <f t="shared" si="12"/>
        <v>160</v>
      </c>
      <c r="AI37" s="261" t="s">
        <v>4178</v>
      </c>
      <c r="AJ37" s="261" t="s">
        <v>4179</v>
      </c>
      <c r="AK37" s="261"/>
      <c r="AL37" s="261"/>
      <c r="AM37" s="118"/>
      <c r="AN37" s="261"/>
      <c r="AO37" s="11">
        <v>250</v>
      </c>
      <c r="AP37" s="11">
        <v>0</v>
      </c>
      <c r="AQ37" s="11">
        <v>200</v>
      </c>
      <c r="AR37" s="11">
        <v>0</v>
      </c>
      <c r="AS37" s="11">
        <v>0</v>
      </c>
      <c r="AT37" s="11">
        <v>0</v>
      </c>
    </row>
    <row r="38" spans="1:46" ht="18" customHeight="1">
      <c r="A38" s="260" t="s">
        <v>221</v>
      </c>
      <c r="B38" s="260" t="s">
        <v>222</v>
      </c>
      <c r="C38" s="260" t="s">
        <v>1286</v>
      </c>
      <c r="D38" s="260" t="s">
        <v>1657</v>
      </c>
      <c r="E38" s="260" t="s">
        <v>1751</v>
      </c>
      <c r="F38" s="260" t="s">
        <v>1752</v>
      </c>
      <c r="G38" s="260" t="s">
        <v>1753</v>
      </c>
      <c r="H38" s="260" t="s">
        <v>1767</v>
      </c>
      <c r="I38" s="260"/>
      <c r="J38" s="260"/>
      <c r="K38" s="260" t="s">
        <v>1768</v>
      </c>
      <c r="L38" s="260" t="s">
        <v>1769</v>
      </c>
      <c r="M38" s="260" t="s">
        <v>1770</v>
      </c>
      <c r="N38" s="260" t="s">
        <v>111</v>
      </c>
      <c r="O38" s="260" t="s">
        <v>112</v>
      </c>
      <c r="P38" s="10">
        <v>0</v>
      </c>
      <c r="Q38" s="11">
        <v>40</v>
      </c>
      <c r="R38" s="11">
        <f t="shared" si="11"/>
        <v>24</v>
      </c>
      <c r="S38" s="261" t="s">
        <v>4180</v>
      </c>
      <c r="T38" s="11">
        <v>0</v>
      </c>
      <c r="U38" s="11">
        <v>0</v>
      </c>
      <c r="V38" s="11">
        <v>0</v>
      </c>
      <c r="W38" s="11">
        <v>0</v>
      </c>
      <c r="X38" s="11">
        <v>0</v>
      </c>
      <c r="Y38" s="11">
        <v>0</v>
      </c>
      <c r="Z38" s="11">
        <v>0</v>
      </c>
      <c r="AA38" s="11"/>
      <c r="AB38" s="11"/>
      <c r="AC38" s="11"/>
      <c r="AD38" s="11">
        <v>14</v>
      </c>
      <c r="AE38" s="11">
        <v>0</v>
      </c>
      <c r="AF38" s="261">
        <v>24</v>
      </c>
      <c r="AG38" s="261"/>
      <c r="AH38" s="9">
        <f t="shared" si="12"/>
        <v>24</v>
      </c>
      <c r="AI38" s="261" t="s">
        <v>4162</v>
      </c>
      <c r="AJ38" s="261" t="s">
        <v>4181</v>
      </c>
      <c r="AK38" s="261"/>
      <c r="AL38" s="261"/>
      <c r="AM38" s="118"/>
      <c r="AN38" s="261"/>
      <c r="AO38" s="11">
        <v>14</v>
      </c>
      <c r="AP38" s="11">
        <v>0</v>
      </c>
      <c r="AQ38" s="11">
        <v>12</v>
      </c>
      <c r="AR38" s="11">
        <v>0</v>
      </c>
      <c r="AS38" s="11">
        <v>0</v>
      </c>
      <c r="AT38" s="11">
        <v>0</v>
      </c>
    </row>
    <row r="39" spans="1:46" ht="18" customHeight="1">
      <c r="A39" s="260" t="s">
        <v>221</v>
      </c>
      <c r="B39" s="260" t="s">
        <v>222</v>
      </c>
      <c r="C39" s="260" t="s">
        <v>1286</v>
      </c>
      <c r="D39" s="260" t="s">
        <v>1657</v>
      </c>
      <c r="E39" s="260" t="s">
        <v>1751</v>
      </c>
      <c r="F39" s="260" t="s">
        <v>1752</v>
      </c>
      <c r="G39" s="260" t="s">
        <v>1753</v>
      </c>
      <c r="H39" s="260" t="s">
        <v>1771</v>
      </c>
      <c r="I39" s="260"/>
      <c r="J39" s="260"/>
      <c r="K39" s="260" t="s">
        <v>1772</v>
      </c>
      <c r="L39" s="260" t="s">
        <v>1773</v>
      </c>
      <c r="M39" s="260" t="s">
        <v>1774</v>
      </c>
      <c r="N39" s="260" t="s">
        <v>111</v>
      </c>
      <c r="O39" s="260" t="s">
        <v>112</v>
      </c>
      <c r="P39" s="10">
        <v>0</v>
      </c>
      <c r="Q39" s="11">
        <v>6</v>
      </c>
      <c r="R39" s="11">
        <f t="shared" si="11"/>
        <v>0</v>
      </c>
      <c r="S39" s="65" t="s">
        <v>4182</v>
      </c>
      <c r="T39" s="11">
        <v>0</v>
      </c>
      <c r="U39" s="11">
        <v>0</v>
      </c>
      <c r="V39" s="11">
        <v>0</v>
      </c>
      <c r="W39" s="11">
        <v>0</v>
      </c>
      <c r="X39" s="11">
        <v>0</v>
      </c>
      <c r="Y39" s="11">
        <v>0</v>
      </c>
      <c r="Z39" s="11">
        <v>0</v>
      </c>
      <c r="AA39" s="11"/>
      <c r="AB39" s="11"/>
      <c r="AC39" s="11"/>
      <c r="AD39" s="11">
        <v>2</v>
      </c>
      <c r="AE39" s="11">
        <v>0</v>
      </c>
      <c r="AF39" s="261">
        <v>0</v>
      </c>
      <c r="AG39" s="261"/>
      <c r="AH39" s="9">
        <f t="shared" si="12"/>
        <v>0</v>
      </c>
      <c r="AI39" s="261" t="s">
        <v>4183</v>
      </c>
      <c r="AJ39" s="65" t="s">
        <v>4182</v>
      </c>
      <c r="AK39" s="261"/>
      <c r="AL39" s="261"/>
      <c r="AM39" s="118"/>
      <c r="AN39" s="261"/>
      <c r="AO39" s="11">
        <v>2</v>
      </c>
      <c r="AP39" s="11">
        <v>0</v>
      </c>
      <c r="AQ39" s="11">
        <v>2</v>
      </c>
      <c r="AR39" s="11">
        <v>0</v>
      </c>
      <c r="AS39" s="11">
        <v>0</v>
      </c>
      <c r="AT39" s="11">
        <v>0</v>
      </c>
    </row>
    <row r="40" spans="1:46" ht="18" customHeight="1">
      <c r="A40" s="260" t="s">
        <v>221</v>
      </c>
      <c r="B40" s="260" t="s">
        <v>222</v>
      </c>
      <c r="C40" s="260" t="s">
        <v>1286</v>
      </c>
      <c r="D40" s="260" t="s">
        <v>1657</v>
      </c>
      <c r="E40" s="260" t="s">
        <v>1751</v>
      </c>
      <c r="F40" s="260" t="s">
        <v>1752</v>
      </c>
      <c r="G40" s="260" t="s">
        <v>1753</v>
      </c>
      <c r="H40" s="260" t="s">
        <v>1775</v>
      </c>
      <c r="I40" s="260"/>
      <c r="J40" s="260"/>
      <c r="K40" s="260" t="s">
        <v>1776</v>
      </c>
      <c r="L40" s="260" t="s">
        <v>1777</v>
      </c>
      <c r="M40" s="260" t="s">
        <v>1778</v>
      </c>
      <c r="N40" s="260" t="s">
        <v>111</v>
      </c>
      <c r="O40" s="260" t="s">
        <v>112</v>
      </c>
      <c r="P40" s="10">
        <v>0</v>
      </c>
      <c r="Q40" s="11">
        <v>10</v>
      </c>
      <c r="R40" s="11">
        <f t="shared" si="11"/>
        <v>10</v>
      </c>
      <c r="S40" s="65" t="s">
        <v>4184</v>
      </c>
      <c r="T40" s="11">
        <v>1</v>
      </c>
      <c r="U40" s="11">
        <v>0</v>
      </c>
      <c r="V40" s="11">
        <v>1</v>
      </c>
      <c r="W40" s="11">
        <v>0</v>
      </c>
      <c r="X40" s="11">
        <v>1</v>
      </c>
      <c r="Y40" s="11">
        <v>0</v>
      </c>
      <c r="Z40" s="11">
        <v>1</v>
      </c>
      <c r="AA40" s="11" t="s">
        <v>1779</v>
      </c>
      <c r="AB40" s="11" t="s">
        <v>1780</v>
      </c>
      <c r="AC40" s="11" t="s">
        <v>1781</v>
      </c>
      <c r="AD40" s="11">
        <v>3</v>
      </c>
      <c r="AE40" s="11">
        <v>0</v>
      </c>
      <c r="AF40" s="261">
        <v>9</v>
      </c>
      <c r="AG40" s="261"/>
      <c r="AH40" s="9">
        <f t="shared" si="12"/>
        <v>9</v>
      </c>
      <c r="AI40" s="261" t="s">
        <v>4185</v>
      </c>
      <c r="AJ40" s="65" t="s">
        <v>4186</v>
      </c>
      <c r="AK40" s="261"/>
      <c r="AL40" s="261"/>
      <c r="AM40" s="118"/>
      <c r="AN40" s="261"/>
      <c r="AO40" s="11">
        <v>3</v>
      </c>
      <c r="AP40" s="11">
        <v>0</v>
      </c>
      <c r="AQ40" s="11">
        <v>3</v>
      </c>
      <c r="AR40" s="11">
        <v>0</v>
      </c>
      <c r="AS40" s="11">
        <v>0</v>
      </c>
      <c r="AT40" s="11">
        <v>0</v>
      </c>
    </row>
    <row r="41" spans="1:46" ht="18" customHeight="1">
      <c r="A41" s="260" t="s">
        <v>221</v>
      </c>
      <c r="B41" s="260" t="s">
        <v>222</v>
      </c>
      <c r="C41" s="260" t="s">
        <v>2129</v>
      </c>
      <c r="D41" s="260" t="s">
        <v>2130</v>
      </c>
      <c r="E41" s="260" t="s">
        <v>2155</v>
      </c>
      <c r="F41" s="260" t="s">
        <v>2156</v>
      </c>
      <c r="G41" s="260" t="s">
        <v>2157</v>
      </c>
      <c r="H41" s="260" t="s">
        <v>2158</v>
      </c>
      <c r="I41" s="260"/>
      <c r="J41" s="260"/>
      <c r="K41" s="260" t="s">
        <v>2159</v>
      </c>
      <c r="L41" s="260" t="s">
        <v>2160</v>
      </c>
      <c r="M41" s="260" t="s">
        <v>2161</v>
      </c>
      <c r="N41" s="260" t="s">
        <v>111</v>
      </c>
      <c r="O41" s="260" t="s">
        <v>112</v>
      </c>
      <c r="P41" s="10">
        <v>0</v>
      </c>
      <c r="Q41" s="11">
        <v>1</v>
      </c>
      <c r="R41" s="11">
        <f t="shared" si="11"/>
        <v>0</v>
      </c>
      <c r="S41" s="261"/>
      <c r="T41" s="11">
        <v>0</v>
      </c>
      <c r="U41" s="11">
        <v>0</v>
      </c>
      <c r="V41" s="11">
        <v>0</v>
      </c>
      <c r="W41" s="11">
        <v>0</v>
      </c>
      <c r="X41" s="11">
        <v>0</v>
      </c>
      <c r="Y41" s="11">
        <v>0</v>
      </c>
      <c r="Z41" s="11">
        <v>0</v>
      </c>
      <c r="AA41" s="11"/>
      <c r="AB41" s="11"/>
      <c r="AC41" s="11"/>
      <c r="AD41" s="11">
        <v>0.15</v>
      </c>
      <c r="AE41" s="11">
        <v>0</v>
      </c>
      <c r="AF41" s="261">
        <v>0</v>
      </c>
      <c r="AG41" s="261"/>
      <c r="AH41" s="9">
        <f t="shared" ref="AH41:AH48" si="13">AF41</f>
        <v>0</v>
      </c>
      <c r="AI41" s="261"/>
      <c r="AJ41" s="261"/>
      <c r="AK41" s="261"/>
      <c r="AL41" s="261"/>
      <c r="AM41" s="118"/>
      <c r="AN41" s="261"/>
      <c r="AO41" s="11">
        <v>0.35</v>
      </c>
      <c r="AP41" s="11">
        <v>0</v>
      </c>
      <c r="AQ41" s="11">
        <v>0.5</v>
      </c>
      <c r="AR41" s="11">
        <v>0</v>
      </c>
      <c r="AS41" s="11">
        <v>0</v>
      </c>
      <c r="AT41" s="11">
        <v>0</v>
      </c>
    </row>
    <row r="42" spans="1:46" ht="18" customHeight="1">
      <c r="A42" s="260" t="s">
        <v>221</v>
      </c>
      <c r="B42" s="260" t="s">
        <v>222</v>
      </c>
      <c r="C42" s="260" t="s">
        <v>2129</v>
      </c>
      <c r="D42" s="260" t="s">
        <v>2130</v>
      </c>
      <c r="E42" s="260" t="s">
        <v>2155</v>
      </c>
      <c r="F42" s="260" t="s">
        <v>2156</v>
      </c>
      <c r="G42" s="260" t="s">
        <v>2157</v>
      </c>
      <c r="H42" s="260" t="s">
        <v>2162</v>
      </c>
      <c r="I42" s="260"/>
      <c r="J42" s="260"/>
      <c r="K42" s="260" t="s">
        <v>2163</v>
      </c>
      <c r="L42" s="260" t="s">
        <v>2164</v>
      </c>
      <c r="M42" s="260" t="s">
        <v>2165</v>
      </c>
      <c r="N42" s="260" t="s">
        <v>111</v>
      </c>
      <c r="O42" s="260" t="s">
        <v>112</v>
      </c>
      <c r="P42" s="10">
        <v>0</v>
      </c>
      <c r="Q42" s="11">
        <v>7</v>
      </c>
      <c r="R42" s="11">
        <f t="shared" si="11"/>
        <v>4</v>
      </c>
      <c r="S42" s="65" t="s">
        <v>4187</v>
      </c>
      <c r="T42" s="11">
        <v>0</v>
      </c>
      <c r="U42" s="11">
        <v>0</v>
      </c>
      <c r="V42" s="11">
        <v>3</v>
      </c>
      <c r="W42" s="11">
        <v>0</v>
      </c>
      <c r="X42" s="11">
        <v>3</v>
      </c>
      <c r="Y42" s="11">
        <v>0</v>
      </c>
      <c r="Z42" s="11">
        <v>3</v>
      </c>
      <c r="AA42" s="11" t="e">
        <f ca="1">- Recursos económico apalancado en la Compra de entradas.</f>
        <v>#NAME?</v>
      </c>
      <c r="AB42" s="11" t="s">
        <v>2166</v>
      </c>
      <c r="AC42" s="11" t="e">
        <f ca="1">- Retrasos en trámites administrativos a causa de la emergencia.</f>
        <v>#NAME?</v>
      </c>
      <c r="AD42" s="11">
        <v>1</v>
      </c>
      <c r="AE42" s="11">
        <v>0</v>
      </c>
      <c r="AF42" s="261">
        <v>1</v>
      </c>
      <c r="AG42" s="261"/>
      <c r="AH42" s="9">
        <f t="shared" si="13"/>
        <v>1</v>
      </c>
      <c r="AI42" s="261" t="s">
        <v>4188</v>
      </c>
      <c r="AJ42" s="65" t="s">
        <v>4189</v>
      </c>
      <c r="AK42" s="261"/>
      <c r="AL42" s="261"/>
      <c r="AM42" s="118"/>
      <c r="AN42" s="261"/>
      <c r="AO42" s="11">
        <v>2</v>
      </c>
      <c r="AP42" s="11">
        <v>0</v>
      </c>
      <c r="AQ42" s="11">
        <v>1</v>
      </c>
      <c r="AR42" s="11">
        <v>0</v>
      </c>
      <c r="AS42" s="11">
        <v>0</v>
      </c>
      <c r="AT42" s="11">
        <v>0</v>
      </c>
    </row>
    <row r="43" spans="1:46" ht="18" customHeight="1">
      <c r="A43" s="260" t="s">
        <v>221</v>
      </c>
      <c r="B43" s="260" t="s">
        <v>222</v>
      </c>
      <c r="C43" s="260" t="s">
        <v>2129</v>
      </c>
      <c r="D43" s="260" t="s">
        <v>2130</v>
      </c>
      <c r="E43" s="260" t="s">
        <v>2155</v>
      </c>
      <c r="F43" s="260" t="s">
        <v>2156</v>
      </c>
      <c r="G43" s="260" t="s">
        <v>2157</v>
      </c>
      <c r="H43" s="260" t="s">
        <v>2167</v>
      </c>
      <c r="I43" s="260"/>
      <c r="J43" s="260"/>
      <c r="K43" s="260" t="s">
        <v>2168</v>
      </c>
      <c r="L43" s="260" t="s">
        <v>2169</v>
      </c>
      <c r="M43" s="260" t="s">
        <v>2170</v>
      </c>
      <c r="N43" s="260" t="s">
        <v>111</v>
      </c>
      <c r="O43" s="260" t="s">
        <v>112</v>
      </c>
      <c r="P43" s="10">
        <v>5</v>
      </c>
      <c r="Q43" s="11">
        <v>20</v>
      </c>
      <c r="R43" s="11">
        <f t="shared" si="11"/>
        <v>1</v>
      </c>
      <c r="S43" s="65" t="s">
        <v>4190</v>
      </c>
      <c r="T43" s="11">
        <v>0</v>
      </c>
      <c r="U43" s="11">
        <v>0</v>
      </c>
      <c r="V43" s="11">
        <v>0</v>
      </c>
      <c r="W43" s="11">
        <v>0</v>
      </c>
      <c r="X43" s="11">
        <v>0</v>
      </c>
      <c r="Y43" s="11">
        <v>0</v>
      </c>
      <c r="Z43" s="11">
        <v>0</v>
      </c>
      <c r="AA43" s="11"/>
      <c r="AB43" s="11"/>
      <c r="AC43" s="11"/>
      <c r="AD43" s="11">
        <v>7</v>
      </c>
      <c r="AE43" s="11">
        <v>0</v>
      </c>
      <c r="AF43" s="261">
        <v>1</v>
      </c>
      <c r="AG43" s="261"/>
      <c r="AH43" s="9">
        <f t="shared" si="13"/>
        <v>1</v>
      </c>
      <c r="AI43" s="261" t="s">
        <v>4191</v>
      </c>
      <c r="AJ43" s="65" t="s">
        <v>4190</v>
      </c>
      <c r="AK43" s="261"/>
      <c r="AL43" s="261"/>
      <c r="AM43" s="118"/>
      <c r="AN43" s="261"/>
      <c r="AO43" s="11">
        <v>7</v>
      </c>
      <c r="AP43" s="11">
        <v>0</v>
      </c>
      <c r="AQ43" s="11">
        <v>6</v>
      </c>
      <c r="AR43" s="11">
        <v>0</v>
      </c>
      <c r="AS43" s="11">
        <v>0</v>
      </c>
      <c r="AT43" s="11">
        <v>0</v>
      </c>
    </row>
    <row r="44" spans="1:46" ht="18" customHeight="1">
      <c r="A44" s="260" t="s">
        <v>221</v>
      </c>
      <c r="B44" s="260" t="s">
        <v>222</v>
      </c>
      <c r="C44" s="260" t="s">
        <v>2129</v>
      </c>
      <c r="D44" s="260" t="s">
        <v>2130</v>
      </c>
      <c r="E44" s="260" t="s">
        <v>2155</v>
      </c>
      <c r="F44" s="260" t="s">
        <v>2156</v>
      </c>
      <c r="G44" s="260" t="s">
        <v>2157</v>
      </c>
      <c r="H44" s="260" t="s">
        <v>2171</v>
      </c>
      <c r="I44" s="260"/>
      <c r="J44" s="260"/>
      <c r="K44" s="260" t="s">
        <v>2172</v>
      </c>
      <c r="L44" s="260" t="s">
        <v>2173</v>
      </c>
      <c r="M44" s="260" t="s">
        <v>2174</v>
      </c>
      <c r="N44" s="260" t="s">
        <v>111</v>
      </c>
      <c r="O44" s="260" t="s">
        <v>112</v>
      </c>
      <c r="P44" s="10">
        <v>0</v>
      </c>
      <c r="Q44" s="11">
        <v>5</v>
      </c>
      <c r="R44" s="11">
        <f t="shared" si="11"/>
        <v>2</v>
      </c>
      <c r="S44" s="65" t="s">
        <v>4192</v>
      </c>
      <c r="T44" s="11">
        <v>0.5</v>
      </c>
      <c r="U44" s="11">
        <v>0</v>
      </c>
      <c r="V44" s="11">
        <v>0.5</v>
      </c>
      <c r="W44" s="11">
        <v>0</v>
      </c>
      <c r="X44" s="11">
        <v>0.5</v>
      </c>
      <c r="Y44" s="11">
        <v>0</v>
      </c>
      <c r="Z44" s="11">
        <v>0.5</v>
      </c>
      <c r="AA44" s="11" t="s">
        <v>2175</v>
      </c>
      <c r="AB44" s="11" t="s">
        <v>2176</v>
      </c>
      <c r="AC44" s="11" t="s">
        <v>2177</v>
      </c>
      <c r="AD44" s="11">
        <v>1.5</v>
      </c>
      <c r="AE44" s="11">
        <v>0</v>
      </c>
      <c r="AF44" s="261">
        <v>1.5</v>
      </c>
      <c r="AG44" s="261"/>
      <c r="AH44" s="9">
        <f t="shared" si="13"/>
        <v>1.5</v>
      </c>
      <c r="AI44" s="261" t="s">
        <v>4193</v>
      </c>
      <c r="AJ44" s="65" t="s">
        <v>4194</v>
      </c>
      <c r="AK44" s="261"/>
      <c r="AL44" s="261"/>
      <c r="AM44" s="118"/>
      <c r="AN44" s="261"/>
      <c r="AO44" s="11">
        <v>2</v>
      </c>
      <c r="AP44" s="11">
        <v>0</v>
      </c>
      <c r="AQ44" s="11">
        <v>1</v>
      </c>
      <c r="AR44" s="11">
        <v>0</v>
      </c>
      <c r="AS44" s="11">
        <v>0</v>
      </c>
      <c r="AT44" s="11">
        <v>0</v>
      </c>
    </row>
    <row r="45" spans="1:46" ht="18" customHeight="1">
      <c r="A45" s="260" t="s">
        <v>221</v>
      </c>
      <c r="B45" s="260" t="s">
        <v>222</v>
      </c>
      <c r="C45" s="260" t="s">
        <v>2129</v>
      </c>
      <c r="D45" s="260" t="s">
        <v>2130</v>
      </c>
      <c r="E45" s="260" t="s">
        <v>2155</v>
      </c>
      <c r="F45" s="260" t="s">
        <v>2156</v>
      </c>
      <c r="G45" s="260" t="s">
        <v>2157</v>
      </c>
      <c r="H45" s="260" t="s">
        <v>2178</v>
      </c>
      <c r="I45" s="260"/>
      <c r="J45" s="260"/>
      <c r="K45" s="260" t="s">
        <v>2179</v>
      </c>
      <c r="L45" s="260" t="s">
        <v>2180</v>
      </c>
      <c r="M45" s="260" t="s">
        <v>2181</v>
      </c>
      <c r="N45" s="260" t="s">
        <v>111</v>
      </c>
      <c r="O45" s="260" t="s">
        <v>112</v>
      </c>
      <c r="P45" s="10">
        <v>0</v>
      </c>
      <c r="Q45" s="11">
        <v>100</v>
      </c>
      <c r="R45" s="11">
        <f t="shared" si="11"/>
        <v>51</v>
      </c>
      <c r="S45" s="65" t="s">
        <v>4195</v>
      </c>
      <c r="T45" s="11">
        <v>0</v>
      </c>
      <c r="U45" s="11">
        <v>0</v>
      </c>
      <c r="V45" s="11">
        <v>0</v>
      </c>
      <c r="W45" s="11">
        <v>0</v>
      </c>
      <c r="X45" s="11">
        <v>0</v>
      </c>
      <c r="Y45" s="11">
        <v>0</v>
      </c>
      <c r="Z45" s="11">
        <v>0</v>
      </c>
      <c r="AA45" s="11"/>
      <c r="AB45" s="11"/>
      <c r="AC45" s="11"/>
      <c r="AD45" s="11">
        <v>35</v>
      </c>
      <c r="AE45" s="11">
        <v>0</v>
      </c>
      <c r="AF45" s="261">
        <v>51</v>
      </c>
      <c r="AG45" s="261"/>
      <c r="AH45" s="9">
        <f t="shared" si="13"/>
        <v>51</v>
      </c>
      <c r="AI45" s="261" t="s">
        <v>4191</v>
      </c>
      <c r="AJ45" s="135" t="s">
        <v>4196</v>
      </c>
      <c r="AK45" s="261"/>
      <c r="AL45" s="261"/>
      <c r="AM45" s="118"/>
      <c r="AN45" s="261"/>
      <c r="AO45" s="11">
        <v>35</v>
      </c>
      <c r="AP45" s="11">
        <v>0</v>
      </c>
      <c r="AQ45" s="11">
        <v>30</v>
      </c>
      <c r="AR45" s="11">
        <v>0</v>
      </c>
      <c r="AS45" s="11">
        <v>0</v>
      </c>
      <c r="AT45" s="11">
        <v>0</v>
      </c>
    </row>
    <row r="46" spans="1:46" ht="18" customHeight="1">
      <c r="A46" s="260" t="s">
        <v>221</v>
      </c>
      <c r="B46" s="260" t="s">
        <v>222</v>
      </c>
      <c r="C46" s="260" t="s">
        <v>2129</v>
      </c>
      <c r="D46" s="260" t="s">
        <v>2130</v>
      </c>
      <c r="E46" s="260" t="s">
        <v>2155</v>
      </c>
      <c r="F46" s="260" t="s">
        <v>2156</v>
      </c>
      <c r="G46" s="260" t="s">
        <v>2157</v>
      </c>
      <c r="H46" s="260" t="s">
        <v>2182</v>
      </c>
      <c r="I46" s="260"/>
      <c r="J46" s="260"/>
      <c r="K46" s="260" t="s">
        <v>2183</v>
      </c>
      <c r="L46" s="260" t="s">
        <v>2184</v>
      </c>
      <c r="M46" s="260" t="s">
        <v>2185</v>
      </c>
      <c r="N46" s="260" t="s">
        <v>111</v>
      </c>
      <c r="O46" s="260" t="s">
        <v>112</v>
      </c>
      <c r="P46" s="10">
        <v>0</v>
      </c>
      <c r="Q46" s="11">
        <v>3</v>
      </c>
      <c r="R46" s="11">
        <f t="shared" si="11"/>
        <v>2</v>
      </c>
      <c r="S46" s="65" t="s">
        <v>4197</v>
      </c>
      <c r="T46" s="11">
        <v>0</v>
      </c>
      <c r="U46" s="11">
        <v>0</v>
      </c>
      <c r="V46" s="11">
        <v>0</v>
      </c>
      <c r="W46" s="11">
        <v>0</v>
      </c>
      <c r="X46" s="11">
        <v>0</v>
      </c>
      <c r="Y46" s="11">
        <v>0</v>
      </c>
      <c r="Z46" s="11">
        <v>0</v>
      </c>
      <c r="AA46" s="11"/>
      <c r="AB46" s="11"/>
      <c r="AC46" s="11"/>
      <c r="AD46" s="11">
        <v>1</v>
      </c>
      <c r="AE46" s="11">
        <v>0</v>
      </c>
      <c r="AF46" s="261">
        <v>2</v>
      </c>
      <c r="AG46" s="261"/>
      <c r="AH46" s="9">
        <f t="shared" si="13"/>
        <v>2</v>
      </c>
      <c r="AI46" s="261" t="s">
        <v>4198</v>
      </c>
      <c r="AJ46" s="65" t="s">
        <v>4199</v>
      </c>
      <c r="AK46" s="261"/>
      <c r="AL46" s="261"/>
      <c r="AM46" s="118"/>
      <c r="AN46" s="261"/>
      <c r="AO46" s="11">
        <v>1</v>
      </c>
      <c r="AP46" s="11">
        <v>0</v>
      </c>
      <c r="AQ46" s="11">
        <v>1</v>
      </c>
      <c r="AR46" s="11">
        <v>0</v>
      </c>
      <c r="AS46" s="11">
        <v>0</v>
      </c>
      <c r="AT46" s="11">
        <v>0</v>
      </c>
    </row>
    <row r="47" spans="1:46" ht="18" customHeight="1">
      <c r="A47" s="260" t="s">
        <v>221</v>
      </c>
      <c r="B47" s="260" t="s">
        <v>222</v>
      </c>
      <c r="C47" s="260" t="s">
        <v>2129</v>
      </c>
      <c r="D47" s="260" t="s">
        <v>2130</v>
      </c>
      <c r="E47" s="260" t="s">
        <v>2155</v>
      </c>
      <c r="F47" s="260" t="s">
        <v>2156</v>
      </c>
      <c r="G47" s="260" t="s">
        <v>2157</v>
      </c>
      <c r="H47" s="260" t="s">
        <v>2186</v>
      </c>
      <c r="I47" s="260"/>
      <c r="J47" s="260"/>
      <c r="K47" s="260" t="s">
        <v>2187</v>
      </c>
      <c r="L47" s="260" t="s">
        <v>2188</v>
      </c>
      <c r="M47" s="260" t="s">
        <v>2189</v>
      </c>
      <c r="N47" s="260" t="s">
        <v>111</v>
      </c>
      <c r="O47" s="260" t="s">
        <v>112</v>
      </c>
      <c r="P47" s="10">
        <v>15</v>
      </c>
      <c r="Q47" s="11">
        <v>20</v>
      </c>
      <c r="R47" s="11">
        <f t="shared" si="11"/>
        <v>3</v>
      </c>
      <c r="S47" s="261" t="s">
        <v>4200</v>
      </c>
      <c r="T47" s="11">
        <v>0</v>
      </c>
      <c r="U47" s="11">
        <v>0</v>
      </c>
      <c r="V47" s="11">
        <v>0</v>
      </c>
      <c r="W47" s="11">
        <v>0</v>
      </c>
      <c r="X47" s="11">
        <v>0</v>
      </c>
      <c r="Y47" s="11">
        <v>0</v>
      </c>
      <c r="Z47" s="11">
        <v>0</v>
      </c>
      <c r="AA47" s="11"/>
      <c r="AB47" s="11"/>
      <c r="AC47" s="11"/>
      <c r="AD47" s="11">
        <v>6</v>
      </c>
      <c r="AE47" s="11">
        <v>0</v>
      </c>
      <c r="AF47" s="261">
        <v>3</v>
      </c>
      <c r="AG47" s="261"/>
      <c r="AH47" s="9">
        <f t="shared" si="13"/>
        <v>3</v>
      </c>
      <c r="AI47" s="261" t="s">
        <v>4201</v>
      </c>
      <c r="AJ47" s="135" t="s">
        <v>4202</v>
      </c>
      <c r="AK47" s="261"/>
      <c r="AL47" s="261"/>
      <c r="AM47" s="118"/>
      <c r="AN47" s="261"/>
      <c r="AO47" s="11">
        <v>7</v>
      </c>
      <c r="AP47" s="11">
        <v>0</v>
      </c>
      <c r="AQ47" s="11">
        <v>7</v>
      </c>
      <c r="AR47" s="11">
        <v>0</v>
      </c>
      <c r="AS47" s="11">
        <v>0</v>
      </c>
      <c r="AT47" s="11">
        <v>0</v>
      </c>
    </row>
    <row r="48" spans="1:46" ht="18" customHeight="1">
      <c r="A48" s="260" t="s">
        <v>221</v>
      </c>
      <c r="B48" s="260" t="s">
        <v>222</v>
      </c>
      <c r="C48" s="260" t="s">
        <v>2129</v>
      </c>
      <c r="D48" s="260" t="s">
        <v>2130</v>
      </c>
      <c r="E48" s="260" t="s">
        <v>2155</v>
      </c>
      <c r="F48" s="260" t="s">
        <v>2156</v>
      </c>
      <c r="G48" s="260" t="s">
        <v>2157</v>
      </c>
      <c r="H48" s="260" t="s">
        <v>2190</v>
      </c>
      <c r="I48" s="260"/>
      <c r="J48" s="260"/>
      <c r="K48" s="260" t="s">
        <v>2191</v>
      </c>
      <c r="L48" s="260" t="s">
        <v>2192</v>
      </c>
      <c r="M48" s="260" t="s">
        <v>2193</v>
      </c>
      <c r="N48" s="260" t="s">
        <v>111</v>
      </c>
      <c r="O48" s="260" t="s">
        <v>112</v>
      </c>
      <c r="P48" s="10">
        <v>0</v>
      </c>
      <c r="Q48" s="11">
        <v>4</v>
      </c>
      <c r="R48" s="11">
        <f t="shared" si="11"/>
        <v>1.5</v>
      </c>
      <c r="S48" s="65" t="s">
        <v>4203</v>
      </c>
      <c r="T48" s="11">
        <v>0.5</v>
      </c>
      <c r="U48" s="11">
        <v>0</v>
      </c>
      <c r="V48" s="11">
        <v>0.5</v>
      </c>
      <c r="W48" s="11">
        <v>0</v>
      </c>
      <c r="X48" s="11">
        <v>0.5</v>
      </c>
      <c r="Y48" s="11">
        <v>0</v>
      </c>
      <c r="Z48" s="11">
        <v>0.5</v>
      </c>
      <c r="AA48" s="11" t="s">
        <v>2194</v>
      </c>
      <c r="AB48" s="11" t="s">
        <v>2195</v>
      </c>
      <c r="AC48" s="11" t="s">
        <v>2196</v>
      </c>
      <c r="AD48" s="11">
        <v>1.5</v>
      </c>
      <c r="AE48" s="11">
        <v>0</v>
      </c>
      <c r="AF48" s="261">
        <v>1</v>
      </c>
      <c r="AG48" s="261"/>
      <c r="AH48" s="9">
        <f t="shared" si="13"/>
        <v>1</v>
      </c>
      <c r="AI48" s="261" t="s">
        <v>4165</v>
      </c>
      <c r="AJ48" s="135" t="s">
        <v>4204</v>
      </c>
      <c r="AK48" s="261"/>
      <c r="AL48" s="261"/>
      <c r="AM48" s="118" t="s">
        <v>4205</v>
      </c>
      <c r="AN48" s="261" t="s">
        <v>4206</v>
      </c>
      <c r="AO48" s="11">
        <v>1</v>
      </c>
      <c r="AP48" s="11">
        <v>0</v>
      </c>
      <c r="AQ48" s="11">
        <v>1</v>
      </c>
      <c r="AR48" s="11">
        <v>0</v>
      </c>
      <c r="AS48" s="11">
        <v>0</v>
      </c>
      <c r="AT48" s="11">
        <v>0</v>
      </c>
    </row>
    <row r="49" spans="12:39" s="3" customFormat="1">
      <c r="L49" s="5"/>
      <c r="AM49" s="124"/>
    </row>
  </sheetData>
  <sheetProtection algorithmName="SHA-512" hashValue="fy+9Tw6fWKKTb0fPZF4iSzkXF1i9zP94qAf3WXdTaLNyGpE9Q5IUfAZZxKWw5ywyahdpYAwbfe0Oz/1et054Rw==" saltValue="UDAptXWFKsfEXxjlTXKW4w==" spinCount="100000" sheet="1" autoFilter="0"/>
  <autoFilter ref="A12:IZ48" xr:uid="{00000000-0009-0000-0000-00001F000000}"/>
  <customSheetViews>
    <customSheetView guid="{75629C99-8367-48E9-A2A2-D8C49A9E68E3}" scale="80" showAutoFilter="1" hiddenRows="1" topLeftCell="AD9">
      <pane ySplit="4" topLeftCell="A13" activePane="bottomLeft" state="frozen"/>
      <selection pane="bottomLeft" activeCell="AQ13" sqref="AQ13:AR48"/>
      <pageMargins left="0" right="0" top="0" bottom="0" header="0" footer="0"/>
      <pageSetup orientation="portrait" r:id="rId1"/>
      <autoFilter ref="A12:IZ48" xr:uid="{6F4366F3-FA8B-4D5E-9487-661E859E8840}"/>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48">
    <cfRule type="duplicateValues" dxfId="2" priority="1"/>
  </conditionalFormatting>
  <pageMargins left="0.7" right="0.7" top="0.75" bottom="0.75" header="0.3" footer="0.3"/>
  <pageSetup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AT26"/>
  <sheetViews>
    <sheetView topLeftCell="A11" zoomScale="80" zoomScaleNormal="80" workbookViewId="0">
      <pane ySplit="1" topLeftCell="A12" activePane="bottomLeft" state="frozen"/>
      <selection pane="bottomLeft" activeCell="X19" sqref="X19"/>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428</v>
      </c>
      <c r="B13" s="260" t="s">
        <v>429</v>
      </c>
      <c r="C13" s="260" t="s">
        <v>100</v>
      </c>
      <c r="D13" s="260" t="s">
        <v>101</v>
      </c>
      <c r="E13" s="260" t="s">
        <v>294</v>
      </c>
      <c r="F13" s="260" t="s">
        <v>430</v>
      </c>
      <c r="G13" s="260" t="s">
        <v>431</v>
      </c>
      <c r="H13" s="260" t="s">
        <v>432</v>
      </c>
      <c r="I13" s="260"/>
      <c r="J13" s="260"/>
      <c r="K13" s="260" t="s">
        <v>433</v>
      </c>
      <c r="L13" s="260" t="s">
        <v>434</v>
      </c>
      <c r="M13" s="260" t="s">
        <v>435</v>
      </c>
      <c r="N13" s="260" t="s">
        <v>123</v>
      </c>
      <c r="O13" s="260" t="s">
        <v>112</v>
      </c>
      <c r="P13" s="10">
        <v>0</v>
      </c>
      <c r="Q13" s="11">
        <v>100</v>
      </c>
      <c r="R13" s="11">
        <f t="shared" ref="R13:R18" si="0">Z13+AH13</f>
        <v>0</v>
      </c>
      <c r="S13" s="70" t="s">
        <v>3151</v>
      </c>
      <c r="T13" s="11">
        <v>10</v>
      </c>
      <c r="U13" s="11">
        <v>0</v>
      </c>
      <c r="V13" s="11">
        <v>0</v>
      </c>
      <c r="W13" s="11">
        <v>0</v>
      </c>
      <c r="X13" s="11">
        <v>0</v>
      </c>
      <c r="Y13" s="11">
        <v>0</v>
      </c>
      <c r="Z13" s="11">
        <v>0</v>
      </c>
      <c r="AA13" s="11"/>
      <c r="AB13" s="11"/>
      <c r="AC13" s="11"/>
      <c r="AD13" s="11">
        <v>60</v>
      </c>
      <c r="AE13" s="11">
        <v>0</v>
      </c>
      <c r="AF13" s="70">
        <v>0</v>
      </c>
      <c r="AG13" s="70" t="s">
        <v>3151</v>
      </c>
      <c r="AH13" s="9">
        <f>AF13</f>
        <v>0</v>
      </c>
      <c r="AI13" s="70" t="s">
        <v>3151</v>
      </c>
      <c r="AJ13" s="75" t="s">
        <v>3151</v>
      </c>
      <c r="AK13" s="75" t="s">
        <v>3151</v>
      </c>
      <c r="AL13" s="75"/>
      <c r="AM13" s="122"/>
      <c r="AN13" s="75"/>
      <c r="AO13" s="11">
        <v>30</v>
      </c>
      <c r="AP13" s="11">
        <v>0</v>
      </c>
      <c r="AQ13" s="11">
        <v>10</v>
      </c>
      <c r="AR13" s="11">
        <v>0</v>
      </c>
      <c r="AS13" s="11">
        <v>0</v>
      </c>
      <c r="AT13" s="11">
        <v>0</v>
      </c>
    </row>
    <row r="14" spans="1:46" ht="18" customHeight="1">
      <c r="A14" s="260" t="s">
        <v>428</v>
      </c>
      <c r="B14" s="260" t="s">
        <v>429</v>
      </c>
      <c r="C14" s="260" t="s">
        <v>100</v>
      </c>
      <c r="D14" s="260" t="s">
        <v>101</v>
      </c>
      <c r="E14" s="260" t="s">
        <v>294</v>
      </c>
      <c r="F14" s="260" t="s">
        <v>430</v>
      </c>
      <c r="G14" s="260" t="s">
        <v>431</v>
      </c>
      <c r="H14" s="260" t="s">
        <v>436</v>
      </c>
      <c r="I14" s="260"/>
      <c r="J14" s="260"/>
      <c r="K14" s="260" t="s">
        <v>437</v>
      </c>
      <c r="L14" s="260" t="s">
        <v>438</v>
      </c>
      <c r="M14" s="260" t="s">
        <v>439</v>
      </c>
      <c r="N14" s="260" t="s">
        <v>111</v>
      </c>
      <c r="O14" s="260" t="s">
        <v>112</v>
      </c>
      <c r="P14" s="10">
        <v>65000</v>
      </c>
      <c r="Q14" s="11">
        <v>85000</v>
      </c>
      <c r="R14" s="11">
        <f t="shared" si="0"/>
        <v>47441.05</v>
      </c>
      <c r="S14" s="76" t="s">
        <v>4207</v>
      </c>
      <c r="T14" s="11">
        <v>15000</v>
      </c>
      <c r="U14" s="11">
        <v>0</v>
      </c>
      <c r="V14" s="11">
        <v>15000</v>
      </c>
      <c r="W14" s="11">
        <v>0</v>
      </c>
      <c r="X14" s="11">
        <v>15276.48</v>
      </c>
      <c r="Y14" s="11">
        <v>0</v>
      </c>
      <c r="Z14" s="11">
        <v>15276.48</v>
      </c>
      <c r="AA14" s="11" t="s">
        <v>440</v>
      </c>
      <c r="AB14" s="11" t="s">
        <v>441</v>
      </c>
      <c r="AC14" s="11">
        <v>0</v>
      </c>
      <c r="AD14" s="11">
        <v>30000</v>
      </c>
      <c r="AE14" s="11">
        <v>0</v>
      </c>
      <c r="AF14" s="76">
        <v>32164.57</v>
      </c>
      <c r="AG14" s="76" t="s">
        <v>3151</v>
      </c>
      <c r="AH14" s="9">
        <f t="shared" ref="AH14" si="1">AF14</f>
        <v>32164.57</v>
      </c>
      <c r="AI14" s="76" t="s">
        <v>4208</v>
      </c>
      <c r="AJ14" s="77" t="s">
        <v>4209</v>
      </c>
      <c r="AK14" s="77" t="s">
        <v>3151</v>
      </c>
      <c r="AL14" s="77"/>
      <c r="AM14" s="123"/>
      <c r="AN14" s="77"/>
      <c r="AO14" s="11">
        <v>28000</v>
      </c>
      <c r="AP14" s="11">
        <v>0</v>
      </c>
      <c r="AQ14" s="11">
        <v>11723.52</v>
      </c>
      <c r="AR14" s="11">
        <v>0</v>
      </c>
      <c r="AS14" s="11">
        <v>0</v>
      </c>
      <c r="AT14" s="11">
        <v>0</v>
      </c>
    </row>
    <row r="15" spans="1:46" ht="18" customHeight="1">
      <c r="A15" s="260" t="s">
        <v>428</v>
      </c>
      <c r="B15" s="260" t="s">
        <v>429</v>
      </c>
      <c r="C15" s="260" t="s">
        <v>1286</v>
      </c>
      <c r="D15" s="260" t="s">
        <v>1496</v>
      </c>
      <c r="E15" s="260" t="s">
        <v>1497</v>
      </c>
      <c r="F15" s="260" t="s">
        <v>1498</v>
      </c>
      <c r="G15" s="260" t="s">
        <v>1499</v>
      </c>
      <c r="H15" s="260" t="s">
        <v>1500</v>
      </c>
      <c r="I15" s="260"/>
      <c r="J15" s="260"/>
      <c r="K15" s="260" t="s">
        <v>1501</v>
      </c>
      <c r="L15" s="260" t="s">
        <v>1502</v>
      </c>
      <c r="M15" s="260" t="s">
        <v>1503</v>
      </c>
      <c r="N15" s="260" t="s">
        <v>111</v>
      </c>
      <c r="O15" s="260" t="s">
        <v>112</v>
      </c>
      <c r="P15" s="10">
        <v>0</v>
      </c>
      <c r="Q15" s="11">
        <v>350</v>
      </c>
      <c r="R15" s="11">
        <f t="shared" si="0"/>
        <v>168.59</v>
      </c>
      <c r="S15" s="76" t="s">
        <v>4210</v>
      </c>
      <c r="T15" s="11">
        <v>65</v>
      </c>
      <c r="U15" s="11">
        <v>0</v>
      </c>
      <c r="V15" s="11">
        <v>70</v>
      </c>
      <c r="W15" s="11">
        <v>0</v>
      </c>
      <c r="X15" s="11">
        <v>74.650000000000006</v>
      </c>
      <c r="Y15" s="11">
        <v>0</v>
      </c>
      <c r="Z15" s="11">
        <v>74.650000000000006</v>
      </c>
      <c r="AA15" s="11" t="s">
        <v>1504</v>
      </c>
      <c r="AB15" s="11" t="s">
        <v>1505</v>
      </c>
      <c r="AC15" s="11">
        <v>0</v>
      </c>
      <c r="AD15" s="11">
        <v>100</v>
      </c>
      <c r="AE15" s="11">
        <v>0</v>
      </c>
      <c r="AF15" s="76">
        <v>93.94</v>
      </c>
      <c r="AG15" s="76" t="s">
        <v>3151</v>
      </c>
      <c r="AH15" s="9">
        <f>AF15</f>
        <v>93.94</v>
      </c>
      <c r="AI15" s="76" t="s">
        <v>4211</v>
      </c>
      <c r="AJ15" s="77" t="s">
        <v>4212</v>
      </c>
      <c r="AK15" s="77" t="s">
        <v>3151</v>
      </c>
      <c r="AL15" s="77"/>
      <c r="AM15" s="123" t="s">
        <v>4213</v>
      </c>
      <c r="AN15" s="77" t="s">
        <v>4214</v>
      </c>
      <c r="AO15" s="11">
        <v>90</v>
      </c>
      <c r="AP15" s="11">
        <v>0</v>
      </c>
      <c r="AQ15" s="11">
        <v>85.35</v>
      </c>
      <c r="AR15" s="11">
        <v>0</v>
      </c>
      <c r="AS15" s="11">
        <v>0</v>
      </c>
      <c r="AT15" s="11">
        <v>0</v>
      </c>
    </row>
    <row r="16" spans="1:46" ht="18" customHeight="1">
      <c r="A16" s="260" t="s">
        <v>428</v>
      </c>
      <c r="B16" s="260" t="s">
        <v>429</v>
      </c>
      <c r="C16" s="260" t="s">
        <v>1286</v>
      </c>
      <c r="D16" s="260" t="s">
        <v>1496</v>
      </c>
      <c r="E16" s="260" t="s">
        <v>1497</v>
      </c>
      <c r="F16" s="260" t="s">
        <v>1498</v>
      </c>
      <c r="G16" s="260" t="s">
        <v>1499</v>
      </c>
      <c r="H16" s="260" t="s">
        <v>1506</v>
      </c>
      <c r="I16" s="260"/>
      <c r="J16" s="260"/>
      <c r="K16" s="260" t="s">
        <v>1507</v>
      </c>
      <c r="L16" s="260" t="s">
        <v>1508</v>
      </c>
      <c r="M16" s="260" t="s">
        <v>1509</v>
      </c>
      <c r="N16" s="260" t="s">
        <v>111</v>
      </c>
      <c r="O16" s="260" t="s">
        <v>112</v>
      </c>
      <c r="P16" s="10">
        <v>0</v>
      </c>
      <c r="Q16" s="11">
        <v>300</v>
      </c>
      <c r="R16" s="11">
        <f t="shared" si="0"/>
        <v>107.79</v>
      </c>
      <c r="S16" s="76" t="s">
        <v>4215</v>
      </c>
      <c r="T16" s="11">
        <v>50</v>
      </c>
      <c r="U16" s="11">
        <v>0</v>
      </c>
      <c r="V16" s="11">
        <v>0</v>
      </c>
      <c r="W16" s="11">
        <v>0</v>
      </c>
      <c r="X16" s="11">
        <v>0</v>
      </c>
      <c r="Y16" s="11">
        <v>0</v>
      </c>
      <c r="Z16" s="11">
        <v>0</v>
      </c>
      <c r="AA16" s="11"/>
      <c r="AB16" s="11"/>
      <c r="AC16" s="11"/>
      <c r="AD16" s="11">
        <v>125</v>
      </c>
      <c r="AE16" s="11">
        <v>0</v>
      </c>
      <c r="AF16" s="76">
        <v>107.79</v>
      </c>
      <c r="AG16" s="76" t="s">
        <v>3151</v>
      </c>
      <c r="AH16" s="9">
        <f t="shared" ref="AH16:AH18" si="2">AF16</f>
        <v>107.79</v>
      </c>
      <c r="AI16" s="76" t="s">
        <v>4216</v>
      </c>
      <c r="AJ16" s="77" t="s">
        <v>4217</v>
      </c>
      <c r="AK16" s="77" t="s">
        <v>3151</v>
      </c>
      <c r="AL16" s="77"/>
      <c r="AM16" s="123"/>
      <c r="AN16" s="77"/>
      <c r="AO16" s="11">
        <v>100</v>
      </c>
      <c r="AP16" s="11">
        <v>0</v>
      </c>
      <c r="AQ16" s="11">
        <v>75</v>
      </c>
      <c r="AR16" s="11">
        <v>0</v>
      </c>
      <c r="AS16" s="11">
        <v>0</v>
      </c>
      <c r="AT16" s="11">
        <v>0</v>
      </c>
    </row>
    <row r="17" spans="1:46" ht="18" customHeight="1">
      <c r="A17" s="260" t="s">
        <v>428</v>
      </c>
      <c r="B17" s="260" t="s">
        <v>429</v>
      </c>
      <c r="C17" s="260" t="s">
        <v>1286</v>
      </c>
      <c r="D17" s="260" t="s">
        <v>1496</v>
      </c>
      <c r="E17" s="260" t="s">
        <v>1497</v>
      </c>
      <c r="F17" s="260" t="s">
        <v>1498</v>
      </c>
      <c r="G17" s="260" t="s">
        <v>1499</v>
      </c>
      <c r="H17" s="260" t="s">
        <v>1510</v>
      </c>
      <c r="I17" s="260"/>
      <c r="J17" s="260"/>
      <c r="K17" s="260" t="s">
        <v>1511</v>
      </c>
      <c r="L17" s="260" t="s">
        <v>1512</v>
      </c>
      <c r="M17" s="260" t="s">
        <v>1503</v>
      </c>
      <c r="N17" s="260" t="s">
        <v>111</v>
      </c>
      <c r="O17" s="260" t="s">
        <v>112</v>
      </c>
      <c r="P17" s="10">
        <v>0</v>
      </c>
      <c r="Q17" s="11">
        <v>270</v>
      </c>
      <c r="R17" s="11">
        <f t="shared" si="0"/>
        <v>52.47</v>
      </c>
      <c r="S17" s="76" t="s">
        <v>4218</v>
      </c>
      <c r="T17" s="11">
        <v>25</v>
      </c>
      <c r="U17" s="11">
        <v>0</v>
      </c>
      <c r="V17" s="11">
        <v>0</v>
      </c>
      <c r="W17" s="11">
        <v>0</v>
      </c>
      <c r="X17" s="11">
        <v>0</v>
      </c>
      <c r="Y17" s="11">
        <v>0</v>
      </c>
      <c r="Z17" s="11">
        <v>0</v>
      </c>
      <c r="AA17" s="11"/>
      <c r="AB17" s="11"/>
      <c r="AC17" s="11"/>
      <c r="AD17" s="11">
        <v>85</v>
      </c>
      <c r="AE17" s="11">
        <v>0</v>
      </c>
      <c r="AF17" s="76">
        <v>52.47</v>
      </c>
      <c r="AG17" s="76" t="s">
        <v>3151</v>
      </c>
      <c r="AH17" s="9">
        <f t="shared" si="2"/>
        <v>52.47</v>
      </c>
      <c r="AI17" s="76" t="s">
        <v>4219</v>
      </c>
      <c r="AJ17" s="77" t="s">
        <v>4220</v>
      </c>
      <c r="AK17" s="77" t="s">
        <v>3151</v>
      </c>
      <c r="AL17" s="77"/>
      <c r="AM17" s="123"/>
      <c r="AN17" s="77"/>
      <c r="AO17" s="11">
        <v>100</v>
      </c>
      <c r="AP17" s="11">
        <v>0</v>
      </c>
      <c r="AQ17" s="11">
        <v>85</v>
      </c>
      <c r="AR17" s="11">
        <v>0</v>
      </c>
      <c r="AS17" s="11">
        <v>0</v>
      </c>
      <c r="AT17" s="11">
        <v>0</v>
      </c>
    </row>
    <row r="18" spans="1:46" ht="18" customHeight="1">
      <c r="A18" s="260" t="s">
        <v>428</v>
      </c>
      <c r="B18" s="260" t="s">
        <v>429</v>
      </c>
      <c r="C18" s="260" t="s">
        <v>1286</v>
      </c>
      <c r="D18" s="260" t="s">
        <v>1496</v>
      </c>
      <c r="E18" s="260" t="s">
        <v>1497</v>
      </c>
      <c r="F18" s="260" t="s">
        <v>1498</v>
      </c>
      <c r="G18" s="260" t="s">
        <v>1499</v>
      </c>
      <c r="H18" s="260" t="s">
        <v>1513</v>
      </c>
      <c r="I18" s="260"/>
      <c r="J18" s="260"/>
      <c r="K18" s="260" t="s">
        <v>1514</v>
      </c>
      <c r="L18" s="260" t="s">
        <v>1515</v>
      </c>
      <c r="M18" s="260" t="s">
        <v>1516</v>
      </c>
      <c r="N18" s="260" t="s">
        <v>111</v>
      </c>
      <c r="O18" s="260" t="s">
        <v>112</v>
      </c>
      <c r="P18" s="10">
        <v>0</v>
      </c>
      <c r="Q18" s="11">
        <v>130</v>
      </c>
      <c r="R18" s="11">
        <f t="shared" si="0"/>
        <v>3.61</v>
      </c>
      <c r="S18" s="76" t="s">
        <v>4221</v>
      </c>
      <c r="T18" s="11">
        <v>20</v>
      </c>
      <c r="U18" s="11">
        <v>0</v>
      </c>
      <c r="V18" s="11">
        <v>5</v>
      </c>
      <c r="W18" s="11">
        <v>0</v>
      </c>
      <c r="X18" s="11">
        <v>2.48</v>
      </c>
      <c r="Y18" s="11">
        <v>0</v>
      </c>
      <c r="Z18" s="11">
        <v>2.48</v>
      </c>
      <c r="AA18" s="11" t="s">
        <v>1517</v>
      </c>
      <c r="AB18" s="11" t="s">
        <v>1518</v>
      </c>
      <c r="AC18" s="11" t="s">
        <v>1519</v>
      </c>
      <c r="AD18" s="11">
        <v>55</v>
      </c>
      <c r="AE18" s="11">
        <v>0</v>
      </c>
      <c r="AF18" s="76">
        <v>1.1299999999999999</v>
      </c>
      <c r="AG18" s="76" t="s">
        <v>3151</v>
      </c>
      <c r="AH18" s="9">
        <f t="shared" si="2"/>
        <v>1.1299999999999999</v>
      </c>
      <c r="AI18" s="76" t="s">
        <v>4222</v>
      </c>
      <c r="AJ18" s="77" t="s">
        <v>4223</v>
      </c>
      <c r="AK18" s="77" t="s">
        <v>3151</v>
      </c>
      <c r="AL18" s="77"/>
      <c r="AM18" s="123"/>
      <c r="AN18" s="77"/>
      <c r="AO18" s="11">
        <v>52.52</v>
      </c>
      <c r="AP18" s="11">
        <v>0</v>
      </c>
      <c r="AQ18" s="11">
        <v>20</v>
      </c>
      <c r="AR18" s="11">
        <v>0</v>
      </c>
      <c r="AS18" s="11">
        <v>0</v>
      </c>
      <c r="AT18" s="11">
        <v>0</v>
      </c>
    </row>
    <row r="19" spans="1:46" ht="18" customHeight="1">
      <c r="A19" s="260" t="s">
        <v>428</v>
      </c>
      <c r="B19" s="260" t="s">
        <v>429</v>
      </c>
      <c r="C19" s="260" t="s">
        <v>1286</v>
      </c>
      <c r="D19" s="260" t="s">
        <v>1496</v>
      </c>
      <c r="E19" s="260" t="s">
        <v>1497</v>
      </c>
      <c r="F19" s="260" t="s">
        <v>1498</v>
      </c>
      <c r="G19" s="260" t="s">
        <v>1499</v>
      </c>
      <c r="H19" s="260" t="s">
        <v>1520</v>
      </c>
      <c r="I19" s="260"/>
      <c r="J19" s="260"/>
      <c r="K19" s="260" t="s">
        <v>1521</v>
      </c>
      <c r="L19" s="260" t="s">
        <v>1522</v>
      </c>
      <c r="M19" s="260" t="s">
        <v>1523</v>
      </c>
      <c r="N19" s="260" t="s">
        <v>111</v>
      </c>
      <c r="O19" s="260" t="s">
        <v>124</v>
      </c>
      <c r="P19" s="10">
        <v>1000</v>
      </c>
      <c r="Q19" s="11">
        <v>1000</v>
      </c>
      <c r="R19" s="11">
        <f>(Z19+AH19)/2</f>
        <v>1328.375</v>
      </c>
      <c r="S19" s="76" t="s">
        <v>4224</v>
      </c>
      <c r="T19" s="11">
        <v>0</v>
      </c>
      <c r="U19" s="11">
        <v>1000</v>
      </c>
      <c r="V19" s="11">
        <v>0</v>
      </c>
      <c r="W19" s="11">
        <v>1000</v>
      </c>
      <c r="X19" s="11" t="s">
        <v>115</v>
      </c>
      <c r="Y19" s="11">
        <v>1160.29</v>
      </c>
      <c r="Z19" s="11">
        <v>1160.29</v>
      </c>
      <c r="AA19" s="11" t="s">
        <v>1524</v>
      </c>
      <c r="AB19" s="11" t="s">
        <v>1525</v>
      </c>
      <c r="AC19" s="11" t="s">
        <v>1526</v>
      </c>
      <c r="AD19" s="11">
        <v>0</v>
      </c>
      <c r="AE19" s="11">
        <v>1000</v>
      </c>
      <c r="AF19" s="76" t="s">
        <v>3151</v>
      </c>
      <c r="AG19" s="76">
        <v>1496.46</v>
      </c>
      <c r="AH19" s="11">
        <f>AG19</f>
        <v>1496.46</v>
      </c>
      <c r="AI19" s="76" t="s">
        <v>4225</v>
      </c>
      <c r="AJ19" s="77" t="s">
        <v>4226</v>
      </c>
      <c r="AK19" s="77" t="s">
        <v>3151</v>
      </c>
      <c r="AL19" s="77"/>
      <c r="AM19" s="123"/>
      <c r="AN19" s="77"/>
      <c r="AO19" s="11">
        <v>0</v>
      </c>
      <c r="AP19" s="11">
        <v>1000</v>
      </c>
      <c r="AQ19" s="11">
        <v>0</v>
      </c>
      <c r="AR19" s="11">
        <v>1000</v>
      </c>
      <c r="AS19" s="11">
        <v>0</v>
      </c>
      <c r="AT19" s="11">
        <v>0</v>
      </c>
    </row>
    <row r="20" spans="1:46" ht="18" customHeight="1">
      <c r="A20" s="260" t="s">
        <v>428</v>
      </c>
      <c r="B20" s="260" t="s">
        <v>429</v>
      </c>
      <c r="C20" s="260" t="s">
        <v>1286</v>
      </c>
      <c r="D20" s="260" t="s">
        <v>1496</v>
      </c>
      <c r="E20" s="260" t="s">
        <v>1497</v>
      </c>
      <c r="F20" s="260" t="s">
        <v>1498</v>
      </c>
      <c r="G20" s="260" t="s">
        <v>1499</v>
      </c>
      <c r="H20" s="260" t="s">
        <v>1527</v>
      </c>
      <c r="I20" s="260"/>
      <c r="J20" s="260"/>
      <c r="K20" s="260" t="s">
        <v>1528</v>
      </c>
      <c r="L20" s="260" t="s">
        <v>1529</v>
      </c>
      <c r="M20" s="260" t="s">
        <v>1523</v>
      </c>
      <c r="N20" s="260" t="s">
        <v>111</v>
      </c>
      <c r="O20" s="260" t="s">
        <v>112</v>
      </c>
      <c r="P20" s="10">
        <v>10000</v>
      </c>
      <c r="Q20" s="11">
        <v>10000</v>
      </c>
      <c r="R20" s="11">
        <f t="shared" ref="R20:R21" si="3">Z20+AH20</f>
        <v>5255.8300000000008</v>
      </c>
      <c r="S20" s="76" t="s">
        <v>4227</v>
      </c>
      <c r="T20" s="11">
        <v>1500</v>
      </c>
      <c r="U20" s="11">
        <v>0</v>
      </c>
      <c r="V20" s="11">
        <v>200</v>
      </c>
      <c r="W20" s="11">
        <v>0</v>
      </c>
      <c r="X20" s="11">
        <v>122.81</v>
      </c>
      <c r="Y20" s="11">
        <v>0</v>
      </c>
      <c r="Z20" s="11">
        <v>122.81</v>
      </c>
      <c r="AA20" s="11" t="s">
        <v>1530</v>
      </c>
      <c r="AB20" s="11" t="s">
        <v>1531</v>
      </c>
      <c r="AC20" s="11" t="s">
        <v>1526</v>
      </c>
      <c r="AD20" s="11">
        <v>5500</v>
      </c>
      <c r="AE20" s="11">
        <v>0</v>
      </c>
      <c r="AF20" s="76">
        <v>5133.0200000000004</v>
      </c>
      <c r="AG20" s="76" t="s">
        <v>3151</v>
      </c>
      <c r="AH20" s="9">
        <f t="shared" ref="AH20:AH21" si="4">AF20</f>
        <v>5133.0200000000004</v>
      </c>
      <c r="AI20" s="76" t="s">
        <v>4228</v>
      </c>
      <c r="AJ20" s="77" t="s">
        <v>4229</v>
      </c>
      <c r="AK20" s="77" t="s">
        <v>3151</v>
      </c>
      <c r="AL20" s="77"/>
      <c r="AM20" s="123"/>
      <c r="AN20" s="77"/>
      <c r="AO20" s="11">
        <v>2377.9</v>
      </c>
      <c r="AP20" s="11">
        <v>0</v>
      </c>
      <c r="AQ20" s="11">
        <v>2000</v>
      </c>
      <c r="AR20" s="11">
        <v>0</v>
      </c>
      <c r="AS20" s="11">
        <v>0</v>
      </c>
      <c r="AT20" s="11">
        <v>0</v>
      </c>
    </row>
    <row r="21" spans="1:46" ht="18" customHeight="1">
      <c r="A21" s="260" t="s">
        <v>428</v>
      </c>
      <c r="B21" s="260" t="s">
        <v>429</v>
      </c>
      <c r="C21" s="260" t="s">
        <v>1286</v>
      </c>
      <c r="D21" s="260" t="s">
        <v>1496</v>
      </c>
      <c r="E21" s="260" t="s">
        <v>1497</v>
      </c>
      <c r="F21" s="260" t="s">
        <v>1498</v>
      </c>
      <c r="G21" s="260" t="s">
        <v>1499</v>
      </c>
      <c r="H21" s="260" t="s">
        <v>1532</v>
      </c>
      <c r="I21" s="260"/>
      <c r="J21" s="260"/>
      <c r="K21" s="260" t="s">
        <v>1533</v>
      </c>
      <c r="L21" s="260" t="s">
        <v>1534</v>
      </c>
      <c r="M21" s="260" t="s">
        <v>1535</v>
      </c>
      <c r="N21" s="260" t="s">
        <v>111</v>
      </c>
      <c r="O21" s="260" t="s">
        <v>112</v>
      </c>
      <c r="P21" s="10">
        <v>176</v>
      </c>
      <c r="Q21" s="11">
        <v>220</v>
      </c>
      <c r="R21" s="11">
        <f t="shared" si="3"/>
        <v>59</v>
      </c>
      <c r="S21" s="76" t="s">
        <v>4230</v>
      </c>
      <c r="T21" s="11">
        <v>40</v>
      </c>
      <c r="U21" s="11">
        <v>0</v>
      </c>
      <c r="V21" s="11">
        <v>10</v>
      </c>
      <c r="W21" s="11">
        <v>0</v>
      </c>
      <c r="X21" s="11">
        <v>6</v>
      </c>
      <c r="Y21" s="11">
        <v>0</v>
      </c>
      <c r="Z21" s="11">
        <v>6</v>
      </c>
      <c r="AA21" s="11" t="s">
        <v>1536</v>
      </c>
      <c r="AB21" s="11" t="s">
        <v>1537</v>
      </c>
      <c r="AC21" s="11">
        <v>0</v>
      </c>
      <c r="AD21" s="11">
        <v>70</v>
      </c>
      <c r="AE21" s="11">
        <v>0</v>
      </c>
      <c r="AF21" s="76">
        <v>53</v>
      </c>
      <c r="AG21" s="76" t="s">
        <v>3151</v>
      </c>
      <c r="AH21" s="9">
        <f t="shared" si="4"/>
        <v>53</v>
      </c>
      <c r="AI21" s="76" t="s">
        <v>4231</v>
      </c>
      <c r="AJ21" s="77" t="s">
        <v>4232</v>
      </c>
      <c r="AK21" s="77" t="s">
        <v>3151</v>
      </c>
      <c r="AL21" s="77"/>
      <c r="AM21" s="123"/>
      <c r="AN21" s="77"/>
      <c r="AO21" s="11">
        <v>80</v>
      </c>
      <c r="AP21" s="11">
        <v>0</v>
      </c>
      <c r="AQ21" s="11">
        <v>64</v>
      </c>
      <c r="AR21" s="11">
        <v>0</v>
      </c>
      <c r="AS21" s="11">
        <v>0</v>
      </c>
      <c r="AT21" s="11">
        <v>0</v>
      </c>
    </row>
    <row r="22" spans="1:46" ht="18" customHeight="1">
      <c r="A22" s="260" t="s">
        <v>428</v>
      </c>
      <c r="B22" s="260" t="s">
        <v>429</v>
      </c>
      <c r="C22" s="260" t="s">
        <v>1286</v>
      </c>
      <c r="D22" s="260" t="s">
        <v>1496</v>
      </c>
      <c r="E22" s="260" t="s">
        <v>1497</v>
      </c>
      <c r="F22" s="260" t="s">
        <v>1498</v>
      </c>
      <c r="G22" s="260" t="s">
        <v>1499</v>
      </c>
      <c r="H22" s="260" t="s">
        <v>1538</v>
      </c>
      <c r="I22" s="260"/>
      <c r="J22" s="260"/>
      <c r="K22" s="260" t="s">
        <v>1539</v>
      </c>
      <c r="L22" s="260" t="s">
        <v>1540</v>
      </c>
      <c r="M22" s="260" t="s">
        <v>1541</v>
      </c>
      <c r="N22" s="260" t="s">
        <v>123</v>
      </c>
      <c r="O22" s="260" t="s">
        <v>124</v>
      </c>
      <c r="P22" s="10">
        <v>100</v>
      </c>
      <c r="Q22" s="11">
        <v>100</v>
      </c>
      <c r="R22" s="11">
        <f>(Z22+AH22)/2</f>
        <v>100</v>
      </c>
      <c r="S22" s="76" t="s">
        <v>4233</v>
      </c>
      <c r="T22" s="11">
        <v>0</v>
      </c>
      <c r="U22" s="11">
        <v>100</v>
      </c>
      <c r="V22" s="11">
        <v>0</v>
      </c>
      <c r="W22" s="11">
        <v>100</v>
      </c>
      <c r="X22" s="11" t="s">
        <v>115</v>
      </c>
      <c r="Y22" s="11">
        <v>100</v>
      </c>
      <c r="Z22" s="11">
        <v>100</v>
      </c>
      <c r="AA22" s="11" t="s">
        <v>1542</v>
      </c>
      <c r="AB22" s="11" t="s">
        <v>1543</v>
      </c>
      <c r="AC22" s="11">
        <v>0</v>
      </c>
      <c r="AD22" s="11">
        <v>0</v>
      </c>
      <c r="AE22" s="11">
        <v>100</v>
      </c>
      <c r="AF22" s="76" t="s">
        <v>3151</v>
      </c>
      <c r="AG22" s="76">
        <v>100</v>
      </c>
      <c r="AH22" s="11">
        <f>AG22</f>
        <v>100</v>
      </c>
      <c r="AI22" s="76" t="s">
        <v>4234</v>
      </c>
      <c r="AJ22" s="77" t="s">
        <v>4235</v>
      </c>
      <c r="AK22" s="77" t="s">
        <v>3151</v>
      </c>
      <c r="AL22" s="77"/>
      <c r="AM22" s="123"/>
      <c r="AN22" s="77"/>
      <c r="AO22" s="11">
        <v>0</v>
      </c>
      <c r="AP22" s="11">
        <v>100</v>
      </c>
      <c r="AQ22" s="11">
        <v>0</v>
      </c>
      <c r="AR22" s="11">
        <v>100</v>
      </c>
      <c r="AS22" s="11">
        <v>0</v>
      </c>
      <c r="AT22" s="11">
        <v>0</v>
      </c>
    </row>
    <row r="23" spans="1:46" ht="18" customHeight="1">
      <c r="A23" s="260" t="s">
        <v>428</v>
      </c>
      <c r="B23" s="260" t="s">
        <v>429</v>
      </c>
      <c r="C23" s="260" t="s">
        <v>1286</v>
      </c>
      <c r="D23" s="260" t="s">
        <v>1496</v>
      </c>
      <c r="E23" s="260" t="s">
        <v>1497</v>
      </c>
      <c r="F23" s="260" t="s">
        <v>1498</v>
      </c>
      <c r="G23" s="260" t="s">
        <v>1499</v>
      </c>
      <c r="H23" s="260" t="s">
        <v>1544</v>
      </c>
      <c r="I23" s="260"/>
      <c r="J23" s="260"/>
      <c r="K23" s="260" t="s">
        <v>1545</v>
      </c>
      <c r="L23" s="260" t="s">
        <v>1546</v>
      </c>
      <c r="M23" s="260" t="s">
        <v>1547</v>
      </c>
      <c r="N23" s="260" t="s">
        <v>111</v>
      </c>
      <c r="O23" s="260" t="s">
        <v>112</v>
      </c>
      <c r="P23" s="10">
        <v>120068</v>
      </c>
      <c r="Q23" s="11">
        <v>80000</v>
      </c>
      <c r="R23" s="11">
        <f t="shared" ref="R23:R25" si="5">Z23+AH23</f>
        <v>27960.14</v>
      </c>
      <c r="S23" s="76" t="s">
        <v>4236</v>
      </c>
      <c r="T23" s="11">
        <v>10000</v>
      </c>
      <c r="U23" s="11">
        <v>0</v>
      </c>
      <c r="V23" s="11">
        <v>6000</v>
      </c>
      <c r="W23" s="11">
        <v>0</v>
      </c>
      <c r="X23" s="11">
        <v>4509.6099999999997</v>
      </c>
      <c r="Y23" s="11">
        <v>0</v>
      </c>
      <c r="Z23" s="11">
        <v>4509.6099999999997</v>
      </c>
      <c r="AA23" s="11" t="s">
        <v>1548</v>
      </c>
      <c r="AB23" s="11" t="s">
        <v>1549</v>
      </c>
      <c r="AC23" s="11" t="s">
        <v>1550</v>
      </c>
      <c r="AD23" s="11">
        <v>32000</v>
      </c>
      <c r="AE23" s="11">
        <v>0</v>
      </c>
      <c r="AF23" s="110">
        <v>23450.53</v>
      </c>
      <c r="AG23" s="76" t="s">
        <v>3151</v>
      </c>
      <c r="AH23" s="9">
        <f t="shared" ref="AH23:AH24" si="6">AF23</f>
        <v>23450.53</v>
      </c>
      <c r="AI23" s="76" t="s">
        <v>4237</v>
      </c>
      <c r="AJ23" s="77" t="s">
        <v>4238</v>
      </c>
      <c r="AK23" s="77" t="s">
        <v>3151</v>
      </c>
      <c r="AL23" s="77"/>
      <c r="AM23" s="123"/>
      <c r="AN23" s="77"/>
      <c r="AO23" s="11">
        <v>41490</v>
      </c>
      <c r="AP23" s="11">
        <v>0</v>
      </c>
      <c r="AQ23" s="11">
        <v>42000</v>
      </c>
      <c r="AR23" s="11">
        <v>0</v>
      </c>
      <c r="AS23" s="11">
        <v>0</v>
      </c>
      <c r="AT23" s="11">
        <v>0</v>
      </c>
    </row>
    <row r="24" spans="1:46" ht="18" customHeight="1">
      <c r="A24" s="260" t="s">
        <v>428</v>
      </c>
      <c r="B24" s="260" t="s">
        <v>429</v>
      </c>
      <c r="C24" s="260" t="s">
        <v>1286</v>
      </c>
      <c r="D24" s="260" t="s">
        <v>1496</v>
      </c>
      <c r="E24" s="260" t="s">
        <v>1497</v>
      </c>
      <c r="F24" s="260" t="s">
        <v>1498</v>
      </c>
      <c r="G24" s="260" t="s">
        <v>1499</v>
      </c>
      <c r="H24" s="260" t="s">
        <v>1551</v>
      </c>
      <c r="I24" s="260"/>
      <c r="J24" s="260"/>
      <c r="K24" s="260" t="s">
        <v>1552</v>
      </c>
      <c r="L24" s="260" t="s">
        <v>1553</v>
      </c>
      <c r="M24" s="260" t="s">
        <v>1547</v>
      </c>
      <c r="N24" s="260" t="s">
        <v>111</v>
      </c>
      <c r="O24" s="260" t="s">
        <v>112</v>
      </c>
      <c r="P24" s="10">
        <v>820977</v>
      </c>
      <c r="Q24" s="11">
        <v>1050000</v>
      </c>
      <c r="R24" s="11">
        <f t="shared" si="5"/>
        <v>293511.02</v>
      </c>
      <c r="S24" s="76" t="s">
        <v>4239</v>
      </c>
      <c r="T24" s="11">
        <v>40000</v>
      </c>
      <c r="U24" s="11">
        <v>0</v>
      </c>
      <c r="V24" s="11">
        <v>100000</v>
      </c>
      <c r="W24" s="11">
        <v>0</v>
      </c>
      <c r="X24" s="11">
        <v>101691.3</v>
      </c>
      <c r="Y24" s="11">
        <v>0</v>
      </c>
      <c r="Z24" s="11">
        <v>101691.3</v>
      </c>
      <c r="AA24" s="11" t="s">
        <v>1554</v>
      </c>
      <c r="AB24" s="11" t="s">
        <v>1555</v>
      </c>
      <c r="AC24" s="11">
        <v>0</v>
      </c>
      <c r="AD24" s="11">
        <v>300000</v>
      </c>
      <c r="AE24" s="11">
        <v>0</v>
      </c>
      <c r="AF24" s="110">
        <v>191819.72</v>
      </c>
      <c r="AG24" s="76" t="s">
        <v>3151</v>
      </c>
      <c r="AH24" s="9">
        <f t="shared" si="6"/>
        <v>191819.72</v>
      </c>
      <c r="AI24" s="76" t="s">
        <v>4240</v>
      </c>
      <c r="AJ24" s="77" t="s">
        <v>4241</v>
      </c>
      <c r="AK24" s="77" t="s">
        <v>3151</v>
      </c>
      <c r="AL24" s="77"/>
      <c r="AM24" s="123"/>
      <c r="AN24" s="77"/>
      <c r="AO24" s="11">
        <v>400000</v>
      </c>
      <c r="AP24" s="11">
        <v>0</v>
      </c>
      <c r="AQ24" s="11">
        <v>200000</v>
      </c>
      <c r="AR24" s="11">
        <v>0</v>
      </c>
      <c r="AS24" s="11">
        <v>0</v>
      </c>
      <c r="AT24" s="11">
        <v>0</v>
      </c>
    </row>
    <row r="25" spans="1:46" ht="18" customHeight="1">
      <c r="A25" s="260" t="s">
        <v>428</v>
      </c>
      <c r="B25" s="260" t="s">
        <v>429</v>
      </c>
      <c r="C25" s="260" t="s">
        <v>2129</v>
      </c>
      <c r="D25" s="260" t="s">
        <v>2232</v>
      </c>
      <c r="E25" s="260" t="s">
        <v>2233</v>
      </c>
      <c r="F25" s="260" t="s">
        <v>2234</v>
      </c>
      <c r="G25" s="260" t="s">
        <v>2235</v>
      </c>
      <c r="H25" s="260" t="s">
        <v>2236</v>
      </c>
      <c r="I25" s="260"/>
      <c r="J25" s="260"/>
      <c r="K25" s="260" t="s">
        <v>2237</v>
      </c>
      <c r="L25" s="260" t="s">
        <v>2238</v>
      </c>
      <c r="M25" s="260" t="s">
        <v>2239</v>
      </c>
      <c r="N25" s="260" t="s">
        <v>111</v>
      </c>
      <c r="O25" s="260" t="s">
        <v>112</v>
      </c>
      <c r="P25" s="10">
        <v>0</v>
      </c>
      <c r="Q25" s="11">
        <v>10</v>
      </c>
      <c r="R25" s="11">
        <f t="shared" si="5"/>
        <v>5</v>
      </c>
      <c r="S25" s="76" t="s">
        <v>4242</v>
      </c>
      <c r="T25" s="11">
        <v>2</v>
      </c>
      <c r="U25" s="11">
        <v>0</v>
      </c>
      <c r="V25" s="11">
        <v>2</v>
      </c>
      <c r="W25" s="11">
        <v>0</v>
      </c>
      <c r="X25" s="11">
        <v>2</v>
      </c>
      <c r="Y25" s="11">
        <v>0</v>
      </c>
      <c r="Z25" s="11">
        <v>2</v>
      </c>
      <c r="AA25" s="11">
        <v>0</v>
      </c>
      <c r="AB25" s="11"/>
      <c r="AC25" s="11">
        <v>0</v>
      </c>
      <c r="AD25" s="11">
        <v>3</v>
      </c>
      <c r="AE25" s="11">
        <v>0</v>
      </c>
      <c r="AF25" s="76">
        <v>3</v>
      </c>
      <c r="AG25" s="76" t="s">
        <v>3151</v>
      </c>
      <c r="AH25" s="9">
        <f t="shared" ref="AH25" si="7">AF25</f>
        <v>3</v>
      </c>
      <c r="AI25" s="76" t="s">
        <v>4243</v>
      </c>
      <c r="AJ25" s="77" t="s">
        <v>4244</v>
      </c>
      <c r="AK25" s="77" t="s">
        <v>3151</v>
      </c>
      <c r="AL25" s="77"/>
      <c r="AM25" s="123"/>
      <c r="AN25" s="77"/>
      <c r="AO25" s="11">
        <v>2</v>
      </c>
      <c r="AP25" s="11">
        <v>0</v>
      </c>
      <c r="AQ25" s="11">
        <v>3</v>
      </c>
      <c r="AR25" s="11">
        <v>0</v>
      </c>
      <c r="AS25" s="11">
        <v>0</v>
      </c>
      <c r="AT25" s="11">
        <v>0</v>
      </c>
    </row>
    <row r="26" spans="1:46" s="3" customFormat="1">
      <c r="L26" s="5"/>
      <c r="AM26" s="124"/>
    </row>
  </sheetData>
  <sheetProtection algorithmName="SHA-512" hashValue="LIerXq8vFBPkYWRMPWFwfdVe7xhU4EVKqexPDHGrPV5UK+M9XKAiku13wmP4dfPyhdCavnjBMrE7UdyRbIx6Ew==" saltValue="9UrYOpZCWEJkKp8w9J1VQA==" spinCount="100000" sheet="1" autoFilter="0"/>
  <autoFilter ref="A12:IZ25" xr:uid="{00000000-0009-0000-0000-000020000000}"/>
  <customSheetViews>
    <customSheetView guid="{75629C99-8367-48E9-A2A2-D8C49A9E68E3}" scale="80" showAutoFilter="1" hiddenRows="1" topLeftCell="AA11">
      <pane ySplit="1" topLeftCell="A12" activePane="bottomLeft" state="frozen"/>
      <selection pane="bottomLeft" activeCell="X14" activeCellId="3" sqref="AD14 AO14 AQ14 X14"/>
      <pageMargins left="0" right="0" top="0" bottom="0" header="0" footer="0"/>
      <pageSetup orientation="portrait" r:id="rId1"/>
      <autoFilter ref="A12:IZ25" xr:uid="{9A694B22-876D-4187-A864-DB7038EE313F}"/>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633E-2EE7-47B3-9BCD-7FE80B318DA4}">
  <dimension ref="A1:AT26"/>
  <sheetViews>
    <sheetView zoomScale="80" zoomScaleNormal="80" workbookViewId="0">
      <pane ySplit="12" topLeftCell="A13" activePane="bottomLeft" state="frozen"/>
      <selection pane="bottomLeft" activeCell="AH20" sqref="AH20"/>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29" width="12.7109375" hidden="1" customWidth="1"/>
    <col min="3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6" t="s">
        <v>2822</v>
      </c>
      <c r="B13" s="6" t="s">
        <v>2823</v>
      </c>
      <c r="C13" s="6" t="s">
        <v>2371</v>
      </c>
      <c r="D13" s="6" t="s">
        <v>2372</v>
      </c>
      <c r="E13" s="6" t="s">
        <v>2562</v>
      </c>
      <c r="F13" s="6" t="s">
        <v>2824</v>
      </c>
      <c r="G13" s="6" t="s">
        <v>2825</v>
      </c>
      <c r="H13" s="6" t="s">
        <v>2826</v>
      </c>
      <c r="I13" s="6" t="s">
        <v>4245</v>
      </c>
      <c r="J13" s="6" t="s">
        <v>4246</v>
      </c>
      <c r="K13" s="6" t="s">
        <v>2827</v>
      </c>
      <c r="L13" s="6" t="s">
        <v>2828</v>
      </c>
      <c r="M13" s="6"/>
      <c r="N13" s="6" t="s">
        <v>111</v>
      </c>
      <c r="O13" s="6" t="s">
        <v>112</v>
      </c>
      <c r="P13" s="8">
        <v>0</v>
      </c>
      <c r="Q13" s="9">
        <v>25</v>
      </c>
      <c r="R13" s="9">
        <v>0</v>
      </c>
      <c r="S13" s="9">
        <v>0</v>
      </c>
      <c r="T13" s="11"/>
      <c r="U13" s="11"/>
      <c r="V13" s="11"/>
      <c r="W13" s="11"/>
      <c r="X13" s="11"/>
      <c r="Y13" s="11"/>
      <c r="Z13" s="11"/>
      <c r="AA13" s="11"/>
      <c r="AB13" s="11"/>
      <c r="AC13" s="11"/>
      <c r="AD13" s="11">
        <v>3</v>
      </c>
      <c r="AE13" s="11"/>
      <c r="AF13" s="261">
        <v>1</v>
      </c>
      <c r="AG13" s="261"/>
      <c r="AH13" s="9">
        <v>1</v>
      </c>
      <c r="AI13" s="261" t="s">
        <v>4247</v>
      </c>
      <c r="AJ13" s="261" t="s">
        <v>4248</v>
      </c>
      <c r="AK13" s="261" t="s">
        <v>4249</v>
      </c>
      <c r="AL13" s="261" t="s">
        <v>4250</v>
      </c>
      <c r="AM13" s="118">
        <v>49791979300</v>
      </c>
      <c r="AN13" s="261" t="s">
        <v>4251</v>
      </c>
      <c r="AO13" s="11">
        <v>25</v>
      </c>
      <c r="AP13" s="11">
        <v>0</v>
      </c>
      <c r="AQ13" s="11">
        <v>0</v>
      </c>
      <c r="AR13" s="11">
        <v>25</v>
      </c>
      <c r="AS13" s="11">
        <v>0</v>
      </c>
      <c r="AT13" s="11">
        <v>25</v>
      </c>
    </row>
    <row r="14" spans="1:46" ht="18" customHeight="1">
      <c r="A14" s="260" t="s">
        <v>2822</v>
      </c>
      <c r="B14" s="260" t="s">
        <v>2823</v>
      </c>
      <c r="C14" s="260" t="s">
        <v>2371</v>
      </c>
      <c r="D14" s="260" t="s">
        <v>2372</v>
      </c>
      <c r="E14" s="260" t="s">
        <v>2562</v>
      </c>
      <c r="F14" s="260" t="s">
        <v>2824</v>
      </c>
      <c r="G14" s="260" t="s">
        <v>2825</v>
      </c>
      <c r="H14" s="260" t="s">
        <v>2830</v>
      </c>
      <c r="I14" s="260" t="s">
        <v>4252</v>
      </c>
      <c r="J14" s="260" t="s">
        <v>4246</v>
      </c>
      <c r="K14" s="260" t="s">
        <v>2831</v>
      </c>
      <c r="L14" s="260" t="s">
        <v>2832</v>
      </c>
      <c r="M14" s="260"/>
      <c r="N14" s="260" t="s">
        <v>111</v>
      </c>
      <c r="O14" s="260" t="s">
        <v>112</v>
      </c>
      <c r="P14" s="10">
        <v>2000</v>
      </c>
      <c r="Q14" s="11">
        <v>30000</v>
      </c>
      <c r="R14" s="11">
        <v>0</v>
      </c>
      <c r="S14" s="11">
        <v>2000</v>
      </c>
      <c r="T14" s="11"/>
      <c r="U14" s="11"/>
      <c r="V14" s="11"/>
      <c r="W14" s="11"/>
      <c r="X14" s="11"/>
      <c r="Y14" s="11"/>
      <c r="Z14" s="11"/>
      <c r="AA14" s="11"/>
      <c r="AB14" s="11"/>
      <c r="AC14" s="11"/>
      <c r="AD14" s="11">
        <v>6000</v>
      </c>
      <c r="AE14" s="11"/>
      <c r="AF14" s="261">
        <v>6281</v>
      </c>
      <c r="AG14" s="261"/>
      <c r="AH14" s="9">
        <f>AF14</f>
        <v>6281</v>
      </c>
      <c r="AI14" s="261" t="s">
        <v>4253</v>
      </c>
      <c r="AJ14" s="261"/>
      <c r="AK14" s="261" t="s">
        <v>4254</v>
      </c>
      <c r="AL14" s="261"/>
      <c r="AM14" s="118"/>
      <c r="AN14" s="261"/>
      <c r="AO14" s="11">
        <v>9000</v>
      </c>
      <c r="AP14" s="11">
        <v>6000</v>
      </c>
      <c r="AQ14" s="11">
        <v>10000</v>
      </c>
      <c r="AR14" s="11">
        <v>15000</v>
      </c>
      <c r="AS14" s="11">
        <v>5000</v>
      </c>
      <c r="AT14" s="11">
        <v>30000</v>
      </c>
    </row>
    <row r="15" spans="1:46" s="3" customFormat="1">
      <c r="L15" s="5"/>
      <c r="AM15" s="124"/>
    </row>
    <row r="26" spans="32:35">
      <c r="AF26" s="56"/>
      <c r="AG26" s="56"/>
      <c r="AH26" s="56"/>
      <c r="AI26" s="56"/>
    </row>
  </sheetData>
  <sheetProtection autoFilter="0"/>
  <autoFilter ref="A12:IZ14" xr:uid="{00000000-0009-0000-0000-000021000000}"/>
  <customSheetViews>
    <customSheetView guid="{75629C99-8367-48E9-A2A2-D8C49A9E68E3}" scale="80" showAutoFilter="1" hiddenRows="1" hiddenColumns="1">
      <pane ySplit="12" topLeftCell="A13" activePane="bottomLeft" state="frozen"/>
      <selection pane="bottomLeft" activeCell="AI13" sqref="AI13:AL14"/>
      <pageMargins left="0" right="0" top="0" bottom="0" header="0" footer="0"/>
      <pageSetup orientation="portrait" r:id="rId1"/>
      <autoFilter ref="A12:IZ14" xr:uid="{EF40A3A2-00AF-4973-9467-B2690CC7382F}"/>
    </customSheetView>
  </customSheetViews>
  <mergeCells count="21">
    <mergeCell ref="A1:D4"/>
    <mergeCell ref="E1:I2"/>
    <mergeCell ref="J1:L1"/>
    <mergeCell ref="J2:L3"/>
    <mergeCell ref="E3:I4"/>
    <mergeCell ref="J4:L4"/>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s>
  <pageMargins left="0.7" right="0.7" top="0.75" bottom="0.75" header="0.3" footer="0.3"/>
  <pageSetup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AT18"/>
  <sheetViews>
    <sheetView zoomScale="80" zoomScaleNormal="80" workbookViewId="0">
      <pane ySplit="12" topLeftCell="A13" activePane="bottomLeft" state="frozen"/>
      <selection pane="bottomLeft" activeCell="L14" sqref="L14"/>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1072</v>
      </c>
      <c r="B13" s="260" t="s">
        <v>1073</v>
      </c>
      <c r="C13" s="260" t="s">
        <v>100</v>
      </c>
      <c r="D13" s="260" t="s">
        <v>1074</v>
      </c>
      <c r="E13" s="260" t="s">
        <v>1075</v>
      </c>
      <c r="F13" s="260" t="s">
        <v>1076</v>
      </c>
      <c r="G13" s="260" t="s">
        <v>1077</v>
      </c>
      <c r="H13" s="260" t="s">
        <v>1078</v>
      </c>
      <c r="I13" s="260"/>
      <c r="J13" s="260"/>
      <c r="K13" s="260" t="s">
        <v>1079</v>
      </c>
      <c r="L13" s="260" t="s">
        <v>1080</v>
      </c>
      <c r="M13" s="260" t="s">
        <v>1081</v>
      </c>
      <c r="N13" s="260" t="s">
        <v>123</v>
      </c>
      <c r="O13" s="260" t="s">
        <v>112</v>
      </c>
      <c r="P13" s="10">
        <v>0</v>
      </c>
      <c r="Q13" s="11">
        <v>100</v>
      </c>
      <c r="R13" s="11">
        <f t="shared" ref="R13:R15" si="0">Z13+AH13</f>
        <v>33.15</v>
      </c>
      <c r="S13" s="261" t="s">
        <v>4255</v>
      </c>
      <c r="T13" s="11">
        <v>0.15</v>
      </c>
      <c r="U13" s="11">
        <v>0</v>
      </c>
      <c r="V13" s="11">
        <v>0.15</v>
      </c>
      <c r="W13" s="11">
        <v>0</v>
      </c>
      <c r="X13" s="11">
        <v>0.15</v>
      </c>
      <c r="Y13" s="11">
        <v>0</v>
      </c>
      <c r="Z13" s="11">
        <v>0.15</v>
      </c>
      <c r="AA13" s="11">
        <v>0</v>
      </c>
      <c r="AB13" s="11" t="s">
        <v>1082</v>
      </c>
      <c r="AC13" s="11">
        <v>0</v>
      </c>
      <c r="AD13" s="11">
        <v>35</v>
      </c>
      <c r="AE13" s="11">
        <v>0</v>
      </c>
      <c r="AF13" s="261">
        <v>33</v>
      </c>
      <c r="AG13" s="261"/>
      <c r="AH13" s="9">
        <f t="shared" ref="AH13:AH15" si="1">AF13</f>
        <v>33</v>
      </c>
      <c r="AI13" s="261">
        <v>0</v>
      </c>
      <c r="AJ13" s="261" t="s">
        <v>4256</v>
      </c>
      <c r="AK13" s="261"/>
      <c r="AL13" s="261"/>
      <c r="AM13" s="118"/>
      <c r="AN13" s="261"/>
      <c r="AO13" s="11">
        <v>0.35</v>
      </c>
      <c r="AP13" s="11">
        <v>0</v>
      </c>
      <c r="AQ13" s="11">
        <v>0.15</v>
      </c>
      <c r="AR13" s="11">
        <v>0</v>
      </c>
      <c r="AS13" s="11">
        <v>0</v>
      </c>
      <c r="AT13" s="11">
        <v>0</v>
      </c>
    </row>
    <row r="14" spans="1:46" ht="18" customHeight="1">
      <c r="A14" s="260" t="s">
        <v>1072</v>
      </c>
      <c r="B14" s="260" t="s">
        <v>1073</v>
      </c>
      <c r="C14" s="260" t="s">
        <v>100</v>
      </c>
      <c r="D14" s="260" t="s">
        <v>1074</v>
      </c>
      <c r="E14" s="260" t="s">
        <v>1075</v>
      </c>
      <c r="F14" s="260" t="s">
        <v>1076</v>
      </c>
      <c r="G14" s="260" t="s">
        <v>1077</v>
      </c>
      <c r="H14" s="260" t="s">
        <v>1083</v>
      </c>
      <c r="I14" s="260"/>
      <c r="J14" s="260"/>
      <c r="K14" s="260" t="s">
        <v>1084</v>
      </c>
      <c r="L14" s="260" t="s">
        <v>1085</v>
      </c>
      <c r="M14" s="260" t="s">
        <v>1086</v>
      </c>
      <c r="N14" s="260" t="s">
        <v>123</v>
      </c>
      <c r="O14" s="260" t="s">
        <v>112</v>
      </c>
      <c r="P14" s="10">
        <v>0</v>
      </c>
      <c r="Q14" s="11">
        <v>100</v>
      </c>
      <c r="R14" s="11">
        <f t="shared" si="0"/>
        <v>50</v>
      </c>
      <c r="S14" s="261"/>
      <c r="T14" s="11">
        <v>0</v>
      </c>
      <c r="U14" s="11">
        <v>0</v>
      </c>
      <c r="V14" s="11">
        <v>0</v>
      </c>
      <c r="W14" s="11">
        <v>0</v>
      </c>
      <c r="X14" s="11">
        <v>0</v>
      </c>
      <c r="Y14" s="11">
        <v>0</v>
      </c>
      <c r="Z14" s="11">
        <v>0</v>
      </c>
      <c r="AA14" s="11"/>
      <c r="AB14" s="11"/>
      <c r="AC14" s="11"/>
      <c r="AD14" s="11">
        <v>50</v>
      </c>
      <c r="AE14" s="11">
        <v>0</v>
      </c>
      <c r="AF14" s="261">
        <v>50</v>
      </c>
      <c r="AG14" s="261"/>
      <c r="AH14" s="9">
        <f t="shared" si="1"/>
        <v>50</v>
      </c>
      <c r="AI14" s="261">
        <v>0</v>
      </c>
      <c r="AJ14" s="65" t="s">
        <v>4257</v>
      </c>
      <c r="AK14" s="261" t="s">
        <v>4258</v>
      </c>
      <c r="AL14" s="261" t="s">
        <v>4259</v>
      </c>
      <c r="AM14" s="118" t="s">
        <v>4260</v>
      </c>
      <c r="AN14" s="261" t="s">
        <v>4261</v>
      </c>
      <c r="AO14" s="11">
        <v>0.35</v>
      </c>
      <c r="AP14" s="11">
        <v>0</v>
      </c>
      <c r="AQ14" s="11">
        <v>0.15</v>
      </c>
      <c r="AR14" s="11">
        <v>0</v>
      </c>
      <c r="AS14" s="11">
        <v>0</v>
      </c>
      <c r="AT14" s="11">
        <v>0</v>
      </c>
    </row>
    <row r="15" spans="1:46" ht="18" customHeight="1">
      <c r="A15" s="260" t="s">
        <v>1072</v>
      </c>
      <c r="B15" s="260" t="s">
        <v>1073</v>
      </c>
      <c r="C15" s="260" t="s">
        <v>100</v>
      </c>
      <c r="D15" s="260" t="s">
        <v>1074</v>
      </c>
      <c r="E15" s="260" t="s">
        <v>1075</v>
      </c>
      <c r="F15" s="260" t="s">
        <v>1076</v>
      </c>
      <c r="G15" s="260" t="s">
        <v>1077</v>
      </c>
      <c r="H15" s="260" t="s">
        <v>1087</v>
      </c>
      <c r="I15" s="260"/>
      <c r="J15" s="260"/>
      <c r="K15" s="260" t="s">
        <v>1088</v>
      </c>
      <c r="L15" s="260" t="s">
        <v>1089</v>
      </c>
      <c r="M15" s="260" t="s">
        <v>1090</v>
      </c>
      <c r="N15" s="260" t="s">
        <v>111</v>
      </c>
      <c r="O15" s="260" t="s">
        <v>112</v>
      </c>
      <c r="P15" s="10">
        <v>15</v>
      </c>
      <c r="Q15" s="11">
        <v>15</v>
      </c>
      <c r="R15" s="11">
        <f t="shared" si="0"/>
        <v>6</v>
      </c>
      <c r="S15" s="261" t="s">
        <v>4262</v>
      </c>
      <c r="T15" s="11">
        <v>1</v>
      </c>
      <c r="U15" s="11">
        <v>0</v>
      </c>
      <c r="V15" s="11">
        <v>1</v>
      </c>
      <c r="W15" s="11">
        <v>0</v>
      </c>
      <c r="X15" s="11">
        <v>1</v>
      </c>
      <c r="Y15" s="11">
        <v>0</v>
      </c>
      <c r="Z15" s="11">
        <v>1</v>
      </c>
      <c r="AA15" s="11">
        <v>0</v>
      </c>
      <c r="AB15" s="11" t="s">
        <v>1091</v>
      </c>
      <c r="AC15" s="11">
        <v>0</v>
      </c>
      <c r="AD15" s="11">
        <v>6</v>
      </c>
      <c r="AE15" s="11">
        <v>0</v>
      </c>
      <c r="AF15" s="261">
        <v>5</v>
      </c>
      <c r="AG15" s="261"/>
      <c r="AH15" s="9">
        <f t="shared" si="1"/>
        <v>5</v>
      </c>
      <c r="AI15" s="261">
        <v>0</v>
      </c>
      <c r="AJ15" s="65" t="s">
        <v>4263</v>
      </c>
      <c r="AK15" s="261"/>
      <c r="AL15" s="261"/>
      <c r="AM15" s="118"/>
      <c r="AN15" s="261"/>
      <c r="AO15" s="11">
        <v>6</v>
      </c>
      <c r="AP15" s="11">
        <v>0</v>
      </c>
      <c r="AQ15" s="11">
        <v>2</v>
      </c>
      <c r="AR15" s="11">
        <v>0</v>
      </c>
      <c r="AS15" s="11">
        <v>0</v>
      </c>
      <c r="AT15" s="11">
        <v>0</v>
      </c>
    </row>
    <row r="16" spans="1:46" s="3" customFormat="1">
      <c r="L16" s="5"/>
      <c r="S16" s="55"/>
      <c r="AF16" s="55"/>
      <c r="AG16" s="55"/>
      <c r="AI16" s="55"/>
      <c r="AJ16" s="55"/>
      <c r="AK16" s="55"/>
      <c r="AL16" s="55"/>
      <c r="AM16" s="121"/>
      <c r="AN16" s="55"/>
    </row>
    <row r="17" spans="19:40">
      <c r="S17" s="56"/>
      <c r="AF17" s="56"/>
      <c r="AG17" s="56"/>
      <c r="AI17" s="56"/>
      <c r="AJ17" s="56"/>
      <c r="AK17" s="56"/>
      <c r="AL17" s="56"/>
      <c r="AM17" s="126"/>
      <c r="AN17" s="56"/>
    </row>
    <row r="18" spans="19:40">
      <c r="S18" s="56"/>
      <c r="AF18" s="56"/>
      <c r="AG18" s="56"/>
      <c r="AI18" s="56"/>
      <c r="AJ18" s="56"/>
      <c r="AK18" s="56"/>
      <c r="AL18" s="56"/>
      <c r="AM18" s="126"/>
      <c r="AN18" s="56"/>
    </row>
  </sheetData>
  <sheetProtection algorithmName="SHA-512" hashValue="GAFzEx/B/UcBSLXU4QRvT0riiZw5KTjcfEBopu3qLfUzR9kdpace/kHCiLug+EaAwA7VPqa4PLFIvghU1dvDrg==" saltValue="Y1Wl4CLW7jTsM4Hv41cYcA==" spinCount="100000" sheet="1" autoFilter="0"/>
  <autoFilter ref="A12:IZ15" xr:uid="{00000000-0009-0000-0000-00001A000000}"/>
  <customSheetViews>
    <customSheetView guid="{75629C99-8367-48E9-A2A2-D8C49A9E68E3}" scale="80" showAutoFilter="1" hiddenRows="1" topLeftCell="AB1">
      <pane ySplit="12" topLeftCell="A13" activePane="bottomLeft" state="frozen"/>
      <selection pane="bottomLeft" activeCell="AD13" sqref="AD13:AE15"/>
      <pageMargins left="0" right="0" top="0" bottom="0" header="0" footer="0"/>
      <pageSetup orientation="portrait" r:id="rId1"/>
      <autoFilter ref="A12:IZ15" xr:uid="{AF5B551D-95C6-4B39-AE3C-1D4B84393BCC}"/>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T27"/>
  <sheetViews>
    <sheetView topLeftCell="Z1" zoomScale="80" zoomScaleNormal="80" workbookViewId="0">
      <pane ySplit="12" topLeftCell="A13" activePane="bottomLeft" state="frozen"/>
      <selection pane="bottomLeft" activeCell="AG16" sqref="AG16"/>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868</v>
      </c>
      <c r="B13" s="260" t="s">
        <v>869</v>
      </c>
      <c r="C13" s="260" t="s">
        <v>100</v>
      </c>
      <c r="D13" s="260" t="s">
        <v>508</v>
      </c>
      <c r="E13" s="260" t="s">
        <v>870</v>
      </c>
      <c r="F13" s="260" t="s">
        <v>871</v>
      </c>
      <c r="G13" s="260" t="s">
        <v>872</v>
      </c>
      <c r="H13" s="260" t="s">
        <v>873</v>
      </c>
      <c r="I13" s="260"/>
      <c r="J13" s="260"/>
      <c r="K13" s="260" t="s">
        <v>874</v>
      </c>
      <c r="L13" s="260" t="s">
        <v>875</v>
      </c>
      <c r="M13" s="260" t="s">
        <v>876</v>
      </c>
      <c r="N13" s="260" t="s">
        <v>111</v>
      </c>
      <c r="O13" s="260" t="s">
        <v>112</v>
      </c>
      <c r="P13" s="10">
        <v>116</v>
      </c>
      <c r="Q13" s="11">
        <v>116</v>
      </c>
      <c r="R13" s="11">
        <f t="shared" ref="R13:R14" si="0">Z13+AH13</f>
        <v>54</v>
      </c>
      <c r="S13" s="261" t="s">
        <v>4264</v>
      </c>
      <c r="T13" s="11">
        <v>0</v>
      </c>
      <c r="U13" s="11">
        <v>0</v>
      </c>
      <c r="V13" s="11">
        <v>15</v>
      </c>
      <c r="W13" s="11">
        <v>0</v>
      </c>
      <c r="X13" s="11">
        <v>15</v>
      </c>
      <c r="Y13" s="11">
        <v>15</v>
      </c>
      <c r="Z13" s="11">
        <v>15</v>
      </c>
      <c r="AA13" s="11" t="s">
        <v>877</v>
      </c>
      <c r="AB13" s="11" t="s">
        <v>878</v>
      </c>
      <c r="AC13" s="11" t="s">
        <v>879</v>
      </c>
      <c r="AD13" s="11">
        <v>39</v>
      </c>
      <c r="AE13" s="11">
        <v>0</v>
      </c>
      <c r="AF13" s="261">
        <v>39</v>
      </c>
      <c r="AG13" s="261"/>
      <c r="AH13" s="9">
        <f t="shared" ref="AH13:AH14" si="1">AF13</f>
        <v>39</v>
      </c>
      <c r="AI13" s="158" t="s">
        <v>4265</v>
      </c>
      <c r="AJ13" s="166" t="s">
        <v>4266</v>
      </c>
      <c r="AK13" s="261" t="s">
        <v>4267</v>
      </c>
      <c r="AL13" s="261" t="s">
        <v>4268</v>
      </c>
      <c r="AM13" s="118" t="s">
        <v>3472</v>
      </c>
      <c r="AN13" s="261" t="s">
        <v>3472</v>
      </c>
      <c r="AO13" s="11">
        <v>38</v>
      </c>
      <c r="AP13" s="11">
        <v>0</v>
      </c>
      <c r="AQ13" s="11">
        <v>24</v>
      </c>
      <c r="AR13" s="11">
        <v>0</v>
      </c>
      <c r="AS13" s="11">
        <v>0</v>
      </c>
      <c r="AT13" s="11">
        <v>0</v>
      </c>
    </row>
    <row r="14" spans="1:46" ht="18" customHeight="1">
      <c r="A14" s="260" t="s">
        <v>868</v>
      </c>
      <c r="B14" s="260" t="s">
        <v>869</v>
      </c>
      <c r="C14" s="260" t="s">
        <v>100</v>
      </c>
      <c r="D14" s="260" t="s">
        <v>508</v>
      </c>
      <c r="E14" s="260" t="s">
        <v>870</v>
      </c>
      <c r="F14" s="260" t="s">
        <v>871</v>
      </c>
      <c r="G14" s="260" t="s">
        <v>872</v>
      </c>
      <c r="H14" s="260" t="s">
        <v>880</v>
      </c>
      <c r="I14" s="260"/>
      <c r="J14" s="260"/>
      <c r="K14" s="260" t="s">
        <v>881</v>
      </c>
      <c r="L14" s="260" t="s">
        <v>882</v>
      </c>
      <c r="M14" s="260" t="s">
        <v>253</v>
      </c>
      <c r="N14" s="260" t="s">
        <v>111</v>
      </c>
      <c r="O14" s="260" t="s">
        <v>112</v>
      </c>
      <c r="P14" s="10">
        <v>0</v>
      </c>
      <c r="Q14" s="11">
        <v>20</v>
      </c>
      <c r="R14" s="11">
        <f t="shared" si="0"/>
        <v>5</v>
      </c>
      <c r="S14" s="261" t="s">
        <v>4269</v>
      </c>
      <c r="T14" s="11">
        <v>0</v>
      </c>
      <c r="U14" s="11">
        <v>0</v>
      </c>
      <c r="V14" s="11">
        <v>0</v>
      </c>
      <c r="W14" s="11">
        <v>0</v>
      </c>
      <c r="X14" s="11">
        <v>0</v>
      </c>
      <c r="Y14" s="11">
        <v>0</v>
      </c>
      <c r="Z14" s="11">
        <v>0</v>
      </c>
      <c r="AA14" s="11"/>
      <c r="AB14" s="11"/>
      <c r="AC14" s="11"/>
      <c r="AD14" s="11">
        <v>5</v>
      </c>
      <c r="AE14" s="11">
        <v>0</v>
      </c>
      <c r="AF14" s="261">
        <v>5</v>
      </c>
      <c r="AG14" s="261">
        <v>0</v>
      </c>
      <c r="AH14" s="9">
        <f t="shared" si="1"/>
        <v>5</v>
      </c>
      <c r="AI14" s="158" t="s">
        <v>4270</v>
      </c>
      <c r="AJ14" s="166" t="s">
        <v>4271</v>
      </c>
      <c r="AK14" s="261" t="s">
        <v>4272</v>
      </c>
      <c r="AL14" s="261" t="s">
        <v>4272</v>
      </c>
      <c r="AM14" s="118" t="s">
        <v>3472</v>
      </c>
      <c r="AN14" s="261"/>
      <c r="AO14" s="11">
        <v>8</v>
      </c>
      <c r="AP14" s="11">
        <v>0</v>
      </c>
      <c r="AQ14" s="11">
        <v>7</v>
      </c>
      <c r="AR14" s="11">
        <v>0</v>
      </c>
      <c r="AS14" s="11">
        <v>0</v>
      </c>
      <c r="AT14" s="11">
        <v>0</v>
      </c>
    </row>
    <row r="15" spans="1:46" ht="18" customHeight="1">
      <c r="A15" s="260" t="s">
        <v>868</v>
      </c>
      <c r="B15" s="260" t="s">
        <v>869</v>
      </c>
      <c r="C15" s="260" t="s">
        <v>100</v>
      </c>
      <c r="D15" s="260" t="s">
        <v>508</v>
      </c>
      <c r="E15" s="260" t="s">
        <v>870</v>
      </c>
      <c r="F15" s="260" t="s">
        <v>871</v>
      </c>
      <c r="G15" s="260" t="s">
        <v>872</v>
      </c>
      <c r="H15" s="260" t="s">
        <v>883</v>
      </c>
      <c r="I15" s="260"/>
      <c r="J15" s="260"/>
      <c r="K15" s="260" t="s">
        <v>884</v>
      </c>
      <c r="L15" s="260" t="s">
        <v>885</v>
      </c>
      <c r="M15" s="260" t="s">
        <v>886</v>
      </c>
      <c r="N15" s="260" t="s">
        <v>123</v>
      </c>
      <c r="O15" s="260" t="s">
        <v>124</v>
      </c>
      <c r="P15" s="10">
        <v>100</v>
      </c>
      <c r="Q15" s="11">
        <v>100</v>
      </c>
      <c r="R15" s="11">
        <f>(Z15+AH15)/2</f>
        <v>100</v>
      </c>
      <c r="S15" s="261" t="s">
        <v>4273</v>
      </c>
      <c r="T15" s="11">
        <v>0</v>
      </c>
      <c r="U15" s="11">
        <v>100</v>
      </c>
      <c r="V15" s="11">
        <v>0</v>
      </c>
      <c r="W15" s="11">
        <v>100</v>
      </c>
      <c r="X15" s="11" t="s">
        <v>115</v>
      </c>
      <c r="Y15" s="11">
        <v>100</v>
      </c>
      <c r="Z15" s="11">
        <v>100</v>
      </c>
      <c r="AA15" s="11" t="s">
        <v>887</v>
      </c>
      <c r="AB15" s="11" t="s">
        <v>888</v>
      </c>
      <c r="AC15" s="11" t="s">
        <v>889</v>
      </c>
      <c r="AD15" s="11">
        <v>0</v>
      </c>
      <c r="AE15" s="11">
        <v>100</v>
      </c>
      <c r="AF15" s="261">
        <v>0</v>
      </c>
      <c r="AG15" s="261">
        <v>100</v>
      </c>
      <c r="AH15" s="11">
        <f>AG15</f>
        <v>100</v>
      </c>
      <c r="AI15" s="158" t="s">
        <v>4274</v>
      </c>
      <c r="AJ15" s="166" t="s">
        <v>4275</v>
      </c>
      <c r="AK15" s="261" t="s">
        <v>4272</v>
      </c>
      <c r="AL15" s="261" t="s">
        <v>4276</v>
      </c>
      <c r="AM15" s="118" t="s">
        <v>3472</v>
      </c>
      <c r="AN15" s="261"/>
      <c r="AO15" s="11">
        <v>0</v>
      </c>
      <c r="AP15" s="11">
        <v>100</v>
      </c>
      <c r="AQ15" s="11">
        <v>0</v>
      </c>
      <c r="AR15" s="11">
        <v>100</v>
      </c>
      <c r="AS15" s="11">
        <v>0</v>
      </c>
      <c r="AT15" s="11">
        <v>0</v>
      </c>
    </row>
    <row r="16" spans="1:46" s="3" customFormat="1">
      <c r="L16" s="5"/>
      <c r="AM16" s="124"/>
    </row>
    <row r="27" spans="32:35">
      <c r="AF27" s="56"/>
      <c r="AG27" s="56"/>
      <c r="AH27" s="56"/>
      <c r="AI27" s="56"/>
    </row>
  </sheetData>
  <sheetProtection algorithmName="SHA-512" hashValue="GefiaNJvCNnb8y98g4hYnFjZEdZ7n67xfCyU0MVis/s9re5tqGB8i5sCUrdZ39zGY/E/bZf1HzLS/m7R18tSiQ==" saltValue="vqAXRVoTuQezcxpAMFEzvw==" spinCount="100000" sheet="1" autoFilter="0"/>
  <autoFilter ref="A12:IZ15" xr:uid="{00000000-0009-0000-0000-000021000000}"/>
  <customSheetViews>
    <customSheetView guid="{75629C99-8367-48E9-A2A2-D8C49A9E68E3}" scale="80" showAutoFilter="1" hiddenRows="1" topLeftCell="Z1">
      <pane ySplit="12" topLeftCell="A13" activePane="bottomLeft" state="frozen"/>
      <selection pane="bottomLeft" activeCell="AP22" sqref="AP22:AR23"/>
      <pageMargins left="0" right="0" top="0" bottom="0" header="0" footer="0"/>
      <pageSetup orientation="portrait" r:id="rId1"/>
      <autoFilter ref="A12:IZ15" xr:uid="{63BF4B66-59FD-476B-B1FF-D8E981A60C84}"/>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pageMargins left="0.7" right="0.7" top="0.75" bottom="0.75" header="0.3" footer="0.3"/>
  <pageSetup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T36"/>
  <sheetViews>
    <sheetView topLeftCell="K11" zoomScale="90" zoomScaleNormal="90" workbookViewId="0">
      <pane xSplit="2" ySplit="2" topLeftCell="AL22" activePane="bottomRight" state="frozen"/>
      <selection pane="bottomRight" activeCell="AM32" sqref="AM32"/>
      <selection pane="bottomLeft" activeCell="K13" sqref="K13"/>
      <selection pane="topRight" activeCell="M11" sqref="M11"/>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209" customWidth="1"/>
    <col min="13" max="18" width="12.7109375" customWidth="1"/>
    <col min="19" max="19" width="18.7109375" customWidth="1"/>
    <col min="2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79.5" customHeight="1" thickBot="1">
      <c r="A12" s="21" t="s">
        <v>15</v>
      </c>
      <c r="B12" s="21" t="s">
        <v>16</v>
      </c>
      <c r="C12" s="21" t="s">
        <v>17</v>
      </c>
      <c r="D12" s="21" t="s">
        <v>18</v>
      </c>
      <c r="E12" s="21" t="s">
        <v>19</v>
      </c>
      <c r="F12" s="21" t="s">
        <v>20</v>
      </c>
      <c r="G12" s="21" t="s">
        <v>21</v>
      </c>
      <c r="H12" s="21" t="s">
        <v>22</v>
      </c>
      <c r="I12" s="21" t="s">
        <v>23</v>
      </c>
      <c r="J12" s="21" t="s">
        <v>24</v>
      </c>
      <c r="K12" s="21" t="s">
        <v>25</v>
      </c>
      <c r="L12" s="180"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7.45" customHeight="1">
      <c r="A13" s="260" t="s">
        <v>1387</v>
      </c>
      <c r="B13" s="260" t="s">
        <v>1388</v>
      </c>
      <c r="C13" s="260" t="s">
        <v>1286</v>
      </c>
      <c r="D13" s="260" t="s">
        <v>1389</v>
      </c>
      <c r="E13" s="260" t="s">
        <v>1390</v>
      </c>
      <c r="F13" s="260" t="s">
        <v>1391</v>
      </c>
      <c r="G13" s="260" t="s">
        <v>1392</v>
      </c>
      <c r="H13" s="260" t="s">
        <v>1393</v>
      </c>
      <c r="I13" s="260"/>
      <c r="J13" s="260"/>
      <c r="K13" s="260" t="s">
        <v>1394</v>
      </c>
      <c r="L13" s="68" t="s">
        <v>1395</v>
      </c>
      <c r="M13" s="260" t="s">
        <v>1396</v>
      </c>
      <c r="N13" s="260" t="s">
        <v>111</v>
      </c>
      <c r="O13" s="260" t="s">
        <v>112</v>
      </c>
      <c r="P13" s="10">
        <v>0</v>
      </c>
      <c r="Q13" s="11">
        <v>1</v>
      </c>
      <c r="R13" s="11">
        <f t="shared" ref="R13:R29" si="0">Z13+AH13</f>
        <v>0.05</v>
      </c>
      <c r="S13" s="261"/>
      <c r="T13" s="11">
        <v>0.1</v>
      </c>
      <c r="U13" s="11">
        <v>0</v>
      </c>
      <c r="V13" s="11">
        <v>0</v>
      </c>
      <c r="W13" s="11">
        <v>0</v>
      </c>
      <c r="X13" s="11">
        <v>0</v>
      </c>
      <c r="Y13" s="11">
        <v>0</v>
      </c>
      <c r="Z13" s="11">
        <v>0</v>
      </c>
      <c r="AA13" s="11"/>
      <c r="AB13" s="11"/>
      <c r="AC13" s="11"/>
      <c r="AD13" s="11">
        <v>0.2</v>
      </c>
      <c r="AE13" s="11">
        <v>0</v>
      </c>
      <c r="AF13" s="70">
        <v>0.05</v>
      </c>
      <c r="AG13" s="165" t="s">
        <v>3151</v>
      </c>
      <c r="AH13" s="61">
        <f t="shared" ref="AH13" si="1">AF13</f>
        <v>0.05</v>
      </c>
      <c r="AI13" s="70" t="s">
        <v>4277</v>
      </c>
      <c r="AJ13" s="145" t="s">
        <v>4278</v>
      </c>
      <c r="AK13" s="145" t="s">
        <v>4279</v>
      </c>
      <c r="AL13" s="75"/>
      <c r="AM13" s="157">
        <v>0</v>
      </c>
      <c r="AN13" s="165" t="s">
        <v>3151</v>
      </c>
      <c r="AO13" s="11">
        <v>0.2</v>
      </c>
      <c r="AP13" s="11">
        <v>0</v>
      </c>
      <c r="AQ13" s="11">
        <v>0.6</v>
      </c>
      <c r="AR13" s="11">
        <v>0</v>
      </c>
      <c r="AS13" s="11">
        <v>0</v>
      </c>
      <c r="AT13" s="11">
        <v>0</v>
      </c>
    </row>
    <row r="14" spans="1:46" ht="17.45" customHeight="1">
      <c r="A14" s="260" t="s">
        <v>1387</v>
      </c>
      <c r="B14" s="260" t="s">
        <v>1388</v>
      </c>
      <c r="C14" s="260" t="s">
        <v>1286</v>
      </c>
      <c r="D14" s="260" t="s">
        <v>1496</v>
      </c>
      <c r="E14" s="260" t="s">
        <v>1583</v>
      </c>
      <c r="F14" s="260" t="s">
        <v>1593</v>
      </c>
      <c r="G14" s="260" t="s">
        <v>1594</v>
      </c>
      <c r="H14" s="260" t="s">
        <v>1595</v>
      </c>
      <c r="I14" s="260"/>
      <c r="J14" s="260"/>
      <c r="K14" s="260" t="s">
        <v>1596</v>
      </c>
      <c r="L14" s="68" t="s">
        <v>1597</v>
      </c>
      <c r="M14" s="260" t="s">
        <v>140</v>
      </c>
      <c r="N14" s="260" t="s">
        <v>111</v>
      </c>
      <c r="O14" s="260" t="s">
        <v>112</v>
      </c>
      <c r="P14" s="10">
        <v>0</v>
      </c>
      <c r="Q14" s="11">
        <v>60</v>
      </c>
      <c r="R14" s="11">
        <f t="shared" si="0"/>
        <v>28</v>
      </c>
      <c r="S14" s="261"/>
      <c r="T14" s="11">
        <v>20</v>
      </c>
      <c r="U14" s="11">
        <v>0</v>
      </c>
      <c r="V14" s="11">
        <v>20</v>
      </c>
      <c r="W14" s="11">
        <v>0</v>
      </c>
      <c r="X14" s="11">
        <v>20</v>
      </c>
      <c r="Y14" s="11">
        <v>0</v>
      </c>
      <c r="Z14" s="11">
        <v>20</v>
      </c>
      <c r="AA14" s="11" t="s">
        <v>1598</v>
      </c>
      <c r="AB14" s="11" t="s">
        <v>1599</v>
      </c>
      <c r="AC14" s="11">
        <v>0</v>
      </c>
      <c r="AD14" s="11">
        <v>20</v>
      </c>
      <c r="AE14" s="11">
        <v>0</v>
      </c>
      <c r="AF14" s="76">
        <v>8</v>
      </c>
      <c r="AG14" s="166" t="s">
        <v>3151</v>
      </c>
      <c r="AH14" s="61">
        <f t="shared" ref="AH14:AH21" si="2">AF14</f>
        <v>8</v>
      </c>
      <c r="AI14" s="76" t="s">
        <v>4280</v>
      </c>
      <c r="AJ14" s="146" t="s">
        <v>4281</v>
      </c>
      <c r="AK14" s="146" t="s">
        <v>3151</v>
      </c>
      <c r="AL14" s="77"/>
      <c r="AM14" s="158">
        <v>0</v>
      </c>
      <c r="AN14" s="166" t="s">
        <v>3151</v>
      </c>
      <c r="AO14" s="11">
        <v>10</v>
      </c>
      <c r="AP14" s="11">
        <v>0</v>
      </c>
      <c r="AQ14" s="11">
        <v>10</v>
      </c>
      <c r="AR14" s="11">
        <v>0</v>
      </c>
      <c r="AS14" s="11">
        <v>0</v>
      </c>
      <c r="AT14" s="11">
        <v>0</v>
      </c>
    </row>
    <row r="15" spans="1:46" ht="17.45" customHeight="1">
      <c r="A15" s="260" t="s">
        <v>1387</v>
      </c>
      <c r="B15" s="260" t="s">
        <v>1388</v>
      </c>
      <c r="C15" s="260" t="s">
        <v>1286</v>
      </c>
      <c r="D15" s="260" t="s">
        <v>1496</v>
      </c>
      <c r="E15" s="260" t="s">
        <v>1583</v>
      </c>
      <c r="F15" s="260" t="s">
        <v>1600</v>
      </c>
      <c r="G15" s="260" t="s">
        <v>1601</v>
      </c>
      <c r="H15" s="260" t="s">
        <v>1602</v>
      </c>
      <c r="I15" s="260"/>
      <c r="J15" s="260"/>
      <c r="K15" s="260" t="s">
        <v>1603</v>
      </c>
      <c r="L15" s="68" t="s">
        <v>1604</v>
      </c>
      <c r="M15" s="260" t="s">
        <v>1605</v>
      </c>
      <c r="N15" s="260" t="s">
        <v>111</v>
      </c>
      <c r="O15" s="260" t="s">
        <v>112</v>
      </c>
      <c r="P15" s="10">
        <v>573046</v>
      </c>
      <c r="Q15" s="11">
        <v>50000</v>
      </c>
      <c r="R15" s="11">
        <f t="shared" si="0"/>
        <v>29505</v>
      </c>
      <c r="S15" s="261"/>
      <c r="T15" s="11">
        <v>4740</v>
      </c>
      <c r="U15" s="11">
        <v>0</v>
      </c>
      <c r="V15" s="11">
        <v>24186</v>
      </c>
      <c r="W15" s="11">
        <v>0</v>
      </c>
      <c r="X15" s="11">
        <v>24186</v>
      </c>
      <c r="Y15" s="11">
        <v>0</v>
      </c>
      <c r="Z15" s="11">
        <v>24186</v>
      </c>
      <c r="AA15" s="11" t="s">
        <v>1606</v>
      </c>
      <c r="AB15" s="11" t="s">
        <v>1607</v>
      </c>
      <c r="AC15" s="11">
        <v>0</v>
      </c>
      <c r="AD15" s="11">
        <v>9509</v>
      </c>
      <c r="AE15" s="11">
        <v>0</v>
      </c>
      <c r="AF15" s="167">
        <f>176+170+4973</f>
        <v>5319</v>
      </c>
      <c r="AG15" s="166" t="s">
        <v>3151</v>
      </c>
      <c r="AH15" s="61">
        <f t="shared" si="2"/>
        <v>5319</v>
      </c>
      <c r="AI15" s="76" t="s">
        <v>4282</v>
      </c>
      <c r="AJ15" s="168" t="s">
        <v>4283</v>
      </c>
      <c r="AK15" s="147" t="s">
        <v>4284</v>
      </c>
      <c r="AL15" s="138"/>
      <c r="AM15" s="190">
        <v>5143058632</v>
      </c>
      <c r="AN15" s="75" t="s">
        <v>4285</v>
      </c>
      <c r="AO15" s="11">
        <v>8208</v>
      </c>
      <c r="AP15" s="11">
        <v>0</v>
      </c>
      <c r="AQ15" s="11">
        <v>8097</v>
      </c>
      <c r="AR15" s="11">
        <v>0</v>
      </c>
      <c r="AS15" s="11">
        <v>0</v>
      </c>
      <c r="AT15" s="11">
        <v>0</v>
      </c>
    </row>
    <row r="16" spans="1:46" ht="17.45" customHeight="1">
      <c r="A16" s="260" t="s">
        <v>1387</v>
      </c>
      <c r="B16" s="260" t="s">
        <v>1388</v>
      </c>
      <c r="C16" s="260" t="s">
        <v>1286</v>
      </c>
      <c r="D16" s="260" t="s">
        <v>1496</v>
      </c>
      <c r="E16" s="260" t="s">
        <v>1583</v>
      </c>
      <c r="F16" s="260" t="s">
        <v>1600</v>
      </c>
      <c r="G16" s="260" t="s">
        <v>1601</v>
      </c>
      <c r="H16" s="260" t="s">
        <v>1608</v>
      </c>
      <c r="I16" s="260"/>
      <c r="J16" s="260"/>
      <c r="K16" s="260" t="s">
        <v>1609</v>
      </c>
      <c r="L16" s="68" t="s">
        <v>1610</v>
      </c>
      <c r="M16" s="260" t="s">
        <v>1611</v>
      </c>
      <c r="N16" s="260" t="s">
        <v>111</v>
      </c>
      <c r="O16" s="260" t="s">
        <v>112</v>
      </c>
      <c r="P16" s="10">
        <v>324</v>
      </c>
      <c r="Q16" s="11">
        <v>400</v>
      </c>
      <c r="R16" s="11">
        <f t="shared" si="0"/>
        <v>80</v>
      </c>
      <c r="S16" s="261"/>
      <c r="T16" s="11">
        <v>80</v>
      </c>
      <c r="U16" s="11">
        <v>0</v>
      </c>
      <c r="V16" s="11">
        <v>0</v>
      </c>
      <c r="W16" s="11">
        <v>0</v>
      </c>
      <c r="X16" s="11">
        <v>0</v>
      </c>
      <c r="Y16" s="11">
        <v>0</v>
      </c>
      <c r="Z16" s="11">
        <v>0</v>
      </c>
      <c r="AA16" s="11"/>
      <c r="AB16" s="11"/>
      <c r="AC16" s="11"/>
      <c r="AD16" s="11">
        <v>230</v>
      </c>
      <c r="AE16" s="11">
        <v>0</v>
      </c>
      <c r="AF16" s="76">
        <v>80</v>
      </c>
      <c r="AG16" s="166" t="s">
        <v>3151</v>
      </c>
      <c r="AH16" s="61">
        <f t="shared" si="2"/>
        <v>80</v>
      </c>
      <c r="AI16" s="76" t="s">
        <v>3151</v>
      </c>
      <c r="AJ16" s="146" t="s">
        <v>4286</v>
      </c>
      <c r="AK16" s="146" t="s">
        <v>3151</v>
      </c>
      <c r="AL16" s="77"/>
      <c r="AM16" s="158">
        <v>0</v>
      </c>
      <c r="AN16" s="77" t="s">
        <v>3151</v>
      </c>
      <c r="AO16" s="11">
        <v>100</v>
      </c>
      <c r="AP16" s="11">
        <v>0</v>
      </c>
      <c r="AQ16" s="11">
        <v>70</v>
      </c>
      <c r="AR16" s="11">
        <v>0</v>
      </c>
      <c r="AS16" s="11">
        <v>0</v>
      </c>
      <c r="AT16" s="11">
        <v>0</v>
      </c>
    </row>
    <row r="17" spans="1:46" ht="17.45" customHeight="1">
      <c r="A17" s="260" t="s">
        <v>1387</v>
      </c>
      <c r="B17" s="260" t="s">
        <v>1388</v>
      </c>
      <c r="C17" s="260" t="s">
        <v>1286</v>
      </c>
      <c r="D17" s="260" t="s">
        <v>1496</v>
      </c>
      <c r="E17" s="260" t="s">
        <v>1583</v>
      </c>
      <c r="F17" s="260" t="s">
        <v>1612</v>
      </c>
      <c r="G17" s="260" t="s">
        <v>1613</v>
      </c>
      <c r="H17" s="260" t="s">
        <v>1614</v>
      </c>
      <c r="I17" s="260"/>
      <c r="J17" s="260"/>
      <c r="K17" s="260" t="s">
        <v>1615</v>
      </c>
      <c r="L17" s="68" t="s">
        <v>1616</v>
      </c>
      <c r="M17" s="260" t="s">
        <v>1617</v>
      </c>
      <c r="N17" s="260" t="s">
        <v>111</v>
      </c>
      <c r="O17" s="260" t="s">
        <v>112</v>
      </c>
      <c r="P17" s="10">
        <v>2200674</v>
      </c>
      <c r="Q17" s="11">
        <v>488000</v>
      </c>
      <c r="R17" s="11">
        <f t="shared" si="0"/>
        <v>199367</v>
      </c>
      <c r="S17" s="261"/>
      <c r="T17" s="11">
        <v>2866</v>
      </c>
      <c r="U17" s="11">
        <v>0</v>
      </c>
      <c r="V17" s="11">
        <v>148313</v>
      </c>
      <c r="W17" s="11">
        <v>0</v>
      </c>
      <c r="X17" s="11">
        <v>148313</v>
      </c>
      <c r="Y17" s="11">
        <v>0</v>
      </c>
      <c r="Z17" s="11">
        <v>148313</v>
      </c>
      <c r="AA17" s="11" t="s">
        <v>1618</v>
      </c>
      <c r="AB17" s="11" t="s">
        <v>1619</v>
      </c>
      <c r="AC17" s="11">
        <v>0</v>
      </c>
      <c r="AD17" s="11">
        <v>123706</v>
      </c>
      <c r="AE17" s="11">
        <v>0</v>
      </c>
      <c r="AF17" s="76">
        <v>51054</v>
      </c>
      <c r="AG17" s="166" t="s">
        <v>3151</v>
      </c>
      <c r="AH17" s="139">
        <f t="shared" si="2"/>
        <v>51054</v>
      </c>
      <c r="AI17" s="76" t="s">
        <v>4287</v>
      </c>
      <c r="AJ17" s="168" t="s">
        <v>4288</v>
      </c>
      <c r="AK17" s="147" t="s">
        <v>4289</v>
      </c>
      <c r="AL17" s="138"/>
      <c r="AM17" s="190">
        <v>7987972202</v>
      </c>
      <c r="AN17" s="75" t="s">
        <v>4290</v>
      </c>
      <c r="AO17" s="11">
        <v>111069</v>
      </c>
      <c r="AP17" s="11">
        <v>0</v>
      </c>
      <c r="AQ17" s="11">
        <v>104912</v>
      </c>
      <c r="AR17" s="11">
        <v>0</v>
      </c>
      <c r="AS17" s="11">
        <v>0</v>
      </c>
      <c r="AT17" s="11">
        <v>0</v>
      </c>
    </row>
    <row r="18" spans="1:46" ht="17.45" customHeight="1">
      <c r="A18" s="260" t="s">
        <v>1387</v>
      </c>
      <c r="B18" s="260" t="s">
        <v>1388</v>
      </c>
      <c r="C18" s="260" t="s">
        <v>1286</v>
      </c>
      <c r="D18" s="260" t="s">
        <v>1496</v>
      </c>
      <c r="E18" s="260" t="s">
        <v>1583</v>
      </c>
      <c r="F18" s="260" t="s">
        <v>1620</v>
      </c>
      <c r="G18" s="260" t="s">
        <v>1621</v>
      </c>
      <c r="H18" s="260" t="s">
        <v>1622</v>
      </c>
      <c r="I18" s="260"/>
      <c r="J18" s="260"/>
      <c r="K18" s="260" t="s">
        <v>1623</v>
      </c>
      <c r="L18" s="68" t="s">
        <v>1624</v>
      </c>
      <c r="M18" s="260" t="s">
        <v>1625</v>
      </c>
      <c r="N18" s="260" t="s">
        <v>111</v>
      </c>
      <c r="O18" s="260" t="s">
        <v>112</v>
      </c>
      <c r="P18" s="10">
        <v>211843</v>
      </c>
      <c r="Q18" s="11">
        <v>60000</v>
      </c>
      <c r="R18" s="11">
        <f t="shared" si="0"/>
        <v>24721</v>
      </c>
      <c r="S18" s="261"/>
      <c r="T18" s="11">
        <v>1159</v>
      </c>
      <c r="U18" s="11">
        <v>0</v>
      </c>
      <c r="V18" s="11">
        <v>22507</v>
      </c>
      <c r="W18" s="11">
        <v>0</v>
      </c>
      <c r="X18" s="11">
        <v>22507</v>
      </c>
      <c r="Y18" s="11">
        <v>0</v>
      </c>
      <c r="Z18" s="11">
        <v>22507</v>
      </c>
      <c r="AA18" s="11" t="s">
        <v>1626</v>
      </c>
      <c r="AB18" s="11" t="s">
        <v>1627</v>
      </c>
      <c r="AC18" s="11">
        <v>0</v>
      </c>
      <c r="AD18" s="11">
        <v>12580</v>
      </c>
      <c r="AE18" s="11">
        <v>0</v>
      </c>
      <c r="AF18" s="167">
        <f>820+1394</f>
        <v>2214</v>
      </c>
      <c r="AG18" s="166" t="s">
        <v>3151</v>
      </c>
      <c r="AH18" s="61">
        <f t="shared" si="2"/>
        <v>2214</v>
      </c>
      <c r="AI18" s="76" t="s">
        <v>4291</v>
      </c>
      <c r="AJ18" s="168" t="s">
        <v>4292</v>
      </c>
      <c r="AK18" s="146" t="s">
        <v>4293</v>
      </c>
      <c r="AL18" s="77"/>
      <c r="AM18" s="190">
        <v>5117315225</v>
      </c>
      <c r="AN18" s="165" t="s">
        <v>4294</v>
      </c>
      <c r="AO18" s="11">
        <v>12456</v>
      </c>
      <c r="AP18" s="11">
        <v>0</v>
      </c>
      <c r="AQ18" s="11">
        <v>12457</v>
      </c>
      <c r="AR18" s="11">
        <v>0</v>
      </c>
      <c r="AS18" s="11">
        <v>0</v>
      </c>
      <c r="AT18" s="11">
        <v>0</v>
      </c>
    </row>
    <row r="19" spans="1:46" ht="17.45" customHeight="1">
      <c r="A19" s="260" t="s">
        <v>1387</v>
      </c>
      <c r="B19" s="260" t="s">
        <v>1388</v>
      </c>
      <c r="C19" s="260" t="s">
        <v>1286</v>
      </c>
      <c r="D19" s="260" t="s">
        <v>1496</v>
      </c>
      <c r="E19" s="260" t="s">
        <v>1583</v>
      </c>
      <c r="F19" s="260" t="s">
        <v>1628</v>
      </c>
      <c r="G19" s="260" t="s">
        <v>1629</v>
      </c>
      <c r="H19" s="260" t="s">
        <v>1630</v>
      </c>
      <c r="I19" s="260"/>
      <c r="J19" s="260"/>
      <c r="K19" s="260" t="s">
        <v>1631</v>
      </c>
      <c r="L19" s="68" t="s">
        <v>1632</v>
      </c>
      <c r="M19" s="260" t="s">
        <v>1633</v>
      </c>
      <c r="N19" s="260" t="s">
        <v>111</v>
      </c>
      <c r="O19" s="260" t="s">
        <v>112</v>
      </c>
      <c r="P19" s="10">
        <v>2172997</v>
      </c>
      <c r="Q19" s="11">
        <v>496000</v>
      </c>
      <c r="R19" s="11">
        <f t="shared" si="0"/>
        <v>98143</v>
      </c>
      <c r="S19" s="261"/>
      <c r="T19" s="11">
        <v>5757</v>
      </c>
      <c r="U19" s="11">
        <v>0</v>
      </c>
      <c r="V19" s="11">
        <v>39734</v>
      </c>
      <c r="W19" s="11">
        <v>0</v>
      </c>
      <c r="X19" s="11">
        <v>39734</v>
      </c>
      <c r="Y19" s="11">
        <v>0</v>
      </c>
      <c r="Z19" s="11">
        <v>39734</v>
      </c>
      <c r="AA19" s="11" t="s">
        <v>1634</v>
      </c>
      <c r="AB19" s="11" t="s">
        <v>1635</v>
      </c>
      <c r="AC19" s="11">
        <v>0</v>
      </c>
      <c r="AD19" s="11">
        <v>157803</v>
      </c>
      <c r="AE19" s="11">
        <v>0</v>
      </c>
      <c r="AF19" s="76">
        <v>58409</v>
      </c>
      <c r="AG19" s="166" t="s">
        <v>3151</v>
      </c>
      <c r="AH19" s="139">
        <f t="shared" si="2"/>
        <v>58409</v>
      </c>
      <c r="AI19" s="76" t="s">
        <v>4295</v>
      </c>
      <c r="AJ19" s="168" t="s">
        <v>4296</v>
      </c>
      <c r="AK19" s="146" t="s">
        <v>4297</v>
      </c>
      <c r="AL19" s="77"/>
      <c r="AM19" s="190">
        <v>26137026695</v>
      </c>
      <c r="AN19" s="75" t="s">
        <v>4298</v>
      </c>
      <c r="AO19" s="11">
        <v>152023</v>
      </c>
      <c r="AP19" s="11">
        <v>0</v>
      </c>
      <c r="AQ19" s="11">
        <v>146440</v>
      </c>
      <c r="AR19" s="11">
        <v>0</v>
      </c>
      <c r="AS19" s="11">
        <v>0</v>
      </c>
      <c r="AT19" s="11">
        <v>0</v>
      </c>
    </row>
    <row r="20" spans="1:46" ht="17.45" customHeight="1">
      <c r="A20" s="260" t="s">
        <v>1387</v>
      </c>
      <c r="B20" s="260" t="s">
        <v>1388</v>
      </c>
      <c r="C20" s="260" t="s">
        <v>1286</v>
      </c>
      <c r="D20" s="260" t="s">
        <v>1496</v>
      </c>
      <c r="E20" s="260" t="s">
        <v>1583</v>
      </c>
      <c r="F20" s="260" t="s">
        <v>1636</v>
      </c>
      <c r="G20" s="260" t="s">
        <v>1637</v>
      </c>
      <c r="H20" s="260" t="s">
        <v>1638</v>
      </c>
      <c r="I20" s="260"/>
      <c r="J20" s="260"/>
      <c r="K20" s="260" t="s">
        <v>1639</v>
      </c>
      <c r="L20" s="68" t="s">
        <v>1640</v>
      </c>
      <c r="M20" s="260" t="s">
        <v>1641</v>
      </c>
      <c r="N20" s="260" t="s">
        <v>111</v>
      </c>
      <c r="O20" s="260" t="s">
        <v>112</v>
      </c>
      <c r="P20" s="10">
        <v>2548491</v>
      </c>
      <c r="Q20" s="11">
        <v>538000</v>
      </c>
      <c r="R20" s="11">
        <f t="shared" si="0"/>
        <v>104433</v>
      </c>
      <c r="S20" s="261"/>
      <c r="T20" s="11">
        <v>0</v>
      </c>
      <c r="U20" s="11">
        <v>0</v>
      </c>
      <c r="V20" s="11">
        <v>0</v>
      </c>
      <c r="W20" s="11">
        <v>0</v>
      </c>
      <c r="X20" s="11">
        <v>0</v>
      </c>
      <c r="Y20" s="11">
        <v>0</v>
      </c>
      <c r="Z20" s="11">
        <v>0</v>
      </c>
      <c r="AA20" s="11"/>
      <c r="AB20" s="11"/>
      <c r="AC20" s="11"/>
      <c r="AD20" s="11">
        <v>196821</v>
      </c>
      <c r="AE20" s="11">
        <v>0</v>
      </c>
      <c r="AF20" s="167">
        <f>87667+16766</f>
        <v>104433</v>
      </c>
      <c r="AG20" s="166" t="s">
        <v>3151</v>
      </c>
      <c r="AH20" s="139">
        <f t="shared" si="2"/>
        <v>104433</v>
      </c>
      <c r="AI20" s="76" t="s">
        <v>4299</v>
      </c>
      <c r="AJ20" s="168" t="s">
        <v>4300</v>
      </c>
      <c r="AK20" s="146" t="s">
        <v>4301</v>
      </c>
      <c r="AL20" s="77"/>
      <c r="AM20" s="190">
        <v>6371943945</v>
      </c>
      <c r="AN20" s="165" t="s">
        <v>4294</v>
      </c>
      <c r="AO20" s="11">
        <v>174493</v>
      </c>
      <c r="AP20" s="11">
        <v>0</v>
      </c>
      <c r="AQ20" s="11">
        <v>166686</v>
      </c>
      <c r="AR20" s="11">
        <v>0</v>
      </c>
      <c r="AS20" s="11">
        <v>0</v>
      </c>
      <c r="AT20" s="11">
        <v>0</v>
      </c>
    </row>
    <row r="21" spans="1:46" ht="17.45" customHeight="1">
      <c r="A21" s="260" t="s">
        <v>1387</v>
      </c>
      <c r="B21" s="260" t="s">
        <v>1388</v>
      </c>
      <c r="C21" s="260" t="s">
        <v>1286</v>
      </c>
      <c r="D21" s="260" t="s">
        <v>1496</v>
      </c>
      <c r="E21" s="260" t="s">
        <v>1583</v>
      </c>
      <c r="F21" s="260" t="s">
        <v>1651</v>
      </c>
      <c r="G21" s="260" t="s">
        <v>1652</v>
      </c>
      <c r="H21" s="260" t="s">
        <v>1653</v>
      </c>
      <c r="I21" s="260"/>
      <c r="J21" s="260"/>
      <c r="K21" s="260" t="s">
        <v>1654</v>
      </c>
      <c r="L21" s="68" t="s">
        <v>1655</v>
      </c>
      <c r="M21" s="260" t="s">
        <v>140</v>
      </c>
      <c r="N21" s="260" t="s">
        <v>111</v>
      </c>
      <c r="O21" s="260" t="s">
        <v>112</v>
      </c>
      <c r="P21" s="10">
        <v>0</v>
      </c>
      <c r="Q21" s="11">
        <v>46</v>
      </c>
      <c r="R21" s="11">
        <f t="shared" si="0"/>
        <v>20</v>
      </c>
      <c r="S21" s="261"/>
      <c r="T21" s="11">
        <v>20</v>
      </c>
      <c r="U21" s="11">
        <v>0</v>
      </c>
      <c r="V21" s="11">
        <v>20</v>
      </c>
      <c r="W21" s="11">
        <v>0</v>
      </c>
      <c r="X21" s="11">
        <v>20</v>
      </c>
      <c r="Y21" s="11">
        <v>0</v>
      </c>
      <c r="Z21" s="11">
        <v>20</v>
      </c>
      <c r="AA21" s="11">
        <v>0</v>
      </c>
      <c r="AB21" s="11" t="s">
        <v>1656</v>
      </c>
      <c r="AC21" s="11">
        <v>0</v>
      </c>
      <c r="AD21" s="11">
        <v>10</v>
      </c>
      <c r="AE21" s="11">
        <v>0</v>
      </c>
      <c r="AF21" s="76">
        <v>0</v>
      </c>
      <c r="AG21" s="166" t="s">
        <v>3151</v>
      </c>
      <c r="AH21" s="61">
        <f t="shared" si="2"/>
        <v>0</v>
      </c>
      <c r="AI21" s="76" t="s">
        <v>3151</v>
      </c>
      <c r="AJ21" s="146" t="s">
        <v>4302</v>
      </c>
      <c r="AK21" s="146" t="s">
        <v>3151</v>
      </c>
      <c r="AL21" s="76"/>
      <c r="AM21" s="190">
        <v>2445907177</v>
      </c>
      <c r="AN21" s="165" t="s">
        <v>4294</v>
      </c>
      <c r="AO21" s="11">
        <v>8</v>
      </c>
      <c r="AP21" s="11">
        <v>0</v>
      </c>
      <c r="AQ21" s="11">
        <v>8</v>
      </c>
      <c r="AR21" s="11">
        <v>0</v>
      </c>
      <c r="AS21" s="11">
        <v>0</v>
      </c>
      <c r="AT21" s="11">
        <v>0</v>
      </c>
    </row>
    <row r="22" spans="1:46" ht="17.45" customHeight="1">
      <c r="A22" s="260" t="s">
        <v>1387</v>
      </c>
      <c r="B22" s="260" t="s">
        <v>1388</v>
      </c>
      <c r="C22" s="260" t="s">
        <v>1828</v>
      </c>
      <c r="D22" s="260" t="s">
        <v>1829</v>
      </c>
      <c r="E22" s="260" t="s">
        <v>1910</v>
      </c>
      <c r="F22" s="260" t="s">
        <v>1849</v>
      </c>
      <c r="G22" s="260" t="s">
        <v>1850</v>
      </c>
      <c r="H22" s="260" t="s">
        <v>1911</v>
      </c>
      <c r="I22" s="260"/>
      <c r="J22" s="260"/>
      <c r="K22" s="260" t="s">
        <v>1912</v>
      </c>
      <c r="L22" s="68" t="s">
        <v>1913</v>
      </c>
      <c r="M22" s="260" t="s">
        <v>1914</v>
      </c>
      <c r="N22" s="260" t="s">
        <v>111</v>
      </c>
      <c r="O22" s="260" t="s">
        <v>112</v>
      </c>
      <c r="P22" s="10">
        <v>55</v>
      </c>
      <c r="Q22" s="11">
        <v>15</v>
      </c>
      <c r="R22" s="11">
        <f t="shared" si="0"/>
        <v>5</v>
      </c>
      <c r="S22" s="261"/>
      <c r="T22" s="11">
        <v>0</v>
      </c>
      <c r="U22" s="11">
        <v>0</v>
      </c>
      <c r="V22" s="11">
        <v>0.8</v>
      </c>
      <c r="W22" s="11">
        <v>0</v>
      </c>
      <c r="X22" s="11">
        <v>0</v>
      </c>
      <c r="Y22" s="11">
        <v>0</v>
      </c>
      <c r="Z22" s="11">
        <v>0</v>
      </c>
      <c r="AA22" s="11"/>
      <c r="AB22" s="11"/>
      <c r="AC22" s="11"/>
      <c r="AD22" s="11">
        <v>5.2</v>
      </c>
      <c r="AE22" s="11">
        <v>0</v>
      </c>
      <c r="AF22" s="76">
        <v>5</v>
      </c>
      <c r="AG22" s="189"/>
      <c r="AH22" s="61">
        <f t="shared" ref="AH22:AH28" si="3">AF22</f>
        <v>5</v>
      </c>
      <c r="AI22" s="76" t="s">
        <v>4303</v>
      </c>
      <c r="AJ22" s="168" t="s">
        <v>4304</v>
      </c>
      <c r="AK22" s="146" t="s">
        <v>4305</v>
      </c>
      <c r="AL22" s="140"/>
      <c r="AM22" s="190">
        <v>101790567658</v>
      </c>
      <c r="AN22" s="75" t="s">
        <v>4306</v>
      </c>
      <c r="AO22" s="11">
        <v>1</v>
      </c>
      <c r="AP22" s="11">
        <v>0</v>
      </c>
      <c r="AQ22" s="11">
        <v>8</v>
      </c>
      <c r="AR22" s="11">
        <v>0</v>
      </c>
      <c r="AS22" s="11">
        <v>0</v>
      </c>
      <c r="AT22" s="11">
        <v>0</v>
      </c>
    </row>
    <row r="23" spans="1:46" ht="17.45" customHeight="1">
      <c r="A23" s="260" t="s">
        <v>1387</v>
      </c>
      <c r="B23" s="260" t="s">
        <v>1388</v>
      </c>
      <c r="C23" s="260" t="s">
        <v>1828</v>
      </c>
      <c r="D23" s="260" t="s">
        <v>1829</v>
      </c>
      <c r="E23" s="260" t="s">
        <v>1910</v>
      </c>
      <c r="F23" s="260" t="s">
        <v>1855</v>
      </c>
      <c r="G23" s="260" t="s">
        <v>1856</v>
      </c>
      <c r="H23" s="260" t="s">
        <v>1915</v>
      </c>
      <c r="I23" s="260"/>
      <c r="J23" s="260"/>
      <c r="K23" s="260" t="s">
        <v>1916</v>
      </c>
      <c r="L23" s="68" t="s">
        <v>1917</v>
      </c>
      <c r="M23" s="260" t="s">
        <v>1918</v>
      </c>
      <c r="N23" s="260" t="s">
        <v>111</v>
      </c>
      <c r="O23" s="260" t="s">
        <v>112</v>
      </c>
      <c r="P23" s="10">
        <v>0</v>
      </c>
      <c r="Q23" s="11">
        <v>12</v>
      </c>
      <c r="R23" s="11">
        <f t="shared" si="0"/>
        <v>1.9</v>
      </c>
      <c r="S23" s="261"/>
      <c r="T23" s="11">
        <v>0</v>
      </c>
      <c r="U23" s="11">
        <v>0</v>
      </c>
      <c r="V23" s="11">
        <v>0.9</v>
      </c>
      <c r="W23" s="11">
        <v>0</v>
      </c>
      <c r="X23" s="11">
        <v>0.9</v>
      </c>
      <c r="Y23" s="11">
        <v>0</v>
      </c>
      <c r="Z23" s="11">
        <v>0.9</v>
      </c>
      <c r="AA23" s="11" t="s">
        <v>1919</v>
      </c>
      <c r="AB23" s="11" t="s">
        <v>1920</v>
      </c>
      <c r="AC23" s="11">
        <v>0</v>
      </c>
      <c r="AD23" s="11">
        <v>1.1000000000000001</v>
      </c>
      <c r="AE23" s="11">
        <v>0</v>
      </c>
      <c r="AF23" s="76">
        <v>1</v>
      </c>
      <c r="AG23" s="166" t="s">
        <v>3151</v>
      </c>
      <c r="AH23" s="61">
        <f t="shared" si="3"/>
        <v>1</v>
      </c>
      <c r="AI23" s="76" t="s">
        <v>4307</v>
      </c>
      <c r="AJ23" s="168" t="s">
        <v>4308</v>
      </c>
      <c r="AK23" s="146" t="s">
        <v>4309</v>
      </c>
      <c r="AL23" s="141"/>
      <c r="AM23" s="158">
        <v>0</v>
      </c>
      <c r="AN23" s="77" t="s">
        <v>3151</v>
      </c>
      <c r="AO23" s="11">
        <v>5</v>
      </c>
      <c r="AP23" s="11">
        <v>0</v>
      </c>
      <c r="AQ23" s="11">
        <v>5</v>
      </c>
      <c r="AR23" s="11">
        <v>0</v>
      </c>
      <c r="AS23" s="11">
        <v>0</v>
      </c>
      <c r="AT23" s="11">
        <v>0</v>
      </c>
    </row>
    <row r="24" spans="1:46" ht="17.45" customHeight="1">
      <c r="A24" s="260" t="s">
        <v>1387</v>
      </c>
      <c r="B24" s="260" t="s">
        <v>1388</v>
      </c>
      <c r="C24" s="260" t="s">
        <v>1828</v>
      </c>
      <c r="D24" s="260" t="s">
        <v>1829</v>
      </c>
      <c r="E24" s="260" t="s">
        <v>1910</v>
      </c>
      <c r="F24" s="260" t="s">
        <v>1855</v>
      </c>
      <c r="G24" s="260" t="s">
        <v>1856</v>
      </c>
      <c r="H24" s="260" t="s">
        <v>1921</v>
      </c>
      <c r="I24" s="260"/>
      <c r="J24" s="260"/>
      <c r="K24" s="260" t="s">
        <v>1922</v>
      </c>
      <c r="L24" s="68" t="s">
        <v>1923</v>
      </c>
      <c r="M24" s="260" t="s">
        <v>1924</v>
      </c>
      <c r="N24" s="260" t="s">
        <v>111</v>
      </c>
      <c r="O24" s="260" t="s">
        <v>112</v>
      </c>
      <c r="P24" s="10">
        <v>0</v>
      </c>
      <c r="Q24" s="11">
        <v>1</v>
      </c>
      <c r="R24" s="11">
        <f t="shared" si="0"/>
        <v>0.06</v>
      </c>
      <c r="S24" s="261"/>
      <c r="T24" s="11">
        <v>0</v>
      </c>
      <c r="U24" s="11">
        <v>0</v>
      </c>
      <c r="V24" s="11">
        <v>0</v>
      </c>
      <c r="W24" s="11">
        <v>0</v>
      </c>
      <c r="X24" s="11">
        <v>0</v>
      </c>
      <c r="Y24" s="11">
        <v>0</v>
      </c>
      <c r="Z24" s="11">
        <v>0</v>
      </c>
      <c r="AA24" s="11"/>
      <c r="AB24" s="11"/>
      <c r="AC24" s="11"/>
      <c r="AD24" s="11">
        <v>0.1</v>
      </c>
      <c r="AE24" s="11">
        <v>0</v>
      </c>
      <c r="AF24" s="167">
        <v>0.06</v>
      </c>
      <c r="AG24" s="166" t="s">
        <v>3151</v>
      </c>
      <c r="AH24" s="61">
        <f t="shared" si="3"/>
        <v>0.06</v>
      </c>
      <c r="AI24" s="76" t="s">
        <v>3151</v>
      </c>
      <c r="AJ24" s="146" t="s">
        <v>4310</v>
      </c>
      <c r="AK24" s="146" t="s">
        <v>4311</v>
      </c>
      <c r="AL24" s="142"/>
      <c r="AM24" s="158">
        <v>0</v>
      </c>
      <c r="AN24" s="77" t="s">
        <v>3151</v>
      </c>
      <c r="AO24" s="11">
        <v>0.4</v>
      </c>
      <c r="AP24" s="11">
        <v>0</v>
      </c>
      <c r="AQ24" s="11">
        <v>0.5</v>
      </c>
      <c r="AR24" s="11">
        <v>0</v>
      </c>
      <c r="AS24" s="11">
        <v>0</v>
      </c>
      <c r="AT24" s="11">
        <v>0</v>
      </c>
    </row>
    <row r="25" spans="1:46" ht="17.45" customHeight="1">
      <c r="A25" s="260" t="s">
        <v>1387</v>
      </c>
      <c r="B25" s="260" t="s">
        <v>1388</v>
      </c>
      <c r="C25" s="260" t="s">
        <v>1828</v>
      </c>
      <c r="D25" s="260" t="s">
        <v>1829</v>
      </c>
      <c r="E25" s="260" t="s">
        <v>1910</v>
      </c>
      <c r="F25" s="260" t="s">
        <v>1855</v>
      </c>
      <c r="G25" s="260" t="s">
        <v>1856</v>
      </c>
      <c r="H25" s="260" t="s">
        <v>1925</v>
      </c>
      <c r="I25" s="260"/>
      <c r="J25" s="260"/>
      <c r="K25" s="260" t="s">
        <v>1926</v>
      </c>
      <c r="L25" s="68" t="s">
        <v>1927</v>
      </c>
      <c r="M25" s="260" t="s">
        <v>1928</v>
      </c>
      <c r="N25" s="260" t="s">
        <v>111</v>
      </c>
      <c r="O25" s="260" t="s">
        <v>112</v>
      </c>
      <c r="P25" s="10">
        <v>0</v>
      </c>
      <c r="Q25" s="11">
        <v>1</v>
      </c>
      <c r="R25" s="11">
        <f t="shared" si="0"/>
        <v>0.15</v>
      </c>
      <c r="S25" s="261"/>
      <c r="T25" s="11">
        <v>0.1</v>
      </c>
      <c r="U25" s="11">
        <v>0</v>
      </c>
      <c r="V25" s="11">
        <v>0.05</v>
      </c>
      <c r="W25" s="11">
        <v>0</v>
      </c>
      <c r="X25" s="11">
        <v>0</v>
      </c>
      <c r="Y25" s="11">
        <v>0</v>
      </c>
      <c r="Z25" s="11">
        <v>0</v>
      </c>
      <c r="AA25" s="11"/>
      <c r="AB25" s="11"/>
      <c r="AC25" s="11"/>
      <c r="AD25" s="11">
        <v>0.39</v>
      </c>
      <c r="AE25" s="11">
        <v>0</v>
      </c>
      <c r="AF25" s="76">
        <v>0.15</v>
      </c>
      <c r="AG25" s="166" t="s">
        <v>3151</v>
      </c>
      <c r="AH25" s="61">
        <f t="shared" si="3"/>
        <v>0.15</v>
      </c>
      <c r="AI25" s="76" t="s">
        <v>4312</v>
      </c>
      <c r="AJ25" s="146" t="s">
        <v>4313</v>
      </c>
      <c r="AK25" s="146" t="s">
        <v>4314</v>
      </c>
      <c r="AL25" s="77"/>
      <c r="AM25" s="158">
        <v>0</v>
      </c>
      <c r="AN25" s="77" t="s">
        <v>3151</v>
      </c>
      <c r="AO25" s="11">
        <v>0.46</v>
      </c>
      <c r="AP25" s="11">
        <v>0</v>
      </c>
      <c r="AQ25" s="11">
        <v>0.1</v>
      </c>
      <c r="AR25" s="11">
        <v>0</v>
      </c>
      <c r="AS25" s="11">
        <v>0</v>
      </c>
      <c r="AT25" s="11">
        <v>0</v>
      </c>
    </row>
    <row r="26" spans="1:46" ht="17.45" customHeight="1">
      <c r="A26" s="260" t="s">
        <v>1387</v>
      </c>
      <c r="B26" s="260" t="s">
        <v>1388</v>
      </c>
      <c r="C26" s="260" t="s">
        <v>1828</v>
      </c>
      <c r="D26" s="260" t="s">
        <v>1829</v>
      </c>
      <c r="E26" s="260" t="s">
        <v>1910</v>
      </c>
      <c r="F26" s="260" t="s">
        <v>1855</v>
      </c>
      <c r="G26" s="260" t="s">
        <v>1856</v>
      </c>
      <c r="H26" s="260" t="s">
        <v>1929</v>
      </c>
      <c r="I26" s="260"/>
      <c r="J26" s="260"/>
      <c r="K26" s="260" t="s">
        <v>1930</v>
      </c>
      <c r="L26" s="68" t="s">
        <v>1931</v>
      </c>
      <c r="M26" s="260" t="s">
        <v>1932</v>
      </c>
      <c r="N26" s="260" t="s">
        <v>111</v>
      </c>
      <c r="O26" s="260" t="s">
        <v>112</v>
      </c>
      <c r="P26" s="10">
        <v>0</v>
      </c>
      <c r="Q26" s="11">
        <v>1</v>
      </c>
      <c r="R26" s="11">
        <f t="shared" si="0"/>
        <v>0.75</v>
      </c>
      <c r="S26" s="261"/>
      <c r="T26" s="11">
        <v>0</v>
      </c>
      <c r="U26" s="11">
        <v>0</v>
      </c>
      <c r="V26" s="11">
        <v>0</v>
      </c>
      <c r="W26" s="11">
        <v>0</v>
      </c>
      <c r="X26" s="11">
        <v>0</v>
      </c>
      <c r="Y26" s="11">
        <v>0</v>
      </c>
      <c r="Z26" s="11">
        <v>0</v>
      </c>
      <c r="AA26" s="11"/>
      <c r="AB26" s="11"/>
      <c r="AC26" s="11"/>
      <c r="AD26" s="11">
        <v>0.9</v>
      </c>
      <c r="AE26" s="11">
        <v>0</v>
      </c>
      <c r="AF26" s="167">
        <v>0.75</v>
      </c>
      <c r="AG26" s="166" t="s">
        <v>3151</v>
      </c>
      <c r="AH26" s="61">
        <f t="shared" si="3"/>
        <v>0.75</v>
      </c>
      <c r="AI26" s="76" t="s">
        <v>3151</v>
      </c>
      <c r="AJ26" s="280" t="s">
        <v>4315</v>
      </c>
      <c r="AK26" s="146" t="s">
        <v>4316</v>
      </c>
      <c r="AL26" s="143"/>
      <c r="AM26" s="190">
        <v>3357614512</v>
      </c>
      <c r="AN26" s="75" t="s">
        <v>4317</v>
      </c>
      <c r="AO26" s="11">
        <v>0.1</v>
      </c>
      <c r="AP26" s="11">
        <v>0</v>
      </c>
      <c r="AQ26" s="11">
        <v>0</v>
      </c>
      <c r="AR26" s="11">
        <v>0</v>
      </c>
      <c r="AS26" s="11">
        <v>0</v>
      </c>
      <c r="AT26" s="11">
        <v>0</v>
      </c>
    </row>
    <row r="27" spans="1:46" ht="17.45" customHeight="1">
      <c r="A27" s="260" t="s">
        <v>1387</v>
      </c>
      <c r="B27" s="260" t="s">
        <v>1388</v>
      </c>
      <c r="C27" s="260" t="s">
        <v>1828</v>
      </c>
      <c r="D27" s="260" t="s">
        <v>1829</v>
      </c>
      <c r="E27" s="260" t="s">
        <v>1910</v>
      </c>
      <c r="F27" s="260" t="s">
        <v>1855</v>
      </c>
      <c r="G27" s="260" t="s">
        <v>1856</v>
      </c>
      <c r="H27" s="260" t="s">
        <v>1933</v>
      </c>
      <c r="I27" s="260"/>
      <c r="J27" s="260"/>
      <c r="K27" s="260" t="s">
        <v>1934</v>
      </c>
      <c r="L27" s="68" t="s">
        <v>1935</v>
      </c>
      <c r="M27" s="260" t="s">
        <v>1936</v>
      </c>
      <c r="N27" s="260" t="s">
        <v>111</v>
      </c>
      <c r="O27" s="260" t="s">
        <v>112</v>
      </c>
      <c r="P27" s="10">
        <v>0</v>
      </c>
      <c r="Q27" s="11">
        <v>4</v>
      </c>
      <c r="R27" s="11">
        <f t="shared" si="0"/>
        <v>1</v>
      </c>
      <c r="S27" s="261"/>
      <c r="T27" s="11">
        <v>0</v>
      </c>
      <c r="U27" s="11">
        <v>0</v>
      </c>
      <c r="V27" s="11">
        <v>0</v>
      </c>
      <c r="W27" s="11">
        <v>0</v>
      </c>
      <c r="X27" s="11">
        <v>0</v>
      </c>
      <c r="Y27" s="11">
        <v>0</v>
      </c>
      <c r="Z27" s="11">
        <v>0</v>
      </c>
      <c r="AA27" s="11"/>
      <c r="AB27" s="11"/>
      <c r="AC27" s="11"/>
      <c r="AD27" s="11">
        <v>1</v>
      </c>
      <c r="AE27" s="11">
        <v>0</v>
      </c>
      <c r="AF27" s="167">
        <v>1</v>
      </c>
      <c r="AG27" s="166" t="s">
        <v>3151</v>
      </c>
      <c r="AH27" s="61">
        <f t="shared" si="3"/>
        <v>1</v>
      </c>
      <c r="AI27" s="76" t="s">
        <v>3151</v>
      </c>
      <c r="AJ27" s="146" t="s">
        <v>4318</v>
      </c>
      <c r="AK27" s="146" t="s">
        <v>4319</v>
      </c>
      <c r="AL27" s="77"/>
      <c r="AM27" s="190">
        <v>2716003394</v>
      </c>
      <c r="AN27" s="75" t="s">
        <v>4317</v>
      </c>
      <c r="AO27" s="11">
        <v>3</v>
      </c>
      <c r="AP27" s="11">
        <v>0</v>
      </c>
      <c r="AQ27" s="11">
        <v>0</v>
      </c>
      <c r="AR27" s="11">
        <v>0</v>
      </c>
      <c r="AS27" s="11">
        <v>0</v>
      </c>
      <c r="AT27" s="11">
        <v>0</v>
      </c>
    </row>
    <row r="28" spans="1:46" ht="17.45" customHeight="1">
      <c r="A28" s="260" t="s">
        <v>1387</v>
      </c>
      <c r="B28" s="260" t="s">
        <v>1388</v>
      </c>
      <c r="C28" s="260" t="s">
        <v>1828</v>
      </c>
      <c r="D28" s="260" t="s">
        <v>1829</v>
      </c>
      <c r="E28" s="260" t="s">
        <v>1959</v>
      </c>
      <c r="F28" s="260" t="s">
        <v>1960</v>
      </c>
      <c r="G28" s="260" t="s">
        <v>1961</v>
      </c>
      <c r="H28" s="260" t="s">
        <v>1962</v>
      </c>
      <c r="I28" s="260"/>
      <c r="J28" s="260"/>
      <c r="K28" s="260" t="s">
        <v>1963</v>
      </c>
      <c r="L28" s="68" t="s">
        <v>1964</v>
      </c>
      <c r="M28" s="260" t="s">
        <v>1965</v>
      </c>
      <c r="N28" s="260" t="s">
        <v>111</v>
      </c>
      <c r="O28" s="260" t="s">
        <v>112</v>
      </c>
      <c r="P28" s="10">
        <v>20</v>
      </c>
      <c r="Q28" s="11">
        <v>3</v>
      </c>
      <c r="R28" s="11">
        <f t="shared" si="0"/>
        <v>0.09</v>
      </c>
      <c r="S28" s="261"/>
      <c r="T28" s="11">
        <v>0</v>
      </c>
      <c r="U28" s="11">
        <v>0</v>
      </c>
      <c r="V28" s="11">
        <v>0</v>
      </c>
      <c r="W28" s="11">
        <v>0</v>
      </c>
      <c r="X28" s="11">
        <v>0</v>
      </c>
      <c r="Y28" s="11">
        <v>0</v>
      </c>
      <c r="Z28" s="11">
        <v>0</v>
      </c>
      <c r="AA28" s="11"/>
      <c r="AB28" s="11"/>
      <c r="AC28" s="11"/>
      <c r="AD28" s="11">
        <v>1</v>
      </c>
      <c r="AE28" s="11">
        <v>0</v>
      </c>
      <c r="AF28" s="167">
        <v>0.09</v>
      </c>
      <c r="AG28" s="166" t="s">
        <v>3151</v>
      </c>
      <c r="AH28" s="61">
        <f t="shared" si="3"/>
        <v>0.09</v>
      </c>
      <c r="AI28" s="76" t="s">
        <v>3151</v>
      </c>
      <c r="AJ28" s="146" t="s">
        <v>4320</v>
      </c>
      <c r="AK28" s="146" t="s">
        <v>4321</v>
      </c>
      <c r="AL28" s="143"/>
      <c r="AM28" s="190">
        <v>1789493975</v>
      </c>
      <c r="AN28" s="165" t="s">
        <v>4322</v>
      </c>
      <c r="AO28" s="11">
        <v>0.09</v>
      </c>
      <c r="AP28" s="11">
        <v>0</v>
      </c>
      <c r="AQ28" s="11">
        <v>1.91</v>
      </c>
      <c r="AR28" s="11">
        <v>0</v>
      </c>
      <c r="AS28" s="11">
        <v>0</v>
      </c>
      <c r="AT28" s="11">
        <v>0</v>
      </c>
    </row>
    <row r="29" spans="1:46" ht="17.45" customHeight="1">
      <c r="A29" s="260" t="s">
        <v>1387</v>
      </c>
      <c r="B29" s="260" t="s">
        <v>1388</v>
      </c>
      <c r="C29" s="260" t="s">
        <v>1828</v>
      </c>
      <c r="D29" s="260" t="s">
        <v>1988</v>
      </c>
      <c r="E29" s="260" t="s">
        <v>1989</v>
      </c>
      <c r="F29" s="260" t="s">
        <v>1990</v>
      </c>
      <c r="G29" s="260" t="s">
        <v>1991</v>
      </c>
      <c r="H29" s="260" t="s">
        <v>1992</v>
      </c>
      <c r="I29" s="260"/>
      <c r="J29" s="260"/>
      <c r="K29" s="260" t="s">
        <v>1993</v>
      </c>
      <c r="L29" s="68" t="s">
        <v>1994</v>
      </c>
      <c r="M29" s="260" t="s">
        <v>1995</v>
      </c>
      <c r="N29" s="260" t="s">
        <v>111</v>
      </c>
      <c r="O29" s="260" t="s">
        <v>112</v>
      </c>
      <c r="P29" s="10">
        <v>0</v>
      </c>
      <c r="Q29" s="11">
        <v>300</v>
      </c>
      <c r="R29" s="11">
        <f t="shared" si="0"/>
        <v>21</v>
      </c>
      <c r="S29" s="261"/>
      <c r="T29" s="11">
        <v>30</v>
      </c>
      <c r="U29" s="11">
        <v>0</v>
      </c>
      <c r="V29" s="11">
        <v>0</v>
      </c>
      <c r="W29" s="11">
        <v>0</v>
      </c>
      <c r="X29" s="11">
        <v>0</v>
      </c>
      <c r="Y29" s="11">
        <v>0</v>
      </c>
      <c r="Z29" s="11">
        <v>0</v>
      </c>
      <c r="AA29" s="11"/>
      <c r="AB29" s="11"/>
      <c r="AC29" s="11"/>
      <c r="AD29" s="11">
        <v>100</v>
      </c>
      <c r="AE29" s="11">
        <v>0</v>
      </c>
      <c r="AF29" s="167">
        <f>11+10</f>
        <v>21</v>
      </c>
      <c r="AG29" s="166" t="s">
        <v>3151</v>
      </c>
      <c r="AH29" s="61">
        <f t="shared" ref="AH29:AH30" si="4">AF29</f>
        <v>21</v>
      </c>
      <c r="AI29" s="76" t="s">
        <v>4323</v>
      </c>
      <c r="AJ29" s="146" t="s">
        <v>4324</v>
      </c>
      <c r="AK29" s="146" t="s">
        <v>3151</v>
      </c>
      <c r="AL29" s="77"/>
      <c r="AM29" s="158">
        <v>0</v>
      </c>
      <c r="AN29" s="166" t="s">
        <v>3151</v>
      </c>
      <c r="AO29" s="11">
        <v>100</v>
      </c>
      <c r="AP29" s="11">
        <v>0</v>
      </c>
      <c r="AQ29" s="11">
        <v>100</v>
      </c>
      <c r="AR29" s="11">
        <v>0</v>
      </c>
      <c r="AS29" s="11">
        <v>0</v>
      </c>
      <c r="AT29" s="11">
        <v>0</v>
      </c>
    </row>
    <row r="30" spans="1:46" ht="17.45" customHeight="1">
      <c r="A30" s="260" t="s">
        <v>1387</v>
      </c>
      <c r="B30" s="260" t="s">
        <v>1388</v>
      </c>
      <c r="C30" s="260" t="s">
        <v>1828</v>
      </c>
      <c r="D30" s="260" t="s">
        <v>1988</v>
      </c>
      <c r="E30" s="260" t="s">
        <v>2034</v>
      </c>
      <c r="F30" s="260" t="s">
        <v>2035</v>
      </c>
      <c r="G30" s="260" t="s">
        <v>2036</v>
      </c>
      <c r="H30" s="260" t="s">
        <v>2037</v>
      </c>
      <c r="I30" s="260"/>
      <c r="J30" s="260"/>
      <c r="K30" s="260" t="s">
        <v>2038</v>
      </c>
      <c r="L30" s="68" t="s">
        <v>2039</v>
      </c>
      <c r="M30" s="260" t="s">
        <v>2040</v>
      </c>
      <c r="N30" s="260" t="s">
        <v>123</v>
      </c>
      <c r="O30" s="260" t="s">
        <v>124</v>
      </c>
      <c r="P30" s="10">
        <v>100</v>
      </c>
      <c r="Q30" s="11">
        <v>100</v>
      </c>
      <c r="R30" s="11">
        <f>(Z30+AH30)/2</f>
        <v>50</v>
      </c>
      <c r="S30" s="261"/>
      <c r="T30" s="11">
        <v>0</v>
      </c>
      <c r="U30" s="11">
        <v>100</v>
      </c>
      <c r="V30" s="11">
        <v>0</v>
      </c>
      <c r="W30" s="11">
        <v>100</v>
      </c>
      <c r="X30" s="11" t="s">
        <v>115</v>
      </c>
      <c r="Y30" s="11">
        <v>100</v>
      </c>
      <c r="Z30" s="11">
        <v>100</v>
      </c>
      <c r="AA30" s="11" t="s">
        <v>2041</v>
      </c>
      <c r="AB30" s="11" t="s">
        <v>2042</v>
      </c>
      <c r="AC30" s="11">
        <v>0</v>
      </c>
      <c r="AD30" s="11">
        <v>0</v>
      </c>
      <c r="AE30" s="11">
        <v>100</v>
      </c>
      <c r="AF30" s="76">
        <v>0</v>
      </c>
      <c r="AG30" s="167">
        <v>100</v>
      </c>
      <c r="AH30" s="61">
        <f t="shared" si="4"/>
        <v>0</v>
      </c>
      <c r="AI30" s="76" t="s">
        <v>2041</v>
      </c>
      <c r="AJ30" s="146" t="s">
        <v>4325</v>
      </c>
      <c r="AK30" s="146" t="s">
        <v>3151</v>
      </c>
      <c r="AL30" s="78"/>
      <c r="AM30" s="158">
        <v>0</v>
      </c>
      <c r="AN30" s="166" t="s">
        <v>3151</v>
      </c>
      <c r="AO30" s="11">
        <v>0</v>
      </c>
      <c r="AP30" s="11">
        <v>100</v>
      </c>
      <c r="AQ30" s="11">
        <v>0</v>
      </c>
      <c r="AR30" s="11">
        <v>100</v>
      </c>
      <c r="AS30" s="11">
        <v>0</v>
      </c>
      <c r="AT30" s="11">
        <v>0</v>
      </c>
    </row>
    <row r="31" spans="1:46" ht="17.45" customHeight="1">
      <c r="A31" s="260" t="s">
        <v>1387</v>
      </c>
      <c r="B31" s="260" t="s">
        <v>1388</v>
      </c>
      <c r="C31" s="260" t="s">
        <v>2129</v>
      </c>
      <c r="D31" s="260" t="s">
        <v>2197</v>
      </c>
      <c r="E31" s="260" t="s">
        <v>2198</v>
      </c>
      <c r="F31" s="260" t="s">
        <v>2199</v>
      </c>
      <c r="G31" s="260" t="s">
        <v>2200</v>
      </c>
      <c r="H31" s="260" t="s">
        <v>2201</v>
      </c>
      <c r="I31" s="260"/>
      <c r="J31" s="260"/>
      <c r="K31" s="260" t="s">
        <v>2202</v>
      </c>
      <c r="L31" s="68" t="s">
        <v>2203</v>
      </c>
      <c r="M31" s="260" t="s">
        <v>2204</v>
      </c>
      <c r="N31" s="260" t="s">
        <v>111</v>
      </c>
      <c r="O31" s="260" t="s">
        <v>112</v>
      </c>
      <c r="P31" s="10">
        <v>0</v>
      </c>
      <c r="Q31" s="11">
        <v>1</v>
      </c>
      <c r="R31" s="11">
        <f t="shared" ref="R31:R35" si="5">Z31+AH31</f>
        <v>0.43889999999999996</v>
      </c>
      <c r="S31" s="261"/>
      <c r="T31" s="11">
        <v>0.25</v>
      </c>
      <c r="U31" s="11">
        <v>0</v>
      </c>
      <c r="V31" s="11">
        <v>0.121</v>
      </c>
      <c r="W31" s="11">
        <v>0</v>
      </c>
      <c r="X31" s="11">
        <v>0.12</v>
      </c>
      <c r="Y31" s="11">
        <v>0</v>
      </c>
      <c r="Z31" s="11">
        <v>0.12</v>
      </c>
      <c r="AA31" s="11" t="s">
        <v>2205</v>
      </c>
      <c r="AB31" s="11" t="s">
        <v>2206</v>
      </c>
      <c r="AC31" s="11">
        <v>0</v>
      </c>
      <c r="AD31" s="11">
        <v>0.64800000000000002</v>
      </c>
      <c r="AE31" s="11">
        <v>0</v>
      </c>
      <c r="AF31" s="167">
        <f>0.297+0.0219</f>
        <v>0.31889999999999996</v>
      </c>
      <c r="AG31" s="166" t="s">
        <v>3151</v>
      </c>
      <c r="AH31" s="144">
        <f t="shared" ref="AH31" si="6">AF31</f>
        <v>0.31889999999999996</v>
      </c>
      <c r="AI31" s="76" t="s">
        <v>2205</v>
      </c>
      <c r="AJ31" s="146" t="s">
        <v>4326</v>
      </c>
      <c r="AK31" s="146" t="s">
        <v>4327</v>
      </c>
      <c r="AL31" s="75"/>
      <c r="AM31" s="190">
        <v>97918080851</v>
      </c>
      <c r="AN31" s="75" t="s">
        <v>4328</v>
      </c>
      <c r="AO31" s="11">
        <v>0.23</v>
      </c>
      <c r="AP31" s="11">
        <v>0</v>
      </c>
      <c r="AQ31" s="11">
        <v>0</v>
      </c>
      <c r="AR31" s="11">
        <v>0</v>
      </c>
      <c r="AS31" s="11">
        <v>0</v>
      </c>
      <c r="AT31" s="11">
        <v>0</v>
      </c>
    </row>
    <row r="32" spans="1:46" ht="17.45" customHeight="1">
      <c r="A32" s="260" t="s">
        <v>1387</v>
      </c>
      <c r="B32" s="260" t="s">
        <v>1388</v>
      </c>
      <c r="C32" s="260" t="s">
        <v>2129</v>
      </c>
      <c r="D32" s="260" t="s">
        <v>2232</v>
      </c>
      <c r="E32" s="260" t="s">
        <v>2286</v>
      </c>
      <c r="F32" s="260" t="s">
        <v>2287</v>
      </c>
      <c r="G32" s="260" t="s">
        <v>2288</v>
      </c>
      <c r="H32" s="260" t="s">
        <v>2289</v>
      </c>
      <c r="I32" s="260"/>
      <c r="J32" s="260"/>
      <c r="K32" s="260" t="s">
        <v>2290</v>
      </c>
      <c r="L32" s="68" t="s">
        <v>2291</v>
      </c>
      <c r="M32" s="260" t="s">
        <v>2292</v>
      </c>
      <c r="N32" s="260" t="s">
        <v>111</v>
      </c>
      <c r="O32" s="260" t="s">
        <v>112</v>
      </c>
      <c r="P32" s="10">
        <v>0</v>
      </c>
      <c r="Q32" s="11">
        <v>1</v>
      </c>
      <c r="R32" s="11">
        <f t="shared" si="5"/>
        <v>0.05</v>
      </c>
      <c r="S32" s="261"/>
      <c r="T32" s="11">
        <v>0.25</v>
      </c>
      <c r="U32" s="11">
        <v>0</v>
      </c>
      <c r="V32" s="11">
        <v>0</v>
      </c>
      <c r="W32" s="11">
        <v>0</v>
      </c>
      <c r="X32" s="11">
        <v>0</v>
      </c>
      <c r="Y32" s="11">
        <v>0</v>
      </c>
      <c r="Z32" s="11">
        <v>0</v>
      </c>
      <c r="AA32" s="11"/>
      <c r="AB32" s="11"/>
      <c r="AC32" s="11"/>
      <c r="AD32" s="11">
        <v>0.05</v>
      </c>
      <c r="AE32" s="11">
        <v>0</v>
      </c>
      <c r="AF32" s="76">
        <v>0.05</v>
      </c>
      <c r="AG32" s="166" t="s">
        <v>3151</v>
      </c>
      <c r="AH32" s="61">
        <f t="shared" ref="AH32:AH35" si="7">AF32</f>
        <v>0.05</v>
      </c>
      <c r="AI32" s="76" t="s">
        <v>4329</v>
      </c>
      <c r="AJ32" s="146" t="s">
        <v>4330</v>
      </c>
      <c r="AK32" s="146" t="s">
        <v>4331</v>
      </c>
      <c r="AL32" s="143"/>
      <c r="AM32" s="158">
        <v>0</v>
      </c>
      <c r="AN32" s="166" t="s">
        <v>3151</v>
      </c>
      <c r="AO32" s="11">
        <v>0.95</v>
      </c>
      <c r="AP32" s="11">
        <v>0</v>
      </c>
      <c r="AQ32" s="11">
        <v>0</v>
      </c>
      <c r="AR32" s="11">
        <v>0</v>
      </c>
      <c r="AS32" s="11">
        <v>0</v>
      </c>
      <c r="AT32" s="11">
        <v>0</v>
      </c>
    </row>
    <row r="33" spans="1:46" ht="17.45" customHeight="1">
      <c r="A33" s="260" t="s">
        <v>1387</v>
      </c>
      <c r="B33" s="260" t="s">
        <v>1388</v>
      </c>
      <c r="C33" s="260" t="s">
        <v>2129</v>
      </c>
      <c r="D33" s="260" t="s">
        <v>2232</v>
      </c>
      <c r="E33" s="260" t="s">
        <v>2286</v>
      </c>
      <c r="F33" s="260" t="s">
        <v>2293</v>
      </c>
      <c r="G33" s="260" t="s">
        <v>2294</v>
      </c>
      <c r="H33" s="260" t="s">
        <v>2295</v>
      </c>
      <c r="I33" s="260"/>
      <c r="J33" s="260"/>
      <c r="K33" s="260" t="s">
        <v>2296</v>
      </c>
      <c r="L33" s="68" t="s">
        <v>2297</v>
      </c>
      <c r="M33" s="260" t="s">
        <v>2298</v>
      </c>
      <c r="N33" s="260" t="s">
        <v>111</v>
      </c>
      <c r="O33" s="260" t="s">
        <v>112</v>
      </c>
      <c r="P33" s="10">
        <v>0</v>
      </c>
      <c r="Q33" s="11">
        <v>11</v>
      </c>
      <c r="R33" s="11">
        <f t="shared" si="5"/>
        <v>0</v>
      </c>
      <c r="S33" s="261"/>
      <c r="T33" s="11">
        <v>3</v>
      </c>
      <c r="U33" s="11">
        <v>0</v>
      </c>
      <c r="V33" s="11">
        <v>0</v>
      </c>
      <c r="W33" s="11">
        <v>0</v>
      </c>
      <c r="X33" s="11">
        <v>0</v>
      </c>
      <c r="Y33" s="11">
        <v>0</v>
      </c>
      <c r="Z33" s="11">
        <v>0</v>
      </c>
      <c r="AA33" s="11"/>
      <c r="AB33" s="11"/>
      <c r="AC33" s="11"/>
      <c r="AD33" s="11">
        <v>0</v>
      </c>
      <c r="AE33" s="11">
        <v>0</v>
      </c>
      <c r="AF33" s="76">
        <v>0</v>
      </c>
      <c r="AG33" s="166" t="s">
        <v>3151</v>
      </c>
      <c r="AH33" s="61">
        <f t="shared" si="7"/>
        <v>0</v>
      </c>
      <c r="AI33" s="76" t="s">
        <v>3151</v>
      </c>
      <c r="AJ33" s="146" t="s">
        <v>4332</v>
      </c>
      <c r="AK33" s="146" t="s">
        <v>4333</v>
      </c>
      <c r="AL33" s="78"/>
      <c r="AM33" s="158">
        <v>0</v>
      </c>
      <c r="AN33" s="166" t="s">
        <v>3151</v>
      </c>
      <c r="AO33" s="11">
        <v>5</v>
      </c>
      <c r="AP33" s="11">
        <v>0</v>
      </c>
      <c r="AQ33" s="11">
        <v>6</v>
      </c>
      <c r="AR33" s="11">
        <v>0</v>
      </c>
      <c r="AS33" s="11">
        <v>0</v>
      </c>
      <c r="AT33" s="11">
        <v>0</v>
      </c>
    </row>
    <row r="34" spans="1:46" ht="17.45" customHeight="1">
      <c r="A34" s="260" t="s">
        <v>1387</v>
      </c>
      <c r="B34" s="260" t="s">
        <v>1388</v>
      </c>
      <c r="C34" s="260" t="s">
        <v>2129</v>
      </c>
      <c r="D34" s="260" t="s">
        <v>2232</v>
      </c>
      <c r="E34" s="260" t="s">
        <v>2286</v>
      </c>
      <c r="F34" s="260" t="s">
        <v>2299</v>
      </c>
      <c r="G34" s="260" t="s">
        <v>2300</v>
      </c>
      <c r="H34" s="260" t="s">
        <v>2301</v>
      </c>
      <c r="I34" s="260"/>
      <c r="J34" s="260"/>
      <c r="K34" s="260" t="s">
        <v>2302</v>
      </c>
      <c r="L34" s="68" t="s">
        <v>2303</v>
      </c>
      <c r="M34" s="260" t="s">
        <v>2304</v>
      </c>
      <c r="N34" s="260" t="s">
        <v>111</v>
      </c>
      <c r="O34" s="260" t="s">
        <v>112</v>
      </c>
      <c r="P34" s="10">
        <v>615986</v>
      </c>
      <c r="Q34" s="11">
        <v>68000</v>
      </c>
      <c r="R34" s="11">
        <f t="shared" si="5"/>
        <v>21158</v>
      </c>
      <c r="S34" s="261"/>
      <c r="T34" s="11">
        <v>15000</v>
      </c>
      <c r="U34" s="11">
        <v>0</v>
      </c>
      <c r="V34" s="11">
        <v>10460</v>
      </c>
      <c r="W34" s="11">
        <v>0</v>
      </c>
      <c r="X34" s="11">
        <v>10460</v>
      </c>
      <c r="Y34" s="11">
        <v>0</v>
      </c>
      <c r="Z34" s="11">
        <v>10460</v>
      </c>
      <c r="AA34" s="11"/>
      <c r="AB34" s="11"/>
      <c r="AC34" s="11"/>
      <c r="AD34" s="11">
        <v>19000</v>
      </c>
      <c r="AE34" s="11">
        <v>0</v>
      </c>
      <c r="AF34" s="76">
        <v>10698</v>
      </c>
      <c r="AG34" s="166" t="s">
        <v>3151</v>
      </c>
      <c r="AH34" s="61">
        <f t="shared" si="7"/>
        <v>10698</v>
      </c>
      <c r="AI34" s="76" t="s">
        <v>2304</v>
      </c>
      <c r="AJ34" s="168" t="s">
        <v>4334</v>
      </c>
      <c r="AK34" s="146" t="s">
        <v>4335</v>
      </c>
      <c r="AL34" s="75"/>
      <c r="AM34" s="158">
        <v>0</v>
      </c>
      <c r="AN34" s="166" t="s">
        <v>3151</v>
      </c>
      <c r="AO34" s="11">
        <v>19000</v>
      </c>
      <c r="AP34" s="11">
        <v>0</v>
      </c>
      <c r="AQ34" s="11">
        <v>19540</v>
      </c>
      <c r="AR34" s="11">
        <v>0</v>
      </c>
      <c r="AS34" s="11">
        <v>0</v>
      </c>
      <c r="AT34" s="11">
        <v>0</v>
      </c>
    </row>
    <row r="35" spans="1:46" ht="17.45" customHeight="1">
      <c r="A35" s="260" t="s">
        <v>1387</v>
      </c>
      <c r="B35" s="260" t="s">
        <v>1388</v>
      </c>
      <c r="C35" s="260" t="s">
        <v>2129</v>
      </c>
      <c r="D35" s="260" t="s">
        <v>2232</v>
      </c>
      <c r="E35" s="260" t="s">
        <v>2286</v>
      </c>
      <c r="F35" s="260" t="s">
        <v>2299</v>
      </c>
      <c r="G35" s="260" t="s">
        <v>2300</v>
      </c>
      <c r="H35" s="260" t="s">
        <v>2307</v>
      </c>
      <c r="I35" s="260"/>
      <c r="J35" s="260"/>
      <c r="K35" s="260" t="s">
        <v>2308</v>
      </c>
      <c r="L35" s="68" t="s">
        <v>2309</v>
      </c>
      <c r="M35" s="260" t="s">
        <v>2310</v>
      </c>
      <c r="N35" s="260" t="s">
        <v>111</v>
      </c>
      <c r="O35" s="260" t="s">
        <v>112</v>
      </c>
      <c r="P35" s="10">
        <v>608518</v>
      </c>
      <c r="Q35" s="11">
        <v>68000</v>
      </c>
      <c r="R35" s="11">
        <f t="shared" si="5"/>
        <v>20205</v>
      </c>
      <c r="S35" s="261"/>
      <c r="T35" s="11">
        <v>15000</v>
      </c>
      <c r="U35" s="11">
        <v>0</v>
      </c>
      <c r="V35" s="11">
        <v>9628</v>
      </c>
      <c r="W35" s="11">
        <v>0</v>
      </c>
      <c r="X35" s="11">
        <v>9628</v>
      </c>
      <c r="Y35" s="11">
        <v>0</v>
      </c>
      <c r="Z35" s="11">
        <v>9628</v>
      </c>
      <c r="AA35" s="11"/>
      <c r="AB35" s="11"/>
      <c r="AC35" s="11"/>
      <c r="AD35" s="11">
        <v>19300</v>
      </c>
      <c r="AE35" s="11">
        <v>0</v>
      </c>
      <c r="AF35" s="76">
        <v>10577</v>
      </c>
      <c r="AG35" s="166" t="s">
        <v>3151</v>
      </c>
      <c r="AH35" s="61">
        <f t="shared" si="7"/>
        <v>10577</v>
      </c>
      <c r="AI35" s="76" t="s">
        <v>2310</v>
      </c>
      <c r="AJ35" s="168" t="s">
        <v>4336</v>
      </c>
      <c r="AK35" s="146" t="s">
        <v>4335</v>
      </c>
      <c r="AL35" s="77"/>
      <c r="AM35" s="190">
        <v>239583225</v>
      </c>
      <c r="AN35" s="75" t="s">
        <v>4337</v>
      </c>
      <c r="AO35" s="11">
        <v>19300</v>
      </c>
      <c r="AP35" s="11">
        <v>0</v>
      </c>
      <c r="AQ35" s="11">
        <v>19771</v>
      </c>
      <c r="AR35" s="11">
        <v>0</v>
      </c>
      <c r="AS35" s="11">
        <v>0</v>
      </c>
      <c r="AT35" s="11">
        <v>0</v>
      </c>
    </row>
    <row r="36" spans="1:46" s="3" customFormat="1">
      <c r="L36" s="210"/>
      <c r="AI36" s="55"/>
      <c r="AJ36" s="55"/>
      <c r="AK36" s="55"/>
      <c r="AL36" s="55"/>
      <c r="AM36" s="55">
        <v>0</v>
      </c>
      <c r="AN36" s="55" t="s">
        <v>3151</v>
      </c>
    </row>
  </sheetData>
  <sheetProtection algorithmName="SHA-512" hashValue="qtr9QSYom6Yllzx2y/JQI0hM6RA5ZO2o0+mM4H0YlsLCiyMMW8H9rTUuO77SIbKsgQtZsF53+MRxt2B0Y8BI7g==" saltValue="mgt6yLWOYCphjoxNGTzNOA==" spinCount="100000" sheet="1" autoFilter="0"/>
  <autoFilter ref="A12:IZ35" xr:uid="{00000000-0009-0000-0000-000022000000}"/>
  <customSheetViews>
    <customSheetView guid="{75629C99-8367-48E9-A2A2-D8C49A9E68E3}" scale="90" showAutoFilter="1" hiddenRows="1" topLeftCell="J12">
      <pane xSplit="2" ySplit="1" topLeftCell="L13" activePane="bottomRight" state="frozen"/>
      <selection pane="bottomRight" activeCell="AF19" sqref="AF19"/>
      <pageMargins left="0" right="0" top="0" bottom="0" header="0" footer="0"/>
      <pageSetup orientation="portrait" r:id="rId1"/>
      <autoFilter ref="A12:IZ35" xr:uid="{F0467218-7491-478F-AC2C-CCD055C999F1}"/>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35">
    <cfRule type="duplicateValues" dxfId="1" priority="1"/>
  </conditionalFormatting>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FF23"/>
  <sheetViews>
    <sheetView topLeftCell="V1" zoomScale="90" zoomScaleNormal="90" workbookViewId="0">
      <selection activeCell="AI14" sqref="AI14"/>
    </sheetView>
  </sheetViews>
  <sheetFormatPr defaultColWidth="11.42578125" defaultRowHeight="14.45"/>
  <cols>
    <col min="1" max="1" width="12.7109375" customWidth="1"/>
    <col min="2" max="2" width="15.42578125" customWidth="1"/>
    <col min="3" max="4" width="12.7109375" customWidth="1"/>
    <col min="5" max="5" width="9.42578125" customWidth="1"/>
    <col min="6" max="6" width="20" customWidth="1"/>
    <col min="7" max="7" width="17.42578125" customWidth="1"/>
    <col min="8" max="8" width="15" bestFit="1"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1" width="12.7109375" customWidth="1"/>
    <col min="32" max="32" width="15" customWidth="1"/>
    <col min="33" max="33" width="14.42578125" customWidth="1"/>
    <col min="34" max="37" width="12.7109375" customWidth="1"/>
    <col min="38" max="38" width="13" customWidth="1"/>
    <col min="39" max="39" width="16.42578125" customWidth="1"/>
    <col min="40" max="40" width="18.28515625" customWidth="1"/>
    <col min="41"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3124</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269"/>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269"/>
      <c r="AN11" s="269"/>
      <c r="AO11" s="441" t="s">
        <v>14</v>
      </c>
      <c r="AP11" s="441"/>
      <c r="AQ11" s="441" t="s">
        <v>14</v>
      </c>
      <c r="AR11" s="441"/>
      <c r="AS11" s="441" t="s">
        <v>14</v>
      </c>
      <c r="AT11" s="441"/>
    </row>
    <row r="12" spans="1:46" ht="72.599999999999994"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6" t="s">
        <v>2437</v>
      </c>
      <c r="B13" s="6" t="s">
        <v>2438</v>
      </c>
      <c r="C13" s="6" t="s">
        <v>2371</v>
      </c>
      <c r="D13" s="6" t="s">
        <v>2372</v>
      </c>
      <c r="E13" s="6" t="s">
        <v>2416</v>
      </c>
      <c r="F13" s="6" t="s">
        <v>2417</v>
      </c>
      <c r="G13" s="6" t="s">
        <v>2418</v>
      </c>
      <c r="H13" s="6" t="s">
        <v>2439</v>
      </c>
      <c r="I13" s="6"/>
      <c r="J13" s="6"/>
      <c r="K13" s="6" t="s">
        <v>2440</v>
      </c>
      <c r="L13" s="6" t="s">
        <v>2441</v>
      </c>
      <c r="M13" s="6" t="s">
        <v>2442</v>
      </c>
      <c r="N13" s="260" t="s">
        <v>123</v>
      </c>
      <c r="O13" s="6" t="s">
        <v>112</v>
      </c>
      <c r="P13" s="8">
        <v>0</v>
      </c>
      <c r="Q13" s="9">
        <v>100</v>
      </c>
      <c r="R13" s="9">
        <f t="shared" ref="R13" si="0">Z13+AH13</f>
        <v>10</v>
      </c>
      <c r="S13" s="261">
        <v>0</v>
      </c>
      <c r="T13" s="11">
        <v>0.1</v>
      </c>
      <c r="U13" s="11">
        <v>0</v>
      </c>
      <c r="V13" s="11">
        <v>0.1</v>
      </c>
      <c r="W13" s="11">
        <v>0</v>
      </c>
      <c r="X13" s="11">
        <v>0</v>
      </c>
      <c r="Y13" s="11">
        <v>0</v>
      </c>
      <c r="Z13" s="11">
        <v>0</v>
      </c>
      <c r="AA13" s="11"/>
      <c r="AB13" s="11"/>
      <c r="AC13" s="11"/>
      <c r="AD13" s="263">
        <v>10</v>
      </c>
      <c r="AE13" s="11">
        <v>0</v>
      </c>
      <c r="AF13" s="261">
        <v>10</v>
      </c>
      <c r="AG13" s="261"/>
      <c r="AH13" s="9">
        <f t="shared" ref="AH13" si="1">AF13</f>
        <v>10</v>
      </c>
      <c r="AI13" s="261" t="s">
        <v>3129</v>
      </c>
      <c r="AJ13" s="261" t="s">
        <v>3130</v>
      </c>
      <c r="AK13" s="261" t="s">
        <v>3131</v>
      </c>
      <c r="AL13" s="261"/>
      <c r="AM13" s="118">
        <v>0</v>
      </c>
      <c r="AN13" s="261"/>
      <c r="AO13" s="11">
        <v>40</v>
      </c>
      <c r="AP13" s="11">
        <v>0</v>
      </c>
      <c r="AQ13" s="11">
        <v>50</v>
      </c>
      <c r="AR13" s="11">
        <v>0</v>
      </c>
      <c r="AS13" s="11">
        <v>0</v>
      </c>
      <c r="AT13" s="11">
        <v>0</v>
      </c>
    </row>
    <row r="14" spans="1:46" ht="18" customHeight="1">
      <c r="A14" s="260" t="s">
        <v>2437</v>
      </c>
      <c r="B14" s="260" t="s">
        <v>2438</v>
      </c>
      <c r="C14" s="260" t="s">
        <v>2371</v>
      </c>
      <c r="D14" s="260" t="s">
        <v>2372</v>
      </c>
      <c r="E14" s="260" t="s">
        <v>2416</v>
      </c>
      <c r="F14" s="260" t="s">
        <v>2417</v>
      </c>
      <c r="G14" s="260" t="s">
        <v>2418</v>
      </c>
      <c r="H14" s="260" t="s">
        <v>2443</v>
      </c>
      <c r="I14" s="260"/>
      <c r="J14" s="260"/>
      <c r="K14" s="260" t="s">
        <v>2444</v>
      </c>
      <c r="L14" s="260" t="s">
        <v>2445</v>
      </c>
      <c r="M14" s="260" t="s">
        <v>2446</v>
      </c>
      <c r="N14" s="260" t="s">
        <v>111</v>
      </c>
      <c r="O14" s="260" t="s">
        <v>124</v>
      </c>
      <c r="P14" s="10">
        <v>0</v>
      </c>
      <c r="Q14" s="11">
        <v>3</v>
      </c>
      <c r="R14" s="11">
        <f>(Z14+AH14)/2</f>
        <v>3</v>
      </c>
      <c r="S14" s="261">
        <v>0</v>
      </c>
      <c r="T14" s="11">
        <v>0</v>
      </c>
      <c r="U14" s="11">
        <v>3</v>
      </c>
      <c r="V14" s="11">
        <v>0</v>
      </c>
      <c r="W14" s="11">
        <v>3</v>
      </c>
      <c r="X14" s="11" t="s">
        <v>115</v>
      </c>
      <c r="Y14" s="11">
        <v>3</v>
      </c>
      <c r="Z14" s="11">
        <v>3</v>
      </c>
      <c r="AA14" s="11" t="s">
        <v>2447</v>
      </c>
      <c r="AB14" s="11" t="s">
        <v>2448</v>
      </c>
      <c r="AC14" s="11" t="s">
        <v>2449</v>
      </c>
      <c r="AD14" s="11">
        <v>0</v>
      </c>
      <c r="AE14" s="11">
        <v>3</v>
      </c>
      <c r="AF14" s="261"/>
      <c r="AG14" s="261">
        <v>3</v>
      </c>
      <c r="AH14" s="11">
        <f>AG14</f>
        <v>3</v>
      </c>
      <c r="AI14" s="261" t="s">
        <v>3132</v>
      </c>
      <c r="AJ14" s="65" t="s">
        <v>3133</v>
      </c>
      <c r="AK14" s="261"/>
      <c r="AL14" s="261"/>
      <c r="AM14" s="118">
        <v>0</v>
      </c>
      <c r="AN14" s="261"/>
      <c r="AO14" s="11">
        <v>0</v>
      </c>
      <c r="AP14" s="11">
        <v>3</v>
      </c>
      <c r="AQ14" s="11">
        <v>0</v>
      </c>
      <c r="AR14" s="11">
        <v>3</v>
      </c>
      <c r="AS14" s="11">
        <v>0</v>
      </c>
      <c r="AT14" s="11">
        <v>0</v>
      </c>
    </row>
    <row r="15" spans="1:46" ht="18" customHeight="1">
      <c r="A15" s="260" t="s">
        <v>2437</v>
      </c>
      <c r="B15" s="260" t="s">
        <v>2438</v>
      </c>
      <c r="C15" s="260" t="s">
        <v>2371</v>
      </c>
      <c r="D15" s="260" t="s">
        <v>2372</v>
      </c>
      <c r="E15" s="260" t="s">
        <v>2416</v>
      </c>
      <c r="F15" s="260" t="s">
        <v>2417</v>
      </c>
      <c r="G15" s="260" t="s">
        <v>2418</v>
      </c>
      <c r="H15" s="260" t="s">
        <v>2450</v>
      </c>
      <c r="I15" s="260"/>
      <c r="J15" s="260"/>
      <c r="K15" s="260" t="s">
        <v>2451</v>
      </c>
      <c r="L15" s="260" t="s">
        <v>2452</v>
      </c>
      <c r="M15" s="260" t="s">
        <v>2453</v>
      </c>
      <c r="N15" s="260" t="s">
        <v>111</v>
      </c>
      <c r="O15" s="260" t="s">
        <v>112</v>
      </c>
      <c r="P15" s="10">
        <v>5</v>
      </c>
      <c r="Q15" s="11">
        <v>15</v>
      </c>
      <c r="R15" s="9">
        <f t="shared" ref="R15:R18" si="2">Z15+AH15</f>
        <v>3</v>
      </c>
      <c r="S15" s="261">
        <v>0</v>
      </c>
      <c r="T15" s="11">
        <v>0</v>
      </c>
      <c r="U15" s="11">
        <v>0</v>
      </c>
      <c r="V15" s="11">
        <v>0</v>
      </c>
      <c r="W15" s="11">
        <v>0</v>
      </c>
      <c r="X15" s="11">
        <v>0</v>
      </c>
      <c r="Y15" s="11">
        <v>0</v>
      </c>
      <c r="Z15" s="11">
        <v>0</v>
      </c>
      <c r="AA15" s="11"/>
      <c r="AB15" s="11"/>
      <c r="AC15" s="11"/>
      <c r="AD15" s="11">
        <v>3</v>
      </c>
      <c r="AE15" s="11">
        <v>0</v>
      </c>
      <c r="AF15" s="261">
        <v>3</v>
      </c>
      <c r="AG15" s="261"/>
      <c r="AH15" s="9">
        <f>AF15</f>
        <v>3</v>
      </c>
      <c r="AI15" s="261" t="s">
        <v>3134</v>
      </c>
      <c r="AJ15" s="261" t="s">
        <v>3135</v>
      </c>
      <c r="AK15" s="115" t="s">
        <v>3136</v>
      </c>
      <c r="AL15" s="115"/>
      <c r="AM15" s="118">
        <v>0</v>
      </c>
      <c r="AN15" s="115"/>
      <c r="AO15" s="11">
        <v>5</v>
      </c>
      <c r="AP15" s="11">
        <v>0</v>
      </c>
      <c r="AQ15" s="11">
        <v>7</v>
      </c>
      <c r="AR15" s="11">
        <v>0</v>
      </c>
      <c r="AS15" s="11">
        <v>0</v>
      </c>
      <c r="AT15" s="11">
        <v>0</v>
      </c>
    </row>
    <row r="16" spans="1:46" ht="18" customHeight="1">
      <c r="A16" s="260" t="s">
        <v>2437</v>
      </c>
      <c r="B16" s="260" t="s">
        <v>2438</v>
      </c>
      <c r="C16" s="260" t="s">
        <v>2371</v>
      </c>
      <c r="D16" s="260" t="s">
        <v>2372</v>
      </c>
      <c r="E16" s="260" t="s">
        <v>2416</v>
      </c>
      <c r="F16" s="260" t="s">
        <v>2417</v>
      </c>
      <c r="G16" s="260" t="s">
        <v>2418</v>
      </c>
      <c r="H16" s="260" t="s">
        <v>2454</v>
      </c>
      <c r="I16" s="260"/>
      <c r="J16" s="260"/>
      <c r="K16" s="260" t="s">
        <v>2455</v>
      </c>
      <c r="L16" s="260" t="s">
        <v>2456</v>
      </c>
      <c r="M16" s="260" t="s">
        <v>2457</v>
      </c>
      <c r="N16" s="260" t="s">
        <v>111</v>
      </c>
      <c r="O16" s="260" t="s">
        <v>112</v>
      </c>
      <c r="P16" s="10">
        <v>0</v>
      </c>
      <c r="Q16" s="11">
        <v>4</v>
      </c>
      <c r="R16" s="9">
        <f t="shared" si="2"/>
        <v>0.7</v>
      </c>
      <c r="S16" s="261">
        <v>0</v>
      </c>
      <c r="T16" s="11">
        <v>0</v>
      </c>
      <c r="U16" s="11">
        <v>0</v>
      </c>
      <c r="V16" s="11">
        <v>0</v>
      </c>
      <c r="W16" s="11">
        <v>0</v>
      </c>
      <c r="X16" s="11">
        <v>0</v>
      </c>
      <c r="Y16" s="11">
        <v>0</v>
      </c>
      <c r="Z16" s="11">
        <v>0</v>
      </c>
      <c r="AA16" s="11"/>
      <c r="AB16" s="11"/>
      <c r="AC16" s="11"/>
      <c r="AD16" s="11">
        <v>1</v>
      </c>
      <c r="AE16" s="11">
        <v>0</v>
      </c>
      <c r="AF16" s="261">
        <v>0.7</v>
      </c>
      <c r="AG16" s="261"/>
      <c r="AH16" s="9">
        <v>0.7</v>
      </c>
      <c r="AI16" s="65" t="s">
        <v>3137</v>
      </c>
      <c r="AJ16" s="65" t="s">
        <v>3138</v>
      </c>
      <c r="AK16" s="261"/>
      <c r="AL16" s="261"/>
      <c r="AM16" s="118">
        <v>0</v>
      </c>
      <c r="AN16" s="261"/>
      <c r="AO16" s="11">
        <v>2</v>
      </c>
      <c r="AP16" s="11">
        <v>0</v>
      </c>
      <c r="AQ16" s="11">
        <v>1</v>
      </c>
      <c r="AR16" s="11">
        <v>0</v>
      </c>
      <c r="AS16" s="11">
        <v>0</v>
      </c>
      <c r="AT16" s="11">
        <v>0</v>
      </c>
    </row>
    <row r="17" spans="1:162" ht="18" customHeight="1">
      <c r="A17" s="260" t="s">
        <v>2437</v>
      </c>
      <c r="B17" s="260" t="s">
        <v>2438</v>
      </c>
      <c r="C17" s="260" t="s">
        <v>2371</v>
      </c>
      <c r="D17" s="260" t="s">
        <v>2372</v>
      </c>
      <c r="E17" s="260" t="s">
        <v>2458</v>
      </c>
      <c r="F17" s="260" t="s">
        <v>2459</v>
      </c>
      <c r="G17" s="260" t="s">
        <v>2460</v>
      </c>
      <c r="H17" s="260" t="s">
        <v>2507</v>
      </c>
      <c r="I17" s="260"/>
      <c r="J17" s="260"/>
      <c r="K17" s="260" t="s">
        <v>2508</v>
      </c>
      <c r="L17" s="260" t="s">
        <v>2509</v>
      </c>
      <c r="M17" s="260" t="s">
        <v>2510</v>
      </c>
      <c r="N17" s="260" t="s">
        <v>111</v>
      </c>
      <c r="O17" s="260" t="s">
        <v>112</v>
      </c>
      <c r="P17" s="10">
        <v>10</v>
      </c>
      <c r="Q17" s="11">
        <v>6</v>
      </c>
      <c r="R17" s="9">
        <f t="shared" si="2"/>
        <v>2</v>
      </c>
      <c r="S17" s="261">
        <v>0</v>
      </c>
      <c r="T17" s="11">
        <v>0</v>
      </c>
      <c r="U17" s="11">
        <v>0</v>
      </c>
      <c r="V17" s="11">
        <v>0</v>
      </c>
      <c r="W17" s="11">
        <v>0</v>
      </c>
      <c r="X17" s="11">
        <v>0</v>
      </c>
      <c r="Y17" s="11">
        <v>0</v>
      </c>
      <c r="Z17" s="11">
        <v>0</v>
      </c>
      <c r="AA17" s="11"/>
      <c r="AB17" s="11"/>
      <c r="AC17" s="11"/>
      <c r="AD17" s="11">
        <v>4</v>
      </c>
      <c r="AE17" s="11">
        <v>0</v>
      </c>
      <c r="AF17" s="261">
        <v>2</v>
      </c>
      <c r="AG17" s="261"/>
      <c r="AH17" s="9">
        <f t="shared" ref="AH17:AH18" si="3">AF17</f>
        <v>2</v>
      </c>
      <c r="AI17" s="261" t="s">
        <v>3139</v>
      </c>
      <c r="AJ17" s="261" t="s">
        <v>3140</v>
      </c>
      <c r="AK17" s="261"/>
      <c r="AL17" s="261"/>
      <c r="AM17" s="118">
        <v>0</v>
      </c>
      <c r="AN17" s="261"/>
      <c r="AO17" s="11">
        <v>0</v>
      </c>
      <c r="AP17" s="11">
        <v>0</v>
      </c>
      <c r="AQ17" s="11">
        <v>2</v>
      </c>
      <c r="AR17" s="11">
        <v>0</v>
      </c>
      <c r="AS17" s="11">
        <v>0</v>
      </c>
      <c r="AT17" s="11">
        <v>0</v>
      </c>
    </row>
    <row r="18" spans="1:162" ht="18" customHeight="1">
      <c r="A18" s="260" t="s">
        <v>2437</v>
      </c>
      <c r="B18" s="260" t="s">
        <v>2438</v>
      </c>
      <c r="C18" s="260" t="s">
        <v>2371</v>
      </c>
      <c r="D18" s="260" t="s">
        <v>2372</v>
      </c>
      <c r="E18" s="260" t="s">
        <v>2458</v>
      </c>
      <c r="F18" s="260" t="s">
        <v>2459</v>
      </c>
      <c r="G18" s="260" t="s">
        <v>2460</v>
      </c>
      <c r="H18" s="260" t="s">
        <v>2511</v>
      </c>
      <c r="I18" s="260"/>
      <c r="J18" s="260"/>
      <c r="K18" s="260" t="s">
        <v>2512</v>
      </c>
      <c r="L18" s="260" t="s">
        <v>2513</v>
      </c>
      <c r="M18" s="260" t="s">
        <v>2514</v>
      </c>
      <c r="N18" s="260" t="s">
        <v>111</v>
      </c>
      <c r="O18" s="260" t="s">
        <v>112</v>
      </c>
      <c r="P18" s="10">
        <v>1017</v>
      </c>
      <c r="Q18" s="11">
        <v>5</v>
      </c>
      <c r="R18" s="9">
        <f t="shared" si="2"/>
        <v>0</v>
      </c>
      <c r="S18" s="261">
        <v>0</v>
      </c>
      <c r="T18" s="11">
        <v>0</v>
      </c>
      <c r="U18" s="11">
        <v>0</v>
      </c>
      <c r="V18" s="11">
        <v>0</v>
      </c>
      <c r="W18" s="11">
        <v>0</v>
      </c>
      <c r="X18" s="11">
        <v>0</v>
      </c>
      <c r="Y18" s="11">
        <v>0</v>
      </c>
      <c r="Z18" s="11">
        <v>0</v>
      </c>
      <c r="AA18" s="11"/>
      <c r="AB18" s="11"/>
      <c r="AC18" s="11"/>
      <c r="AD18" s="11">
        <v>0</v>
      </c>
      <c r="AE18" s="11">
        <v>0</v>
      </c>
      <c r="AF18" s="261"/>
      <c r="AG18" s="261"/>
      <c r="AH18" s="9">
        <f t="shared" si="3"/>
        <v>0</v>
      </c>
      <c r="AI18" s="261"/>
      <c r="AJ18" s="261"/>
      <c r="AK18" s="261"/>
      <c r="AL18" s="261"/>
      <c r="AM18" s="118">
        <v>0</v>
      </c>
      <c r="AN18" s="261"/>
      <c r="AO18" s="11">
        <v>1</v>
      </c>
      <c r="AP18" s="11">
        <v>0</v>
      </c>
      <c r="AQ18" s="11">
        <v>4</v>
      </c>
      <c r="AR18" s="11">
        <v>0</v>
      </c>
      <c r="AS18" s="11">
        <v>0</v>
      </c>
      <c r="AT18" s="11">
        <v>0</v>
      </c>
    </row>
    <row r="19" spans="1:162" ht="18" customHeight="1">
      <c r="A19" s="260" t="s">
        <v>2437</v>
      </c>
      <c r="B19" s="260" t="s">
        <v>2438</v>
      </c>
      <c r="C19" s="260" t="s">
        <v>2371</v>
      </c>
      <c r="D19" s="260" t="s">
        <v>2372</v>
      </c>
      <c r="E19" s="260" t="s">
        <v>2515</v>
      </c>
      <c r="F19" s="260" t="s">
        <v>2516</v>
      </c>
      <c r="G19" s="260" t="s">
        <v>2517</v>
      </c>
      <c r="H19" s="260" t="s">
        <v>2518</v>
      </c>
      <c r="I19" s="260"/>
      <c r="J19" s="260"/>
      <c r="K19" s="260" t="s">
        <v>2519</v>
      </c>
      <c r="L19" s="260" t="s">
        <v>2520</v>
      </c>
      <c r="M19" s="260" t="s">
        <v>2521</v>
      </c>
      <c r="N19" s="260" t="s">
        <v>123</v>
      </c>
      <c r="O19" s="260" t="s">
        <v>124</v>
      </c>
      <c r="P19" s="10">
        <v>80</v>
      </c>
      <c r="Q19" s="11">
        <v>100</v>
      </c>
      <c r="R19" s="11">
        <f>(Z19+AH19)/2</f>
        <v>97.5</v>
      </c>
      <c r="S19" s="261">
        <v>0</v>
      </c>
      <c r="T19" s="11">
        <v>0</v>
      </c>
      <c r="U19" s="11">
        <v>100</v>
      </c>
      <c r="V19" s="11">
        <v>0</v>
      </c>
      <c r="W19" s="11">
        <v>100</v>
      </c>
      <c r="X19" s="11" t="s">
        <v>115</v>
      </c>
      <c r="Y19" s="11">
        <v>100</v>
      </c>
      <c r="Z19" s="11">
        <v>100</v>
      </c>
      <c r="AA19" s="11" t="s">
        <v>2522</v>
      </c>
      <c r="AB19" s="11" t="s">
        <v>2523</v>
      </c>
      <c r="AC19" s="11">
        <v>0</v>
      </c>
      <c r="AD19" s="11">
        <v>0</v>
      </c>
      <c r="AE19" s="11">
        <v>100</v>
      </c>
      <c r="AF19" s="261"/>
      <c r="AG19" s="313">
        <v>95</v>
      </c>
      <c r="AH19" s="314">
        <f>AG19</f>
        <v>95</v>
      </c>
      <c r="AI19" s="261" t="s">
        <v>3141</v>
      </c>
      <c r="AJ19" s="65" t="s">
        <v>3142</v>
      </c>
      <c r="AK19" s="261"/>
      <c r="AL19" s="261"/>
      <c r="AM19" s="118">
        <v>0</v>
      </c>
      <c r="AN19" s="261"/>
      <c r="AO19" s="11">
        <v>0</v>
      </c>
      <c r="AP19" s="11">
        <v>100</v>
      </c>
      <c r="AQ19" s="11">
        <v>0</v>
      </c>
      <c r="AR19" s="11">
        <v>100</v>
      </c>
      <c r="AS19" s="11">
        <v>0</v>
      </c>
      <c r="AT19" s="11">
        <v>0</v>
      </c>
    </row>
    <row r="20" spans="1:162" ht="18" customHeight="1">
      <c r="A20" s="260" t="s">
        <v>2437</v>
      </c>
      <c r="B20" s="260" t="s">
        <v>2438</v>
      </c>
      <c r="C20" s="260" t="s">
        <v>2371</v>
      </c>
      <c r="D20" s="260" t="s">
        <v>2372</v>
      </c>
      <c r="E20" s="260" t="s">
        <v>2515</v>
      </c>
      <c r="F20" s="260" t="s">
        <v>2516</v>
      </c>
      <c r="G20" s="260" t="s">
        <v>2517</v>
      </c>
      <c r="H20" s="260" t="s">
        <v>2524</v>
      </c>
      <c r="I20" s="260"/>
      <c r="J20" s="260"/>
      <c r="K20" s="260" t="s">
        <v>2525</v>
      </c>
      <c r="L20" s="260" t="s">
        <v>2526</v>
      </c>
      <c r="M20" s="260" t="s">
        <v>2527</v>
      </c>
      <c r="N20" s="260" t="s">
        <v>111</v>
      </c>
      <c r="O20" s="260" t="s">
        <v>112</v>
      </c>
      <c r="P20" s="10">
        <v>1200000</v>
      </c>
      <c r="Q20" s="11">
        <v>750000</v>
      </c>
      <c r="R20" s="9">
        <f t="shared" ref="R20:R21" si="4">Z20+AH20</f>
        <v>0</v>
      </c>
      <c r="S20" s="261">
        <v>0</v>
      </c>
      <c r="T20" s="11">
        <v>0</v>
      </c>
      <c r="U20" s="11">
        <v>0</v>
      </c>
      <c r="V20" s="11">
        <v>0</v>
      </c>
      <c r="W20" s="11">
        <v>0</v>
      </c>
      <c r="X20" s="11">
        <v>0</v>
      </c>
      <c r="Y20" s="11">
        <v>0</v>
      </c>
      <c r="Z20" s="11">
        <v>0</v>
      </c>
      <c r="AA20" s="11"/>
      <c r="AB20" s="11"/>
      <c r="AC20" s="11"/>
      <c r="AD20" s="11">
        <v>0</v>
      </c>
      <c r="AE20" s="11">
        <v>0</v>
      </c>
      <c r="AF20" s="261"/>
      <c r="AG20" s="261"/>
      <c r="AH20" s="9">
        <f t="shared" ref="AH20" si="5">AF20</f>
        <v>0</v>
      </c>
      <c r="AI20" s="261"/>
      <c r="AJ20" s="261"/>
      <c r="AK20" s="261"/>
      <c r="AL20" s="261"/>
      <c r="AM20" s="118">
        <v>0</v>
      </c>
      <c r="AN20" s="261"/>
      <c r="AO20" s="11">
        <v>800000</v>
      </c>
      <c r="AP20" s="11">
        <v>0</v>
      </c>
      <c r="AQ20" s="11">
        <v>0</v>
      </c>
      <c r="AR20" s="11">
        <v>0</v>
      </c>
      <c r="AS20" s="11">
        <v>0</v>
      </c>
      <c r="AT20" s="11">
        <v>0</v>
      </c>
    </row>
    <row r="21" spans="1:162" ht="18" customHeight="1">
      <c r="A21" s="260" t="s">
        <v>2437</v>
      </c>
      <c r="B21" s="260" t="s">
        <v>2438</v>
      </c>
      <c r="C21" s="260" t="s">
        <v>2371</v>
      </c>
      <c r="D21" s="260" t="s">
        <v>2372</v>
      </c>
      <c r="E21" s="260" t="s">
        <v>2515</v>
      </c>
      <c r="F21" s="260" t="s">
        <v>2516</v>
      </c>
      <c r="G21" s="260" t="s">
        <v>2517</v>
      </c>
      <c r="H21" s="260" t="s">
        <v>2528</v>
      </c>
      <c r="I21" s="260"/>
      <c r="J21" s="260"/>
      <c r="K21" s="260" t="s">
        <v>2529</v>
      </c>
      <c r="L21" s="260" t="s">
        <v>2530</v>
      </c>
      <c r="M21" s="260" t="s">
        <v>2531</v>
      </c>
      <c r="N21" s="260" t="s">
        <v>111</v>
      </c>
      <c r="O21" s="260" t="s">
        <v>124</v>
      </c>
      <c r="P21" s="10">
        <v>0</v>
      </c>
      <c r="Q21" s="11">
        <v>116</v>
      </c>
      <c r="R21" s="9">
        <f t="shared" si="4"/>
        <v>69</v>
      </c>
      <c r="S21" s="261">
        <v>0</v>
      </c>
      <c r="T21" s="11">
        <v>100</v>
      </c>
      <c r="U21" s="11">
        <v>0</v>
      </c>
      <c r="V21" s="11">
        <v>20</v>
      </c>
      <c r="W21" s="11">
        <v>0</v>
      </c>
      <c r="X21" s="11">
        <v>20</v>
      </c>
      <c r="Y21" s="11">
        <v>0</v>
      </c>
      <c r="Z21" s="11">
        <v>20</v>
      </c>
      <c r="AA21" s="11" t="s">
        <v>2532</v>
      </c>
      <c r="AB21" s="11" t="s">
        <v>2533</v>
      </c>
      <c r="AC21" s="11" t="s">
        <v>2534</v>
      </c>
      <c r="AD21" s="11"/>
      <c r="AE21" s="11">
        <v>116</v>
      </c>
      <c r="AF21" s="261"/>
      <c r="AG21" s="261">
        <v>49</v>
      </c>
      <c r="AH21" s="9">
        <f>AG21</f>
        <v>49</v>
      </c>
      <c r="AI21" s="261" t="s">
        <v>3143</v>
      </c>
      <c r="AJ21" s="65" t="s">
        <v>3144</v>
      </c>
      <c r="AK21" s="261"/>
      <c r="AL21" s="261"/>
      <c r="AM21" s="118">
        <v>0</v>
      </c>
      <c r="AN21" s="261"/>
      <c r="AO21" s="11">
        <v>0</v>
      </c>
      <c r="AP21" s="11">
        <v>116</v>
      </c>
      <c r="AQ21" s="11">
        <v>0</v>
      </c>
      <c r="AR21" s="11">
        <v>116</v>
      </c>
      <c r="AS21" s="11">
        <v>0</v>
      </c>
      <c r="AT21" s="11">
        <v>0</v>
      </c>
    </row>
    <row r="22" spans="1:162" ht="20.45" customHeight="1">
      <c r="A22" s="260" t="s">
        <v>2437</v>
      </c>
      <c r="B22" s="260" t="s">
        <v>2438</v>
      </c>
      <c r="C22" s="260" t="s">
        <v>2371</v>
      </c>
      <c r="D22" s="260" t="s">
        <v>2372</v>
      </c>
      <c r="E22" s="260" t="s">
        <v>2373</v>
      </c>
      <c r="F22" s="260" t="s">
        <v>2459</v>
      </c>
      <c r="G22" s="12" t="s">
        <v>2460</v>
      </c>
      <c r="H22" s="260" t="s">
        <v>2834</v>
      </c>
      <c r="I22" s="260"/>
      <c r="J22" s="260"/>
      <c r="K22" s="260" t="s">
        <v>2835</v>
      </c>
      <c r="L22" s="260" t="s">
        <v>2836</v>
      </c>
      <c r="M22" s="260"/>
      <c r="N22" s="260" t="s">
        <v>123</v>
      </c>
      <c r="O22" s="260" t="s">
        <v>112</v>
      </c>
      <c r="P22" s="10">
        <v>0</v>
      </c>
      <c r="Q22" s="11">
        <v>100</v>
      </c>
      <c r="R22" s="11">
        <v>0</v>
      </c>
      <c r="S22" s="11"/>
      <c r="T22" s="11">
        <v>0</v>
      </c>
      <c r="U22" s="11">
        <v>0</v>
      </c>
      <c r="V22" s="9">
        <f t="shared" ref="V22" si="6">T22+U22</f>
        <v>0</v>
      </c>
      <c r="W22" s="11">
        <v>0</v>
      </c>
      <c r="X22" s="11">
        <v>0</v>
      </c>
      <c r="Y22" s="9">
        <f t="shared" ref="Y22" si="7">W22+X22</f>
        <v>0</v>
      </c>
      <c r="Z22" s="11">
        <v>0</v>
      </c>
      <c r="AA22" s="11">
        <v>0</v>
      </c>
      <c r="AB22" s="9">
        <f t="shared" ref="AB22" si="8">Z22+AA22</f>
        <v>0</v>
      </c>
      <c r="AC22" s="11">
        <v>0</v>
      </c>
      <c r="AD22" s="11">
        <v>30</v>
      </c>
      <c r="AE22" s="9"/>
      <c r="AF22" s="375">
        <v>0.21</v>
      </c>
      <c r="AG22" s="278"/>
      <c r="AH22" s="61">
        <v>0</v>
      </c>
      <c r="AI22" s="171"/>
      <c r="AJ22" s="376" t="s">
        <v>3145</v>
      </c>
      <c r="AK22" s="171"/>
      <c r="AL22" s="171"/>
      <c r="AM22" s="118">
        <v>0</v>
      </c>
      <c r="AN22" s="171"/>
      <c r="AO22" s="11">
        <v>30</v>
      </c>
      <c r="AP22" s="11">
        <v>0</v>
      </c>
      <c r="AQ22" s="11">
        <v>30</v>
      </c>
      <c r="AR22" s="11">
        <v>0</v>
      </c>
      <c r="AS22" s="171"/>
      <c r="AT22" s="171"/>
      <c r="AU22" s="171"/>
      <c r="AV22" s="171"/>
      <c r="AW22" s="171"/>
      <c r="AX22" s="171"/>
      <c r="AY22" s="171"/>
      <c r="AZ22" s="171"/>
      <c r="BA22" s="171"/>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44"/>
      <c r="DZ22" s="44"/>
      <c r="EA22" s="44"/>
      <c r="EB22" s="44"/>
      <c r="EC22" s="44"/>
      <c r="ED22" s="44"/>
      <c r="EE22" s="44"/>
      <c r="EF22" s="44"/>
      <c r="EG22" s="44"/>
      <c r="EH22" s="44"/>
      <c r="EI22" s="44"/>
      <c r="EJ22" s="44"/>
      <c r="EK22" s="44"/>
      <c r="EL22" s="44"/>
      <c r="EM22" s="44"/>
      <c r="EN22" s="44"/>
      <c r="EO22" s="44"/>
      <c r="EP22" s="45"/>
      <c r="EQ22" s="45"/>
      <c r="ER22" s="45"/>
      <c r="ES22" s="45"/>
      <c r="ET22" s="45"/>
      <c r="EU22" s="45"/>
      <c r="EV22" s="45"/>
      <c r="EW22" s="45"/>
      <c r="EX22" s="45"/>
      <c r="EY22" s="45"/>
      <c r="EZ22" s="45"/>
      <c r="FA22" s="45"/>
      <c r="FB22" s="45"/>
      <c r="FC22" s="45"/>
      <c r="FD22" s="45"/>
      <c r="FE22" s="45"/>
      <c r="FF22" s="45"/>
    </row>
    <row r="23" spans="1:162" s="3" customFormat="1">
      <c r="L23" s="5"/>
    </row>
  </sheetData>
  <sheetProtection autoFilter="0"/>
  <autoFilter ref="A12:IZ21" xr:uid="{00000000-0009-0000-0000-000002000000}"/>
  <customSheetViews>
    <customSheetView guid="{75629C99-8367-48E9-A2A2-D8C49A9E68E3}" scale="90" showAutoFilter="1" hiddenRows="1" topLeftCell="X1">
      <selection activeCell="AE12" sqref="AE12"/>
      <pageMargins left="0" right="0" top="0" bottom="0" header="0" footer="0"/>
      <pageSetup orientation="portrait" r:id="rId1"/>
      <autoFilter ref="A12:IZ21" xr:uid="{3C660AE9-74A5-4F51-8AD2-B59668403051}"/>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22">
    <cfRule type="duplicateValues" dxfId="19" priority="1"/>
  </conditionalFormatting>
  <pageMargins left="0.7" right="0.7" top="0.75" bottom="0.75" header="0.3" footer="0.3"/>
  <pageSetup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5992C-B03B-43B1-A863-498E8E6F72D5}">
  <dimension ref="B2"/>
  <sheetViews>
    <sheetView workbookViewId="0">
      <selection activeCell="B2" sqref="B2"/>
    </sheetView>
  </sheetViews>
  <sheetFormatPr defaultColWidth="8.85546875" defaultRowHeight="14.45"/>
  <sheetData>
    <row r="2" spans="2:2">
      <c r="B2" s="188"/>
    </row>
  </sheetData>
  <customSheetViews>
    <customSheetView guid="{75629C99-8367-48E9-A2A2-D8C49A9E68E3}">
      <selection activeCell="B2" sqref="B2"/>
      <pageMargins left="0" right="0" top="0" bottom="0" header="0" footer="0"/>
    </customSheetView>
  </customSheetView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2B188-2098-4096-A0AC-A313703E37A0}">
  <dimension ref="A1:AT31"/>
  <sheetViews>
    <sheetView zoomScale="80" zoomScaleNormal="80" workbookViewId="0">
      <pane ySplit="12" topLeftCell="A13" activePane="bottomLeft" state="frozen"/>
      <selection pane="bottomLeft" activeCell="AH16" sqref="AH16"/>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29" width="12.7109375" hidden="1" customWidth="1"/>
    <col min="30"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1296</v>
      </c>
      <c r="B13" s="260" t="s">
        <v>1297</v>
      </c>
      <c r="C13" s="260" t="s">
        <v>1286</v>
      </c>
      <c r="D13" s="260" t="s">
        <v>1287</v>
      </c>
      <c r="E13" s="260" t="s">
        <v>1288</v>
      </c>
      <c r="F13" s="260" t="s">
        <v>1289</v>
      </c>
      <c r="G13" s="260" t="s">
        <v>1290</v>
      </c>
      <c r="H13" s="260" t="s">
        <v>1298</v>
      </c>
      <c r="I13" s="260"/>
      <c r="J13" s="260"/>
      <c r="K13" s="260" t="s">
        <v>1299</v>
      </c>
      <c r="L13" s="260" t="s">
        <v>1300</v>
      </c>
      <c r="M13" s="260" t="s">
        <v>1301</v>
      </c>
      <c r="N13" s="260" t="s">
        <v>111</v>
      </c>
      <c r="O13" s="260" t="s">
        <v>112</v>
      </c>
      <c r="P13" s="10">
        <v>0</v>
      </c>
      <c r="Q13" s="11">
        <v>1</v>
      </c>
      <c r="R13" s="9">
        <v>0</v>
      </c>
      <c r="S13" s="9"/>
      <c r="T13" s="11"/>
      <c r="U13" s="11"/>
      <c r="V13" s="11"/>
      <c r="W13" s="11"/>
      <c r="X13" s="11"/>
      <c r="Y13" s="11"/>
      <c r="Z13" s="11"/>
      <c r="AA13" s="11"/>
      <c r="AB13" s="11"/>
      <c r="AC13" s="11"/>
      <c r="AD13" s="11">
        <v>100</v>
      </c>
      <c r="AE13" s="11"/>
      <c r="AF13" s="261">
        <v>0</v>
      </c>
      <c r="AG13" s="261"/>
      <c r="AH13" s="9">
        <f t="shared" ref="AH13:AH19" si="0">AF13</f>
        <v>0</v>
      </c>
      <c r="AI13" s="261" t="s">
        <v>4338</v>
      </c>
      <c r="AJ13" s="261"/>
      <c r="AK13" s="261"/>
      <c r="AL13" s="261"/>
      <c r="AM13" s="118"/>
      <c r="AN13" s="261"/>
      <c r="AO13" s="11">
        <v>600</v>
      </c>
      <c r="AP13" s="11"/>
      <c r="AQ13" s="11">
        <v>300</v>
      </c>
      <c r="AR13" s="11"/>
      <c r="AS13" s="11"/>
      <c r="AT13" s="11"/>
    </row>
    <row r="14" spans="1:46" ht="18" customHeight="1">
      <c r="A14" s="260" t="s">
        <v>1296</v>
      </c>
      <c r="B14" s="260" t="s">
        <v>1297</v>
      </c>
      <c r="C14" s="260" t="s">
        <v>1286</v>
      </c>
      <c r="D14" s="260" t="s">
        <v>1287</v>
      </c>
      <c r="E14" s="260" t="s">
        <v>1288</v>
      </c>
      <c r="F14" s="260" t="s">
        <v>1325</v>
      </c>
      <c r="G14" s="260" t="s">
        <v>1326</v>
      </c>
      <c r="H14" s="260" t="s">
        <v>1351</v>
      </c>
      <c r="I14" s="260"/>
      <c r="J14" s="260"/>
      <c r="K14" s="260" t="s">
        <v>1352</v>
      </c>
      <c r="L14" s="260" t="s">
        <v>1353</v>
      </c>
      <c r="M14" s="260" t="s">
        <v>1354</v>
      </c>
      <c r="N14" s="260" t="s">
        <v>111</v>
      </c>
      <c r="O14" s="260" t="s">
        <v>112</v>
      </c>
      <c r="P14" s="10">
        <v>120</v>
      </c>
      <c r="Q14" s="11">
        <v>600</v>
      </c>
      <c r="R14" s="11">
        <f t="shared" ref="R14:R19" si="1">Z14+AH14</f>
        <v>173</v>
      </c>
      <c r="S14" s="261"/>
      <c r="T14" s="11">
        <v>0</v>
      </c>
      <c r="U14" s="11">
        <v>0</v>
      </c>
      <c r="V14" s="11">
        <v>0</v>
      </c>
      <c r="W14" s="11">
        <v>0</v>
      </c>
      <c r="X14" s="11">
        <v>0</v>
      </c>
      <c r="Y14" s="11">
        <v>0</v>
      </c>
      <c r="Z14" s="11">
        <v>0</v>
      </c>
      <c r="AA14" s="11"/>
      <c r="AB14" s="11"/>
      <c r="AC14" s="11"/>
      <c r="AD14" s="11">
        <v>50</v>
      </c>
      <c r="AE14" s="11">
        <v>0</v>
      </c>
      <c r="AF14" s="261">
        <v>173</v>
      </c>
      <c r="AG14" s="261"/>
      <c r="AH14" s="9">
        <f t="shared" si="0"/>
        <v>173</v>
      </c>
      <c r="AI14" s="261" t="s">
        <v>4339</v>
      </c>
      <c r="AJ14" s="65"/>
      <c r="AK14" s="261"/>
      <c r="AL14" s="261"/>
      <c r="AM14" s="118"/>
      <c r="AN14" s="261"/>
      <c r="AO14" s="11">
        <v>100</v>
      </c>
      <c r="AP14" s="11">
        <v>0</v>
      </c>
      <c r="AQ14" s="11">
        <v>0</v>
      </c>
      <c r="AR14" s="11">
        <v>0</v>
      </c>
      <c r="AS14" s="11">
        <v>0</v>
      </c>
      <c r="AT14" s="11">
        <v>0</v>
      </c>
    </row>
    <row r="15" spans="1:46" ht="18" customHeight="1">
      <c r="A15" s="260" t="s">
        <v>1296</v>
      </c>
      <c r="B15" s="260" t="s">
        <v>1297</v>
      </c>
      <c r="C15" s="260" t="s">
        <v>1286</v>
      </c>
      <c r="D15" s="260" t="s">
        <v>1287</v>
      </c>
      <c r="E15" s="260" t="s">
        <v>1288</v>
      </c>
      <c r="F15" s="260" t="s">
        <v>1325</v>
      </c>
      <c r="G15" s="260" t="s">
        <v>1326</v>
      </c>
      <c r="H15" s="260" t="s">
        <v>1355</v>
      </c>
      <c r="I15" s="260"/>
      <c r="J15" s="260"/>
      <c r="K15" s="260" t="s">
        <v>1356</v>
      </c>
      <c r="L15" s="260" t="s">
        <v>1357</v>
      </c>
      <c r="M15" s="260" t="s">
        <v>1358</v>
      </c>
      <c r="N15" s="260" t="s">
        <v>111</v>
      </c>
      <c r="O15" s="260" t="s">
        <v>112</v>
      </c>
      <c r="P15" s="10">
        <v>5439</v>
      </c>
      <c r="Q15" s="11">
        <v>3000</v>
      </c>
      <c r="R15" s="11">
        <f t="shared" si="1"/>
        <v>850</v>
      </c>
      <c r="S15" s="261" t="s">
        <v>1360</v>
      </c>
      <c r="T15" s="11">
        <v>400</v>
      </c>
      <c r="U15" s="11">
        <v>0</v>
      </c>
      <c r="V15" s="11">
        <v>340</v>
      </c>
      <c r="W15" s="11">
        <v>0</v>
      </c>
      <c r="X15" s="11">
        <v>340</v>
      </c>
      <c r="Y15" s="11">
        <v>0</v>
      </c>
      <c r="Z15" s="11">
        <v>340</v>
      </c>
      <c r="AA15" s="11" t="s">
        <v>1359</v>
      </c>
      <c r="AB15" s="11" t="s">
        <v>1360</v>
      </c>
      <c r="AC15" s="11">
        <v>0</v>
      </c>
      <c r="AD15" s="11">
        <v>1060</v>
      </c>
      <c r="AE15" s="11">
        <v>0</v>
      </c>
      <c r="AF15" s="261">
        <v>510</v>
      </c>
      <c r="AG15" s="261"/>
      <c r="AH15" s="9">
        <f t="shared" si="0"/>
        <v>510</v>
      </c>
      <c r="AI15" s="261" t="s">
        <v>4340</v>
      </c>
      <c r="AJ15" s="149"/>
      <c r="AK15" s="261"/>
      <c r="AL15" s="261"/>
      <c r="AM15" s="118">
        <v>517527000</v>
      </c>
      <c r="AN15" s="149" t="s">
        <v>4341</v>
      </c>
      <c r="AO15" s="11">
        <v>1200</v>
      </c>
      <c r="AP15" s="11">
        <v>0</v>
      </c>
      <c r="AQ15" s="11">
        <v>400</v>
      </c>
      <c r="AR15" s="11">
        <v>0</v>
      </c>
      <c r="AS15" s="11">
        <v>0</v>
      </c>
      <c r="AT15" s="11">
        <v>0</v>
      </c>
    </row>
    <row r="16" spans="1:46" ht="18" customHeight="1">
      <c r="A16" s="260" t="s">
        <v>1296</v>
      </c>
      <c r="B16" s="260" t="s">
        <v>1297</v>
      </c>
      <c r="C16" s="260" t="s">
        <v>1286</v>
      </c>
      <c r="D16" s="260" t="s">
        <v>1496</v>
      </c>
      <c r="E16" s="260" t="s">
        <v>1561</v>
      </c>
      <c r="F16" s="260" t="s">
        <v>1562</v>
      </c>
      <c r="G16" s="260" t="s">
        <v>1563</v>
      </c>
      <c r="H16" s="260" t="s">
        <v>1568</v>
      </c>
      <c r="I16" s="260"/>
      <c r="J16" s="260"/>
      <c r="K16" s="260" t="s">
        <v>1569</v>
      </c>
      <c r="L16" s="260" t="s">
        <v>1570</v>
      </c>
      <c r="M16" s="12" t="s">
        <v>1571</v>
      </c>
      <c r="N16" s="260" t="s">
        <v>111</v>
      </c>
      <c r="O16" s="260" t="s">
        <v>112</v>
      </c>
      <c r="P16" s="10">
        <v>15</v>
      </c>
      <c r="Q16" s="11">
        <v>100</v>
      </c>
      <c r="R16" s="11">
        <f t="shared" si="1"/>
        <v>0</v>
      </c>
      <c r="S16" s="261"/>
      <c r="T16" s="11">
        <v>0</v>
      </c>
      <c r="U16" s="11">
        <v>0</v>
      </c>
      <c r="V16" s="11">
        <v>0</v>
      </c>
      <c r="W16" s="11">
        <v>0</v>
      </c>
      <c r="X16" s="11">
        <v>0</v>
      </c>
      <c r="Y16" s="11">
        <v>0</v>
      </c>
      <c r="Z16" s="11">
        <v>0</v>
      </c>
      <c r="AA16" s="11"/>
      <c r="AB16" s="11"/>
      <c r="AC16" s="11"/>
      <c r="AD16" s="11">
        <v>0.5</v>
      </c>
      <c r="AE16" s="11">
        <v>0</v>
      </c>
      <c r="AF16" s="261">
        <v>0</v>
      </c>
      <c r="AG16" s="261"/>
      <c r="AH16" s="9">
        <f t="shared" si="0"/>
        <v>0</v>
      </c>
      <c r="AI16" s="261" t="s">
        <v>4342</v>
      </c>
      <c r="AJ16" s="261"/>
      <c r="AK16" s="261"/>
      <c r="AL16" s="261"/>
      <c r="AM16" s="118"/>
      <c r="AN16" s="261"/>
      <c r="AO16" s="11">
        <v>0.5</v>
      </c>
      <c r="AP16" s="11">
        <v>0</v>
      </c>
      <c r="AQ16" s="11">
        <v>0</v>
      </c>
      <c r="AR16" s="11">
        <v>0</v>
      </c>
      <c r="AS16" s="11">
        <v>0</v>
      </c>
      <c r="AT16" s="11">
        <v>0</v>
      </c>
    </row>
    <row r="17" spans="1:46" ht="18" customHeight="1">
      <c r="A17" s="260" t="s">
        <v>1296</v>
      </c>
      <c r="B17" s="260" t="s">
        <v>1297</v>
      </c>
      <c r="C17" s="260" t="s">
        <v>1286</v>
      </c>
      <c r="D17" s="260" t="s">
        <v>1496</v>
      </c>
      <c r="E17" s="260" t="s">
        <v>1561</v>
      </c>
      <c r="F17" s="260" t="s">
        <v>1562</v>
      </c>
      <c r="G17" s="260" t="s">
        <v>1563</v>
      </c>
      <c r="H17" s="260" t="s">
        <v>1572</v>
      </c>
      <c r="I17" s="260"/>
      <c r="J17" s="260"/>
      <c r="K17" s="260" t="s">
        <v>1573</v>
      </c>
      <c r="L17" s="260" t="s">
        <v>1574</v>
      </c>
      <c r="M17" s="260" t="s">
        <v>1575</v>
      </c>
      <c r="N17" s="260" t="s">
        <v>111</v>
      </c>
      <c r="O17" s="260" t="s">
        <v>112</v>
      </c>
      <c r="P17" s="10">
        <v>0</v>
      </c>
      <c r="Q17" s="11">
        <v>30</v>
      </c>
      <c r="R17" s="11">
        <f t="shared" si="1"/>
        <v>0</v>
      </c>
      <c r="S17" s="261"/>
      <c r="T17" s="11">
        <v>8</v>
      </c>
      <c r="U17" s="11">
        <v>0</v>
      </c>
      <c r="V17" s="11">
        <v>0</v>
      </c>
      <c r="W17" s="11">
        <v>0</v>
      </c>
      <c r="X17" s="11">
        <v>0</v>
      </c>
      <c r="Y17" s="11">
        <v>0</v>
      </c>
      <c r="Z17" s="11">
        <v>0</v>
      </c>
      <c r="AA17" s="11"/>
      <c r="AB17" s="11"/>
      <c r="AC17" s="11"/>
      <c r="AD17" s="11">
        <v>34</v>
      </c>
      <c r="AE17" s="11">
        <v>0</v>
      </c>
      <c r="AF17" s="261">
        <v>0</v>
      </c>
      <c r="AG17" s="261"/>
      <c r="AH17" s="9">
        <f t="shared" si="0"/>
        <v>0</v>
      </c>
      <c r="AI17" s="261" t="s">
        <v>4343</v>
      </c>
      <c r="AJ17" s="261"/>
      <c r="AK17" s="261"/>
      <c r="AL17" s="261"/>
      <c r="AM17" s="118"/>
      <c r="AN17" s="261"/>
      <c r="AO17" s="11">
        <v>34</v>
      </c>
      <c r="AP17" s="11">
        <v>0</v>
      </c>
      <c r="AQ17" s="11">
        <v>2</v>
      </c>
      <c r="AR17" s="11">
        <v>0</v>
      </c>
      <c r="AS17" s="11">
        <v>0</v>
      </c>
      <c r="AT17" s="11">
        <v>0</v>
      </c>
    </row>
    <row r="18" spans="1:46" ht="18" customHeight="1">
      <c r="A18" s="260" t="s">
        <v>1296</v>
      </c>
      <c r="B18" s="260" t="s">
        <v>1297</v>
      </c>
      <c r="C18" s="260" t="s">
        <v>2129</v>
      </c>
      <c r="D18" s="260" t="s">
        <v>2130</v>
      </c>
      <c r="E18" s="260" t="s">
        <v>2131</v>
      </c>
      <c r="F18" s="260" t="s">
        <v>2132</v>
      </c>
      <c r="G18" s="260" t="s">
        <v>2133</v>
      </c>
      <c r="H18" s="260" t="s">
        <v>2139</v>
      </c>
      <c r="I18" s="260"/>
      <c r="J18" s="260"/>
      <c r="K18" s="260" t="s">
        <v>2140</v>
      </c>
      <c r="L18" s="260" t="s">
        <v>2141</v>
      </c>
      <c r="M18" s="260" t="s">
        <v>2142</v>
      </c>
      <c r="N18" s="260" t="s">
        <v>111</v>
      </c>
      <c r="O18" s="260" t="s">
        <v>112</v>
      </c>
      <c r="P18" s="10">
        <v>0</v>
      </c>
      <c r="Q18" s="11">
        <v>4</v>
      </c>
      <c r="R18" s="11">
        <f t="shared" si="1"/>
        <v>4</v>
      </c>
      <c r="S18" s="261"/>
      <c r="T18" s="11">
        <v>8</v>
      </c>
      <c r="U18" s="11">
        <v>0</v>
      </c>
      <c r="V18" s="11">
        <v>4</v>
      </c>
      <c r="W18" s="11">
        <v>0</v>
      </c>
      <c r="X18" s="11">
        <v>3</v>
      </c>
      <c r="Y18" s="11">
        <v>0</v>
      </c>
      <c r="Z18" s="11">
        <v>3</v>
      </c>
      <c r="AA18" s="11" t="s">
        <v>1576</v>
      </c>
      <c r="AB18" s="11" t="s">
        <v>1577</v>
      </c>
      <c r="AC18" s="11" t="s">
        <v>1578</v>
      </c>
      <c r="AD18" s="11">
        <v>10</v>
      </c>
      <c r="AE18" s="11">
        <v>0</v>
      </c>
      <c r="AF18" s="261">
        <v>1</v>
      </c>
      <c r="AG18" s="261"/>
      <c r="AH18" s="9">
        <f t="shared" si="0"/>
        <v>1</v>
      </c>
      <c r="AI18" s="191" t="s">
        <v>4344</v>
      </c>
      <c r="AJ18" s="261"/>
      <c r="AK18" s="261"/>
      <c r="AL18" s="261"/>
      <c r="AM18" s="118"/>
      <c r="AN18" s="261"/>
      <c r="AO18" s="11">
        <v>4</v>
      </c>
      <c r="AP18" s="11">
        <v>0</v>
      </c>
      <c r="AQ18" s="11">
        <v>2</v>
      </c>
      <c r="AR18" s="11">
        <v>0</v>
      </c>
      <c r="AS18" s="11">
        <v>0</v>
      </c>
      <c r="AT18" s="11">
        <v>0</v>
      </c>
    </row>
    <row r="19" spans="1:46" ht="18" customHeight="1">
      <c r="A19" s="260" t="s">
        <v>1296</v>
      </c>
      <c r="B19" s="260" t="s">
        <v>1297</v>
      </c>
      <c r="C19" s="260" t="s">
        <v>2129</v>
      </c>
      <c r="D19" s="260" t="s">
        <v>2130</v>
      </c>
      <c r="E19" s="260" t="s">
        <v>2131</v>
      </c>
      <c r="F19" s="260" t="s">
        <v>2132</v>
      </c>
      <c r="G19" s="12" t="s">
        <v>2133</v>
      </c>
      <c r="H19" s="260" t="s">
        <v>2814</v>
      </c>
      <c r="I19" s="260"/>
      <c r="J19" s="260"/>
      <c r="K19" s="260" t="s">
        <v>2815</v>
      </c>
      <c r="L19" s="260" t="s">
        <v>2816</v>
      </c>
      <c r="M19" s="211" t="s">
        <v>2817</v>
      </c>
      <c r="N19" s="260" t="s">
        <v>111</v>
      </c>
      <c r="O19" s="260" t="s">
        <v>112</v>
      </c>
      <c r="P19" s="10">
        <v>802</v>
      </c>
      <c r="Q19" s="11">
        <v>1000</v>
      </c>
      <c r="R19" s="11">
        <f t="shared" si="1"/>
        <v>89</v>
      </c>
      <c r="S19" s="261"/>
      <c r="T19" s="11">
        <v>0</v>
      </c>
      <c r="U19" s="11">
        <v>0</v>
      </c>
      <c r="V19" s="11">
        <v>0</v>
      </c>
      <c r="W19" s="11">
        <v>0</v>
      </c>
      <c r="X19" s="11">
        <v>0</v>
      </c>
      <c r="Y19" s="11">
        <v>0</v>
      </c>
      <c r="Z19" s="11">
        <v>0</v>
      </c>
      <c r="AA19" s="11"/>
      <c r="AB19" s="11"/>
      <c r="AC19" s="11"/>
      <c r="AD19" s="11">
        <v>2</v>
      </c>
      <c r="AE19" s="11">
        <v>0</v>
      </c>
      <c r="AF19" s="261">
        <v>89</v>
      </c>
      <c r="AG19" s="261"/>
      <c r="AH19" s="9">
        <f t="shared" si="0"/>
        <v>89</v>
      </c>
      <c r="AI19" s="261" t="s">
        <v>4345</v>
      </c>
      <c r="AJ19" s="261"/>
      <c r="AK19" s="261"/>
      <c r="AL19" s="261"/>
      <c r="AM19" s="118"/>
      <c r="AN19" s="261"/>
      <c r="AO19" s="11">
        <v>2</v>
      </c>
      <c r="AP19" s="11">
        <v>0</v>
      </c>
      <c r="AQ19" s="11">
        <v>0</v>
      </c>
      <c r="AR19" s="11">
        <v>0</v>
      </c>
      <c r="AS19" s="11">
        <v>0</v>
      </c>
      <c r="AT19" s="11">
        <v>0</v>
      </c>
    </row>
    <row r="20" spans="1:46" s="3" customFormat="1">
      <c r="L20" s="5"/>
      <c r="AM20" s="124"/>
    </row>
    <row r="31" spans="1:46">
      <c r="AF31" s="56"/>
      <c r="AG31" s="56"/>
      <c r="AH31" s="56"/>
      <c r="AI31" s="56"/>
    </row>
  </sheetData>
  <sheetProtection algorithmName="SHA-512" hashValue="+QvyjmhrhPK/AzjIJCykzaXaPI0itrIsQ54ZiRjihLJVBNQAjy2/ervR6ik5ZhL/xngy3KPcWoAOIHWgtoEtLw==" saltValue="UevGY0EkluWQ6+CJ4AK8Qg==" spinCount="100000" sheet="1" autoFilter="0"/>
  <autoFilter ref="A12:IZ13" xr:uid="{00000000-0009-0000-0000-000021000000}"/>
  <customSheetViews>
    <customSheetView guid="{75629C99-8367-48E9-A2A2-D8C49A9E68E3}" scale="80" showAutoFilter="1" hiddenRows="1" hiddenColumns="1" topLeftCell="P1">
      <pane ySplit="12" topLeftCell="A14" activePane="bottomLeft" state="frozen"/>
      <selection pane="bottomLeft" activeCell="AJ15" sqref="AJ15"/>
      <pageMargins left="0" right="0" top="0" bottom="0" header="0" footer="0"/>
      <pageSetup orientation="portrait" r:id="rId1"/>
      <autoFilter ref="A12:IZ13" xr:uid="{A6E27A3E-0E03-490C-BA9B-A2CFDF7EA5D5}"/>
    </customSheetView>
  </customSheetViews>
  <mergeCells count="21">
    <mergeCell ref="A1:D4"/>
    <mergeCell ref="E1:I2"/>
    <mergeCell ref="J1:L1"/>
    <mergeCell ref="J2:L3"/>
    <mergeCell ref="E3:I4"/>
    <mergeCell ref="J4:L4"/>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s>
  <conditionalFormatting sqref="K13:K19">
    <cfRule type="duplicateValues" dxfId="0" priority="1"/>
  </conditionalFormatting>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T21"/>
  <sheetViews>
    <sheetView topLeftCell="AK9" zoomScale="80" zoomScaleNormal="80" workbookViewId="0">
      <selection activeCell="AP23" sqref="AP23"/>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4" width="12.7109375" customWidth="1"/>
    <col min="35" max="35" width="46" customWidth="1"/>
    <col min="36" max="36" width="43.28515625" customWidth="1"/>
    <col min="37"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79.150000000000006" customHeight="1">
      <c r="A13" s="260" t="s">
        <v>2550</v>
      </c>
      <c r="B13" s="260" t="s">
        <v>2551</v>
      </c>
      <c r="C13" s="260" t="s">
        <v>2371</v>
      </c>
      <c r="D13" s="260" t="s">
        <v>2372</v>
      </c>
      <c r="E13" s="260" t="s">
        <v>2535</v>
      </c>
      <c r="F13" s="260" t="s">
        <v>2552</v>
      </c>
      <c r="G13" s="260" t="s">
        <v>2553</v>
      </c>
      <c r="H13" s="260" t="s">
        <v>2554</v>
      </c>
      <c r="I13" s="260"/>
      <c r="J13" s="260"/>
      <c r="K13" s="260" t="s">
        <v>2555</v>
      </c>
      <c r="L13" s="260" t="s">
        <v>2556</v>
      </c>
      <c r="M13" s="260" t="s">
        <v>2557</v>
      </c>
      <c r="N13" s="260" t="s">
        <v>111</v>
      </c>
      <c r="O13" s="260" t="s">
        <v>112</v>
      </c>
      <c r="P13" s="10">
        <v>1</v>
      </c>
      <c r="Q13" s="11">
        <v>1</v>
      </c>
      <c r="R13" s="11">
        <f t="shared" ref="R13" si="0">Z13+AH13</f>
        <v>0.65</v>
      </c>
      <c r="S13" s="261"/>
      <c r="T13" s="11">
        <v>0.1</v>
      </c>
      <c r="U13" s="11">
        <v>0</v>
      </c>
      <c r="V13" s="11">
        <v>0.34</v>
      </c>
      <c r="W13" s="11">
        <v>0</v>
      </c>
      <c r="X13" s="11">
        <v>0.34</v>
      </c>
      <c r="Y13" s="11">
        <v>0.34</v>
      </c>
      <c r="Z13" s="11">
        <v>0.34</v>
      </c>
      <c r="AA13" s="11" t="s">
        <v>2558</v>
      </c>
      <c r="AB13" s="11" t="s">
        <v>2559</v>
      </c>
      <c r="AC13" s="11">
        <v>0</v>
      </c>
      <c r="AD13" s="11">
        <v>0.45</v>
      </c>
      <c r="AE13" s="11">
        <v>0</v>
      </c>
      <c r="AF13" s="261">
        <v>0.31</v>
      </c>
      <c r="AG13" s="261"/>
      <c r="AH13" s="9">
        <f t="shared" ref="AH13" si="1">AF13</f>
        <v>0.31</v>
      </c>
      <c r="AI13" s="88" t="s">
        <v>3147</v>
      </c>
      <c r="AJ13" s="88" t="s">
        <v>3148</v>
      </c>
      <c r="AK13" s="261"/>
      <c r="AL13" s="261" t="s">
        <v>3149</v>
      </c>
      <c r="AM13" s="118"/>
      <c r="AN13" s="261"/>
      <c r="AO13" s="11">
        <v>0.21</v>
      </c>
      <c r="AP13" s="11">
        <v>0</v>
      </c>
      <c r="AQ13" s="11">
        <v>0</v>
      </c>
      <c r="AR13" s="11">
        <v>0</v>
      </c>
      <c r="AS13" s="11">
        <v>0</v>
      </c>
      <c r="AT13" s="11">
        <v>0</v>
      </c>
    </row>
    <row r="14" spans="1:46" s="3" customFormat="1">
      <c r="L14" s="5"/>
      <c r="S14" s="55"/>
      <c r="AF14" s="55"/>
      <c r="AG14" s="55"/>
      <c r="AI14" s="55"/>
      <c r="AJ14" s="55"/>
      <c r="AK14" s="55"/>
      <c r="AL14" s="55"/>
      <c r="AM14" s="121"/>
      <c r="AN14" s="55"/>
    </row>
    <row r="15" spans="1:46">
      <c r="S15" s="56"/>
      <c r="AF15" s="56"/>
      <c r="AG15" s="56"/>
      <c r="AI15" s="56"/>
      <c r="AJ15" s="56"/>
      <c r="AK15" s="56"/>
      <c r="AL15" s="56"/>
      <c r="AM15" s="126"/>
      <c r="AN15" s="56"/>
    </row>
    <row r="16" spans="1:46">
      <c r="S16" s="56"/>
      <c r="AF16" s="56"/>
      <c r="AG16" s="56"/>
      <c r="AI16" s="56"/>
      <c r="AJ16" s="56"/>
      <c r="AK16" s="56"/>
      <c r="AL16" s="56"/>
      <c r="AM16" s="126"/>
      <c r="AN16" s="56"/>
    </row>
    <row r="17" spans="19:40">
      <c r="S17" s="56"/>
      <c r="AF17" s="56"/>
      <c r="AG17" s="56"/>
      <c r="AI17" s="56"/>
      <c r="AJ17" s="56"/>
      <c r="AK17" s="56"/>
      <c r="AL17" s="56"/>
      <c r="AM17" s="126"/>
      <c r="AN17" s="56"/>
    </row>
    <row r="18" spans="19:40">
      <c r="S18" s="56"/>
      <c r="AF18" s="56"/>
      <c r="AG18" s="56"/>
      <c r="AI18" s="56"/>
      <c r="AJ18" s="56"/>
      <c r="AK18" s="56"/>
      <c r="AL18" s="56"/>
      <c r="AM18" s="126"/>
      <c r="AN18" s="56"/>
    </row>
    <row r="19" spans="19:40">
      <c r="S19" s="56"/>
      <c r="AF19" s="56"/>
      <c r="AG19" s="56"/>
      <c r="AI19" s="56"/>
      <c r="AJ19" s="56"/>
      <c r="AK19" s="56"/>
      <c r="AL19" s="56"/>
      <c r="AM19" s="126"/>
      <c r="AN19" s="56"/>
    </row>
    <row r="20" spans="19:40">
      <c r="S20" s="56"/>
      <c r="AF20" s="56"/>
      <c r="AG20" s="56"/>
      <c r="AI20" s="56"/>
      <c r="AJ20" s="56"/>
      <c r="AK20" s="56"/>
      <c r="AL20" s="56"/>
      <c r="AM20" s="126"/>
      <c r="AN20" s="56"/>
    </row>
    <row r="21" spans="19:40">
      <c r="S21" s="56"/>
      <c r="AF21" s="56"/>
      <c r="AG21" s="56"/>
      <c r="AI21" s="56"/>
      <c r="AJ21" s="56"/>
      <c r="AK21" s="56"/>
      <c r="AL21" s="56"/>
      <c r="AM21" s="126"/>
      <c r="AN21" s="56"/>
    </row>
  </sheetData>
  <sheetProtection autoFilter="0"/>
  <autoFilter ref="A12:IZ13" xr:uid="{00000000-0009-0000-0000-000003000000}"/>
  <customSheetViews>
    <customSheetView guid="{75629C99-8367-48E9-A2A2-D8C49A9E68E3}" scale="80" showAutoFilter="1" hiddenRows="1" topLeftCell="AV10">
      <selection activeCell="AH13" sqref="AH13"/>
      <pageMargins left="0" right="0" top="0" bottom="0" header="0" footer="0"/>
      <pageSetup orientation="portrait" r:id="rId1"/>
      <autoFilter ref="A12:IZ13" xr:uid="{04B027A5-C073-48D4-B969-7761FA192151}"/>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
    <cfRule type="duplicateValues" dxfId="18" priority="1"/>
  </conditionalFormatting>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T34"/>
  <sheetViews>
    <sheetView topLeftCell="AO24" zoomScale="80" zoomScaleNormal="80" workbookViewId="0">
      <selection activeCell="AO27" sqref="AO27"/>
    </sheetView>
  </sheetViews>
  <sheetFormatPr defaultColWidth="11.42578125" defaultRowHeight="14.45"/>
  <cols>
    <col min="1" max="1" width="12.7109375" customWidth="1"/>
    <col min="2" max="2" width="21.42578125" customWidth="1"/>
    <col min="3"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8" width="12.7109375" customWidth="1"/>
    <col min="39" max="39" width="16.14062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5</v>
      </c>
      <c r="B6" s="503"/>
      <c r="C6" s="503"/>
      <c r="D6" s="1">
        <v>44255</v>
      </c>
    </row>
    <row r="7" spans="1:46" ht="15" thickBot="1">
      <c r="D7" s="1">
        <v>44255</v>
      </c>
    </row>
    <row r="8" spans="1:46" ht="26.45" hidden="1" thickBot="1">
      <c r="A8" s="454" t="s">
        <v>7</v>
      </c>
      <c r="B8" s="455"/>
      <c r="C8" s="455"/>
      <c r="D8" s="455"/>
      <c r="E8" s="455"/>
      <c r="F8" s="455"/>
      <c r="G8" s="455"/>
      <c r="H8" s="455"/>
      <c r="I8" s="455"/>
      <c r="J8" s="455"/>
      <c r="K8" s="455"/>
      <c r="L8" s="456"/>
      <c r="M8" s="455"/>
      <c r="N8" s="455"/>
      <c r="O8" s="455"/>
      <c r="P8" s="457"/>
      <c r="Q8" s="466" t="s">
        <v>8</v>
      </c>
      <c r="R8" s="467"/>
      <c r="S8" s="467"/>
      <c r="T8" s="467"/>
      <c r="U8" s="467"/>
      <c r="V8" s="467"/>
      <c r="W8" s="467"/>
      <c r="X8" s="467"/>
      <c r="Y8" s="467"/>
      <c r="Z8" s="467"/>
      <c r="AA8" s="467"/>
      <c r="AB8" s="467"/>
      <c r="AC8" s="467"/>
      <c r="AD8" s="467"/>
      <c r="AE8" s="467"/>
      <c r="AF8" s="467"/>
      <c r="AG8" s="467"/>
      <c r="AH8" s="467"/>
      <c r="AI8" s="467"/>
      <c r="AJ8" s="467"/>
      <c r="AK8" s="467"/>
      <c r="AL8" s="467"/>
      <c r="AM8" s="467"/>
      <c r="AN8" s="467"/>
      <c r="AO8" s="467"/>
      <c r="AP8" s="467"/>
      <c r="AQ8" s="467"/>
      <c r="AR8" s="467"/>
      <c r="AS8" s="467"/>
      <c r="AT8" s="467"/>
    </row>
    <row r="9" spans="1:46" ht="20.25" customHeight="1" thickBot="1">
      <c r="A9" s="458"/>
      <c r="B9" s="459"/>
      <c r="C9" s="459"/>
      <c r="D9" s="459"/>
      <c r="E9" s="459"/>
      <c r="F9" s="459"/>
      <c r="G9" s="459"/>
      <c r="H9" s="459"/>
      <c r="I9" s="459"/>
      <c r="J9" s="459"/>
      <c r="K9" s="459"/>
      <c r="L9" s="460"/>
      <c r="M9" s="459"/>
      <c r="N9" s="459"/>
      <c r="O9" s="459"/>
      <c r="P9" s="461"/>
      <c r="Q9" s="434" t="s">
        <v>13</v>
      </c>
      <c r="R9" s="435"/>
      <c r="S9" s="436"/>
      <c r="T9" s="440">
        <v>2020</v>
      </c>
      <c r="U9" s="441"/>
      <c r="V9" s="441"/>
      <c r="W9" s="441"/>
      <c r="X9" s="441"/>
      <c r="Y9" s="441"/>
      <c r="Z9" s="441"/>
      <c r="AA9" s="441"/>
      <c r="AB9" s="441"/>
      <c r="AC9" s="441"/>
      <c r="AD9" s="440">
        <v>2021</v>
      </c>
      <c r="AE9" s="441"/>
      <c r="AF9" s="441"/>
      <c r="AG9" s="441"/>
      <c r="AH9" s="441"/>
      <c r="AI9" s="441"/>
      <c r="AJ9" s="441"/>
      <c r="AK9" s="441"/>
      <c r="AL9" s="269"/>
      <c r="AM9" s="120"/>
      <c r="AN9" s="269"/>
      <c r="AO9" s="441">
        <v>2022</v>
      </c>
      <c r="AP9" s="441"/>
      <c r="AQ9" s="440">
        <v>2023</v>
      </c>
      <c r="AR9" s="442"/>
      <c r="AS9" s="441">
        <v>2024</v>
      </c>
      <c r="AT9" s="441"/>
    </row>
    <row r="10" spans="1:46" ht="20.25" customHeight="1" thickBot="1">
      <c r="A10" s="462"/>
      <c r="B10" s="463"/>
      <c r="C10" s="463"/>
      <c r="D10" s="463"/>
      <c r="E10" s="463"/>
      <c r="F10" s="463"/>
      <c r="G10" s="463"/>
      <c r="H10" s="463"/>
      <c r="I10" s="463"/>
      <c r="J10" s="463"/>
      <c r="K10" s="463"/>
      <c r="L10" s="464"/>
      <c r="M10" s="463"/>
      <c r="N10" s="463"/>
      <c r="O10" s="463"/>
      <c r="P10" s="465"/>
      <c r="Q10" s="437"/>
      <c r="R10" s="438"/>
      <c r="S10" s="439"/>
      <c r="T10" s="440" t="s">
        <v>14</v>
      </c>
      <c r="U10" s="441"/>
      <c r="V10" s="441"/>
      <c r="W10" s="441"/>
      <c r="X10" s="441"/>
      <c r="Y10" s="441"/>
      <c r="Z10" s="441"/>
      <c r="AA10" s="441"/>
      <c r="AB10" s="441"/>
      <c r="AC10" s="442"/>
      <c r="AD10" s="440" t="s">
        <v>14</v>
      </c>
      <c r="AE10" s="441"/>
      <c r="AF10" s="441"/>
      <c r="AG10" s="441"/>
      <c r="AH10" s="441"/>
      <c r="AI10" s="441"/>
      <c r="AJ10" s="441"/>
      <c r="AK10" s="441"/>
      <c r="AL10" s="269"/>
      <c r="AM10" s="120"/>
      <c r="AN10" s="269"/>
      <c r="AO10" s="441" t="s">
        <v>14</v>
      </c>
      <c r="AP10" s="441"/>
      <c r="AQ10" s="441" t="s">
        <v>14</v>
      </c>
      <c r="AR10" s="441"/>
      <c r="AS10" s="441" t="s">
        <v>14</v>
      </c>
      <c r="AT10" s="441"/>
    </row>
    <row r="11" spans="1:46" ht="87" thickBot="1">
      <c r="A11" s="21" t="s">
        <v>15</v>
      </c>
      <c r="B11" s="21" t="s">
        <v>16</v>
      </c>
      <c r="C11" s="21" t="s">
        <v>17</v>
      </c>
      <c r="D11" s="21" t="s">
        <v>18</v>
      </c>
      <c r="E11" s="21" t="s">
        <v>19</v>
      </c>
      <c r="F11" s="21" t="s">
        <v>20</v>
      </c>
      <c r="G11" s="21" t="s">
        <v>21</v>
      </c>
      <c r="H11" s="21" t="s">
        <v>22</v>
      </c>
      <c r="I11" s="21" t="s">
        <v>23</v>
      </c>
      <c r="J11" s="21" t="s">
        <v>24</v>
      </c>
      <c r="K11" s="21" t="s">
        <v>25</v>
      </c>
      <c r="L11" s="21" t="s">
        <v>26</v>
      </c>
      <c r="M11" s="21" t="s">
        <v>27</v>
      </c>
      <c r="N11" s="21" t="s">
        <v>28</v>
      </c>
      <c r="O11" s="21" t="s">
        <v>29</v>
      </c>
      <c r="P11" s="22" t="s">
        <v>30</v>
      </c>
      <c r="Q11" s="20" t="s">
        <v>31</v>
      </c>
      <c r="R11" s="20" t="s">
        <v>32</v>
      </c>
      <c r="S11" s="23" t="s">
        <v>33</v>
      </c>
      <c r="T11" s="2" t="s">
        <v>34</v>
      </c>
      <c r="U11" s="2" t="s">
        <v>35</v>
      </c>
      <c r="V11" s="2" t="s">
        <v>36</v>
      </c>
      <c r="W11" s="2" t="s">
        <v>37</v>
      </c>
      <c r="X11" s="18" t="s">
        <v>38</v>
      </c>
      <c r="Y11" s="18" t="s">
        <v>39</v>
      </c>
      <c r="Z11" s="18" t="s">
        <v>40</v>
      </c>
      <c r="AA11" s="18" t="s">
        <v>41</v>
      </c>
      <c r="AB11" s="18" t="s">
        <v>42</v>
      </c>
      <c r="AC11" s="18" t="s">
        <v>43</v>
      </c>
      <c r="AD11" s="19" t="s">
        <v>44</v>
      </c>
      <c r="AE11" s="19" t="s">
        <v>45</v>
      </c>
      <c r="AF11" s="23" t="s">
        <v>46</v>
      </c>
      <c r="AG11" s="23" t="s">
        <v>47</v>
      </c>
      <c r="AH11" s="19" t="s">
        <v>48</v>
      </c>
      <c r="AI11" s="23" t="s">
        <v>41</v>
      </c>
      <c r="AJ11" s="23" t="s">
        <v>42</v>
      </c>
      <c r="AK11" s="23" t="s">
        <v>43</v>
      </c>
      <c r="AL11" s="23" t="s">
        <v>3126</v>
      </c>
      <c r="AM11" s="117" t="s">
        <v>3127</v>
      </c>
      <c r="AN11" s="117" t="s">
        <v>3128</v>
      </c>
      <c r="AO11" s="2" t="s">
        <v>49</v>
      </c>
      <c r="AP11" s="2" t="s">
        <v>50</v>
      </c>
      <c r="AQ11" s="2" t="s">
        <v>51</v>
      </c>
      <c r="AR11" s="2" t="s">
        <v>52</v>
      </c>
      <c r="AS11" s="2" t="s">
        <v>53</v>
      </c>
      <c r="AT11" s="2" t="s">
        <v>54</v>
      </c>
    </row>
    <row r="12" spans="1:46" ht="18" customHeight="1">
      <c r="A12" s="260" t="s">
        <v>992</v>
      </c>
      <c r="B12" s="260" t="s">
        <v>993</v>
      </c>
      <c r="C12" s="260" t="s">
        <v>100</v>
      </c>
      <c r="D12" s="260" t="s">
        <v>994</v>
      </c>
      <c r="E12" s="260" t="s">
        <v>995</v>
      </c>
      <c r="F12" s="260" t="s">
        <v>996</v>
      </c>
      <c r="G12" s="260" t="s">
        <v>997</v>
      </c>
      <c r="H12" s="260" t="s">
        <v>998</v>
      </c>
      <c r="I12" s="260"/>
      <c r="J12" s="260"/>
      <c r="K12" s="260" t="s">
        <v>999</v>
      </c>
      <c r="L12" s="260" t="s">
        <v>1000</v>
      </c>
      <c r="M12" s="260" t="s">
        <v>1001</v>
      </c>
      <c r="N12" s="260" t="s">
        <v>111</v>
      </c>
      <c r="O12" s="260" t="s">
        <v>124</v>
      </c>
      <c r="P12" s="10">
        <v>2</v>
      </c>
      <c r="Q12" s="11">
        <v>2</v>
      </c>
      <c r="R12" s="11">
        <f>(Z12+AH12)/2</f>
        <v>2</v>
      </c>
      <c r="S12" s="84" t="s">
        <v>3150</v>
      </c>
      <c r="T12" s="11">
        <v>0</v>
      </c>
      <c r="U12" s="11">
        <v>2</v>
      </c>
      <c r="V12" s="11">
        <v>0</v>
      </c>
      <c r="W12" s="11">
        <v>2</v>
      </c>
      <c r="X12" s="11" t="s">
        <v>115</v>
      </c>
      <c r="Y12" s="11">
        <v>2</v>
      </c>
      <c r="Z12" s="11">
        <v>2</v>
      </c>
      <c r="AA12" s="11" t="s">
        <v>1002</v>
      </c>
      <c r="AB12" s="11" t="s">
        <v>1003</v>
      </c>
      <c r="AC12" s="11" t="s">
        <v>1004</v>
      </c>
      <c r="AD12" s="11">
        <v>0</v>
      </c>
      <c r="AE12" s="11">
        <v>2</v>
      </c>
      <c r="AF12" s="70" t="s">
        <v>3151</v>
      </c>
      <c r="AG12" s="75">
        <v>2</v>
      </c>
      <c r="AH12" s="11">
        <f>AG12</f>
        <v>2</v>
      </c>
      <c r="AI12" s="261" t="s">
        <v>1001</v>
      </c>
      <c r="AJ12" s="84" t="s">
        <v>3152</v>
      </c>
      <c r="AK12" s="261"/>
      <c r="AL12" s="261"/>
      <c r="AM12" s="118">
        <v>311240580</v>
      </c>
      <c r="AN12" s="261" t="s">
        <v>3153</v>
      </c>
      <c r="AO12" s="11">
        <v>0</v>
      </c>
      <c r="AP12" s="11">
        <v>2</v>
      </c>
      <c r="AQ12" s="11">
        <v>0</v>
      </c>
      <c r="AR12" s="11">
        <v>2</v>
      </c>
      <c r="AS12" s="11">
        <v>0</v>
      </c>
      <c r="AT12" s="11">
        <v>0</v>
      </c>
    </row>
    <row r="13" spans="1:46" ht="18" customHeight="1">
      <c r="A13" s="260" t="s">
        <v>992</v>
      </c>
      <c r="B13" s="260" t="s">
        <v>993</v>
      </c>
      <c r="C13" s="260" t="s">
        <v>100</v>
      </c>
      <c r="D13" s="260" t="s">
        <v>1074</v>
      </c>
      <c r="E13" s="260" t="s">
        <v>1075</v>
      </c>
      <c r="F13" s="260" t="s">
        <v>1076</v>
      </c>
      <c r="G13" s="260" t="s">
        <v>1077</v>
      </c>
      <c r="H13" s="260" t="s">
        <v>1097</v>
      </c>
      <c r="I13" s="260"/>
      <c r="J13" s="260"/>
      <c r="K13" s="260" t="s">
        <v>1098</v>
      </c>
      <c r="L13" s="260" t="s">
        <v>1099</v>
      </c>
      <c r="M13" s="260" t="s">
        <v>1090</v>
      </c>
      <c r="N13" s="260" t="s">
        <v>111</v>
      </c>
      <c r="O13" s="260" t="s">
        <v>112</v>
      </c>
      <c r="P13" s="10">
        <v>3</v>
      </c>
      <c r="Q13" s="11">
        <v>12</v>
      </c>
      <c r="R13" s="11">
        <f t="shared" ref="R13" si="0">Z13+AH13</f>
        <v>0</v>
      </c>
      <c r="S13" s="272" t="s">
        <v>1100</v>
      </c>
      <c r="T13" s="11">
        <v>0</v>
      </c>
      <c r="U13" s="11">
        <v>0</v>
      </c>
      <c r="V13" s="11">
        <v>0</v>
      </c>
      <c r="W13" s="11">
        <v>0</v>
      </c>
      <c r="X13" s="11">
        <v>0</v>
      </c>
      <c r="Y13" s="11">
        <v>0</v>
      </c>
      <c r="Z13" s="11">
        <v>0</v>
      </c>
      <c r="AA13" s="11">
        <v>0</v>
      </c>
      <c r="AB13" s="11" t="s">
        <v>1100</v>
      </c>
      <c r="AC13" s="11" t="s">
        <v>1101</v>
      </c>
      <c r="AD13" s="11">
        <v>3</v>
      </c>
      <c r="AE13" s="11">
        <v>0</v>
      </c>
      <c r="AF13" s="76">
        <v>0</v>
      </c>
      <c r="AG13" s="77" t="s">
        <v>3151</v>
      </c>
      <c r="AH13" s="9">
        <f>AF13</f>
        <v>0</v>
      </c>
      <c r="AI13" s="261" t="s">
        <v>3154</v>
      </c>
      <c r="AJ13" s="272" t="s">
        <v>3155</v>
      </c>
      <c r="AK13" s="261"/>
      <c r="AL13" s="261"/>
      <c r="AM13" s="118"/>
      <c r="AN13" s="261"/>
      <c r="AO13" s="11">
        <v>5</v>
      </c>
      <c r="AP13" s="11">
        <v>0</v>
      </c>
      <c r="AQ13" s="11">
        <v>4</v>
      </c>
      <c r="AR13" s="11">
        <v>0</v>
      </c>
      <c r="AS13" s="11">
        <v>0</v>
      </c>
      <c r="AT13" s="11">
        <v>0</v>
      </c>
    </row>
    <row r="14" spans="1:46" ht="18" customHeight="1">
      <c r="A14" s="260" t="s">
        <v>992</v>
      </c>
      <c r="B14" s="260" t="s">
        <v>993</v>
      </c>
      <c r="C14" s="260" t="s">
        <v>100</v>
      </c>
      <c r="D14" s="260" t="s">
        <v>1074</v>
      </c>
      <c r="E14" s="260" t="s">
        <v>1075</v>
      </c>
      <c r="F14" s="260" t="s">
        <v>1076</v>
      </c>
      <c r="G14" s="260" t="s">
        <v>1077</v>
      </c>
      <c r="H14" s="260" t="s">
        <v>1102</v>
      </c>
      <c r="I14" s="260"/>
      <c r="J14" s="260"/>
      <c r="K14" s="260" t="s">
        <v>1103</v>
      </c>
      <c r="L14" s="260" t="s">
        <v>1104</v>
      </c>
      <c r="M14" s="260" t="s">
        <v>1105</v>
      </c>
      <c r="N14" s="260" t="s">
        <v>123</v>
      </c>
      <c r="O14" s="260" t="s">
        <v>124</v>
      </c>
      <c r="P14" s="10">
        <v>100</v>
      </c>
      <c r="Q14" s="11">
        <v>100</v>
      </c>
      <c r="R14" s="11">
        <f t="shared" ref="R14:R16" si="1">(Z14+AH14)/2</f>
        <v>100</v>
      </c>
      <c r="S14" s="272" t="s">
        <v>3156</v>
      </c>
      <c r="T14" s="11">
        <v>0</v>
      </c>
      <c r="U14" s="11">
        <v>100</v>
      </c>
      <c r="V14" s="11">
        <v>0</v>
      </c>
      <c r="W14" s="11">
        <v>100</v>
      </c>
      <c r="X14" s="11" t="s">
        <v>115</v>
      </c>
      <c r="Y14" s="11">
        <v>100</v>
      </c>
      <c r="Z14" s="11">
        <v>100</v>
      </c>
      <c r="AA14" s="11" t="s">
        <v>1106</v>
      </c>
      <c r="AB14" s="11" t="s">
        <v>1107</v>
      </c>
      <c r="AC14" s="11" t="s">
        <v>1108</v>
      </c>
      <c r="AD14" s="11">
        <v>0</v>
      </c>
      <c r="AE14" s="11">
        <v>100</v>
      </c>
      <c r="AF14" s="76" t="s">
        <v>3151</v>
      </c>
      <c r="AG14" s="77">
        <v>100</v>
      </c>
      <c r="AH14" s="11">
        <f>AG14</f>
        <v>100</v>
      </c>
      <c r="AI14" s="261" t="s">
        <v>3157</v>
      </c>
      <c r="AJ14" s="272" t="s">
        <v>3158</v>
      </c>
      <c r="AK14" s="261"/>
      <c r="AL14" s="261"/>
      <c r="AM14" s="118"/>
      <c r="AN14" s="261"/>
      <c r="AO14" s="11">
        <v>0</v>
      </c>
      <c r="AP14" s="11">
        <v>100</v>
      </c>
      <c r="AQ14" s="11">
        <v>0</v>
      </c>
      <c r="AR14" s="11">
        <v>100</v>
      </c>
      <c r="AS14" s="11">
        <v>0</v>
      </c>
      <c r="AT14" s="11">
        <v>0</v>
      </c>
    </row>
    <row r="15" spans="1:46" ht="18" customHeight="1">
      <c r="A15" s="260" t="s">
        <v>992</v>
      </c>
      <c r="B15" s="260" t="s">
        <v>993</v>
      </c>
      <c r="C15" s="260" t="s">
        <v>100</v>
      </c>
      <c r="D15" s="260" t="s">
        <v>1074</v>
      </c>
      <c r="E15" s="260" t="s">
        <v>1075</v>
      </c>
      <c r="F15" s="260" t="s">
        <v>1076</v>
      </c>
      <c r="G15" s="260" t="s">
        <v>1077</v>
      </c>
      <c r="H15" s="260" t="s">
        <v>1109</v>
      </c>
      <c r="I15" s="260"/>
      <c r="J15" s="260"/>
      <c r="K15" s="260" t="s">
        <v>1110</v>
      </c>
      <c r="L15" s="260" t="s">
        <v>1111</v>
      </c>
      <c r="M15" s="260" t="s">
        <v>122</v>
      </c>
      <c r="N15" s="260" t="s">
        <v>123</v>
      </c>
      <c r="O15" s="260" t="s">
        <v>124</v>
      </c>
      <c r="P15" s="10">
        <v>100</v>
      </c>
      <c r="Q15" s="11">
        <v>100</v>
      </c>
      <c r="R15" s="11">
        <f t="shared" si="1"/>
        <v>100</v>
      </c>
      <c r="S15" s="272" t="s">
        <v>3159</v>
      </c>
      <c r="T15" s="11">
        <v>0</v>
      </c>
      <c r="U15" s="11">
        <v>100</v>
      </c>
      <c r="V15" s="11">
        <v>0</v>
      </c>
      <c r="W15" s="11">
        <v>100</v>
      </c>
      <c r="X15" s="11" t="s">
        <v>115</v>
      </c>
      <c r="Y15" s="11">
        <v>100</v>
      </c>
      <c r="Z15" s="11">
        <v>100</v>
      </c>
      <c r="AA15" s="11" t="s">
        <v>1112</v>
      </c>
      <c r="AB15" s="11" t="s">
        <v>1113</v>
      </c>
      <c r="AC15" s="11">
        <v>0</v>
      </c>
      <c r="AD15" s="11">
        <v>0</v>
      </c>
      <c r="AE15" s="11">
        <v>100</v>
      </c>
      <c r="AF15" s="76" t="s">
        <v>3151</v>
      </c>
      <c r="AG15" s="77">
        <v>100</v>
      </c>
      <c r="AH15" s="11">
        <f t="shared" ref="AH15:AH16" si="2">AG15</f>
        <v>100</v>
      </c>
      <c r="AI15" s="261" t="s">
        <v>3160</v>
      </c>
      <c r="AJ15" s="272" t="s">
        <v>3161</v>
      </c>
      <c r="AK15" s="261"/>
      <c r="AL15" s="261"/>
      <c r="AM15" s="118"/>
      <c r="AN15" s="261"/>
      <c r="AO15" s="11">
        <v>0</v>
      </c>
      <c r="AP15" s="11">
        <v>100</v>
      </c>
      <c r="AQ15" s="11">
        <v>0</v>
      </c>
      <c r="AR15" s="11">
        <v>100</v>
      </c>
      <c r="AS15" s="11">
        <v>0</v>
      </c>
      <c r="AT15" s="11">
        <v>0</v>
      </c>
    </row>
    <row r="16" spans="1:46" ht="18" customHeight="1">
      <c r="A16" s="260" t="s">
        <v>992</v>
      </c>
      <c r="B16" s="260" t="s">
        <v>993</v>
      </c>
      <c r="C16" s="260" t="s">
        <v>100</v>
      </c>
      <c r="D16" s="260" t="s">
        <v>1074</v>
      </c>
      <c r="E16" s="260" t="s">
        <v>1075</v>
      </c>
      <c r="F16" s="260" t="s">
        <v>1076</v>
      </c>
      <c r="G16" s="260" t="s">
        <v>1077</v>
      </c>
      <c r="H16" s="260" t="s">
        <v>1114</v>
      </c>
      <c r="I16" s="260"/>
      <c r="J16" s="260"/>
      <c r="K16" s="260" t="s">
        <v>1115</v>
      </c>
      <c r="L16" s="260" t="s">
        <v>1116</v>
      </c>
      <c r="M16" s="260" t="s">
        <v>1117</v>
      </c>
      <c r="N16" s="260" t="s">
        <v>123</v>
      </c>
      <c r="O16" s="260" t="s">
        <v>124</v>
      </c>
      <c r="P16" s="10">
        <v>100</v>
      </c>
      <c r="Q16" s="11">
        <v>100</v>
      </c>
      <c r="R16" s="11">
        <f t="shared" si="1"/>
        <v>83.3</v>
      </c>
      <c r="S16" s="79" t="s">
        <v>3162</v>
      </c>
      <c r="T16" s="11">
        <v>0</v>
      </c>
      <c r="U16" s="11">
        <v>100</v>
      </c>
      <c r="V16" s="11">
        <v>0</v>
      </c>
      <c r="W16" s="11">
        <v>100</v>
      </c>
      <c r="X16" s="11" t="s">
        <v>115</v>
      </c>
      <c r="Y16" s="11">
        <v>66.599999999999994</v>
      </c>
      <c r="Z16" s="11">
        <v>66.599999999999994</v>
      </c>
      <c r="AA16" s="11" t="s">
        <v>1106</v>
      </c>
      <c r="AB16" s="11" t="s">
        <v>1118</v>
      </c>
      <c r="AC16" s="11" t="s">
        <v>1119</v>
      </c>
      <c r="AD16" s="11">
        <v>0</v>
      </c>
      <c r="AE16" s="11">
        <v>100</v>
      </c>
      <c r="AF16" s="76" t="s">
        <v>3151</v>
      </c>
      <c r="AG16" s="77">
        <v>100</v>
      </c>
      <c r="AH16" s="11">
        <f t="shared" si="2"/>
        <v>100</v>
      </c>
      <c r="AI16" s="261" t="s">
        <v>3154</v>
      </c>
      <c r="AJ16" s="79" t="s">
        <v>3163</v>
      </c>
      <c r="AK16" s="261"/>
      <c r="AL16" s="261"/>
      <c r="AM16" s="118"/>
      <c r="AN16" s="261"/>
      <c r="AO16" s="11">
        <v>0</v>
      </c>
      <c r="AP16" s="11">
        <v>100</v>
      </c>
      <c r="AQ16" s="11">
        <v>0</v>
      </c>
      <c r="AR16" s="11">
        <v>100</v>
      </c>
      <c r="AS16" s="11">
        <v>0</v>
      </c>
      <c r="AT16" s="11">
        <v>0</v>
      </c>
    </row>
    <row r="17" spans="1:46" ht="18" customHeight="1">
      <c r="A17" s="260" t="s">
        <v>992</v>
      </c>
      <c r="B17" s="260" t="s">
        <v>993</v>
      </c>
      <c r="C17" s="260" t="s">
        <v>100</v>
      </c>
      <c r="D17" s="260" t="s">
        <v>1074</v>
      </c>
      <c r="E17" s="260" t="s">
        <v>1075</v>
      </c>
      <c r="F17" s="260" t="s">
        <v>1076</v>
      </c>
      <c r="G17" s="260" t="s">
        <v>1077</v>
      </c>
      <c r="H17" s="260" t="s">
        <v>1120</v>
      </c>
      <c r="I17" s="260"/>
      <c r="J17" s="260"/>
      <c r="K17" s="260" t="s">
        <v>1121</v>
      </c>
      <c r="L17" s="260" t="s">
        <v>1122</v>
      </c>
      <c r="M17" s="260" t="s">
        <v>1123</v>
      </c>
      <c r="N17" s="260" t="s">
        <v>123</v>
      </c>
      <c r="O17" s="260" t="s">
        <v>112</v>
      </c>
      <c r="P17" s="10">
        <v>100</v>
      </c>
      <c r="Q17" s="11">
        <v>100</v>
      </c>
      <c r="R17" s="11">
        <f t="shared" ref="R17" si="3">Z17+AH17</f>
        <v>120</v>
      </c>
      <c r="S17" s="272" t="s">
        <v>3164</v>
      </c>
      <c r="T17" s="11">
        <v>20</v>
      </c>
      <c r="U17" s="11">
        <v>0</v>
      </c>
      <c r="V17" s="11">
        <v>20</v>
      </c>
      <c r="W17" s="11">
        <v>0</v>
      </c>
      <c r="X17" s="11">
        <v>20</v>
      </c>
      <c r="Y17" s="11">
        <v>0</v>
      </c>
      <c r="Z17" s="11">
        <v>20</v>
      </c>
      <c r="AA17" s="11" t="s">
        <v>1124</v>
      </c>
      <c r="AB17" s="11" t="s">
        <v>1125</v>
      </c>
      <c r="AC17" s="11">
        <v>0</v>
      </c>
      <c r="AD17" s="11">
        <v>0</v>
      </c>
      <c r="AE17" s="11">
        <v>100</v>
      </c>
      <c r="AF17" s="80"/>
      <c r="AG17" s="77">
        <v>100</v>
      </c>
      <c r="AH17" s="9">
        <v>100</v>
      </c>
      <c r="AI17" s="261" t="s">
        <v>3165</v>
      </c>
      <c r="AJ17" s="272" t="s">
        <v>3166</v>
      </c>
      <c r="AK17" s="261"/>
      <c r="AL17" s="261"/>
      <c r="AM17" s="118"/>
      <c r="AN17" s="261"/>
      <c r="AO17" s="11">
        <v>0</v>
      </c>
      <c r="AP17" s="11">
        <v>100</v>
      </c>
      <c r="AQ17" s="11">
        <v>0</v>
      </c>
      <c r="AR17" s="11">
        <v>100</v>
      </c>
      <c r="AS17" s="11">
        <v>0</v>
      </c>
      <c r="AT17" s="11">
        <v>0</v>
      </c>
    </row>
    <row r="18" spans="1:46" ht="18" customHeight="1">
      <c r="A18" s="260" t="s">
        <v>992</v>
      </c>
      <c r="B18" s="260" t="s">
        <v>993</v>
      </c>
      <c r="C18" s="260" t="s">
        <v>100</v>
      </c>
      <c r="D18" s="260" t="s">
        <v>1074</v>
      </c>
      <c r="E18" s="260" t="s">
        <v>1134</v>
      </c>
      <c r="F18" s="260" t="s">
        <v>1135</v>
      </c>
      <c r="G18" s="260" t="s">
        <v>1136</v>
      </c>
      <c r="H18" s="260" t="s">
        <v>1210</v>
      </c>
      <c r="I18" s="260"/>
      <c r="J18" s="260"/>
      <c r="K18" s="260" t="s">
        <v>1211</v>
      </c>
      <c r="L18" s="260" t="s">
        <v>1212</v>
      </c>
      <c r="M18" s="260" t="s">
        <v>1213</v>
      </c>
      <c r="N18" s="260" t="s">
        <v>123</v>
      </c>
      <c r="O18" s="260" t="s">
        <v>112</v>
      </c>
      <c r="P18" s="10">
        <v>65</v>
      </c>
      <c r="Q18" s="11">
        <v>80</v>
      </c>
      <c r="R18" s="11">
        <f>Z18+AH18</f>
        <v>37</v>
      </c>
      <c r="S18" s="158" t="s">
        <v>3167</v>
      </c>
      <c r="T18" s="11">
        <v>20</v>
      </c>
      <c r="U18" s="11">
        <v>0</v>
      </c>
      <c r="V18" s="11">
        <v>17</v>
      </c>
      <c r="W18" s="11">
        <v>0</v>
      </c>
      <c r="X18" s="11">
        <v>17</v>
      </c>
      <c r="Y18" s="11">
        <v>0</v>
      </c>
      <c r="Z18" s="11">
        <v>17</v>
      </c>
      <c r="AA18" s="11" t="s">
        <v>1214</v>
      </c>
      <c r="AB18" s="11" t="s">
        <v>1215</v>
      </c>
      <c r="AC18" s="11" t="s">
        <v>1216</v>
      </c>
      <c r="AD18" s="11">
        <v>24</v>
      </c>
      <c r="AE18" s="11">
        <v>0</v>
      </c>
      <c r="AF18" s="79">
        <v>20</v>
      </c>
      <c r="AG18" s="77" t="s">
        <v>3151</v>
      </c>
      <c r="AH18" s="9">
        <v>20</v>
      </c>
      <c r="AI18" s="261" t="s">
        <v>3168</v>
      </c>
      <c r="AJ18" s="273" t="s">
        <v>3169</v>
      </c>
      <c r="AK18" s="159" t="s">
        <v>3170</v>
      </c>
      <c r="AL18" s="261"/>
      <c r="AM18" s="118"/>
      <c r="AN18" s="261"/>
      <c r="AO18" s="11">
        <v>29</v>
      </c>
      <c r="AP18" s="11">
        <v>0</v>
      </c>
      <c r="AQ18" s="11">
        <v>30</v>
      </c>
      <c r="AR18" s="11">
        <v>0</v>
      </c>
      <c r="AS18" s="11">
        <v>0</v>
      </c>
      <c r="AT18" s="11">
        <v>0</v>
      </c>
    </row>
    <row r="19" spans="1:46" ht="18" customHeight="1">
      <c r="A19" s="260" t="s">
        <v>992</v>
      </c>
      <c r="B19" s="260" t="s">
        <v>993</v>
      </c>
      <c r="C19" s="260" t="s">
        <v>2129</v>
      </c>
      <c r="D19" s="260" t="s">
        <v>2232</v>
      </c>
      <c r="E19" s="260" t="s">
        <v>2273</v>
      </c>
      <c r="F19" s="260" t="s">
        <v>2274</v>
      </c>
      <c r="G19" s="260" t="s">
        <v>2275</v>
      </c>
      <c r="H19" s="260" t="s">
        <v>2276</v>
      </c>
      <c r="I19" s="260"/>
      <c r="J19" s="260"/>
      <c r="K19" s="260" t="s">
        <v>2277</v>
      </c>
      <c r="L19" s="260" t="s">
        <v>2278</v>
      </c>
      <c r="M19" s="260" t="s">
        <v>2279</v>
      </c>
      <c r="N19" s="260" t="s">
        <v>111</v>
      </c>
      <c r="O19" s="260" t="s">
        <v>112</v>
      </c>
      <c r="P19" s="10">
        <v>1</v>
      </c>
      <c r="Q19" s="11">
        <v>1</v>
      </c>
      <c r="R19" s="11">
        <f t="shared" ref="R19:R31" si="4">Z19+AH19</f>
        <v>0.33</v>
      </c>
      <c r="S19" s="79" t="s">
        <v>3171</v>
      </c>
      <c r="T19" s="11">
        <v>0</v>
      </c>
      <c r="U19" s="11">
        <v>0</v>
      </c>
      <c r="V19" s="11">
        <v>0.1</v>
      </c>
      <c r="W19" s="11">
        <v>0</v>
      </c>
      <c r="X19" s="11">
        <v>0.1</v>
      </c>
      <c r="Y19" s="11">
        <v>0</v>
      </c>
      <c r="Z19" s="11">
        <v>0.1</v>
      </c>
      <c r="AA19" s="11" t="s">
        <v>1106</v>
      </c>
      <c r="AB19" s="11" t="s">
        <v>2280</v>
      </c>
      <c r="AC19" s="11">
        <v>0</v>
      </c>
      <c r="AD19" s="11">
        <v>0.3</v>
      </c>
      <c r="AE19" s="11">
        <v>0</v>
      </c>
      <c r="AF19" s="86">
        <v>0.23</v>
      </c>
      <c r="AG19" s="76" t="s">
        <v>3151</v>
      </c>
      <c r="AH19" s="9">
        <f t="shared" ref="AH19:AH20" si="5">AF19</f>
        <v>0.23</v>
      </c>
      <c r="AI19" s="261" t="s">
        <v>3168</v>
      </c>
      <c r="AJ19" s="84" t="s">
        <v>3172</v>
      </c>
      <c r="AK19" s="261"/>
      <c r="AL19" s="261"/>
      <c r="AM19" s="118"/>
      <c r="AN19" s="261"/>
      <c r="AO19" s="11">
        <v>0.4</v>
      </c>
      <c r="AP19" s="11">
        <v>0</v>
      </c>
      <c r="AQ19" s="11">
        <v>0.2</v>
      </c>
      <c r="AR19" s="11">
        <v>0</v>
      </c>
      <c r="AS19" s="11">
        <v>0</v>
      </c>
      <c r="AT19" s="11">
        <v>0</v>
      </c>
    </row>
    <row r="20" spans="1:46" s="105" customFormat="1" ht="18" customHeight="1">
      <c r="A20" s="260" t="s">
        <v>992</v>
      </c>
      <c r="B20" s="260" t="s">
        <v>993</v>
      </c>
      <c r="C20" s="260" t="s">
        <v>2129</v>
      </c>
      <c r="D20" s="260" t="s">
        <v>2232</v>
      </c>
      <c r="E20" s="260" t="s">
        <v>2273</v>
      </c>
      <c r="F20" s="260" t="s">
        <v>2274</v>
      </c>
      <c r="G20" s="260" t="s">
        <v>2275</v>
      </c>
      <c r="H20" s="260" t="s">
        <v>2281</v>
      </c>
      <c r="I20" s="260"/>
      <c r="J20" s="260"/>
      <c r="K20" s="96" t="s">
        <v>2282</v>
      </c>
      <c r="L20" s="181" t="s">
        <v>2283</v>
      </c>
      <c r="M20" s="181" t="s">
        <v>2284</v>
      </c>
      <c r="N20" s="181" t="s">
        <v>111</v>
      </c>
      <c r="O20" s="181" t="s">
        <v>112</v>
      </c>
      <c r="P20" s="181">
        <v>0</v>
      </c>
      <c r="Q20" s="181">
        <v>1</v>
      </c>
      <c r="R20" s="99">
        <f t="shared" si="4"/>
        <v>0.44999999999999996</v>
      </c>
      <c r="S20" s="309" t="s">
        <v>3173</v>
      </c>
      <c r="T20" s="99">
        <v>0</v>
      </c>
      <c r="U20" s="99">
        <v>0</v>
      </c>
      <c r="V20" s="99">
        <v>0.2</v>
      </c>
      <c r="W20" s="99">
        <v>0</v>
      </c>
      <c r="X20" s="99">
        <v>0.15</v>
      </c>
      <c r="Y20" s="99">
        <v>0</v>
      </c>
      <c r="Z20" s="99">
        <v>0.15</v>
      </c>
      <c r="AA20" s="99">
        <v>0</v>
      </c>
      <c r="AB20" s="99" t="s">
        <v>2285</v>
      </c>
      <c r="AC20" s="99">
        <v>0</v>
      </c>
      <c r="AD20" s="99">
        <v>0.4</v>
      </c>
      <c r="AE20" s="99">
        <v>0</v>
      </c>
      <c r="AF20" s="270">
        <v>0.3</v>
      </c>
      <c r="AG20" s="108" t="s">
        <v>3151</v>
      </c>
      <c r="AH20" s="100">
        <f t="shared" si="5"/>
        <v>0.3</v>
      </c>
      <c r="AI20" s="155" t="s">
        <v>3174</v>
      </c>
      <c r="AJ20" s="309" t="s">
        <v>3175</v>
      </c>
      <c r="AK20" s="107"/>
      <c r="AL20" s="107"/>
      <c r="AM20" s="134"/>
      <c r="AN20" s="107"/>
      <c r="AO20" s="99">
        <v>0.3</v>
      </c>
      <c r="AP20" s="99">
        <v>0</v>
      </c>
      <c r="AQ20" s="99">
        <v>0.1</v>
      </c>
      <c r="AR20" s="99">
        <v>0</v>
      </c>
      <c r="AS20" s="99">
        <v>0</v>
      </c>
      <c r="AT20" s="99">
        <v>0</v>
      </c>
    </row>
    <row r="21" spans="1:46" ht="18" customHeight="1">
      <c r="A21" s="260" t="s">
        <v>992</v>
      </c>
      <c r="B21" s="260" t="s">
        <v>993</v>
      </c>
      <c r="C21" s="260" t="s">
        <v>2371</v>
      </c>
      <c r="D21" s="260" t="s">
        <v>2372</v>
      </c>
      <c r="E21" s="260" t="s">
        <v>2416</v>
      </c>
      <c r="F21" s="260" t="s">
        <v>2417</v>
      </c>
      <c r="G21" s="260" t="s">
        <v>2418</v>
      </c>
      <c r="H21" s="260" t="s">
        <v>2419</v>
      </c>
      <c r="I21" s="260"/>
      <c r="J21" s="260"/>
      <c r="K21" s="260" t="s">
        <v>2420</v>
      </c>
      <c r="L21" s="260" t="s">
        <v>2421</v>
      </c>
      <c r="M21" s="260" t="s">
        <v>122</v>
      </c>
      <c r="N21" s="260" t="s">
        <v>111</v>
      </c>
      <c r="O21" s="260" t="s">
        <v>112</v>
      </c>
      <c r="P21" s="10">
        <v>5000</v>
      </c>
      <c r="Q21" s="11">
        <v>5000</v>
      </c>
      <c r="R21" s="11">
        <f t="shared" si="4"/>
        <v>1443</v>
      </c>
      <c r="S21" s="158" t="s">
        <v>3176</v>
      </c>
      <c r="T21" s="11">
        <v>300</v>
      </c>
      <c r="U21" s="11">
        <v>0</v>
      </c>
      <c r="V21" s="11">
        <v>300</v>
      </c>
      <c r="W21" s="11">
        <v>0</v>
      </c>
      <c r="X21" s="11">
        <v>332</v>
      </c>
      <c r="Y21" s="11">
        <v>0</v>
      </c>
      <c r="Z21" s="11">
        <v>332</v>
      </c>
      <c r="AA21" s="11" t="s">
        <v>1106</v>
      </c>
      <c r="AB21" s="11" t="s">
        <v>2422</v>
      </c>
      <c r="AC21" s="11" t="s">
        <v>2423</v>
      </c>
      <c r="AD21" s="11">
        <v>1600</v>
      </c>
      <c r="AE21" s="11">
        <v>0</v>
      </c>
      <c r="AF21" s="79">
        <v>1111</v>
      </c>
      <c r="AG21" s="77" t="s">
        <v>3151</v>
      </c>
      <c r="AH21" s="9">
        <f t="shared" ref="AH21" si="6">AF21</f>
        <v>1111</v>
      </c>
      <c r="AI21" s="261" t="s">
        <v>1106</v>
      </c>
      <c r="AJ21" s="275" t="s">
        <v>3177</v>
      </c>
      <c r="AK21" s="275" t="s">
        <v>3178</v>
      </c>
      <c r="AL21" s="310" t="s">
        <v>3179</v>
      </c>
      <c r="AM21" s="118"/>
      <c r="AN21" s="261"/>
      <c r="AO21" s="11">
        <v>1600</v>
      </c>
      <c r="AP21" s="11">
        <v>0</v>
      </c>
      <c r="AQ21" s="11">
        <v>1500</v>
      </c>
      <c r="AR21" s="11">
        <v>0</v>
      </c>
      <c r="AS21" s="11">
        <v>0</v>
      </c>
      <c r="AT21" s="11">
        <v>0</v>
      </c>
    </row>
    <row r="22" spans="1:46" ht="18" customHeight="1">
      <c r="A22" s="260" t="s">
        <v>992</v>
      </c>
      <c r="B22" s="260" t="s">
        <v>993</v>
      </c>
      <c r="C22" s="260" t="s">
        <v>2371</v>
      </c>
      <c r="D22" s="260" t="s">
        <v>2372</v>
      </c>
      <c r="E22" s="260" t="s">
        <v>2458</v>
      </c>
      <c r="F22" s="260" t="s">
        <v>2459</v>
      </c>
      <c r="G22" s="260" t="s">
        <v>2460</v>
      </c>
      <c r="H22" s="260" t="s">
        <v>2461</v>
      </c>
      <c r="I22" s="260"/>
      <c r="J22" s="260"/>
      <c r="K22" s="260" t="s">
        <v>2462</v>
      </c>
      <c r="L22" s="260" t="s">
        <v>2463</v>
      </c>
      <c r="M22" s="260" t="s">
        <v>2464</v>
      </c>
      <c r="N22" s="260" t="s">
        <v>123</v>
      </c>
      <c r="O22" s="260" t="s">
        <v>112</v>
      </c>
      <c r="P22" s="10">
        <v>100</v>
      </c>
      <c r="Q22" s="11">
        <v>100</v>
      </c>
      <c r="R22" s="11">
        <f t="shared" si="4"/>
        <v>7</v>
      </c>
      <c r="S22" s="79" t="s">
        <v>3180</v>
      </c>
      <c r="T22" s="11">
        <v>0</v>
      </c>
      <c r="U22" s="11">
        <v>0</v>
      </c>
      <c r="V22" s="11">
        <v>0</v>
      </c>
      <c r="W22" s="11">
        <v>0</v>
      </c>
      <c r="X22" s="11">
        <v>0</v>
      </c>
      <c r="Y22" s="11">
        <v>0</v>
      </c>
      <c r="Z22" s="11">
        <v>0</v>
      </c>
      <c r="AA22" s="11"/>
      <c r="AB22" s="11"/>
      <c r="AC22" s="11"/>
      <c r="AD22" s="11">
        <v>20</v>
      </c>
      <c r="AE22" s="11">
        <v>0</v>
      </c>
      <c r="AF22" s="79">
        <v>7</v>
      </c>
      <c r="AG22" s="77" t="s">
        <v>3151</v>
      </c>
      <c r="AH22" s="9">
        <f t="shared" ref="AH22" si="7">AF22</f>
        <v>7</v>
      </c>
      <c r="AI22" s="261" t="s">
        <v>1106</v>
      </c>
      <c r="AJ22" s="86" t="s">
        <v>3181</v>
      </c>
      <c r="AK22" s="261"/>
      <c r="AL22" s="261"/>
      <c r="AM22" s="118"/>
      <c r="AN22" s="261"/>
      <c r="AO22" s="11">
        <v>30</v>
      </c>
      <c r="AP22" s="11">
        <v>0</v>
      </c>
      <c r="AQ22" s="11">
        <v>50</v>
      </c>
      <c r="AR22" s="11">
        <v>0</v>
      </c>
      <c r="AS22" s="11">
        <v>0</v>
      </c>
      <c r="AT22" s="11">
        <v>0</v>
      </c>
    </row>
    <row r="23" spans="1:46" ht="18" customHeight="1">
      <c r="A23" s="260" t="s">
        <v>992</v>
      </c>
      <c r="B23" s="260" t="s">
        <v>993</v>
      </c>
      <c r="C23" s="260" t="s">
        <v>2371</v>
      </c>
      <c r="D23" s="260" t="s">
        <v>2372</v>
      </c>
      <c r="E23" s="260" t="s">
        <v>2458</v>
      </c>
      <c r="F23" s="260" t="s">
        <v>2459</v>
      </c>
      <c r="G23" s="260" t="s">
        <v>2460</v>
      </c>
      <c r="H23" s="260" t="s">
        <v>2465</v>
      </c>
      <c r="I23" s="260"/>
      <c r="J23" s="260"/>
      <c r="K23" s="260" t="s">
        <v>2466</v>
      </c>
      <c r="L23" s="260" t="s">
        <v>2467</v>
      </c>
      <c r="M23" s="260" t="s">
        <v>2468</v>
      </c>
      <c r="N23" s="260" t="s">
        <v>111</v>
      </c>
      <c r="O23" s="260" t="s">
        <v>112</v>
      </c>
      <c r="P23" s="10">
        <v>30</v>
      </c>
      <c r="Q23" s="11">
        <v>50</v>
      </c>
      <c r="R23" s="11">
        <f t="shared" si="4"/>
        <v>2</v>
      </c>
      <c r="S23" s="158" t="s">
        <v>3182</v>
      </c>
      <c r="T23" s="11">
        <v>5</v>
      </c>
      <c r="U23" s="11">
        <v>0</v>
      </c>
      <c r="V23" s="11">
        <v>0</v>
      </c>
      <c r="W23" s="11">
        <v>0</v>
      </c>
      <c r="X23" s="11">
        <v>0</v>
      </c>
      <c r="Y23" s="11">
        <v>1</v>
      </c>
      <c r="Z23" s="11">
        <v>1</v>
      </c>
      <c r="AA23" s="11" t="s">
        <v>2469</v>
      </c>
      <c r="AB23" s="11" t="s">
        <v>2470</v>
      </c>
      <c r="AC23" s="11">
        <v>0</v>
      </c>
      <c r="AD23" s="11">
        <v>10</v>
      </c>
      <c r="AE23" s="11">
        <v>0</v>
      </c>
      <c r="AF23" s="79">
        <v>1</v>
      </c>
      <c r="AG23" s="77" t="s">
        <v>3151</v>
      </c>
      <c r="AH23" s="9">
        <f>AF23</f>
        <v>1</v>
      </c>
      <c r="AI23" s="261" t="s">
        <v>1106</v>
      </c>
      <c r="AJ23" s="272" t="s">
        <v>3183</v>
      </c>
      <c r="AK23" s="261"/>
      <c r="AL23" s="261"/>
      <c r="AM23" s="118"/>
      <c r="AN23" s="261"/>
      <c r="AO23" s="11">
        <v>10</v>
      </c>
      <c r="AP23" s="11">
        <v>0</v>
      </c>
      <c r="AQ23" s="11">
        <v>30</v>
      </c>
      <c r="AR23" s="11">
        <v>0</v>
      </c>
      <c r="AS23" s="11">
        <v>0</v>
      </c>
      <c r="AT23" s="11">
        <v>0</v>
      </c>
    </row>
    <row r="24" spans="1:46" ht="18" customHeight="1">
      <c r="A24" s="260" t="s">
        <v>992</v>
      </c>
      <c r="B24" s="260" t="s">
        <v>993</v>
      </c>
      <c r="C24" s="260" t="s">
        <v>2371</v>
      </c>
      <c r="D24" s="260" t="s">
        <v>2588</v>
      </c>
      <c r="E24" s="260" t="s">
        <v>2606</v>
      </c>
      <c r="F24" s="260" t="s">
        <v>2607</v>
      </c>
      <c r="G24" s="260" t="s">
        <v>2608</v>
      </c>
      <c r="H24" s="260" t="s">
        <v>2643</v>
      </c>
      <c r="I24" s="260"/>
      <c r="J24" s="260"/>
      <c r="K24" s="260" t="s">
        <v>2644</v>
      </c>
      <c r="L24" s="260" t="s">
        <v>2645</v>
      </c>
      <c r="M24" s="260" t="s">
        <v>2646</v>
      </c>
      <c r="N24" s="260" t="s">
        <v>123</v>
      </c>
      <c r="O24" s="260" t="s">
        <v>112</v>
      </c>
      <c r="P24" s="10">
        <v>0</v>
      </c>
      <c r="Q24" s="11">
        <v>40</v>
      </c>
      <c r="R24" s="11">
        <f t="shared" si="4"/>
        <v>15</v>
      </c>
      <c r="S24" s="272" t="s">
        <v>3184</v>
      </c>
      <c r="T24" s="11">
        <v>5</v>
      </c>
      <c r="U24" s="11">
        <v>0</v>
      </c>
      <c r="V24" s="11">
        <v>5</v>
      </c>
      <c r="W24" s="11">
        <v>0</v>
      </c>
      <c r="X24" s="11">
        <v>5</v>
      </c>
      <c r="Y24" s="11">
        <v>0</v>
      </c>
      <c r="Z24" s="11">
        <v>5</v>
      </c>
      <c r="AA24" s="11" t="s">
        <v>1106</v>
      </c>
      <c r="AB24" s="11" t="s">
        <v>2647</v>
      </c>
      <c r="AC24" s="11" t="s">
        <v>2648</v>
      </c>
      <c r="AD24" s="11">
        <v>12</v>
      </c>
      <c r="AE24" s="11">
        <v>0</v>
      </c>
      <c r="AF24" s="79">
        <v>10</v>
      </c>
      <c r="AG24" s="77" t="s">
        <v>3151</v>
      </c>
      <c r="AH24" s="9">
        <f t="shared" ref="AH24:AH25" si="8">AF24</f>
        <v>10</v>
      </c>
      <c r="AI24" s="261" t="s">
        <v>1106</v>
      </c>
      <c r="AJ24" s="79" t="s">
        <v>3185</v>
      </c>
      <c r="AK24" s="261"/>
      <c r="AL24" s="261"/>
      <c r="AM24" s="118"/>
      <c r="AN24" s="261"/>
      <c r="AO24" s="11">
        <v>10</v>
      </c>
      <c r="AP24" s="11">
        <v>0</v>
      </c>
      <c r="AQ24" s="11">
        <v>13</v>
      </c>
      <c r="AR24" s="11">
        <v>0</v>
      </c>
      <c r="AS24" s="11">
        <v>0</v>
      </c>
      <c r="AT24" s="11">
        <v>0</v>
      </c>
    </row>
    <row r="25" spans="1:46" ht="18" customHeight="1">
      <c r="A25" s="260" t="s">
        <v>992</v>
      </c>
      <c r="B25" s="260" t="s">
        <v>993</v>
      </c>
      <c r="C25" s="260" t="s">
        <v>2371</v>
      </c>
      <c r="D25" s="260" t="s">
        <v>2588</v>
      </c>
      <c r="E25" s="260" t="s">
        <v>2606</v>
      </c>
      <c r="F25" s="260" t="s">
        <v>2607</v>
      </c>
      <c r="G25" s="260" t="s">
        <v>2608</v>
      </c>
      <c r="H25" s="260" t="s">
        <v>2649</v>
      </c>
      <c r="I25" s="260"/>
      <c r="J25" s="260"/>
      <c r="K25" s="260" t="s">
        <v>2650</v>
      </c>
      <c r="L25" s="260" t="s">
        <v>2651</v>
      </c>
      <c r="M25" s="260" t="s">
        <v>2272</v>
      </c>
      <c r="N25" s="260" t="s">
        <v>111</v>
      </c>
      <c r="O25" s="260" t="s">
        <v>112</v>
      </c>
      <c r="P25" s="10">
        <v>0</v>
      </c>
      <c r="Q25" s="11">
        <v>1</v>
      </c>
      <c r="R25" s="11">
        <f t="shared" si="4"/>
        <v>0.25</v>
      </c>
      <c r="S25" s="272" t="s">
        <v>3186</v>
      </c>
      <c r="T25" s="11">
        <v>0</v>
      </c>
      <c r="U25" s="11">
        <v>0</v>
      </c>
      <c r="V25" s="11">
        <v>0</v>
      </c>
      <c r="W25" s="11">
        <v>0</v>
      </c>
      <c r="X25" s="11">
        <v>0</v>
      </c>
      <c r="Y25" s="11">
        <v>0</v>
      </c>
      <c r="Z25" s="11">
        <v>0</v>
      </c>
      <c r="AA25" s="11"/>
      <c r="AB25" s="11"/>
      <c r="AC25" s="11"/>
      <c r="AD25" s="11">
        <v>0.33</v>
      </c>
      <c r="AE25" s="11">
        <v>0</v>
      </c>
      <c r="AF25" s="79">
        <v>0.25</v>
      </c>
      <c r="AG25" s="77" t="s">
        <v>3151</v>
      </c>
      <c r="AH25" s="9">
        <f t="shared" si="8"/>
        <v>0.25</v>
      </c>
      <c r="AI25" s="261" t="s">
        <v>1106</v>
      </c>
      <c r="AJ25" s="86" t="s">
        <v>3187</v>
      </c>
      <c r="AK25" s="261"/>
      <c r="AL25" s="261"/>
      <c r="AM25" s="118"/>
      <c r="AN25" s="261"/>
      <c r="AO25" s="11">
        <v>0.33</v>
      </c>
      <c r="AP25" s="11">
        <v>0</v>
      </c>
      <c r="AQ25" s="11">
        <v>0.34</v>
      </c>
      <c r="AR25" s="11">
        <v>0</v>
      </c>
      <c r="AS25" s="11">
        <v>0</v>
      </c>
      <c r="AT25" s="11">
        <v>0</v>
      </c>
    </row>
    <row r="26" spans="1:46" ht="18" customHeight="1">
      <c r="A26" s="260" t="s">
        <v>992</v>
      </c>
      <c r="B26" s="260" t="s">
        <v>993</v>
      </c>
      <c r="C26" s="260" t="s">
        <v>2371</v>
      </c>
      <c r="D26" s="260" t="s">
        <v>2763</v>
      </c>
      <c r="E26" s="260" t="s">
        <v>2764</v>
      </c>
      <c r="F26" s="260" t="s">
        <v>2765</v>
      </c>
      <c r="G26" s="260" t="s">
        <v>2766</v>
      </c>
      <c r="H26" s="260" t="s">
        <v>2767</v>
      </c>
      <c r="I26" s="260"/>
      <c r="J26" s="260"/>
      <c r="K26" s="260" t="s">
        <v>2768</v>
      </c>
      <c r="L26" s="260" t="s">
        <v>2769</v>
      </c>
      <c r="M26" s="260" t="s">
        <v>122</v>
      </c>
      <c r="N26" s="260" t="s">
        <v>111</v>
      </c>
      <c r="O26" s="260" t="s">
        <v>112</v>
      </c>
      <c r="P26" s="10">
        <v>0</v>
      </c>
      <c r="Q26" s="11">
        <v>1000</v>
      </c>
      <c r="R26" s="11">
        <f t="shared" si="4"/>
        <v>265</v>
      </c>
      <c r="S26" s="79" t="s">
        <v>3188</v>
      </c>
      <c r="T26" s="11">
        <v>15</v>
      </c>
      <c r="U26" s="11">
        <v>0</v>
      </c>
      <c r="V26" s="11">
        <v>15</v>
      </c>
      <c r="W26" s="11">
        <v>0</v>
      </c>
      <c r="X26" s="11">
        <v>15</v>
      </c>
      <c r="Y26" s="11">
        <v>0</v>
      </c>
      <c r="Z26" s="11">
        <v>15</v>
      </c>
      <c r="AA26" s="11" t="s">
        <v>2770</v>
      </c>
      <c r="AB26" s="11" t="s">
        <v>2771</v>
      </c>
      <c r="AC26" s="11">
        <v>0</v>
      </c>
      <c r="AD26" s="11">
        <v>300</v>
      </c>
      <c r="AE26" s="11">
        <v>0</v>
      </c>
      <c r="AF26" s="79">
        <v>250</v>
      </c>
      <c r="AG26" s="77" t="s">
        <v>3151</v>
      </c>
      <c r="AH26" s="9">
        <v>250</v>
      </c>
      <c r="AI26" s="261" t="s">
        <v>3154</v>
      </c>
      <c r="AJ26" s="311" t="s">
        <v>3189</v>
      </c>
      <c r="AK26" s="261"/>
      <c r="AL26" s="261"/>
      <c r="AM26" s="118"/>
      <c r="AN26" s="261"/>
      <c r="AO26" s="11">
        <v>400</v>
      </c>
      <c r="AP26" s="11">
        <v>0</v>
      </c>
      <c r="AQ26" s="11">
        <v>300</v>
      </c>
      <c r="AR26" s="11">
        <v>0</v>
      </c>
      <c r="AS26" s="11">
        <v>0</v>
      </c>
      <c r="AT26" s="11">
        <v>0</v>
      </c>
    </row>
    <row r="27" spans="1:46" ht="18" customHeight="1">
      <c r="A27" s="260" t="s">
        <v>992</v>
      </c>
      <c r="B27" s="260" t="s">
        <v>993</v>
      </c>
      <c r="C27" s="260" t="s">
        <v>2371</v>
      </c>
      <c r="D27" s="260" t="s">
        <v>2763</v>
      </c>
      <c r="E27" s="260" t="s">
        <v>2764</v>
      </c>
      <c r="F27" s="260" t="s">
        <v>2765</v>
      </c>
      <c r="G27" s="260" t="s">
        <v>2766</v>
      </c>
      <c r="H27" s="260" t="s">
        <v>2772</v>
      </c>
      <c r="I27" s="260"/>
      <c r="J27" s="260"/>
      <c r="K27" s="260" t="s">
        <v>2773</v>
      </c>
      <c r="L27" s="260" t="s">
        <v>2774</v>
      </c>
      <c r="M27" s="260" t="s">
        <v>2272</v>
      </c>
      <c r="N27" s="260" t="s">
        <v>111</v>
      </c>
      <c r="O27" s="260" t="s">
        <v>112</v>
      </c>
      <c r="P27" s="10">
        <v>0</v>
      </c>
      <c r="Q27" s="11">
        <v>1</v>
      </c>
      <c r="R27" s="11">
        <f t="shared" si="4"/>
        <v>0.45</v>
      </c>
      <c r="S27" s="79" t="s">
        <v>3190</v>
      </c>
      <c r="T27" s="11">
        <v>0</v>
      </c>
      <c r="U27" s="11">
        <v>0</v>
      </c>
      <c r="V27" s="11">
        <v>0.25</v>
      </c>
      <c r="W27" s="11">
        <v>0</v>
      </c>
      <c r="X27" s="11">
        <v>0.25</v>
      </c>
      <c r="Y27" s="11">
        <v>0</v>
      </c>
      <c r="Z27" s="11">
        <v>0.25</v>
      </c>
      <c r="AA27" s="11" t="s">
        <v>2775</v>
      </c>
      <c r="AB27" s="11" t="s">
        <v>2776</v>
      </c>
      <c r="AC27" s="11" t="s">
        <v>2777</v>
      </c>
      <c r="AD27" s="11">
        <v>0.25</v>
      </c>
      <c r="AE27" s="11">
        <v>0</v>
      </c>
      <c r="AF27" s="79">
        <v>0.2</v>
      </c>
      <c r="AG27" s="77" t="s">
        <v>3151</v>
      </c>
      <c r="AH27" s="9">
        <f t="shared" ref="AH27:AH30" si="9">AF27</f>
        <v>0.2</v>
      </c>
      <c r="AI27" s="148" t="s">
        <v>3191</v>
      </c>
      <c r="AJ27" s="86" t="s">
        <v>3192</v>
      </c>
      <c r="AK27" s="261"/>
      <c r="AL27" s="261"/>
      <c r="AM27" s="118"/>
      <c r="AN27" s="261"/>
      <c r="AO27" s="11">
        <v>0.25</v>
      </c>
      <c r="AP27" s="11">
        <v>0</v>
      </c>
      <c r="AQ27" s="11">
        <v>0.25</v>
      </c>
      <c r="AR27" s="11">
        <v>0</v>
      </c>
      <c r="AS27" s="11">
        <v>0</v>
      </c>
      <c r="AT27" s="11">
        <v>0</v>
      </c>
    </row>
    <row r="28" spans="1:46" ht="18" customHeight="1">
      <c r="A28" s="260" t="s">
        <v>992</v>
      </c>
      <c r="B28" s="260" t="s">
        <v>993</v>
      </c>
      <c r="C28" s="260" t="s">
        <v>2371</v>
      </c>
      <c r="D28" s="260" t="s">
        <v>2763</v>
      </c>
      <c r="E28" s="260" t="s">
        <v>2764</v>
      </c>
      <c r="F28" s="260" t="s">
        <v>2765</v>
      </c>
      <c r="G28" s="260" t="s">
        <v>2766</v>
      </c>
      <c r="H28" s="260" t="s">
        <v>2778</v>
      </c>
      <c r="I28" s="260"/>
      <c r="J28" s="260"/>
      <c r="K28" s="260" t="s">
        <v>2779</v>
      </c>
      <c r="L28" s="260" t="s">
        <v>2780</v>
      </c>
      <c r="M28" s="260" t="s">
        <v>131</v>
      </c>
      <c r="N28" s="260" t="s">
        <v>111</v>
      </c>
      <c r="O28" s="260" t="s">
        <v>112</v>
      </c>
      <c r="P28" s="10">
        <v>0</v>
      </c>
      <c r="Q28" s="11">
        <v>1</v>
      </c>
      <c r="R28" s="11">
        <f t="shared" si="4"/>
        <v>0.43000000000000005</v>
      </c>
      <c r="S28" s="79" t="s">
        <v>3193</v>
      </c>
      <c r="T28" s="11">
        <v>0</v>
      </c>
      <c r="U28" s="11">
        <v>0</v>
      </c>
      <c r="V28" s="11">
        <v>0.2</v>
      </c>
      <c r="W28" s="11">
        <v>0</v>
      </c>
      <c r="X28" s="11">
        <v>0.2</v>
      </c>
      <c r="Y28" s="11">
        <v>0</v>
      </c>
      <c r="Z28" s="11">
        <v>0.2</v>
      </c>
      <c r="AA28" s="11">
        <v>0</v>
      </c>
      <c r="AB28" s="11" t="s">
        <v>2781</v>
      </c>
      <c r="AC28" s="11">
        <v>0</v>
      </c>
      <c r="AD28" s="11">
        <v>0.3</v>
      </c>
      <c r="AE28" s="11">
        <v>0</v>
      </c>
      <c r="AF28" s="79">
        <v>0.23</v>
      </c>
      <c r="AG28" s="77" t="s">
        <v>3151</v>
      </c>
      <c r="AH28" s="9">
        <f t="shared" si="9"/>
        <v>0.23</v>
      </c>
      <c r="AI28" s="261" t="s">
        <v>3154</v>
      </c>
      <c r="AJ28" s="86" t="s">
        <v>3194</v>
      </c>
      <c r="AK28" s="261"/>
      <c r="AL28" s="261"/>
      <c r="AM28" s="118"/>
      <c r="AN28" s="261"/>
      <c r="AO28" s="11">
        <v>0.3</v>
      </c>
      <c r="AP28" s="11">
        <v>0</v>
      </c>
      <c r="AQ28" s="11">
        <v>0.2</v>
      </c>
      <c r="AR28" s="11">
        <v>0</v>
      </c>
      <c r="AS28" s="11">
        <v>0</v>
      </c>
      <c r="AT28" s="11">
        <v>0</v>
      </c>
    </row>
    <row r="29" spans="1:46" ht="18" customHeight="1">
      <c r="A29" s="260" t="s">
        <v>992</v>
      </c>
      <c r="B29" s="260" t="s">
        <v>993</v>
      </c>
      <c r="C29" s="260" t="s">
        <v>2371</v>
      </c>
      <c r="D29" s="260" t="s">
        <v>2763</v>
      </c>
      <c r="E29" s="260" t="s">
        <v>2782</v>
      </c>
      <c r="F29" s="260" t="s">
        <v>2783</v>
      </c>
      <c r="G29" s="260" t="s">
        <v>2784</v>
      </c>
      <c r="H29" s="260" t="s">
        <v>2785</v>
      </c>
      <c r="I29" s="260"/>
      <c r="J29" s="260"/>
      <c r="K29" s="260" t="s">
        <v>2786</v>
      </c>
      <c r="L29" s="260" t="s">
        <v>2787</v>
      </c>
      <c r="M29" s="260" t="s">
        <v>2272</v>
      </c>
      <c r="N29" s="260" t="s">
        <v>111</v>
      </c>
      <c r="O29" s="260" t="s">
        <v>112</v>
      </c>
      <c r="P29" s="10">
        <v>1</v>
      </c>
      <c r="Q29" s="11">
        <v>1</v>
      </c>
      <c r="R29" s="11">
        <f t="shared" si="4"/>
        <v>0.39</v>
      </c>
      <c r="S29" s="158" t="s">
        <v>3195</v>
      </c>
      <c r="T29" s="11">
        <v>0</v>
      </c>
      <c r="U29" s="11">
        <v>0</v>
      </c>
      <c r="V29" s="11">
        <v>0.1</v>
      </c>
      <c r="W29" s="11">
        <v>0</v>
      </c>
      <c r="X29" s="11">
        <v>0.1</v>
      </c>
      <c r="Y29" s="11">
        <v>0</v>
      </c>
      <c r="Z29" s="11">
        <v>0.1</v>
      </c>
      <c r="AA29" s="11">
        <v>0</v>
      </c>
      <c r="AB29" s="11" t="s">
        <v>2788</v>
      </c>
      <c r="AC29" s="11">
        <v>0</v>
      </c>
      <c r="AD29" s="11">
        <v>0.35</v>
      </c>
      <c r="AE29" s="11">
        <v>0</v>
      </c>
      <c r="AF29" s="79">
        <v>0.28999999999999998</v>
      </c>
      <c r="AG29" s="77"/>
      <c r="AH29" s="9">
        <v>0.28999999999999998</v>
      </c>
      <c r="AI29" s="261" t="s">
        <v>3154</v>
      </c>
      <c r="AJ29" s="274" t="s">
        <v>3196</v>
      </c>
      <c r="AK29" s="157" t="s">
        <v>3170</v>
      </c>
      <c r="AL29" s="261"/>
      <c r="AM29" s="118"/>
      <c r="AN29" s="261"/>
      <c r="AO29" s="11">
        <v>0.35</v>
      </c>
      <c r="AP29" s="11">
        <v>0</v>
      </c>
      <c r="AQ29" s="11">
        <v>0.2</v>
      </c>
      <c r="AR29" s="11">
        <v>0</v>
      </c>
      <c r="AS29" s="11">
        <v>0</v>
      </c>
      <c r="AT29" s="11">
        <v>0</v>
      </c>
    </row>
    <row r="30" spans="1:46" ht="18" customHeight="1">
      <c r="A30" s="260" t="s">
        <v>992</v>
      </c>
      <c r="B30" s="260" t="s">
        <v>993</v>
      </c>
      <c r="C30" s="260" t="s">
        <v>2371</v>
      </c>
      <c r="D30" s="260" t="s">
        <v>2763</v>
      </c>
      <c r="E30" s="260" t="s">
        <v>2782</v>
      </c>
      <c r="F30" s="260" t="s">
        <v>2783</v>
      </c>
      <c r="G30" s="260" t="s">
        <v>2784</v>
      </c>
      <c r="H30" s="260" t="s">
        <v>2789</v>
      </c>
      <c r="I30" s="260"/>
      <c r="J30" s="260"/>
      <c r="K30" s="260" t="s">
        <v>2790</v>
      </c>
      <c r="L30" s="260" t="s">
        <v>2791</v>
      </c>
      <c r="M30" s="260" t="s">
        <v>2272</v>
      </c>
      <c r="N30" s="260" t="s">
        <v>111</v>
      </c>
      <c r="O30" s="260" t="s">
        <v>112</v>
      </c>
      <c r="P30" s="10">
        <v>0</v>
      </c>
      <c r="Q30" s="11">
        <v>1</v>
      </c>
      <c r="R30" s="11">
        <f t="shared" si="4"/>
        <v>0.43999999999999995</v>
      </c>
      <c r="S30" s="158" t="s">
        <v>3197</v>
      </c>
      <c r="T30" s="11">
        <v>0</v>
      </c>
      <c r="U30" s="11">
        <v>0</v>
      </c>
      <c r="V30" s="11">
        <v>0.15</v>
      </c>
      <c r="W30" s="11">
        <v>0</v>
      </c>
      <c r="X30" s="11">
        <v>0.15</v>
      </c>
      <c r="Y30" s="11">
        <v>0</v>
      </c>
      <c r="Z30" s="11">
        <v>0.15</v>
      </c>
      <c r="AA30" s="11" t="s">
        <v>1106</v>
      </c>
      <c r="AB30" s="11" t="s">
        <v>2792</v>
      </c>
      <c r="AC30" s="11">
        <v>0</v>
      </c>
      <c r="AD30" s="11">
        <v>0.35</v>
      </c>
      <c r="AE30" s="11">
        <v>0</v>
      </c>
      <c r="AF30" s="79">
        <v>0.28999999999999998</v>
      </c>
      <c r="AG30" s="77" t="s">
        <v>3151</v>
      </c>
      <c r="AH30" s="9">
        <f t="shared" si="9"/>
        <v>0.28999999999999998</v>
      </c>
      <c r="AI30" s="261" t="s">
        <v>3154</v>
      </c>
      <c r="AJ30" s="274" t="s">
        <v>3198</v>
      </c>
      <c r="AK30" s="158" t="s">
        <v>3199</v>
      </c>
      <c r="AL30" s="261"/>
      <c r="AM30" s="118"/>
      <c r="AN30" s="261"/>
      <c r="AO30" s="11">
        <v>0.35</v>
      </c>
      <c r="AP30" s="11">
        <v>0</v>
      </c>
      <c r="AQ30" s="11">
        <v>0.15</v>
      </c>
      <c r="AR30" s="11">
        <v>0</v>
      </c>
      <c r="AS30" s="11">
        <v>0</v>
      </c>
      <c r="AT30" s="11">
        <v>0</v>
      </c>
    </row>
    <row r="31" spans="1:46" ht="18" customHeight="1">
      <c r="A31" s="260" t="s">
        <v>992</v>
      </c>
      <c r="B31" s="260" t="s">
        <v>993</v>
      </c>
      <c r="C31" s="260" t="s">
        <v>2371</v>
      </c>
      <c r="D31" s="260" t="s">
        <v>2763</v>
      </c>
      <c r="E31" s="260" t="s">
        <v>2782</v>
      </c>
      <c r="F31" s="260" t="s">
        <v>2783</v>
      </c>
      <c r="G31" s="260" t="s">
        <v>2784</v>
      </c>
      <c r="H31" s="260" t="s">
        <v>2793</v>
      </c>
      <c r="I31" s="260"/>
      <c r="J31" s="260"/>
      <c r="K31" s="260" t="s">
        <v>2794</v>
      </c>
      <c r="L31" s="260" t="s">
        <v>2795</v>
      </c>
      <c r="M31" s="260" t="s">
        <v>131</v>
      </c>
      <c r="N31" s="260" t="s">
        <v>111</v>
      </c>
      <c r="O31" s="260" t="s">
        <v>112</v>
      </c>
      <c r="P31" s="10">
        <v>0</v>
      </c>
      <c r="Q31" s="11">
        <v>1</v>
      </c>
      <c r="R31" s="11">
        <f t="shared" si="4"/>
        <v>0.35</v>
      </c>
      <c r="S31" s="79" t="s">
        <v>3200</v>
      </c>
      <c r="T31" s="11">
        <v>0</v>
      </c>
      <c r="U31" s="11">
        <v>0</v>
      </c>
      <c r="V31" s="11">
        <v>0.1</v>
      </c>
      <c r="W31" s="11">
        <v>0</v>
      </c>
      <c r="X31" s="11">
        <v>0.1</v>
      </c>
      <c r="Y31" s="11">
        <v>0</v>
      </c>
      <c r="Z31" s="11">
        <v>0.1</v>
      </c>
      <c r="AA31" s="11" t="s">
        <v>1106</v>
      </c>
      <c r="AB31" s="11" t="s">
        <v>2796</v>
      </c>
      <c r="AC31" s="11">
        <v>0</v>
      </c>
      <c r="AD31" s="172">
        <v>0.3</v>
      </c>
      <c r="AE31" s="172">
        <v>0</v>
      </c>
      <c r="AF31" s="271">
        <v>0.25</v>
      </c>
      <c r="AG31" s="56"/>
      <c r="AH31" s="173">
        <f>AF31</f>
        <v>0.25</v>
      </c>
      <c r="AI31" s="174" t="s">
        <v>3154</v>
      </c>
      <c r="AJ31" s="312" t="s">
        <v>3201</v>
      </c>
      <c r="AK31" s="174"/>
      <c r="AL31" s="174"/>
      <c r="AM31" s="175"/>
      <c r="AN31" s="174"/>
      <c r="AO31" s="172">
        <v>0.25</v>
      </c>
      <c r="AP31" s="172">
        <v>0</v>
      </c>
      <c r="AQ31" s="172">
        <v>0.35</v>
      </c>
      <c r="AR31" s="172">
        <v>0</v>
      </c>
      <c r="AS31" s="172">
        <v>0</v>
      </c>
      <c r="AT31" s="172">
        <v>0</v>
      </c>
    </row>
    <row r="32" spans="1:46" ht="18" customHeight="1">
      <c r="A32" s="260" t="s">
        <v>992</v>
      </c>
      <c r="B32" s="260" t="s">
        <v>993</v>
      </c>
      <c r="C32" s="260" t="s">
        <v>100</v>
      </c>
      <c r="D32" s="260" t="s">
        <v>1074</v>
      </c>
      <c r="E32" s="260" t="s">
        <v>1075</v>
      </c>
      <c r="F32" s="260" t="s">
        <v>1076</v>
      </c>
      <c r="G32" s="260" t="s">
        <v>1077</v>
      </c>
      <c r="H32" s="260" t="s">
        <v>2801</v>
      </c>
      <c r="I32" s="260"/>
      <c r="J32" s="260"/>
      <c r="K32" s="260" t="s">
        <v>2802</v>
      </c>
      <c r="L32" s="260" t="s">
        <v>2803</v>
      </c>
      <c r="M32" s="260"/>
      <c r="N32" s="260" t="s">
        <v>111</v>
      </c>
      <c r="O32" s="260" t="s">
        <v>112</v>
      </c>
      <c r="P32" s="10">
        <v>22</v>
      </c>
      <c r="Q32" s="11">
        <v>116</v>
      </c>
      <c r="R32" s="11">
        <v>0</v>
      </c>
      <c r="S32" s="275" t="s">
        <v>3202</v>
      </c>
      <c r="T32" s="11"/>
      <c r="U32" s="11"/>
      <c r="V32" s="11"/>
      <c r="W32" s="11"/>
      <c r="X32" s="11"/>
      <c r="Y32" s="11"/>
      <c r="Z32" s="11"/>
      <c r="AA32" s="11"/>
      <c r="AB32" s="11"/>
      <c r="AC32" s="11"/>
      <c r="AD32" s="11">
        <v>40</v>
      </c>
      <c r="AE32" s="11">
        <v>0</v>
      </c>
      <c r="AF32" s="70">
        <v>1</v>
      </c>
      <c r="AG32" s="176"/>
      <c r="AH32" s="261">
        <v>1</v>
      </c>
      <c r="AI32" s="261" t="s">
        <v>3154</v>
      </c>
      <c r="AJ32" s="84" t="s">
        <v>3203</v>
      </c>
      <c r="AK32" s="261"/>
      <c r="AL32" s="261"/>
      <c r="AM32" s="118"/>
      <c r="AN32" s="261"/>
      <c r="AO32" s="261">
        <v>40</v>
      </c>
      <c r="AP32" s="261">
        <v>0</v>
      </c>
      <c r="AQ32" s="261">
        <v>36</v>
      </c>
      <c r="AR32" s="261">
        <v>0</v>
      </c>
      <c r="AS32" s="261">
        <v>0</v>
      </c>
      <c r="AT32" s="261">
        <v>0</v>
      </c>
    </row>
    <row r="33" spans="1:46" ht="18" customHeight="1">
      <c r="A33" s="260" t="s">
        <v>992</v>
      </c>
      <c r="B33" s="260" t="s">
        <v>993</v>
      </c>
      <c r="C33" s="260" t="s">
        <v>100</v>
      </c>
      <c r="D33" s="260" t="s">
        <v>1074</v>
      </c>
      <c r="E33" s="260" t="s">
        <v>1075</v>
      </c>
      <c r="F33" s="260" t="s">
        <v>1076</v>
      </c>
      <c r="G33" s="260" t="s">
        <v>1077</v>
      </c>
      <c r="H33" s="260" t="s">
        <v>2805</v>
      </c>
      <c r="I33" s="260"/>
      <c r="J33" s="260"/>
      <c r="K33" s="260" t="s">
        <v>2806</v>
      </c>
      <c r="L33" s="260" t="s">
        <v>2807</v>
      </c>
      <c r="M33" s="260"/>
      <c r="N33" s="260" t="s">
        <v>111</v>
      </c>
      <c r="O33" s="260" t="s">
        <v>124</v>
      </c>
      <c r="P33" s="10">
        <v>3</v>
      </c>
      <c r="Q33" s="11">
        <v>3</v>
      </c>
      <c r="R33" s="11">
        <v>0</v>
      </c>
      <c r="S33" s="11"/>
      <c r="T33" s="11"/>
      <c r="U33" s="11"/>
      <c r="V33" s="11"/>
      <c r="W33" s="11"/>
      <c r="X33" s="11"/>
      <c r="Y33" s="11"/>
      <c r="Z33" s="11"/>
      <c r="AA33" s="11"/>
      <c r="AB33" s="11"/>
      <c r="AC33" s="11"/>
      <c r="AD33" s="11">
        <v>0</v>
      </c>
      <c r="AE33" s="11">
        <v>3</v>
      </c>
      <c r="AF33" s="70"/>
      <c r="AG33" s="176"/>
      <c r="AH33" s="261"/>
      <c r="AI33" s="261"/>
      <c r="AJ33" s="148"/>
      <c r="AK33" s="261"/>
      <c r="AL33" s="261"/>
      <c r="AM33" s="118"/>
      <c r="AN33" s="261"/>
      <c r="AO33" s="261">
        <v>0</v>
      </c>
      <c r="AP33" s="261">
        <v>3</v>
      </c>
      <c r="AQ33" s="261">
        <v>0</v>
      </c>
      <c r="AR33" s="261">
        <v>3</v>
      </c>
      <c r="AS33" s="261">
        <v>0</v>
      </c>
      <c r="AT33" s="261">
        <v>0</v>
      </c>
    </row>
    <row r="34" spans="1:46" s="3" customFormat="1">
      <c r="L34" s="5"/>
      <c r="AM34" s="124"/>
    </row>
  </sheetData>
  <sheetProtection autoFilter="0"/>
  <autoFilter ref="A11:IZ33" xr:uid="{00000000-0009-0000-0000-000004000000}"/>
  <customSheetViews>
    <customSheetView guid="{75629C99-8367-48E9-A2A2-D8C49A9E68E3}" scale="80" showAutoFilter="1" hiddenRows="1" topLeftCell="T4">
      <selection activeCell="AB24" sqref="AB24"/>
      <pageMargins left="0" right="0" top="0" bottom="0" header="0" footer="0"/>
      <pageSetup orientation="portrait" r:id="rId1"/>
      <autoFilter ref="A11:IZ31" xr:uid="{06A92055-0222-4352-BFB7-F2E738F25E0D}"/>
    </customSheetView>
  </customSheetViews>
  <mergeCells count="20">
    <mergeCell ref="A6:C6"/>
    <mergeCell ref="A8:P10"/>
    <mergeCell ref="Q8:AT8"/>
    <mergeCell ref="Q9:S10"/>
    <mergeCell ref="T9:AC9"/>
    <mergeCell ref="AD9:AK9"/>
    <mergeCell ref="AO9:AP9"/>
    <mergeCell ref="AQ9:AR9"/>
    <mergeCell ref="AS9:AT9"/>
    <mergeCell ref="T10:AC10"/>
    <mergeCell ref="AD10:AK10"/>
    <mergeCell ref="AO10:AP10"/>
    <mergeCell ref="AQ10:AR10"/>
    <mergeCell ref="AS10:AT10"/>
    <mergeCell ref="A1:D4"/>
    <mergeCell ref="E1:I2"/>
    <mergeCell ref="J1:L1"/>
    <mergeCell ref="J2:L3"/>
    <mergeCell ref="E3:I4"/>
    <mergeCell ref="J4:L4"/>
  </mergeCells>
  <conditionalFormatting sqref="K12:K33">
    <cfRule type="duplicateValues" dxfId="17" priority="1"/>
  </conditionalFormatting>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T24"/>
  <sheetViews>
    <sheetView topLeftCell="Q3" zoomScale="80" zoomScaleNormal="80" workbookViewId="0">
      <selection activeCell="Y18" sqref="Y18"/>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5" width="12.7109375" customWidth="1"/>
    <col min="36" max="36" width="17.42578125" bestFit="1" customWidth="1"/>
    <col min="37"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2560</v>
      </c>
      <c r="B13" s="260" t="s">
        <v>2561</v>
      </c>
      <c r="C13" s="260" t="s">
        <v>2371</v>
      </c>
      <c r="D13" s="260" t="s">
        <v>2372</v>
      </c>
      <c r="E13" s="260" t="s">
        <v>2562</v>
      </c>
      <c r="F13" s="260" t="s">
        <v>2563</v>
      </c>
      <c r="G13" s="260" t="s">
        <v>2564</v>
      </c>
      <c r="H13" s="260" t="s">
        <v>2565</v>
      </c>
      <c r="I13" s="260"/>
      <c r="J13" s="260"/>
      <c r="K13" s="260" t="s">
        <v>2566</v>
      </c>
      <c r="L13" s="260" t="s">
        <v>2567</v>
      </c>
      <c r="M13" s="260" t="s">
        <v>2568</v>
      </c>
      <c r="N13" s="260" t="s">
        <v>111</v>
      </c>
      <c r="O13" s="260" t="s">
        <v>112</v>
      </c>
      <c r="P13" s="10">
        <v>4</v>
      </c>
      <c r="Q13" s="11">
        <v>4</v>
      </c>
      <c r="R13" s="11">
        <v>1</v>
      </c>
      <c r="S13" s="261" t="s">
        <v>3204</v>
      </c>
      <c r="T13" s="11">
        <v>1</v>
      </c>
      <c r="U13" s="11">
        <v>0</v>
      </c>
      <c r="V13" s="11">
        <v>1</v>
      </c>
      <c r="W13" s="11">
        <v>0</v>
      </c>
      <c r="X13" s="11">
        <v>1</v>
      </c>
      <c r="Y13" s="11">
        <v>1</v>
      </c>
      <c r="Z13" s="11">
        <v>1</v>
      </c>
      <c r="AA13" s="11" t="s">
        <v>2569</v>
      </c>
      <c r="AB13" s="11" t="s">
        <v>2570</v>
      </c>
      <c r="AC13" s="11" t="s">
        <v>2571</v>
      </c>
      <c r="AD13" s="11">
        <v>1</v>
      </c>
      <c r="AE13" s="11">
        <v>0</v>
      </c>
      <c r="AF13" s="261">
        <v>1</v>
      </c>
      <c r="AG13" s="261">
        <v>0</v>
      </c>
      <c r="AH13" s="9">
        <f t="shared" ref="AH13" si="0">AF13</f>
        <v>1</v>
      </c>
      <c r="AI13" s="73" t="s">
        <v>3205</v>
      </c>
      <c r="AJ13" s="261" t="s">
        <v>3206</v>
      </c>
      <c r="AK13" s="261" t="s">
        <v>3207</v>
      </c>
      <c r="AL13" s="261" t="s">
        <v>3208</v>
      </c>
      <c r="AM13" s="118"/>
      <c r="AN13" s="261"/>
      <c r="AO13" s="11">
        <v>1</v>
      </c>
      <c r="AP13" s="11">
        <v>0</v>
      </c>
      <c r="AQ13" s="11">
        <v>1</v>
      </c>
      <c r="AR13" s="11">
        <v>0</v>
      </c>
      <c r="AS13" s="11">
        <v>0</v>
      </c>
      <c r="AT13" s="11">
        <v>0</v>
      </c>
    </row>
    <row r="14" spans="1:46" ht="18" customHeight="1">
      <c r="A14" s="260" t="s">
        <v>2560</v>
      </c>
      <c r="B14" s="260" t="s">
        <v>2561</v>
      </c>
      <c r="C14" s="260" t="s">
        <v>2371</v>
      </c>
      <c r="D14" s="260" t="s">
        <v>2372</v>
      </c>
      <c r="E14" s="260" t="s">
        <v>2562</v>
      </c>
      <c r="F14" s="260" t="s">
        <v>2563</v>
      </c>
      <c r="G14" s="260" t="s">
        <v>2564</v>
      </c>
      <c r="H14" s="260" t="s">
        <v>2572</v>
      </c>
      <c r="I14" s="260"/>
      <c r="J14" s="260"/>
      <c r="K14" s="260" t="s">
        <v>2573</v>
      </c>
      <c r="L14" s="260" t="s">
        <v>2574</v>
      </c>
      <c r="M14" s="260" t="s">
        <v>2575</v>
      </c>
      <c r="N14" s="260" t="s">
        <v>111</v>
      </c>
      <c r="O14" s="260" t="s">
        <v>302</v>
      </c>
      <c r="P14" s="10">
        <v>5</v>
      </c>
      <c r="Q14" s="11">
        <v>5</v>
      </c>
      <c r="R14" s="11">
        <v>4</v>
      </c>
      <c r="S14" s="73" t="s">
        <v>3209</v>
      </c>
      <c r="T14" s="11">
        <v>0</v>
      </c>
      <c r="U14" s="11">
        <v>5</v>
      </c>
      <c r="V14" s="11">
        <v>0</v>
      </c>
      <c r="W14" s="11">
        <v>5</v>
      </c>
      <c r="X14" s="11" t="s">
        <v>115</v>
      </c>
      <c r="Y14" s="11">
        <v>5</v>
      </c>
      <c r="Z14" s="11">
        <v>5</v>
      </c>
      <c r="AA14" s="11" t="s">
        <v>2576</v>
      </c>
      <c r="AB14" s="11" t="s">
        <v>2577</v>
      </c>
      <c r="AC14" s="11" t="s">
        <v>2578</v>
      </c>
      <c r="AD14" s="11">
        <v>0</v>
      </c>
      <c r="AE14" s="11">
        <v>5</v>
      </c>
      <c r="AF14" s="261">
        <v>0</v>
      </c>
      <c r="AG14" s="261">
        <f>AJ24</f>
        <v>5</v>
      </c>
      <c r="AH14" s="11">
        <f>AG14</f>
        <v>5</v>
      </c>
      <c r="AI14" s="261" t="s">
        <v>3210</v>
      </c>
      <c r="AJ14" s="261" t="s">
        <v>3211</v>
      </c>
      <c r="AK14" s="112" t="s">
        <v>2578</v>
      </c>
      <c r="AL14" s="78" t="s">
        <v>3208</v>
      </c>
      <c r="AM14" s="132"/>
      <c r="AN14" s="112"/>
      <c r="AO14" s="11">
        <v>0</v>
      </c>
      <c r="AP14" s="11">
        <v>5</v>
      </c>
      <c r="AQ14" s="11">
        <v>0</v>
      </c>
      <c r="AR14" s="11">
        <v>5</v>
      </c>
      <c r="AS14" s="11">
        <v>0</v>
      </c>
      <c r="AT14" s="11">
        <v>0</v>
      </c>
    </row>
    <row r="15" spans="1:46" ht="18" customHeight="1">
      <c r="A15" s="260" t="s">
        <v>2560</v>
      </c>
      <c r="B15" s="260" t="s">
        <v>2561</v>
      </c>
      <c r="C15" s="260" t="s">
        <v>2371</v>
      </c>
      <c r="D15" s="260" t="s">
        <v>2372</v>
      </c>
      <c r="E15" s="260" t="s">
        <v>2562</v>
      </c>
      <c r="F15" s="260" t="s">
        <v>2563</v>
      </c>
      <c r="G15" s="260" t="s">
        <v>2564</v>
      </c>
      <c r="H15" s="260" t="s">
        <v>2579</v>
      </c>
      <c r="I15" s="260"/>
      <c r="J15" s="260"/>
      <c r="K15" s="260" t="s">
        <v>2580</v>
      </c>
      <c r="L15" s="260" t="s">
        <v>2581</v>
      </c>
      <c r="M15" s="260" t="s">
        <v>2582</v>
      </c>
      <c r="N15" s="260" t="s">
        <v>111</v>
      </c>
      <c r="O15" s="260" t="s">
        <v>124</v>
      </c>
      <c r="P15" s="10">
        <v>5</v>
      </c>
      <c r="Q15" s="11">
        <v>5</v>
      </c>
      <c r="R15" s="11">
        <v>5</v>
      </c>
      <c r="S15" s="261" t="s">
        <v>3212</v>
      </c>
      <c r="T15" s="11">
        <v>0</v>
      </c>
      <c r="U15" s="11">
        <v>5</v>
      </c>
      <c r="V15" s="11">
        <v>0</v>
      </c>
      <c r="W15" s="11">
        <v>5</v>
      </c>
      <c r="X15" s="11" t="s">
        <v>115</v>
      </c>
      <c r="Y15" s="11">
        <v>5</v>
      </c>
      <c r="Z15" s="11">
        <v>5</v>
      </c>
      <c r="AA15" s="11" t="s">
        <v>2583</v>
      </c>
      <c r="AB15" s="11" t="s">
        <v>2584</v>
      </c>
      <c r="AC15" s="11" t="s">
        <v>2585</v>
      </c>
      <c r="AD15" s="11">
        <v>0</v>
      </c>
      <c r="AE15" s="11">
        <v>5</v>
      </c>
      <c r="AF15" s="261">
        <v>0</v>
      </c>
      <c r="AG15" s="261">
        <v>5</v>
      </c>
      <c r="AH15" s="11">
        <f t="shared" ref="AH15" si="1">AG15</f>
        <v>5</v>
      </c>
      <c r="AI15" s="74" t="s">
        <v>3213</v>
      </c>
      <c r="AJ15" s="74" t="s">
        <v>3214</v>
      </c>
      <c r="AK15" s="111" t="s">
        <v>3215</v>
      </c>
      <c r="AL15" s="111" t="s">
        <v>3208</v>
      </c>
      <c r="AM15" s="133"/>
      <c r="AN15" s="111"/>
      <c r="AO15" s="11">
        <v>0</v>
      </c>
      <c r="AP15" s="11">
        <v>5</v>
      </c>
      <c r="AQ15" s="11">
        <v>0</v>
      </c>
      <c r="AR15" s="11">
        <v>5</v>
      </c>
      <c r="AS15" s="11">
        <v>0</v>
      </c>
      <c r="AT15" s="11">
        <v>0</v>
      </c>
    </row>
    <row r="16" spans="1:46" s="3" customFormat="1">
      <c r="L16" s="5"/>
      <c r="S16" s="55"/>
      <c r="AF16" s="55"/>
      <c r="AG16" s="55"/>
      <c r="AI16" s="55"/>
      <c r="AJ16" s="55"/>
      <c r="AK16" s="55"/>
      <c r="AL16" s="55"/>
      <c r="AM16" s="121"/>
      <c r="AN16" s="55"/>
    </row>
    <row r="17" spans="19:40">
      <c r="S17" s="56"/>
      <c r="AF17" s="497" t="s">
        <v>3216</v>
      </c>
      <c r="AG17" s="497"/>
      <c r="AH17" s="498"/>
      <c r="AI17" s="497"/>
      <c r="AJ17" s="497"/>
      <c r="AK17" s="56"/>
      <c r="AL17" s="56"/>
      <c r="AM17" s="126"/>
      <c r="AN17" s="56"/>
    </row>
    <row r="18" spans="19:40">
      <c r="S18" s="56"/>
      <c r="AF18" s="499" t="s">
        <v>3217</v>
      </c>
      <c r="AG18" s="499"/>
      <c r="AH18" s="500"/>
      <c r="AI18" s="499"/>
      <c r="AJ18" s="499"/>
      <c r="AK18" s="56"/>
      <c r="AL18" s="56"/>
      <c r="AM18" s="126"/>
      <c r="AN18" s="56"/>
    </row>
    <row r="19" spans="19:40">
      <c r="S19" s="56"/>
      <c r="AF19" s="56"/>
      <c r="AG19" s="57" t="s">
        <v>3218</v>
      </c>
      <c r="AH19" s="31" t="s">
        <v>3219</v>
      </c>
      <c r="AI19" s="57" t="s">
        <v>3220</v>
      </c>
      <c r="AJ19" s="57" t="s">
        <v>3221</v>
      </c>
      <c r="AK19" s="56"/>
      <c r="AL19" s="56"/>
      <c r="AM19" s="126"/>
      <c r="AN19" s="56"/>
    </row>
    <row r="20" spans="19:40">
      <c r="S20" s="56"/>
      <c r="AF20" s="58" t="s">
        <v>3222</v>
      </c>
      <c r="AG20" s="59">
        <v>5</v>
      </c>
      <c r="AH20" s="59">
        <v>5</v>
      </c>
      <c r="AI20" s="59">
        <v>5</v>
      </c>
      <c r="AJ20" s="59">
        <f>AVERAGE(AG20:AI20)</f>
        <v>5</v>
      </c>
      <c r="AK20" s="56"/>
      <c r="AL20" s="56"/>
      <c r="AM20" s="126"/>
      <c r="AN20" s="56"/>
    </row>
    <row r="21" spans="19:40">
      <c r="S21" s="56"/>
      <c r="AF21" s="58" t="s">
        <v>3223</v>
      </c>
      <c r="AG21" s="59">
        <v>5</v>
      </c>
      <c r="AH21" s="59">
        <v>5</v>
      </c>
      <c r="AI21" s="59">
        <v>5</v>
      </c>
      <c r="AJ21" s="59">
        <f>AVERAGE(AG21:AI21)</f>
        <v>5</v>
      </c>
      <c r="AK21" s="56"/>
      <c r="AL21" s="56"/>
      <c r="AM21" s="126"/>
      <c r="AN21" s="56"/>
    </row>
    <row r="22" spans="19:40">
      <c r="AF22" s="30" t="s">
        <v>3224</v>
      </c>
      <c r="AG22" s="59">
        <v>5</v>
      </c>
      <c r="AH22" s="59">
        <v>5</v>
      </c>
      <c r="AI22" s="59">
        <v>5</v>
      </c>
      <c r="AJ22" s="59">
        <v>5</v>
      </c>
    </row>
    <row r="23" spans="19:40">
      <c r="AF23" s="30" t="s">
        <v>3225</v>
      </c>
      <c r="AG23" s="59">
        <v>5</v>
      </c>
      <c r="AH23" s="59">
        <v>5</v>
      </c>
      <c r="AI23" s="59"/>
      <c r="AJ23" s="59"/>
    </row>
    <row r="24" spans="19:40">
      <c r="AG24" s="32"/>
      <c r="AH24" s="32"/>
      <c r="AI24" s="33" t="s">
        <v>3226</v>
      </c>
      <c r="AJ24" s="35">
        <f>AVERAGE(AJ20:AJ23)</f>
        <v>5</v>
      </c>
    </row>
  </sheetData>
  <sheetProtection autoFilter="0"/>
  <autoFilter ref="A12:IZ15" xr:uid="{00000000-0009-0000-0000-000005000000}"/>
  <customSheetViews>
    <customSheetView guid="{75629C99-8367-48E9-A2A2-D8C49A9E68E3}" scale="80" showAutoFilter="1" hiddenRows="1" topLeftCell="D1">
      <selection activeCell="K26" sqref="K26"/>
      <pageMargins left="0" right="0" top="0" bottom="0" header="0" footer="0"/>
      <pageSetup orientation="portrait" r:id="rId1"/>
      <autoFilter ref="A12:IZ15" xr:uid="{346C76BA-5DAD-468D-8CD9-549FA03B6451}"/>
    </customSheetView>
  </customSheetViews>
  <mergeCells count="23">
    <mergeCell ref="AF18:AJ18"/>
    <mergeCell ref="T11:AC11"/>
    <mergeCell ref="AD11:AK11"/>
    <mergeCell ref="AO11:AP11"/>
    <mergeCell ref="AQ11:AR11"/>
    <mergeCell ref="AS11:AT11"/>
    <mergeCell ref="AF17:AJ17"/>
    <mergeCell ref="A6:C6"/>
    <mergeCell ref="A7:C7"/>
    <mergeCell ref="A9:P11"/>
    <mergeCell ref="Q9:AT9"/>
    <mergeCell ref="Q10:S11"/>
    <mergeCell ref="T10:AC10"/>
    <mergeCell ref="AD10:AK10"/>
    <mergeCell ref="AO10:AP10"/>
    <mergeCell ref="AQ10:AR10"/>
    <mergeCell ref="AS10:AT10"/>
    <mergeCell ref="A1:D4"/>
    <mergeCell ref="E1:I2"/>
    <mergeCell ref="J1:L1"/>
    <mergeCell ref="J2:L3"/>
    <mergeCell ref="E3:I4"/>
    <mergeCell ref="J4:L4"/>
  </mergeCells>
  <phoneticPr fontId="17" type="noConversion"/>
  <conditionalFormatting sqref="K13:K15">
    <cfRule type="duplicateValues" dxfId="16" priority="1"/>
  </conditionalFormatting>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tabColor rgb="FFFF0000"/>
  </sheetPr>
  <dimension ref="A1:AT73"/>
  <sheetViews>
    <sheetView topLeftCell="T7" zoomScale="70" zoomScaleNormal="70" workbookViewId="0">
      <pane ySplit="6" topLeftCell="H29" activePane="bottomLeft" state="frozen"/>
      <selection pane="bottomLeft" activeCell="H27" sqref="H27"/>
      <selection activeCell="AL12" sqref="AL12:AN12"/>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5" width="12.7109375" customWidth="1"/>
    <col min="36" max="36" width="17" customWidth="1"/>
    <col min="37" max="38" width="12.7109375" customWidth="1"/>
    <col min="39" max="39" width="12.7109375" style="119" customWidth="1"/>
    <col min="40"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101.45"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82" t="s">
        <v>44</v>
      </c>
      <c r="AE12" s="82"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s="300" customFormat="1" ht="18" hidden="1" customHeight="1">
      <c r="A13" s="281" t="s">
        <v>292</v>
      </c>
      <c r="B13" s="281" t="s">
        <v>293</v>
      </c>
      <c r="C13" s="281" t="s">
        <v>100</v>
      </c>
      <c r="D13" s="281" t="s">
        <v>101</v>
      </c>
      <c r="E13" s="281" t="s">
        <v>294</v>
      </c>
      <c r="F13" s="281" t="s">
        <v>295</v>
      </c>
      <c r="G13" s="281" t="s">
        <v>296</v>
      </c>
      <c r="H13" s="281" t="s">
        <v>297</v>
      </c>
      <c r="I13" s="281"/>
      <c r="J13" s="281" t="s">
        <v>298</v>
      </c>
      <c r="K13" s="281" t="s">
        <v>299</v>
      </c>
      <c r="L13" s="281" t="s">
        <v>300</v>
      </c>
      <c r="M13" s="281" t="s">
        <v>301</v>
      </c>
      <c r="N13" s="281" t="s">
        <v>123</v>
      </c>
      <c r="O13" s="281" t="s">
        <v>302</v>
      </c>
      <c r="P13" s="282">
        <v>94.5</v>
      </c>
      <c r="Q13" s="283">
        <v>100</v>
      </c>
      <c r="R13" s="283">
        <v>80</v>
      </c>
      <c r="S13" s="284" t="s">
        <v>3227</v>
      </c>
      <c r="T13" s="283">
        <v>0</v>
      </c>
      <c r="U13" s="283">
        <v>100</v>
      </c>
      <c r="V13" s="283">
        <v>0</v>
      </c>
      <c r="W13" s="283">
        <v>100</v>
      </c>
      <c r="X13" s="283" t="s">
        <v>115</v>
      </c>
      <c r="Y13" s="283">
        <v>100</v>
      </c>
      <c r="Z13" s="283">
        <v>100</v>
      </c>
      <c r="AA13" s="283" t="s">
        <v>303</v>
      </c>
      <c r="AB13" s="283" t="s">
        <v>304</v>
      </c>
      <c r="AC13" s="283">
        <v>0</v>
      </c>
      <c r="AD13" s="283">
        <v>0</v>
      </c>
      <c r="AE13" s="283">
        <v>100</v>
      </c>
      <c r="AF13" s="284"/>
      <c r="AG13" s="284">
        <f>AH13</f>
        <v>100</v>
      </c>
      <c r="AH13" s="283">
        <f>AJ49</f>
        <v>100</v>
      </c>
      <c r="AI13" s="285" t="s">
        <v>3228</v>
      </c>
      <c r="AJ13" s="285" t="s">
        <v>3229</v>
      </c>
      <c r="AK13" s="285"/>
      <c r="AL13" s="285"/>
      <c r="AM13" s="305"/>
      <c r="AN13" s="285"/>
      <c r="AO13" s="283">
        <v>0</v>
      </c>
      <c r="AP13" s="283">
        <v>100</v>
      </c>
      <c r="AQ13" s="283">
        <v>0</v>
      </c>
      <c r="AR13" s="283">
        <v>100</v>
      </c>
      <c r="AS13" s="283">
        <v>0</v>
      </c>
      <c r="AT13" s="283">
        <v>0</v>
      </c>
    </row>
    <row r="14" spans="1:46" s="300" customFormat="1" ht="18" hidden="1" customHeight="1">
      <c r="A14" s="281" t="s">
        <v>292</v>
      </c>
      <c r="B14" s="281" t="s">
        <v>293</v>
      </c>
      <c r="C14" s="281" t="s">
        <v>100</v>
      </c>
      <c r="D14" s="281" t="s">
        <v>101</v>
      </c>
      <c r="E14" s="281" t="s">
        <v>294</v>
      </c>
      <c r="F14" s="281" t="s">
        <v>363</v>
      </c>
      <c r="G14" s="281" t="s">
        <v>364</v>
      </c>
      <c r="H14" s="281" t="s">
        <v>365</v>
      </c>
      <c r="I14" s="281" t="s">
        <v>255</v>
      </c>
      <c r="J14" s="281" t="s">
        <v>366</v>
      </c>
      <c r="K14" s="281" t="s">
        <v>367</v>
      </c>
      <c r="L14" s="281" t="s">
        <v>368</v>
      </c>
      <c r="M14" s="281" t="s">
        <v>369</v>
      </c>
      <c r="N14" s="281" t="s">
        <v>111</v>
      </c>
      <c r="O14" s="281" t="s">
        <v>124</v>
      </c>
      <c r="P14" s="282">
        <v>1</v>
      </c>
      <c r="Q14" s="283">
        <v>1</v>
      </c>
      <c r="R14" s="283">
        <v>0.5</v>
      </c>
      <c r="S14" s="284" t="s">
        <v>3230</v>
      </c>
      <c r="T14" s="283">
        <v>0</v>
      </c>
      <c r="U14" s="283">
        <v>1</v>
      </c>
      <c r="V14" s="283">
        <v>0</v>
      </c>
      <c r="W14" s="283">
        <v>1</v>
      </c>
      <c r="X14" s="283" t="s">
        <v>115</v>
      </c>
      <c r="Y14" s="283">
        <v>1</v>
      </c>
      <c r="Z14" s="283">
        <v>1</v>
      </c>
      <c r="AA14" s="283">
        <v>0</v>
      </c>
      <c r="AB14" s="283" t="s">
        <v>370</v>
      </c>
      <c r="AC14" s="283" t="s">
        <v>371</v>
      </c>
      <c r="AD14" s="283">
        <v>0</v>
      </c>
      <c r="AE14" s="283">
        <v>1</v>
      </c>
      <c r="AF14" s="284"/>
      <c r="AG14" s="284">
        <v>1</v>
      </c>
      <c r="AH14" s="283">
        <f>AG14</f>
        <v>1</v>
      </c>
      <c r="AI14" s="285" t="s">
        <v>3231</v>
      </c>
      <c r="AJ14" s="285" t="s">
        <v>3232</v>
      </c>
      <c r="AK14" s="285" t="s">
        <v>3233</v>
      </c>
      <c r="AL14" s="298"/>
      <c r="AM14" s="299"/>
      <c r="AN14" s="298"/>
      <c r="AO14" s="283">
        <v>0</v>
      </c>
      <c r="AP14" s="283">
        <v>1</v>
      </c>
      <c r="AQ14" s="283">
        <v>0</v>
      </c>
      <c r="AR14" s="283">
        <v>1</v>
      </c>
      <c r="AS14" s="283">
        <v>0</v>
      </c>
      <c r="AT14" s="283">
        <v>0</v>
      </c>
    </row>
    <row r="15" spans="1:46" s="300" customFormat="1" ht="18" hidden="1" customHeight="1">
      <c r="A15" s="281" t="s">
        <v>292</v>
      </c>
      <c r="B15" s="281" t="s">
        <v>293</v>
      </c>
      <c r="C15" s="281" t="s">
        <v>100</v>
      </c>
      <c r="D15" s="281" t="s">
        <v>101</v>
      </c>
      <c r="E15" s="281" t="s">
        <v>294</v>
      </c>
      <c r="F15" s="281" t="s">
        <v>372</v>
      </c>
      <c r="G15" s="281" t="s">
        <v>373</v>
      </c>
      <c r="H15" s="281" t="s">
        <v>374</v>
      </c>
      <c r="I15" s="281" t="s">
        <v>255</v>
      </c>
      <c r="J15" s="281"/>
      <c r="K15" s="281" t="s">
        <v>375</v>
      </c>
      <c r="L15" s="281" t="s">
        <v>376</v>
      </c>
      <c r="M15" s="281" t="s">
        <v>377</v>
      </c>
      <c r="N15" s="281" t="s">
        <v>111</v>
      </c>
      <c r="O15" s="281" t="s">
        <v>112</v>
      </c>
      <c r="P15" s="282">
        <v>3000</v>
      </c>
      <c r="Q15" s="283">
        <v>6000</v>
      </c>
      <c r="R15" s="286">
        <v>443</v>
      </c>
      <c r="S15" s="284" t="s">
        <v>3234</v>
      </c>
      <c r="T15" s="283">
        <v>3000</v>
      </c>
      <c r="U15" s="283">
        <v>0</v>
      </c>
      <c r="V15" s="283">
        <v>443</v>
      </c>
      <c r="W15" s="283">
        <v>0</v>
      </c>
      <c r="X15" s="283">
        <v>443</v>
      </c>
      <c r="Y15" s="283">
        <v>0</v>
      </c>
      <c r="Z15" s="283">
        <v>443</v>
      </c>
      <c r="AA15" s="283" t="s">
        <v>378</v>
      </c>
      <c r="AB15" s="283" t="s">
        <v>379</v>
      </c>
      <c r="AC15" s="283" t="s">
        <v>380</v>
      </c>
      <c r="AD15" s="283">
        <v>3726</v>
      </c>
      <c r="AE15" s="283">
        <v>0</v>
      </c>
      <c r="AF15" s="107">
        <v>3778</v>
      </c>
      <c r="AG15" s="284"/>
      <c r="AH15" s="286">
        <f>AF15</f>
        <v>3778</v>
      </c>
      <c r="AI15" s="285" t="s">
        <v>3235</v>
      </c>
      <c r="AJ15" s="288" t="s">
        <v>3236</v>
      </c>
      <c r="AK15" s="285"/>
      <c r="AL15" s="298"/>
      <c r="AM15" s="299"/>
      <c r="AN15" s="298"/>
      <c r="AO15" s="283">
        <v>700</v>
      </c>
      <c r="AP15" s="283">
        <v>0</v>
      </c>
      <c r="AQ15" s="283">
        <v>531</v>
      </c>
      <c r="AR15" s="283">
        <v>0</v>
      </c>
      <c r="AS15" s="283">
        <v>0</v>
      </c>
      <c r="AT15" s="283">
        <v>0</v>
      </c>
    </row>
    <row r="16" spans="1:46" s="300" customFormat="1" ht="18" hidden="1" customHeight="1">
      <c r="A16" s="281" t="s">
        <v>292</v>
      </c>
      <c r="B16" s="281" t="s">
        <v>293</v>
      </c>
      <c r="C16" s="281" t="s">
        <v>100</v>
      </c>
      <c r="D16" s="281" t="s">
        <v>101</v>
      </c>
      <c r="E16" s="281" t="s">
        <v>294</v>
      </c>
      <c r="F16" s="281" t="s">
        <v>372</v>
      </c>
      <c r="G16" s="281" t="s">
        <v>373</v>
      </c>
      <c r="H16" s="281" t="s">
        <v>381</v>
      </c>
      <c r="I16" s="281" t="s">
        <v>106</v>
      </c>
      <c r="J16" s="287" t="s">
        <v>382</v>
      </c>
      <c r="K16" s="281" t="s">
        <v>383</v>
      </c>
      <c r="L16" s="281" t="s">
        <v>384</v>
      </c>
      <c r="M16" s="281" t="s">
        <v>385</v>
      </c>
      <c r="N16" s="281" t="s">
        <v>123</v>
      </c>
      <c r="O16" s="281" t="s">
        <v>124</v>
      </c>
      <c r="P16" s="282">
        <v>100</v>
      </c>
      <c r="Q16" s="283">
        <v>100</v>
      </c>
      <c r="R16" s="283">
        <v>50</v>
      </c>
      <c r="S16" s="284" t="s">
        <v>3237</v>
      </c>
      <c r="T16" s="283">
        <v>0</v>
      </c>
      <c r="U16" s="283">
        <v>100</v>
      </c>
      <c r="V16" s="283">
        <v>0</v>
      </c>
      <c r="W16" s="283">
        <v>100</v>
      </c>
      <c r="X16" s="283" t="s">
        <v>115</v>
      </c>
      <c r="Y16" s="283">
        <v>100</v>
      </c>
      <c r="Z16" s="283">
        <v>100</v>
      </c>
      <c r="AA16" s="283" t="s">
        <v>386</v>
      </c>
      <c r="AB16" s="283" t="s">
        <v>387</v>
      </c>
      <c r="AC16" s="283">
        <v>0</v>
      </c>
      <c r="AD16" s="283">
        <v>0</v>
      </c>
      <c r="AE16" s="283">
        <v>100</v>
      </c>
      <c r="AF16" s="284"/>
      <c r="AG16" s="284">
        <v>73.3</v>
      </c>
      <c r="AH16" s="283">
        <f t="shared" ref="AH16" si="0">AG16</f>
        <v>73.3</v>
      </c>
      <c r="AI16" s="285"/>
      <c r="AJ16" s="285" t="s">
        <v>3238</v>
      </c>
      <c r="AK16" s="285"/>
      <c r="AL16" s="298"/>
      <c r="AM16" s="299"/>
      <c r="AN16" s="298"/>
      <c r="AO16" s="283">
        <v>0</v>
      </c>
      <c r="AP16" s="283">
        <v>100</v>
      </c>
      <c r="AQ16" s="283">
        <v>0</v>
      </c>
      <c r="AR16" s="283">
        <v>100</v>
      </c>
      <c r="AS16" s="283">
        <v>0</v>
      </c>
      <c r="AT16" s="283">
        <v>0</v>
      </c>
    </row>
    <row r="17" spans="1:46" s="300" customFormat="1" ht="18" hidden="1" customHeight="1">
      <c r="A17" s="281" t="s">
        <v>292</v>
      </c>
      <c r="B17" s="281" t="s">
        <v>293</v>
      </c>
      <c r="C17" s="281" t="s">
        <v>100</v>
      </c>
      <c r="D17" s="281" t="s">
        <v>508</v>
      </c>
      <c r="E17" s="281" t="s">
        <v>509</v>
      </c>
      <c r="F17" s="281" t="s">
        <v>604</v>
      </c>
      <c r="G17" s="281" t="s">
        <v>605</v>
      </c>
      <c r="H17" s="281" t="s">
        <v>606</v>
      </c>
      <c r="I17" s="281" t="s">
        <v>255</v>
      </c>
      <c r="J17" s="281" t="s">
        <v>607</v>
      </c>
      <c r="K17" s="281" t="s">
        <v>608</v>
      </c>
      <c r="L17" s="281" t="s">
        <v>609</v>
      </c>
      <c r="M17" s="281" t="s">
        <v>610</v>
      </c>
      <c r="N17" s="281" t="s">
        <v>123</v>
      </c>
      <c r="O17" s="281" t="s">
        <v>112</v>
      </c>
      <c r="P17" s="282">
        <v>0</v>
      </c>
      <c r="Q17" s="283">
        <v>100</v>
      </c>
      <c r="R17" s="286">
        <v>5</v>
      </c>
      <c r="S17" s="288" t="s">
        <v>3239</v>
      </c>
      <c r="T17" s="283">
        <v>5</v>
      </c>
      <c r="U17" s="283">
        <v>0</v>
      </c>
      <c r="V17" s="283">
        <v>5</v>
      </c>
      <c r="W17" s="283">
        <v>0</v>
      </c>
      <c r="X17" s="283">
        <v>5</v>
      </c>
      <c r="Y17" s="283">
        <v>0</v>
      </c>
      <c r="Z17" s="283">
        <v>5</v>
      </c>
      <c r="AA17" s="283" t="s">
        <v>611</v>
      </c>
      <c r="AB17" s="283" t="s">
        <v>612</v>
      </c>
      <c r="AC17" s="283">
        <v>0</v>
      </c>
      <c r="AD17" s="283">
        <v>63</v>
      </c>
      <c r="AE17" s="283">
        <v>0</v>
      </c>
      <c r="AF17" s="284">
        <v>63</v>
      </c>
      <c r="AG17" s="284"/>
      <c r="AH17" s="286">
        <f t="shared" ref="AH17:AH20" si="1">AF17</f>
        <v>63</v>
      </c>
      <c r="AI17" s="285"/>
      <c r="AJ17" s="288" t="s">
        <v>3240</v>
      </c>
      <c r="AK17" s="285"/>
      <c r="AL17" s="298"/>
      <c r="AM17" s="299"/>
      <c r="AN17" s="298"/>
      <c r="AO17" s="283">
        <v>20</v>
      </c>
      <c r="AP17" s="283">
        <v>0</v>
      </c>
      <c r="AQ17" s="283">
        <v>12</v>
      </c>
      <c r="AR17" s="283">
        <v>0</v>
      </c>
      <c r="AS17" s="283">
        <v>0</v>
      </c>
      <c r="AT17" s="283">
        <v>0</v>
      </c>
    </row>
    <row r="18" spans="1:46" s="300" customFormat="1" ht="18" hidden="1" customHeight="1">
      <c r="A18" s="281" t="s">
        <v>292</v>
      </c>
      <c r="B18" s="281" t="s">
        <v>293</v>
      </c>
      <c r="C18" s="281" t="s">
        <v>100</v>
      </c>
      <c r="D18" s="281" t="s">
        <v>508</v>
      </c>
      <c r="E18" s="281" t="s">
        <v>509</v>
      </c>
      <c r="F18" s="281" t="s">
        <v>604</v>
      </c>
      <c r="G18" s="281" t="s">
        <v>605</v>
      </c>
      <c r="H18" s="281" t="s">
        <v>613</v>
      </c>
      <c r="I18" s="281" t="s">
        <v>255</v>
      </c>
      <c r="J18" s="281" t="s">
        <v>298</v>
      </c>
      <c r="K18" s="281" t="s">
        <v>614</v>
      </c>
      <c r="L18" s="281" t="s">
        <v>615</v>
      </c>
      <c r="M18" s="281" t="s">
        <v>616</v>
      </c>
      <c r="N18" s="281" t="s">
        <v>111</v>
      </c>
      <c r="O18" s="281" t="s">
        <v>112</v>
      </c>
      <c r="P18" s="282">
        <v>30000</v>
      </c>
      <c r="Q18" s="283">
        <v>20000</v>
      </c>
      <c r="R18" s="286">
        <v>0</v>
      </c>
      <c r="S18" s="284"/>
      <c r="T18" s="283">
        <v>0</v>
      </c>
      <c r="U18" s="283">
        <v>0</v>
      </c>
      <c r="V18" s="283">
        <v>0</v>
      </c>
      <c r="W18" s="283">
        <v>0</v>
      </c>
      <c r="X18" s="283">
        <v>0</v>
      </c>
      <c r="Y18" s="283">
        <v>0</v>
      </c>
      <c r="Z18" s="283">
        <v>0</v>
      </c>
      <c r="AA18" s="283"/>
      <c r="AB18" s="283"/>
      <c r="AC18" s="283"/>
      <c r="AD18" s="283">
        <v>3500</v>
      </c>
      <c r="AE18" s="283">
        <v>0</v>
      </c>
      <c r="AF18" s="284">
        <v>2885</v>
      </c>
      <c r="AG18" s="284"/>
      <c r="AH18" s="286">
        <f t="shared" si="1"/>
        <v>2885</v>
      </c>
      <c r="AI18" s="285"/>
      <c r="AJ18" s="288" t="s">
        <v>3241</v>
      </c>
      <c r="AK18" s="285"/>
      <c r="AL18" s="298"/>
      <c r="AM18" s="299"/>
      <c r="AN18" s="298"/>
      <c r="AO18" s="283">
        <v>8500</v>
      </c>
      <c r="AP18" s="283">
        <v>0</v>
      </c>
      <c r="AQ18" s="283">
        <v>8000</v>
      </c>
      <c r="AR18" s="283">
        <v>0</v>
      </c>
      <c r="AS18" s="283">
        <v>0</v>
      </c>
      <c r="AT18" s="283">
        <v>0</v>
      </c>
    </row>
    <row r="19" spans="1:46" s="300" customFormat="1" ht="18" hidden="1" customHeight="1">
      <c r="A19" s="281" t="s">
        <v>292</v>
      </c>
      <c r="B19" s="281" t="s">
        <v>293</v>
      </c>
      <c r="C19" s="281" t="s">
        <v>100</v>
      </c>
      <c r="D19" s="281" t="s">
        <v>508</v>
      </c>
      <c r="E19" s="281" t="s">
        <v>509</v>
      </c>
      <c r="F19" s="281" t="s">
        <v>604</v>
      </c>
      <c r="G19" s="281" t="s">
        <v>605</v>
      </c>
      <c r="H19" s="281" t="s">
        <v>617</v>
      </c>
      <c r="I19" s="281" t="s">
        <v>255</v>
      </c>
      <c r="J19" s="281"/>
      <c r="K19" s="281" t="s">
        <v>618</v>
      </c>
      <c r="L19" s="281" t="s">
        <v>619</v>
      </c>
      <c r="M19" s="281" t="s">
        <v>620</v>
      </c>
      <c r="N19" s="281" t="s">
        <v>111</v>
      </c>
      <c r="O19" s="281" t="s">
        <v>112</v>
      </c>
      <c r="P19" s="282">
        <v>0</v>
      </c>
      <c r="Q19" s="283">
        <v>1</v>
      </c>
      <c r="R19" s="286">
        <v>0</v>
      </c>
      <c r="S19" s="289" t="s">
        <v>3242</v>
      </c>
      <c r="T19" s="283">
        <v>0</v>
      </c>
      <c r="U19" s="283">
        <v>0</v>
      </c>
      <c r="V19" s="283">
        <v>0</v>
      </c>
      <c r="W19" s="283">
        <v>0</v>
      </c>
      <c r="X19" s="283">
        <v>0</v>
      </c>
      <c r="Y19" s="283">
        <v>0</v>
      </c>
      <c r="Z19" s="283">
        <v>0</v>
      </c>
      <c r="AA19" s="283"/>
      <c r="AB19" s="283"/>
      <c r="AC19" s="283"/>
      <c r="AD19" s="283">
        <v>0.2</v>
      </c>
      <c r="AE19" s="283">
        <v>0</v>
      </c>
      <c r="AF19" s="284">
        <v>0.05</v>
      </c>
      <c r="AG19" s="284"/>
      <c r="AH19" s="286">
        <f t="shared" si="1"/>
        <v>0.05</v>
      </c>
      <c r="AI19" s="285"/>
      <c r="AJ19" s="288" t="s">
        <v>3243</v>
      </c>
      <c r="AK19" s="285"/>
      <c r="AL19" s="298"/>
      <c r="AM19" s="299"/>
      <c r="AN19" s="298"/>
      <c r="AO19" s="283">
        <v>0.4</v>
      </c>
      <c r="AP19" s="283">
        <v>0</v>
      </c>
      <c r="AQ19" s="283">
        <v>0.4</v>
      </c>
      <c r="AR19" s="283">
        <v>0</v>
      </c>
      <c r="AS19" s="283">
        <v>0</v>
      </c>
      <c r="AT19" s="283">
        <v>0</v>
      </c>
    </row>
    <row r="20" spans="1:46" s="300" customFormat="1" ht="18" hidden="1" customHeight="1">
      <c r="A20" s="281" t="s">
        <v>292</v>
      </c>
      <c r="B20" s="281" t="s">
        <v>293</v>
      </c>
      <c r="C20" s="281" t="s">
        <v>100</v>
      </c>
      <c r="D20" s="281" t="s">
        <v>508</v>
      </c>
      <c r="E20" s="281" t="s">
        <v>509</v>
      </c>
      <c r="F20" s="281" t="s">
        <v>604</v>
      </c>
      <c r="G20" s="281" t="s">
        <v>605</v>
      </c>
      <c r="H20" s="281" t="s">
        <v>621</v>
      </c>
      <c r="I20" s="281" t="s">
        <v>255</v>
      </c>
      <c r="J20" s="281" t="s">
        <v>622</v>
      </c>
      <c r="K20" s="281" t="s">
        <v>623</v>
      </c>
      <c r="L20" s="281" t="s">
        <v>624</v>
      </c>
      <c r="M20" s="281" t="s">
        <v>625</v>
      </c>
      <c r="N20" s="281" t="s">
        <v>123</v>
      </c>
      <c r="O20" s="281" t="s">
        <v>112</v>
      </c>
      <c r="P20" s="282">
        <v>0</v>
      </c>
      <c r="Q20" s="283">
        <v>100</v>
      </c>
      <c r="R20" s="286">
        <v>0</v>
      </c>
      <c r="S20" s="284"/>
      <c r="T20" s="283">
        <v>0</v>
      </c>
      <c r="U20" s="283">
        <v>0</v>
      </c>
      <c r="V20" s="283">
        <v>0</v>
      </c>
      <c r="W20" s="283">
        <v>0</v>
      </c>
      <c r="X20" s="283">
        <v>0</v>
      </c>
      <c r="Y20" s="283">
        <v>0</v>
      </c>
      <c r="Z20" s="283">
        <v>0</v>
      </c>
      <c r="AA20" s="283"/>
      <c r="AB20" s="283"/>
      <c r="AC20" s="283"/>
      <c r="AD20" s="283">
        <v>79</v>
      </c>
      <c r="AE20" s="283">
        <v>0</v>
      </c>
      <c r="AF20" s="284">
        <v>79</v>
      </c>
      <c r="AG20" s="284"/>
      <c r="AH20" s="286">
        <f t="shared" si="1"/>
        <v>79</v>
      </c>
      <c r="AI20" s="285"/>
      <c r="AJ20" s="285" t="s">
        <v>3244</v>
      </c>
      <c r="AK20" s="285" t="s">
        <v>3245</v>
      </c>
      <c r="AL20" s="298"/>
      <c r="AM20" s="299"/>
      <c r="AN20" s="298"/>
      <c r="AO20" s="283">
        <v>11</v>
      </c>
      <c r="AP20" s="283">
        <v>0</v>
      </c>
      <c r="AQ20" s="283">
        <v>10</v>
      </c>
      <c r="AR20" s="283">
        <v>0</v>
      </c>
      <c r="AS20" s="283">
        <v>0</v>
      </c>
      <c r="AT20" s="283">
        <v>0</v>
      </c>
    </row>
    <row r="21" spans="1:46" s="300" customFormat="1" ht="18" hidden="1" customHeight="1">
      <c r="A21" s="281" t="s">
        <v>292</v>
      </c>
      <c r="B21" s="281" t="s">
        <v>293</v>
      </c>
      <c r="C21" s="281" t="s">
        <v>100</v>
      </c>
      <c r="D21" s="281" t="s">
        <v>508</v>
      </c>
      <c r="E21" s="281" t="s">
        <v>509</v>
      </c>
      <c r="F21" s="281" t="s">
        <v>604</v>
      </c>
      <c r="G21" s="281" t="s">
        <v>605</v>
      </c>
      <c r="H21" s="281" t="s">
        <v>626</v>
      </c>
      <c r="I21" s="281" t="s">
        <v>255</v>
      </c>
      <c r="J21" s="281"/>
      <c r="K21" s="281" t="s">
        <v>627</v>
      </c>
      <c r="L21" s="281" t="s">
        <v>628</v>
      </c>
      <c r="M21" s="281" t="s">
        <v>629</v>
      </c>
      <c r="N21" s="281" t="s">
        <v>111</v>
      </c>
      <c r="O21" s="281" t="s">
        <v>124</v>
      </c>
      <c r="P21" s="282">
        <v>0</v>
      </c>
      <c r="Q21" s="283">
        <v>9</v>
      </c>
      <c r="R21" s="283">
        <v>4.5</v>
      </c>
      <c r="S21" s="284"/>
      <c r="T21" s="283">
        <v>0</v>
      </c>
      <c r="U21" s="283">
        <v>9</v>
      </c>
      <c r="V21" s="283">
        <v>0</v>
      </c>
      <c r="W21" s="283">
        <v>9</v>
      </c>
      <c r="X21" s="283" t="s">
        <v>115</v>
      </c>
      <c r="Y21" s="283">
        <v>9</v>
      </c>
      <c r="Z21" s="283">
        <v>9</v>
      </c>
      <c r="AA21" s="283">
        <v>0</v>
      </c>
      <c r="AB21" s="283" t="s">
        <v>630</v>
      </c>
      <c r="AC21" s="283">
        <v>0</v>
      </c>
      <c r="AD21" s="283">
        <v>0</v>
      </c>
      <c r="AE21" s="283">
        <v>9</v>
      </c>
      <c r="AF21" s="284"/>
      <c r="AG21" s="284">
        <v>9</v>
      </c>
      <c r="AH21" s="283">
        <f>AG21</f>
        <v>9</v>
      </c>
      <c r="AI21" s="285"/>
      <c r="AJ21" s="288" t="s">
        <v>3246</v>
      </c>
      <c r="AK21" s="285"/>
      <c r="AL21" s="298"/>
      <c r="AM21" s="299"/>
      <c r="AN21" s="298"/>
      <c r="AO21" s="283">
        <v>0</v>
      </c>
      <c r="AP21" s="283">
        <v>9</v>
      </c>
      <c r="AQ21" s="283">
        <v>0</v>
      </c>
      <c r="AR21" s="283">
        <v>9</v>
      </c>
      <c r="AS21" s="283">
        <v>0</v>
      </c>
      <c r="AT21" s="283">
        <v>0</v>
      </c>
    </row>
    <row r="22" spans="1:46" s="300" customFormat="1" ht="18" hidden="1" customHeight="1">
      <c r="A22" s="281" t="s">
        <v>292</v>
      </c>
      <c r="B22" s="281" t="s">
        <v>293</v>
      </c>
      <c r="C22" s="281" t="s">
        <v>100</v>
      </c>
      <c r="D22" s="281" t="s">
        <v>508</v>
      </c>
      <c r="E22" s="281" t="s">
        <v>509</v>
      </c>
      <c r="F22" s="281" t="s">
        <v>604</v>
      </c>
      <c r="G22" s="281" t="s">
        <v>605</v>
      </c>
      <c r="H22" s="281" t="s">
        <v>631</v>
      </c>
      <c r="I22" s="281" t="s">
        <v>255</v>
      </c>
      <c r="J22" s="281" t="s">
        <v>632</v>
      </c>
      <c r="K22" s="281" t="s">
        <v>633</v>
      </c>
      <c r="L22" s="281" t="s">
        <v>634</v>
      </c>
      <c r="M22" s="281" t="s">
        <v>635</v>
      </c>
      <c r="N22" s="281" t="s">
        <v>111</v>
      </c>
      <c r="O22" s="281" t="s">
        <v>112</v>
      </c>
      <c r="P22" s="282">
        <v>1245</v>
      </c>
      <c r="Q22" s="283">
        <v>1450</v>
      </c>
      <c r="R22" s="283">
        <v>206</v>
      </c>
      <c r="S22" s="284" t="s">
        <v>3247</v>
      </c>
      <c r="T22" s="283">
        <v>0</v>
      </c>
      <c r="U22" s="283">
        <v>1400</v>
      </c>
      <c r="V22" s="283">
        <v>0</v>
      </c>
      <c r="W22" s="283">
        <v>1400</v>
      </c>
      <c r="X22" s="283" t="s">
        <v>115</v>
      </c>
      <c r="Y22" s="283">
        <v>412</v>
      </c>
      <c r="Z22" s="283">
        <v>412</v>
      </c>
      <c r="AA22" s="283" t="s">
        <v>636</v>
      </c>
      <c r="AB22" s="283" t="s">
        <v>637</v>
      </c>
      <c r="AC22" s="283">
        <v>0</v>
      </c>
      <c r="AD22" s="283">
        <v>1038</v>
      </c>
      <c r="AE22" s="283">
        <v>0</v>
      </c>
      <c r="AF22" s="284">
        <v>1038</v>
      </c>
      <c r="AG22" s="284"/>
      <c r="AH22" s="283">
        <f>AF22</f>
        <v>1038</v>
      </c>
      <c r="AI22" s="285" t="s">
        <v>3248</v>
      </c>
      <c r="AJ22" s="285" t="s">
        <v>3249</v>
      </c>
      <c r="AK22" s="285"/>
      <c r="AL22" s="298"/>
      <c r="AM22" s="299"/>
      <c r="AN22" s="298"/>
      <c r="AO22" s="283">
        <v>0</v>
      </c>
      <c r="AP22" s="283">
        <v>1450</v>
      </c>
      <c r="AQ22" s="283">
        <v>0</v>
      </c>
      <c r="AR22" s="283">
        <v>1450</v>
      </c>
      <c r="AS22" s="283">
        <v>0</v>
      </c>
      <c r="AT22" s="283">
        <v>0</v>
      </c>
    </row>
    <row r="23" spans="1:46" s="300" customFormat="1" ht="18" hidden="1" customHeight="1">
      <c r="A23" s="281" t="s">
        <v>292</v>
      </c>
      <c r="B23" s="281" t="s">
        <v>293</v>
      </c>
      <c r="C23" s="281" t="s">
        <v>100</v>
      </c>
      <c r="D23" s="281" t="s">
        <v>508</v>
      </c>
      <c r="E23" s="281" t="s">
        <v>509</v>
      </c>
      <c r="F23" s="281" t="s">
        <v>604</v>
      </c>
      <c r="G23" s="281" t="s">
        <v>605</v>
      </c>
      <c r="H23" s="281" t="s">
        <v>638</v>
      </c>
      <c r="I23" s="281" t="s">
        <v>255</v>
      </c>
      <c r="J23" s="281" t="s">
        <v>298</v>
      </c>
      <c r="K23" s="281" t="s">
        <v>639</v>
      </c>
      <c r="L23" s="281" t="s">
        <v>640</v>
      </c>
      <c r="M23" s="281" t="s">
        <v>641</v>
      </c>
      <c r="N23" s="281" t="s">
        <v>111</v>
      </c>
      <c r="O23" s="281" t="s">
        <v>124</v>
      </c>
      <c r="P23" s="282">
        <v>230</v>
      </c>
      <c r="Q23" s="283">
        <v>230</v>
      </c>
      <c r="R23" s="283">
        <v>112</v>
      </c>
      <c r="S23" s="285" t="s">
        <v>3250</v>
      </c>
      <c r="T23" s="283">
        <v>0</v>
      </c>
      <c r="U23" s="283">
        <v>230</v>
      </c>
      <c r="V23" s="283">
        <v>0</v>
      </c>
      <c r="W23" s="283">
        <v>230</v>
      </c>
      <c r="X23" s="283" t="s">
        <v>115</v>
      </c>
      <c r="Y23" s="283">
        <v>224</v>
      </c>
      <c r="Z23" s="283">
        <v>224</v>
      </c>
      <c r="AA23" s="283" t="s">
        <v>642</v>
      </c>
      <c r="AB23" s="283" t="s">
        <v>643</v>
      </c>
      <c r="AC23" s="283">
        <v>0</v>
      </c>
      <c r="AD23" s="283">
        <v>0</v>
      </c>
      <c r="AE23" s="283">
        <v>230</v>
      </c>
      <c r="AF23" s="284"/>
      <c r="AG23" s="284">
        <v>225</v>
      </c>
      <c r="AH23" s="283">
        <f t="shared" ref="AH23:AH24" si="2">AG23</f>
        <v>225</v>
      </c>
      <c r="AI23" s="285"/>
      <c r="AJ23" s="285" t="s">
        <v>3251</v>
      </c>
      <c r="AK23" s="285"/>
      <c r="AL23" s="298"/>
      <c r="AM23" s="299"/>
      <c r="AN23" s="298"/>
      <c r="AO23" s="283">
        <v>0</v>
      </c>
      <c r="AP23" s="283">
        <v>230</v>
      </c>
      <c r="AQ23" s="283">
        <v>0</v>
      </c>
      <c r="AR23" s="283">
        <v>230</v>
      </c>
      <c r="AS23" s="283">
        <v>0</v>
      </c>
      <c r="AT23" s="283">
        <v>0</v>
      </c>
    </row>
    <row r="24" spans="1:46" s="300" customFormat="1" ht="18" hidden="1" customHeight="1">
      <c r="A24" s="281" t="s">
        <v>292</v>
      </c>
      <c r="B24" s="281" t="s">
        <v>293</v>
      </c>
      <c r="C24" s="281" t="s">
        <v>100</v>
      </c>
      <c r="D24" s="281" t="s">
        <v>508</v>
      </c>
      <c r="E24" s="281" t="s">
        <v>509</v>
      </c>
      <c r="F24" s="281" t="s">
        <v>604</v>
      </c>
      <c r="G24" s="281" t="s">
        <v>605</v>
      </c>
      <c r="H24" s="281" t="s">
        <v>644</v>
      </c>
      <c r="I24" s="281" t="s">
        <v>255</v>
      </c>
      <c r="J24" s="281"/>
      <c r="K24" s="281" t="s">
        <v>645</v>
      </c>
      <c r="L24" s="281" t="s">
        <v>646</v>
      </c>
      <c r="M24" s="281" t="s">
        <v>647</v>
      </c>
      <c r="N24" s="281" t="s">
        <v>123</v>
      </c>
      <c r="O24" s="281" t="s">
        <v>124</v>
      </c>
      <c r="P24" s="282">
        <v>50</v>
      </c>
      <c r="Q24" s="283">
        <v>100</v>
      </c>
      <c r="R24" s="283">
        <v>50</v>
      </c>
      <c r="S24" s="284" t="s">
        <v>3252</v>
      </c>
      <c r="T24" s="283">
        <v>0</v>
      </c>
      <c r="U24" s="283">
        <v>100</v>
      </c>
      <c r="V24" s="283">
        <v>0</v>
      </c>
      <c r="W24" s="283">
        <v>100</v>
      </c>
      <c r="X24" s="283" t="s">
        <v>115</v>
      </c>
      <c r="Y24" s="283">
        <v>100</v>
      </c>
      <c r="Z24" s="283">
        <v>100</v>
      </c>
      <c r="AA24" s="283">
        <v>0</v>
      </c>
      <c r="AB24" s="283" t="s">
        <v>648</v>
      </c>
      <c r="AC24" s="283">
        <v>0</v>
      </c>
      <c r="AD24" s="283">
        <v>0</v>
      </c>
      <c r="AE24" s="283">
        <v>100</v>
      </c>
      <c r="AF24" s="284"/>
      <c r="AG24" s="284">
        <v>100</v>
      </c>
      <c r="AH24" s="283">
        <f t="shared" si="2"/>
        <v>100</v>
      </c>
      <c r="AI24" s="285"/>
      <c r="AJ24" s="288" t="s">
        <v>3253</v>
      </c>
      <c r="AK24" s="285"/>
      <c r="AL24" s="298"/>
      <c r="AM24" s="299"/>
      <c r="AN24" s="298"/>
      <c r="AO24" s="283">
        <v>0</v>
      </c>
      <c r="AP24" s="283">
        <v>100</v>
      </c>
      <c r="AQ24" s="283">
        <v>0</v>
      </c>
      <c r="AR24" s="283">
        <v>100</v>
      </c>
      <c r="AS24" s="283">
        <v>0</v>
      </c>
      <c r="AT24" s="283">
        <v>0</v>
      </c>
    </row>
    <row r="25" spans="1:46" s="304" customFormat="1" ht="18" hidden="1" customHeight="1">
      <c r="A25" s="290" t="s">
        <v>292</v>
      </c>
      <c r="B25" s="290" t="s">
        <v>293</v>
      </c>
      <c r="C25" s="290" t="s">
        <v>100</v>
      </c>
      <c r="D25" s="290" t="s">
        <v>508</v>
      </c>
      <c r="E25" s="290" t="s">
        <v>509</v>
      </c>
      <c r="F25" s="290" t="s">
        <v>604</v>
      </c>
      <c r="G25" s="290" t="s">
        <v>605</v>
      </c>
      <c r="H25" s="290" t="s">
        <v>649</v>
      </c>
      <c r="I25" s="290" t="s">
        <v>255</v>
      </c>
      <c r="J25" s="291" t="s">
        <v>650</v>
      </c>
      <c r="K25" s="290" t="s">
        <v>651</v>
      </c>
      <c r="L25" s="290" t="s">
        <v>652</v>
      </c>
      <c r="M25" s="290" t="s">
        <v>653</v>
      </c>
      <c r="N25" s="290" t="s">
        <v>123</v>
      </c>
      <c r="O25" s="290" t="s">
        <v>112</v>
      </c>
      <c r="P25" s="292">
        <v>52</v>
      </c>
      <c r="Q25" s="293">
        <v>100</v>
      </c>
      <c r="R25" s="294">
        <v>25</v>
      </c>
      <c r="S25" s="295" t="s">
        <v>3254</v>
      </c>
      <c r="T25" s="293">
        <v>25</v>
      </c>
      <c r="U25" s="293">
        <v>0</v>
      </c>
      <c r="V25" s="293">
        <v>25</v>
      </c>
      <c r="W25" s="293">
        <v>0</v>
      </c>
      <c r="X25" s="293">
        <v>25</v>
      </c>
      <c r="Y25" s="293">
        <v>0</v>
      </c>
      <c r="Z25" s="293">
        <v>25</v>
      </c>
      <c r="AA25" s="293" t="s">
        <v>654</v>
      </c>
      <c r="AB25" s="293" t="s">
        <v>655</v>
      </c>
      <c r="AC25" s="293">
        <v>0</v>
      </c>
      <c r="AD25" s="293">
        <v>50</v>
      </c>
      <c r="AE25" s="293">
        <v>0</v>
      </c>
      <c r="AF25" s="382">
        <v>59.78</v>
      </c>
      <c r="AG25" s="296"/>
      <c r="AH25" s="294">
        <f t="shared" ref="AH25:AH26" si="3">AF25</f>
        <v>59.78</v>
      </c>
      <c r="AI25" s="297" t="s">
        <v>3255</v>
      </c>
      <c r="AJ25" s="295" t="s">
        <v>3256</v>
      </c>
      <c r="AK25" s="301" t="s">
        <v>3257</v>
      </c>
      <c r="AL25" s="302"/>
      <c r="AM25" s="303"/>
      <c r="AN25" s="302"/>
      <c r="AO25" s="293">
        <v>15</v>
      </c>
      <c r="AP25" s="293">
        <v>0</v>
      </c>
      <c r="AQ25" s="293">
        <v>10</v>
      </c>
      <c r="AR25" s="293">
        <v>0</v>
      </c>
      <c r="AS25" s="293">
        <v>0</v>
      </c>
      <c r="AT25" s="293">
        <v>0</v>
      </c>
    </row>
    <row r="26" spans="1:46" s="300" customFormat="1" ht="18" hidden="1" customHeight="1">
      <c r="A26" s="281" t="s">
        <v>292</v>
      </c>
      <c r="B26" s="281" t="s">
        <v>293</v>
      </c>
      <c r="C26" s="281" t="s">
        <v>100</v>
      </c>
      <c r="D26" s="281" t="s">
        <v>508</v>
      </c>
      <c r="E26" s="281" t="s">
        <v>509</v>
      </c>
      <c r="F26" s="281" t="s">
        <v>697</v>
      </c>
      <c r="G26" s="281" t="s">
        <v>698</v>
      </c>
      <c r="H26" s="281" t="s">
        <v>699</v>
      </c>
      <c r="I26" s="281" t="s">
        <v>255</v>
      </c>
      <c r="J26" s="281" t="s">
        <v>298</v>
      </c>
      <c r="K26" s="281" t="s">
        <v>700</v>
      </c>
      <c r="L26" s="281" t="s">
        <v>701</v>
      </c>
      <c r="M26" s="281" t="s">
        <v>702</v>
      </c>
      <c r="N26" s="281" t="s">
        <v>111</v>
      </c>
      <c r="O26" s="281" t="s">
        <v>112</v>
      </c>
      <c r="P26" s="282">
        <v>2200</v>
      </c>
      <c r="Q26" s="283">
        <v>7000</v>
      </c>
      <c r="R26" s="286">
        <v>871</v>
      </c>
      <c r="S26" s="284" t="s">
        <v>704</v>
      </c>
      <c r="T26" s="283">
        <v>960</v>
      </c>
      <c r="U26" s="283">
        <v>0</v>
      </c>
      <c r="V26" s="283">
        <v>858</v>
      </c>
      <c r="W26" s="283">
        <v>0</v>
      </c>
      <c r="X26" s="283">
        <v>871</v>
      </c>
      <c r="Y26" s="283">
        <v>0</v>
      </c>
      <c r="Z26" s="283">
        <v>871</v>
      </c>
      <c r="AA26" s="283" t="s">
        <v>703</v>
      </c>
      <c r="AB26" s="283" t="s">
        <v>704</v>
      </c>
      <c r="AC26" s="283" t="s">
        <v>705</v>
      </c>
      <c r="AD26" s="283">
        <v>2500</v>
      </c>
      <c r="AE26" s="283">
        <v>0</v>
      </c>
      <c r="AF26" s="107">
        <v>818</v>
      </c>
      <c r="AG26" s="284"/>
      <c r="AH26" s="286">
        <f t="shared" si="3"/>
        <v>818</v>
      </c>
      <c r="AI26" s="285" t="s">
        <v>3258</v>
      </c>
      <c r="AJ26" s="288" t="s">
        <v>3259</v>
      </c>
      <c r="AK26" s="285" t="s">
        <v>3260</v>
      </c>
      <c r="AL26" s="298"/>
      <c r="AM26" s="299"/>
      <c r="AN26" s="298"/>
      <c r="AO26" s="283">
        <v>2500</v>
      </c>
      <c r="AP26" s="283">
        <v>0</v>
      </c>
      <c r="AQ26" s="283">
        <v>1129</v>
      </c>
      <c r="AR26" s="283">
        <v>0</v>
      </c>
      <c r="AS26" s="283">
        <v>0</v>
      </c>
      <c r="AT26" s="283">
        <v>0</v>
      </c>
    </row>
    <row r="27" spans="1:46" s="300" customFormat="1" ht="18" hidden="1" customHeight="1">
      <c r="A27" s="281" t="s">
        <v>292</v>
      </c>
      <c r="B27" s="281" t="s">
        <v>293</v>
      </c>
      <c r="C27" s="281" t="s">
        <v>100</v>
      </c>
      <c r="D27" s="281" t="s">
        <v>508</v>
      </c>
      <c r="E27" s="281" t="s">
        <v>509</v>
      </c>
      <c r="F27" s="281" t="s">
        <v>713</v>
      </c>
      <c r="G27" s="281" t="s">
        <v>714</v>
      </c>
      <c r="H27" s="281" t="s">
        <v>715</v>
      </c>
      <c r="I27" s="281" t="s">
        <v>255</v>
      </c>
      <c r="J27" s="281" t="s">
        <v>531</v>
      </c>
      <c r="K27" s="281" t="s">
        <v>716</v>
      </c>
      <c r="L27" s="281" t="s">
        <v>717</v>
      </c>
      <c r="M27" s="281" t="s">
        <v>718</v>
      </c>
      <c r="N27" s="281" t="s">
        <v>111</v>
      </c>
      <c r="O27" s="281" t="s">
        <v>302</v>
      </c>
      <c r="P27" s="282">
        <v>185000</v>
      </c>
      <c r="Q27" s="283">
        <v>200000</v>
      </c>
      <c r="R27" s="283">
        <v>159377.20000000001</v>
      </c>
      <c r="S27" s="284" t="s">
        <v>3261</v>
      </c>
      <c r="T27" s="283">
        <v>0</v>
      </c>
      <c r="U27" s="283">
        <v>200000</v>
      </c>
      <c r="V27" s="283">
        <v>0</v>
      </c>
      <c r="W27" s="283">
        <v>200000</v>
      </c>
      <c r="X27" s="283" t="s">
        <v>115</v>
      </c>
      <c r="Y27" s="283">
        <v>199221.5</v>
      </c>
      <c r="Z27" s="283">
        <v>199221.5</v>
      </c>
      <c r="AA27" s="283" t="s">
        <v>719</v>
      </c>
      <c r="AB27" s="283" t="s">
        <v>720</v>
      </c>
      <c r="AC27" s="283">
        <v>0</v>
      </c>
      <c r="AD27" s="283">
        <v>0</v>
      </c>
      <c r="AE27" s="283">
        <v>200000</v>
      </c>
      <c r="AF27" s="284"/>
      <c r="AG27" s="284">
        <f>AH27</f>
        <v>198853.5</v>
      </c>
      <c r="AH27" s="283">
        <f>AJ57</f>
        <v>198853.5</v>
      </c>
      <c r="AI27" s="285" t="s">
        <v>3262</v>
      </c>
      <c r="AJ27" s="285" t="s">
        <v>3263</v>
      </c>
      <c r="AK27" s="285" t="s">
        <v>3264</v>
      </c>
      <c r="AL27" s="298"/>
      <c r="AM27" s="299"/>
      <c r="AN27" s="298"/>
      <c r="AO27" s="283">
        <v>0</v>
      </c>
      <c r="AP27" s="283">
        <v>200000</v>
      </c>
      <c r="AQ27" s="283">
        <v>0</v>
      </c>
      <c r="AR27" s="283">
        <v>200000</v>
      </c>
      <c r="AS27" s="283">
        <v>0</v>
      </c>
      <c r="AT27" s="283">
        <v>0</v>
      </c>
    </row>
    <row r="28" spans="1:46" s="300" customFormat="1" ht="18" hidden="1" customHeight="1">
      <c r="A28" s="281" t="s">
        <v>292</v>
      </c>
      <c r="B28" s="281" t="s">
        <v>293</v>
      </c>
      <c r="C28" s="281" t="s">
        <v>100</v>
      </c>
      <c r="D28" s="281" t="s">
        <v>508</v>
      </c>
      <c r="E28" s="281" t="s">
        <v>509</v>
      </c>
      <c r="F28" s="281" t="s">
        <v>713</v>
      </c>
      <c r="G28" s="281" t="s">
        <v>714</v>
      </c>
      <c r="H28" s="281" t="s">
        <v>721</v>
      </c>
      <c r="I28" s="281" t="s">
        <v>255</v>
      </c>
      <c r="J28" s="281" t="s">
        <v>316</v>
      </c>
      <c r="K28" s="281" t="s">
        <v>722</v>
      </c>
      <c r="L28" s="281" t="s">
        <v>723</v>
      </c>
      <c r="M28" s="281" t="s">
        <v>724</v>
      </c>
      <c r="N28" s="281" t="s">
        <v>111</v>
      </c>
      <c r="O28" s="281" t="s">
        <v>112</v>
      </c>
      <c r="P28" s="282">
        <v>51449</v>
      </c>
      <c r="Q28" s="283">
        <v>52000</v>
      </c>
      <c r="R28" s="283">
        <v>0</v>
      </c>
      <c r="S28" s="284" t="s">
        <v>3265</v>
      </c>
      <c r="T28" s="283">
        <v>0</v>
      </c>
      <c r="U28" s="283">
        <v>0</v>
      </c>
      <c r="V28" s="283">
        <v>0</v>
      </c>
      <c r="W28" s="283">
        <v>0</v>
      </c>
      <c r="X28" s="283" t="s">
        <v>115</v>
      </c>
      <c r="Y28" s="283">
        <v>0</v>
      </c>
      <c r="Z28" s="283">
        <v>0</v>
      </c>
      <c r="AA28" s="283"/>
      <c r="AB28" s="283"/>
      <c r="AC28" s="283"/>
      <c r="AD28" s="283">
        <v>10000</v>
      </c>
      <c r="AE28" s="283">
        <v>0</v>
      </c>
      <c r="AF28" s="284">
        <v>41593</v>
      </c>
      <c r="AG28" s="284"/>
      <c r="AH28" s="283">
        <f>AF28</f>
        <v>41593</v>
      </c>
      <c r="AI28" s="285" t="s">
        <v>3266</v>
      </c>
      <c r="AJ28" s="288" t="s">
        <v>3267</v>
      </c>
      <c r="AK28" s="285" t="s">
        <v>3268</v>
      </c>
      <c r="AL28" s="298"/>
      <c r="AM28" s="299"/>
      <c r="AN28" s="298"/>
      <c r="AO28" s="283">
        <v>21000</v>
      </c>
      <c r="AP28" s="283">
        <v>0</v>
      </c>
      <c r="AQ28" s="283">
        <v>21000</v>
      </c>
      <c r="AR28" s="283">
        <v>0</v>
      </c>
      <c r="AS28" s="283">
        <v>0</v>
      </c>
      <c r="AT28" s="283">
        <v>0</v>
      </c>
    </row>
    <row r="29" spans="1:46" s="300" customFormat="1" ht="18" customHeight="1">
      <c r="A29" s="281" t="s">
        <v>292</v>
      </c>
      <c r="B29" s="281" t="s">
        <v>293</v>
      </c>
      <c r="C29" s="281" t="s">
        <v>100</v>
      </c>
      <c r="D29" s="281" t="s">
        <v>508</v>
      </c>
      <c r="E29" s="281" t="s">
        <v>509</v>
      </c>
      <c r="F29" s="281" t="s">
        <v>713</v>
      </c>
      <c r="G29" s="281" t="s">
        <v>714</v>
      </c>
      <c r="H29" s="281" t="s">
        <v>725</v>
      </c>
      <c r="I29" s="281" t="s">
        <v>255</v>
      </c>
      <c r="J29" s="281" t="s">
        <v>316</v>
      </c>
      <c r="K29" s="281" t="s">
        <v>726</v>
      </c>
      <c r="L29" s="281" t="s">
        <v>727</v>
      </c>
      <c r="M29" s="281" t="s">
        <v>728</v>
      </c>
      <c r="N29" s="281" t="s">
        <v>111</v>
      </c>
      <c r="O29" s="281" t="s">
        <v>112</v>
      </c>
      <c r="P29" s="282">
        <v>2534</v>
      </c>
      <c r="Q29" s="283">
        <v>1400</v>
      </c>
      <c r="R29" s="286">
        <v>275</v>
      </c>
      <c r="S29" s="284"/>
      <c r="T29" s="283">
        <v>350</v>
      </c>
      <c r="U29" s="283">
        <v>0</v>
      </c>
      <c r="V29" s="283">
        <v>275</v>
      </c>
      <c r="W29" s="283">
        <v>0</v>
      </c>
      <c r="X29" s="283">
        <v>275</v>
      </c>
      <c r="Y29" s="283">
        <v>0</v>
      </c>
      <c r="Z29" s="283">
        <v>275</v>
      </c>
      <c r="AA29" s="283" t="s">
        <v>3269</v>
      </c>
      <c r="AB29" s="283"/>
      <c r="AC29" s="283">
        <v>0</v>
      </c>
      <c r="AD29" s="283">
        <v>600</v>
      </c>
      <c r="AE29" s="283">
        <v>0</v>
      </c>
      <c r="AF29" s="261">
        <v>393</v>
      </c>
      <c r="AG29" s="284"/>
      <c r="AH29" s="286">
        <f t="shared" ref="AH29:AH33" si="4">AF29</f>
        <v>393</v>
      </c>
      <c r="AI29" s="285"/>
      <c r="AJ29" s="285" t="s">
        <v>3270</v>
      </c>
      <c r="AK29" s="285" t="s">
        <v>3271</v>
      </c>
      <c r="AL29" s="298"/>
      <c r="AM29" s="299"/>
      <c r="AN29" s="298"/>
      <c r="AO29" s="283">
        <v>262</v>
      </c>
      <c r="AP29" s="283">
        <v>0</v>
      </c>
      <c r="AQ29" s="283">
        <v>263</v>
      </c>
      <c r="AR29" s="283">
        <v>0</v>
      </c>
      <c r="AS29" s="283">
        <v>0</v>
      </c>
      <c r="AT29" s="283">
        <v>0</v>
      </c>
    </row>
    <row r="30" spans="1:46" s="300" customFormat="1" ht="18" hidden="1" customHeight="1">
      <c r="A30" s="281" t="s">
        <v>292</v>
      </c>
      <c r="B30" s="281" t="s">
        <v>293</v>
      </c>
      <c r="C30" s="281" t="s">
        <v>100</v>
      </c>
      <c r="D30" s="281" t="s">
        <v>508</v>
      </c>
      <c r="E30" s="281" t="s">
        <v>509</v>
      </c>
      <c r="F30" s="281" t="s">
        <v>713</v>
      </c>
      <c r="G30" s="281" t="s">
        <v>714</v>
      </c>
      <c r="H30" s="281" t="s">
        <v>730</v>
      </c>
      <c r="I30" s="281" t="s">
        <v>255</v>
      </c>
      <c r="J30" s="281"/>
      <c r="K30" s="281" t="s">
        <v>731</v>
      </c>
      <c r="L30" s="281" t="s">
        <v>732</v>
      </c>
      <c r="M30" s="281" t="s">
        <v>733</v>
      </c>
      <c r="N30" s="281" t="s">
        <v>111</v>
      </c>
      <c r="O30" s="281" t="s">
        <v>112</v>
      </c>
      <c r="P30" s="282">
        <v>26</v>
      </c>
      <c r="Q30" s="283">
        <v>14</v>
      </c>
      <c r="R30" s="286">
        <v>1</v>
      </c>
      <c r="S30" s="284" t="s">
        <v>3272</v>
      </c>
      <c r="T30" s="283">
        <v>1</v>
      </c>
      <c r="U30" s="283">
        <v>0</v>
      </c>
      <c r="V30" s="283">
        <v>1</v>
      </c>
      <c r="W30" s="283">
        <v>0</v>
      </c>
      <c r="X30" s="283">
        <v>1</v>
      </c>
      <c r="Y30" s="283">
        <v>0</v>
      </c>
      <c r="Z30" s="283">
        <v>1</v>
      </c>
      <c r="AA30" s="283" t="s">
        <v>734</v>
      </c>
      <c r="AB30" s="283" t="s">
        <v>735</v>
      </c>
      <c r="AC30" s="283">
        <v>0</v>
      </c>
      <c r="AD30" s="283">
        <v>2</v>
      </c>
      <c r="AE30" s="283">
        <v>0</v>
      </c>
      <c r="AF30" s="284">
        <v>1</v>
      </c>
      <c r="AG30" s="284"/>
      <c r="AH30" s="286">
        <f t="shared" si="4"/>
        <v>1</v>
      </c>
      <c r="AI30" s="285"/>
      <c r="AJ30" s="285" t="s">
        <v>3273</v>
      </c>
      <c r="AK30" s="285"/>
      <c r="AL30" s="298"/>
      <c r="AM30" s="299"/>
      <c r="AN30" s="298"/>
      <c r="AO30" s="283">
        <v>6</v>
      </c>
      <c r="AP30" s="283">
        <v>0</v>
      </c>
      <c r="AQ30" s="283">
        <v>5</v>
      </c>
      <c r="AR30" s="283">
        <v>0</v>
      </c>
      <c r="AS30" s="283">
        <v>0</v>
      </c>
      <c r="AT30" s="283">
        <v>0</v>
      </c>
    </row>
    <row r="31" spans="1:46" s="300" customFormat="1" ht="18" hidden="1" customHeight="1">
      <c r="A31" s="281" t="s">
        <v>292</v>
      </c>
      <c r="B31" s="281" t="s">
        <v>293</v>
      </c>
      <c r="C31" s="281" t="s">
        <v>100</v>
      </c>
      <c r="D31" s="281" t="s">
        <v>508</v>
      </c>
      <c r="E31" s="281" t="s">
        <v>509</v>
      </c>
      <c r="F31" s="281" t="s">
        <v>713</v>
      </c>
      <c r="G31" s="281" t="s">
        <v>714</v>
      </c>
      <c r="H31" s="281" t="s">
        <v>736</v>
      </c>
      <c r="I31" s="281" t="s">
        <v>255</v>
      </c>
      <c r="J31" s="281"/>
      <c r="K31" s="281" t="s">
        <v>737</v>
      </c>
      <c r="L31" s="281" t="s">
        <v>738</v>
      </c>
      <c r="M31" s="281" t="s">
        <v>739</v>
      </c>
      <c r="N31" s="281" t="s">
        <v>111</v>
      </c>
      <c r="O31" s="281" t="s">
        <v>112</v>
      </c>
      <c r="P31" s="282">
        <v>0</v>
      </c>
      <c r="Q31" s="283">
        <v>400</v>
      </c>
      <c r="R31" s="286">
        <v>42</v>
      </c>
      <c r="S31" s="284" t="s">
        <v>3274</v>
      </c>
      <c r="T31" s="283">
        <v>20</v>
      </c>
      <c r="U31" s="283">
        <v>0</v>
      </c>
      <c r="V31" s="283">
        <v>42</v>
      </c>
      <c r="W31" s="283">
        <v>0</v>
      </c>
      <c r="X31" s="283">
        <v>42</v>
      </c>
      <c r="Y31" s="283">
        <v>0</v>
      </c>
      <c r="Z31" s="283">
        <v>42</v>
      </c>
      <c r="AA31" s="283" t="s">
        <v>740</v>
      </c>
      <c r="AB31" s="283" t="s">
        <v>741</v>
      </c>
      <c r="AC31" s="283">
        <v>0</v>
      </c>
      <c r="AD31" s="283">
        <v>118</v>
      </c>
      <c r="AE31" s="283">
        <v>0</v>
      </c>
      <c r="AF31" s="107">
        <v>135</v>
      </c>
      <c r="AG31" s="284"/>
      <c r="AH31" s="286">
        <f t="shared" si="4"/>
        <v>135</v>
      </c>
      <c r="AI31" s="285" t="s">
        <v>3275</v>
      </c>
      <c r="AJ31" s="285" t="s">
        <v>3276</v>
      </c>
      <c r="AK31" s="285"/>
      <c r="AL31" s="298"/>
      <c r="AM31" s="299"/>
      <c r="AN31" s="298"/>
      <c r="AO31" s="283">
        <v>120</v>
      </c>
      <c r="AP31" s="283">
        <v>0</v>
      </c>
      <c r="AQ31" s="283">
        <v>120</v>
      </c>
      <c r="AR31" s="283">
        <v>0</v>
      </c>
      <c r="AS31" s="283">
        <v>0</v>
      </c>
      <c r="AT31" s="283">
        <v>0</v>
      </c>
    </row>
    <row r="32" spans="1:46" s="300" customFormat="1" ht="18" hidden="1" customHeight="1">
      <c r="A32" s="281" t="s">
        <v>292</v>
      </c>
      <c r="B32" s="281" t="s">
        <v>293</v>
      </c>
      <c r="C32" s="281" t="s">
        <v>100</v>
      </c>
      <c r="D32" s="281" t="s">
        <v>508</v>
      </c>
      <c r="E32" s="281" t="s">
        <v>509</v>
      </c>
      <c r="F32" s="281" t="s">
        <v>713</v>
      </c>
      <c r="G32" s="281" t="s">
        <v>714</v>
      </c>
      <c r="H32" s="281" t="s">
        <v>742</v>
      </c>
      <c r="I32" s="281" t="s">
        <v>255</v>
      </c>
      <c r="J32" s="281"/>
      <c r="K32" s="281" t="s">
        <v>743</v>
      </c>
      <c r="L32" s="281" t="s">
        <v>744</v>
      </c>
      <c r="M32" s="281" t="s">
        <v>745</v>
      </c>
      <c r="N32" s="281" t="s">
        <v>111</v>
      </c>
      <c r="O32" s="281" t="s">
        <v>112</v>
      </c>
      <c r="P32" s="282">
        <v>1035</v>
      </c>
      <c r="Q32" s="283">
        <v>900</v>
      </c>
      <c r="R32" s="286">
        <v>0</v>
      </c>
      <c r="S32" s="284"/>
      <c r="T32" s="283">
        <v>45</v>
      </c>
      <c r="U32" s="283">
        <v>0</v>
      </c>
      <c r="V32" s="283">
        <v>0</v>
      </c>
      <c r="W32" s="283">
        <v>0</v>
      </c>
      <c r="X32" s="283">
        <v>0</v>
      </c>
      <c r="Y32" s="283">
        <v>0</v>
      </c>
      <c r="Z32" s="283">
        <v>0</v>
      </c>
      <c r="AA32" s="283"/>
      <c r="AB32" s="283"/>
      <c r="AC32" s="283"/>
      <c r="AD32" s="283">
        <v>0</v>
      </c>
      <c r="AE32" s="283">
        <v>0</v>
      </c>
      <c r="AF32" s="284"/>
      <c r="AG32" s="284"/>
      <c r="AH32" s="286">
        <f t="shared" si="4"/>
        <v>0</v>
      </c>
      <c r="AI32" s="285"/>
      <c r="AJ32" s="285"/>
      <c r="AK32" s="285"/>
      <c r="AL32" s="298"/>
      <c r="AM32" s="299"/>
      <c r="AN32" s="298"/>
      <c r="AO32" s="283">
        <v>495</v>
      </c>
      <c r="AP32" s="283">
        <v>0</v>
      </c>
      <c r="AQ32" s="283">
        <v>405</v>
      </c>
      <c r="AR32" s="283">
        <v>0</v>
      </c>
      <c r="AS32" s="283">
        <v>0</v>
      </c>
      <c r="AT32" s="283">
        <v>0</v>
      </c>
    </row>
    <row r="33" spans="1:46" s="300" customFormat="1" ht="18" hidden="1" customHeight="1">
      <c r="A33" s="281" t="s">
        <v>292</v>
      </c>
      <c r="B33" s="281" t="s">
        <v>293</v>
      </c>
      <c r="C33" s="281" t="s">
        <v>100</v>
      </c>
      <c r="D33" s="281" t="s">
        <v>508</v>
      </c>
      <c r="E33" s="281" t="s">
        <v>509</v>
      </c>
      <c r="F33" s="281" t="s">
        <v>713</v>
      </c>
      <c r="G33" s="281" t="s">
        <v>714</v>
      </c>
      <c r="H33" s="281" t="s">
        <v>746</v>
      </c>
      <c r="I33" s="281" t="s">
        <v>255</v>
      </c>
      <c r="J33" s="281" t="s">
        <v>622</v>
      </c>
      <c r="K33" s="281" t="s">
        <v>747</v>
      </c>
      <c r="L33" s="281" t="s">
        <v>748</v>
      </c>
      <c r="M33" s="281" t="s">
        <v>749</v>
      </c>
      <c r="N33" s="281" t="s">
        <v>111</v>
      </c>
      <c r="O33" s="281" t="s">
        <v>112</v>
      </c>
      <c r="P33" s="282">
        <v>1</v>
      </c>
      <c r="Q33" s="283">
        <v>1</v>
      </c>
      <c r="R33" s="286">
        <v>0</v>
      </c>
      <c r="S33" s="284"/>
      <c r="T33" s="283">
        <v>0.05</v>
      </c>
      <c r="U33" s="283">
        <v>0</v>
      </c>
      <c r="V33" s="283">
        <v>0</v>
      </c>
      <c r="W33" s="283">
        <v>0</v>
      </c>
      <c r="X33" s="283">
        <v>0</v>
      </c>
      <c r="Y33" s="283">
        <v>0</v>
      </c>
      <c r="Z33" s="283">
        <v>0</v>
      </c>
      <c r="AA33" s="283"/>
      <c r="AB33" s="283"/>
      <c r="AC33" s="283"/>
      <c r="AD33" s="283">
        <v>0</v>
      </c>
      <c r="AE33" s="283">
        <v>0</v>
      </c>
      <c r="AF33" s="284"/>
      <c r="AG33" s="284"/>
      <c r="AH33" s="286">
        <f t="shared" si="4"/>
        <v>0</v>
      </c>
      <c r="AI33" s="285"/>
      <c r="AJ33" s="285"/>
      <c r="AK33" s="285"/>
      <c r="AL33" s="298"/>
      <c r="AM33" s="299"/>
      <c r="AN33" s="298"/>
      <c r="AO33" s="283">
        <v>0.45</v>
      </c>
      <c r="AP33" s="283">
        <v>0</v>
      </c>
      <c r="AQ33" s="283">
        <v>0.55000000000000004</v>
      </c>
      <c r="AR33" s="283">
        <v>0</v>
      </c>
      <c r="AS33" s="283">
        <v>0</v>
      </c>
      <c r="AT33" s="283">
        <v>0</v>
      </c>
    </row>
    <row r="34" spans="1:46" s="300" customFormat="1" ht="18" hidden="1" customHeight="1">
      <c r="A34" s="281" t="s">
        <v>292</v>
      </c>
      <c r="B34" s="281" t="s">
        <v>293</v>
      </c>
      <c r="C34" s="281" t="s">
        <v>100</v>
      </c>
      <c r="D34" s="281" t="s">
        <v>508</v>
      </c>
      <c r="E34" s="281" t="s">
        <v>509</v>
      </c>
      <c r="F34" s="281" t="s">
        <v>713</v>
      </c>
      <c r="G34" s="281" t="s">
        <v>714</v>
      </c>
      <c r="H34" s="281" t="s">
        <v>750</v>
      </c>
      <c r="I34" s="281" t="s">
        <v>255</v>
      </c>
      <c r="J34" s="281"/>
      <c r="K34" s="281" t="s">
        <v>751</v>
      </c>
      <c r="L34" s="281" t="s">
        <v>752</v>
      </c>
      <c r="M34" s="281" t="s">
        <v>753</v>
      </c>
      <c r="N34" s="281" t="s">
        <v>123</v>
      </c>
      <c r="O34" s="281" t="s">
        <v>302</v>
      </c>
      <c r="P34" s="282">
        <v>100</v>
      </c>
      <c r="Q34" s="283">
        <v>100</v>
      </c>
      <c r="R34" s="283">
        <v>80</v>
      </c>
      <c r="S34" s="285" t="s">
        <v>3277</v>
      </c>
      <c r="T34" s="283">
        <v>0</v>
      </c>
      <c r="U34" s="283">
        <v>100</v>
      </c>
      <c r="V34" s="283">
        <v>0</v>
      </c>
      <c r="W34" s="283">
        <v>100</v>
      </c>
      <c r="X34" s="283" t="s">
        <v>115</v>
      </c>
      <c r="Y34" s="283">
        <v>100</v>
      </c>
      <c r="Z34" s="283">
        <v>100</v>
      </c>
      <c r="AA34" s="283" t="s">
        <v>754</v>
      </c>
      <c r="AB34" s="283" t="s">
        <v>755</v>
      </c>
      <c r="AC34" s="283">
        <v>0</v>
      </c>
      <c r="AD34" s="283">
        <v>0</v>
      </c>
      <c r="AE34" s="283">
        <v>100</v>
      </c>
      <c r="AF34" s="284"/>
      <c r="AG34" s="284">
        <f>AH34</f>
        <v>100</v>
      </c>
      <c r="AH34" s="283">
        <f>AJ65</f>
        <v>100</v>
      </c>
      <c r="AI34" s="285" t="s">
        <v>3278</v>
      </c>
      <c r="AJ34" s="285" t="s">
        <v>3279</v>
      </c>
      <c r="AK34" s="285"/>
      <c r="AL34" s="298"/>
      <c r="AM34" s="299"/>
      <c r="AN34" s="298"/>
      <c r="AO34" s="283">
        <v>0</v>
      </c>
      <c r="AP34" s="283">
        <v>100</v>
      </c>
      <c r="AQ34" s="283">
        <v>0</v>
      </c>
      <c r="AR34" s="283">
        <v>100</v>
      </c>
      <c r="AS34" s="283">
        <v>0</v>
      </c>
      <c r="AT34" s="283">
        <v>0</v>
      </c>
    </row>
    <row r="35" spans="1:46" s="300" customFormat="1" ht="18" hidden="1" customHeight="1">
      <c r="A35" s="281" t="s">
        <v>292</v>
      </c>
      <c r="B35" s="281" t="s">
        <v>293</v>
      </c>
      <c r="C35" s="281" t="s">
        <v>100</v>
      </c>
      <c r="D35" s="281" t="s">
        <v>508</v>
      </c>
      <c r="E35" s="281" t="s">
        <v>769</v>
      </c>
      <c r="F35" s="281" t="s">
        <v>797</v>
      </c>
      <c r="G35" s="281" t="s">
        <v>798</v>
      </c>
      <c r="H35" s="281" t="s">
        <v>799</v>
      </c>
      <c r="I35" s="281"/>
      <c r="J35" s="281" t="s">
        <v>366</v>
      </c>
      <c r="K35" s="281" t="s">
        <v>800</v>
      </c>
      <c r="L35" s="281" t="s">
        <v>801</v>
      </c>
      <c r="M35" s="281" t="s">
        <v>802</v>
      </c>
      <c r="N35" s="281" t="s">
        <v>111</v>
      </c>
      <c r="O35" s="281" t="s">
        <v>112</v>
      </c>
      <c r="P35" s="282">
        <v>125</v>
      </c>
      <c r="Q35" s="283">
        <v>240</v>
      </c>
      <c r="R35" s="286">
        <v>161</v>
      </c>
      <c r="S35" s="285" t="s">
        <v>3280</v>
      </c>
      <c r="T35" s="283">
        <v>151</v>
      </c>
      <c r="U35" s="283">
        <v>0</v>
      </c>
      <c r="V35" s="283">
        <v>161</v>
      </c>
      <c r="W35" s="283">
        <v>0</v>
      </c>
      <c r="X35" s="283">
        <v>161</v>
      </c>
      <c r="Y35" s="283">
        <v>0</v>
      </c>
      <c r="Z35" s="283">
        <v>161</v>
      </c>
      <c r="AA35" s="283">
        <v>0</v>
      </c>
      <c r="AB35" s="283" t="s">
        <v>803</v>
      </c>
      <c r="AC35" s="283">
        <v>0</v>
      </c>
      <c r="AD35" s="283">
        <v>38</v>
      </c>
      <c r="AE35" s="283">
        <v>0</v>
      </c>
      <c r="AF35" s="284">
        <v>38</v>
      </c>
      <c r="AG35" s="284"/>
      <c r="AH35" s="286">
        <f t="shared" ref="AH35:AH36" si="5">AF35</f>
        <v>38</v>
      </c>
      <c r="AI35" s="285"/>
      <c r="AJ35" s="285" t="s">
        <v>3281</v>
      </c>
      <c r="AK35" s="285"/>
      <c r="AL35" s="298"/>
      <c r="AM35" s="299"/>
      <c r="AN35" s="298"/>
      <c r="AO35" s="283">
        <v>21</v>
      </c>
      <c r="AP35" s="283">
        <v>0</v>
      </c>
      <c r="AQ35" s="283">
        <v>20</v>
      </c>
      <c r="AR35" s="283">
        <v>0</v>
      </c>
      <c r="AS35" s="283">
        <v>0</v>
      </c>
      <c r="AT35" s="283">
        <v>0</v>
      </c>
    </row>
    <row r="36" spans="1:46" s="300" customFormat="1" ht="18" hidden="1" customHeight="1">
      <c r="A36" s="281" t="s">
        <v>292</v>
      </c>
      <c r="B36" s="281" t="s">
        <v>293</v>
      </c>
      <c r="C36" s="281" t="s">
        <v>100</v>
      </c>
      <c r="D36" s="281" t="s">
        <v>508</v>
      </c>
      <c r="E36" s="281" t="s">
        <v>769</v>
      </c>
      <c r="F36" s="281" t="s">
        <v>797</v>
      </c>
      <c r="G36" s="281" t="s">
        <v>798</v>
      </c>
      <c r="H36" s="281" t="s">
        <v>804</v>
      </c>
      <c r="I36" s="281"/>
      <c r="J36" s="281" t="s">
        <v>366</v>
      </c>
      <c r="K36" s="281" t="s">
        <v>805</v>
      </c>
      <c r="L36" s="281" t="s">
        <v>806</v>
      </c>
      <c r="M36" s="281" t="s">
        <v>807</v>
      </c>
      <c r="N36" s="281" t="s">
        <v>111</v>
      </c>
      <c r="O36" s="281" t="s">
        <v>112</v>
      </c>
      <c r="P36" s="282">
        <v>5662</v>
      </c>
      <c r="Q36" s="283">
        <v>20000</v>
      </c>
      <c r="R36" s="286">
        <v>11442</v>
      </c>
      <c r="S36" s="284" t="s">
        <v>3282</v>
      </c>
      <c r="T36" s="283">
        <v>11000</v>
      </c>
      <c r="U36" s="283">
        <v>0</v>
      </c>
      <c r="V36" s="283">
        <v>11442</v>
      </c>
      <c r="W36" s="283">
        <v>0</v>
      </c>
      <c r="X36" s="283">
        <v>11442</v>
      </c>
      <c r="Y36" s="283">
        <v>0</v>
      </c>
      <c r="Z36" s="283">
        <v>11442</v>
      </c>
      <c r="AA36" s="283" t="s">
        <v>808</v>
      </c>
      <c r="AB36" s="283" t="s">
        <v>809</v>
      </c>
      <c r="AC36" s="283">
        <v>0</v>
      </c>
      <c r="AD36" s="283">
        <v>7958</v>
      </c>
      <c r="AE36" s="283">
        <v>0</v>
      </c>
      <c r="AF36" s="284">
        <v>4558</v>
      </c>
      <c r="AG36" s="284">
        <v>4206</v>
      </c>
      <c r="AH36" s="286">
        <f t="shared" si="5"/>
        <v>4558</v>
      </c>
      <c r="AI36" s="285"/>
      <c r="AJ36" s="288" t="s">
        <v>3283</v>
      </c>
      <c r="AK36" s="285"/>
      <c r="AL36" s="298"/>
      <c r="AM36" s="299"/>
      <c r="AN36" s="298"/>
      <c r="AO36" s="283">
        <v>300</v>
      </c>
      <c r="AP36" s="283">
        <v>0</v>
      </c>
      <c r="AQ36" s="283">
        <v>300</v>
      </c>
      <c r="AR36" s="283">
        <v>0</v>
      </c>
      <c r="AS36" s="283">
        <v>0</v>
      </c>
      <c r="AT36" s="283">
        <v>0</v>
      </c>
    </row>
    <row r="37" spans="1:46" s="300" customFormat="1" ht="18" hidden="1" customHeight="1">
      <c r="A37" s="281" t="s">
        <v>292</v>
      </c>
      <c r="B37" s="281" t="s">
        <v>293</v>
      </c>
      <c r="C37" s="281" t="s">
        <v>100</v>
      </c>
      <c r="D37" s="281" t="s">
        <v>508</v>
      </c>
      <c r="E37" s="281" t="s">
        <v>870</v>
      </c>
      <c r="F37" s="281" t="s">
        <v>909</v>
      </c>
      <c r="G37" s="281" t="s">
        <v>910</v>
      </c>
      <c r="H37" s="281" t="s">
        <v>960</v>
      </c>
      <c r="I37" s="281"/>
      <c r="J37" s="281" t="s">
        <v>961</v>
      </c>
      <c r="K37" s="281" t="s">
        <v>962</v>
      </c>
      <c r="L37" s="281" t="s">
        <v>963</v>
      </c>
      <c r="M37" s="281" t="s">
        <v>964</v>
      </c>
      <c r="N37" s="281" t="s">
        <v>123</v>
      </c>
      <c r="O37" s="281" t="s">
        <v>302</v>
      </c>
      <c r="P37" s="282">
        <v>100</v>
      </c>
      <c r="Q37" s="283">
        <v>100</v>
      </c>
      <c r="R37" s="283">
        <v>80</v>
      </c>
      <c r="S37" s="285" t="s">
        <v>3284</v>
      </c>
      <c r="T37" s="283">
        <v>0</v>
      </c>
      <c r="U37" s="283">
        <v>100</v>
      </c>
      <c r="V37" s="283">
        <v>0</v>
      </c>
      <c r="W37" s="283">
        <v>100</v>
      </c>
      <c r="X37" s="283" t="s">
        <v>115</v>
      </c>
      <c r="Y37" s="283">
        <v>100</v>
      </c>
      <c r="Z37" s="283">
        <v>100</v>
      </c>
      <c r="AA37" s="283">
        <v>0</v>
      </c>
      <c r="AB37" s="283" t="s">
        <v>965</v>
      </c>
      <c r="AC37" s="283">
        <v>0</v>
      </c>
      <c r="AD37" s="283">
        <v>0</v>
      </c>
      <c r="AE37" s="283">
        <v>100</v>
      </c>
      <c r="AF37" s="284"/>
      <c r="AG37" s="284">
        <f>AH37</f>
        <v>100</v>
      </c>
      <c r="AH37" s="283">
        <f>AJ73</f>
        <v>100</v>
      </c>
      <c r="AI37" s="285" t="s">
        <v>3285</v>
      </c>
      <c r="AJ37" s="285" t="s">
        <v>3286</v>
      </c>
      <c r="AK37" s="285"/>
      <c r="AL37" s="298"/>
      <c r="AM37" s="299"/>
      <c r="AN37" s="298"/>
      <c r="AO37" s="283">
        <v>0</v>
      </c>
      <c r="AP37" s="283">
        <v>100</v>
      </c>
      <c r="AQ37" s="283">
        <v>0</v>
      </c>
      <c r="AR37" s="283">
        <v>100</v>
      </c>
      <c r="AS37" s="283">
        <v>0</v>
      </c>
      <c r="AT37" s="283">
        <v>0</v>
      </c>
    </row>
    <row r="38" spans="1:46" s="300" customFormat="1" ht="18" hidden="1" customHeight="1">
      <c r="A38" s="281" t="s">
        <v>292</v>
      </c>
      <c r="B38" s="281" t="s">
        <v>293</v>
      </c>
      <c r="C38" s="281" t="s">
        <v>100</v>
      </c>
      <c r="D38" s="281" t="s">
        <v>1074</v>
      </c>
      <c r="E38" s="281" t="s">
        <v>1134</v>
      </c>
      <c r="F38" s="281" t="s">
        <v>1135</v>
      </c>
      <c r="G38" s="281" t="s">
        <v>1203</v>
      </c>
      <c r="H38" s="281" t="s">
        <v>1204</v>
      </c>
      <c r="I38" s="281" t="s">
        <v>255</v>
      </c>
      <c r="J38" s="281" t="s">
        <v>607</v>
      </c>
      <c r="K38" s="281" t="s">
        <v>1205</v>
      </c>
      <c r="L38" s="281" t="s">
        <v>1206</v>
      </c>
      <c r="M38" s="281" t="s">
        <v>1207</v>
      </c>
      <c r="N38" s="281" t="s">
        <v>123</v>
      </c>
      <c r="O38" s="281" t="s">
        <v>124</v>
      </c>
      <c r="P38" s="282">
        <v>49.8</v>
      </c>
      <c r="Q38" s="283">
        <v>100</v>
      </c>
      <c r="R38" s="283">
        <v>49</v>
      </c>
      <c r="S38" s="285" t="s">
        <v>3287</v>
      </c>
      <c r="T38" s="283">
        <v>0</v>
      </c>
      <c r="U38" s="283">
        <v>100</v>
      </c>
      <c r="V38" s="283">
        <v>0</v>
      </c>
      <c r="W38" s="283">
        <v>100</v>
      </c>
      <c r="X38" s="283" t="s">
        <v>115</v>
      </c>
      <c r="Y38" s="283">
        <v>98</v>
      </c>
      <c r="Z38" s="283">
        <v>98</v>
      </c>
      <c r="AA38" s="283" t="s">
        <v>1208</v>
      </c>
      <c r="AB38" s="283" t="s">
        <v>1209</v>
      </c>
      <c r="AC38" s="283">
        <v>0</v>
      </c>
      <c r="AD38" s="283">
        <v>0</v>
      </c>
      <c r="AE38" s="283">
        <v>100</v>
      </c>
      <c r="AF38" s="284"/>
      <c r="AG38" s="107">
        <v>25.72</v>
      </c>
      <c r="AH38" s="283">
        <f>AG38</f>
        <v>25.72</v>
      </c>
      <c r="AI38" s="285"/>
      <c r="AJ38" s="285" t="s">
        <v>3288</v>
      </c>
      <c r="AK38" s="285" t="s">
        <v>3289</v>
      </c>
      <c r="AL38" s="298"/>
      <c r="AM38" s="299"/>
      <c r="AN38" s="298"/>
      <c r="AO38" s="283">
        <v>0</v>
      </c>
      <c r="AP38" s="283">
        <v>100</v>
      </c>
      <c r="AQ38" s="283">
        <v>0</v>
      </c>
      <c r="AR38" s="283">
        <v>100</v>
      </c>
      <c r="AS38" s="283">
        <v>0</v>
      </c>
      <c r="AT38" s="283">
        <v>0</v>
      </c>
    </row>
    <row r="39" spans="1:46" s="300" customFormat="1" ht="18" hidden="1" customHeight="1">
      <c r="A39" s="281" t="s">
        <v>292</v>
      </c>
      <c r="B39" s="281" t="s">
        <v>293</v>
      </c>
      <c r="C39" s="281" t="s">
        <v>1286</v>
      </c>
      <c r="D39" s="281" t="s">
        <v>1389</v>
      </c>
      <c r="E39" s="281" t="s">
        <v>1411</v>
      </c>
      <c r="F39" s="281" t="s">
        <v>1412</v>
      </c>
      <c r="G39" s="281" t="s">
        <v>1413</v>
      </c>
      <c r="H39" s="281" t="s">
        <v>1429</v>
      </c>
      <c r="I39" s="281" t="s">
        <v>255</v>
      </c>
      <c r="J39" s="281" t="s">
        <v>632</v>
      </c>
      <c r="K39" s="281" t="s">
        <v>1430</v>
      </c>
      <c r="L39" s="281" t="s">
        <v>1431</v>
      </c>
      <c r="M39" s="281" t="s">
        <v>1432</v>
      </c>
      <c r="N39" s="281" t="s">
        <v>111</v>
      </c>
      <c r="O39" s="281" t="s">
        <v>112</v>
      </c>
      <c r="P39" s="282">
        <v>5196</v>
      </c>
      <c r="Q39" s="283">
        <v>4000</v>
      </c>
      <c r="R39" s="286">
        <v>602</v>
      </c>
      <c r="S39" s="284"/>
      <c r="T39" s="283">
        <v>600</v>
      </c>
      <c r="U39" s="283">
        <v>0</v>
      </c>
      <c r="V39" s="283">
        <v>600</v>
      </c>
      <c r="W39" s="283">
        <v>0</v>
      </c>
      <c r="X39" s="283">
        <v>602</v>
      </c>
      <c r="Y39" s="283">
        <v>0</v>
      </c>
      <c r="Z39" s="283">
        <v>602</v>
      </c>
      <c r="AA39" s="283">
        <v>0</v>
      </c>
      <c r="AB39" s="283" t="s">
        <v>1433</v>
      </c>
      <c r="AC39" s="283">
        <v>0</v>
      </c>
      <c r="AD39" s="283">
        <v>1198</v>
      </c>
      <c r="AE39" s="283">
        <v>0</v>
      </c>
      <c r="AF39" s="284">
        <v>861</v>
      </c>
      <c r="AG39" s="284"/>
      <c r="AH39" s="286">
        <f t="shared" ref="AH39" si="6">AF39</f>
        <v>861</v>
      </c>
      <c r="AI39" s="285" t="s">
        <v>3290</v>
      </c>
      <c r="AJ39" s="285" t="s">
        <v>3291</v>
      </c>
      <c r="AK39" s="285" t="s">
        <v>3292</v>
      </c>
      <c r="AL39" s="298"/>
      <c r="AM39" s="299"/>
      <c r="AN39" s="298"/>
      <c r="AO39" s="283">
        <v>1200</v>
      </c>
      <c r="AP39" s="283">
        <v>0</v>
      </c>
      <c r="AQ39" s="283">
        <v>1000</v>
      </c>
      <c r="AR39" s="283">
        <v>0</v>
      </c>
      <c r="AS39" s="283">
        <v>0</v>
      </c>
      <c r="AT39" s="283">
        <v>0</v>
      </c>
    </row>
    <row r="40" spans="1:46" s="300" customFormat="1" ht="18" hidden="1" customHeight="1">
      <c r="A40" s="281" t="s">
        <v>292</v>
      </c>
      <c r="B40" s="281" t="s">
        <v>293</v>
      </c>
      <c r="C40" s="281" t="s">
        <v>2371</v>
      </c>
      <c r="D40" s="281" t="s">
        <v>2372</v>
      </c>
      <c r="E40" s="281" t="s">
        <v>2373</v>
      </c>
      <c r="F40" s="281" t="s">
        <v>2374</v>
      </c>
      <c r="G40" s="281" t="s">
        <v>2375</v>
      </c>
      <c r="H40" s="281" t="s">
        <v>2376</v>
      </c>
      <c r="I40" s="281"/>
      <c r="J40" s="281"/>
      <c r="K40" s="281" t="s">
        <v>2377</v>
      </c>
      <c r="L40" s="281" t="s">
        <v>2378</v>
      </c>
      <c r="M40" s="281" t="s">
        <v>2379</v>
      </c>
      <c r="N40" s="281" t="s">
        <v>111</v>
      </c>
      <c r="O40" s="281" t="s">
        <v>124</v>
      </c>
      <c r="P40" s="282">
        <v>4</v>
      </c>
      <c r="Q40" s="283">
        <v>4</v>
      </c>
      <c r="R40" s="283">
        <v>2</v>
      </c>
      <c r="S40" s="284"/>
      <c r="T40" s="283">
        <v>0</v>
      </c>
      <c r="U40" s="283">
        <v>4</v>
      </c>
      <c r="V40" s="283">
        <v>0</v>
      </c>
      <c r="W40" s="283">
        <v>4</v>
      </c>
      <c r="X40" s="283" t="s">
        <v>115</v>
      </c>
      <c r="Y40" s="283">
        <v>4</v>
      </c>
      <c r="Z40" s="283">
        <v>4</v>
      </c>
      <c r="AA40" s="283">
        <v>0</v>
      </c>
      <c r="AB40" s="283" t="s">
        <v>2380</v>
      </c>
      <c r="AC40" s="283">
        <v>0</v>
      </c>
      <c r="AD40" s="283">
        <v>0</v>
      </c>
      <c r="AE40" s="283">
        <v>4</v>
      </c>
      <c r="AF40" s="284"/>
      <c r="AG40" s="284">
        <v>4</v>
      </c>
      <c r="AH40" s="283">
        <f>AG40</f>
        <v>4</v>
      </c>
      <c r="AI40" s="285"/>
      <c r="AJ40" s="285" t="s">
        <v>3293</v>
      </c>
      <c r="AK40" s="285"/>
      <c r="AL40" s="298"/>
      <c r="AM40" s="299"/>
      <c r="AN40" s="298"/>
      <c r="AO40" s="283">
        <v>0</v>
      </c>
      <c r="AP40" s="283">
        <v>4</v>
      </c>
      <c r="AQ40" s="283">
        <v>0</v>
      </c>
      <c r="AR40" s="283">
        <v>4</v>
      </c>
      <c r="AS40" s="283">
        <v>0</v>
      </c>
      <c r="AT40" s="283">
        <v>0</v>
      </c>
    </row>
    <row r="41" spans="1:46" s="3" customFormat="1">
      <c r="L41" s="5"/>
      <c r="AM41" s="124"/>
      <c r="AO41" s="86"/>
      <c r="AP41" s="86"/>
    </row>
    <row r="42" spans="1:46">
      <c r="K42" s="219"/>
      <c r="AF42" s="498" t="s">
        <v>3294</v>
      </c>
      <c r="AG42" s="498"/>
      <c r="AH42" s="498"/>
      <c r="AI42" s="498"/>
      <c r="AJ42" s="498"/>
      <c r="AO42" s="84">
        <v>3</v>
      </c>
      <c r="AP42" s="85">
        <v>0</v>
      </c>
    </row>
    <row r="43" spans="1:46">
      <c r="K43" s="219"/>
      <c r="AF43" s="501" t="s">
        <v>3295</v>
      </c>
      <c r="AG43" s="501"/>
      <c r="AH43" s="501"/>
      <c r="AI43" s="501"/>
      <c r="AJ43" s="501"/>
      <c r="AO43" s="79" t="s">
        <v>3296</v>
      </c>
      <c r="AP43" s="80">
        <v>0</v>
      </c>
    </row>
    <row r="44" spans="1:46">
      <c r="K44" s="219"/>
      <c r="AG44" s="31" t="s">
        <v>3218</v>
      </c>
      <c r="AH44" s="31" t="s">
        <v>3219</v>
      </c>
      <c r="AI44" s="31" t="s">
        <v>3220</v>
      </c>
      <c r="AJ44" s="31" t="s">
        <v>3221</v>
      </c>
      <c r="AO44" s="79" t="s">
        <v>3296</v>
      </c>
      <c r="AP44" s="80">
        <v>0</v>
      </c>
    </row>
    <row r="45" spans="1:46">
      <c r="K45" s="219"/>
      <c r="AF45" s="30" t="s">
        <v>3222</v>
      </c>
      <c r="AG45" s="59">
        <v>100</v>
      </c>
      <c r="AH45" s="59">
        <v>100</v>
      </c>
      <c r="AI45" s="59">
        <v>100</v>
      </c>
      <c r="AJ45" s="34">
        <f>AVERAGE(AG45:AI45)</f>
        <v>100</v>
      </c>
      <c r="AK45" s="153"/>
      <c r="AO45" s="79">
        <v>10</v>
      </c>
      <c r="AP45" s="80">
        <v>0</v>
      </c>
    </row>
    <row r="46" spans="1:46">
      <c r="K46" s="219"/>
      <c r="AF46" s="30" t="s">
        <v>3223</v>
      </c>
      <c r="AG46" s="59">
        <v>100</v>
      </c>
      <c r="AH46" s="59">
        <v>100</v>
      </c>
      <c r="AI46" s="59">
        <v>100</v>
      </c>
      <c r="AJ46" s="34">
        <f>AVERAGE(AG46:AI46)</f>
        <v>100</v>
      </c>
      <c r="AK46" s="153"/>
      <c r="AO46" s="79">
        <v>40</v>
      </c>
      <c r="AP46" s="80">
        <v>0</v>
      </c>
    </row>
    <row r="47" spans="1:46">
      <c r="K47" s="219"/>
      <c r="AF47" s="30" t="s">
        <v>3224</v>
      </c>
      <c r="AG47" s="59">
        <v>100</v>
      </c>
      <c r="AH47" s="59">
        <v>100</v>
      </c>
      <c r="AI47" s="59">
        <v>100</v>
      </c>
      <c r="AJ47" s="34">
        <v>100</v>
      </c>
      <c r="AK47" s="153"/>
      <c r="AO47" s="79">
        <v>50</v>
      </c>
      <c r="AP47" s="80">
        <v>0</v>
      </c>
    </row>
    <row r="48" spans="1:46">
      <c r="K48" s="219"/>
      <c r="AF48" s="30" t="s">
        <v>3225</v>
      </c>
      <c r="AG48" s="59">
        <v>100</v>
      </c>
      <c r="AH48" s="59">
        <v>100</v>
      </c>
      <c r="AI48" s="59"/>
      <c r="AJ48" s="34"/>
      <c r="AO48" s="79">
        <v>440</v>
      </c>
      <c r="AP48" s="80">
        <v>0</v>
      </c>
    </row>
    <row r="49" spans="11:42">
      <c r="K49" s="219"/>
      <c r="AG49" s="32"/>
      <c r="AH49" s="32"/>
      <c r="AI49" s="33" t="s">
        <v>3226</v>
      </c>
      <c r="AJ49" s="35">
        <f>AVERAGE(AJ45:AJ48)</f>
        <v>100</v>
      </c>
      <c r="AO49" s="86"/>
      <c r="AP49" s="86"/>
    </row>
    <row r="50" spans="11:42">
      <c r="K50" s="219"/>
      <c r="AO50" s="84" t="s">
        <v>3297</v>
      </c>
      <c r="AP50" s="85">
        <v>0</v>
      </c>
    </row>
    <row r="51" spans="11:42">
      <c r="K51" s="219"/>
      <c r="AF51" s="501" t="s">
        <v>3298</v>
      </c>
      <c r="AG51" s="501"/>
      <c r="AH51" s="501"/>
      <c r="AI51" s="501"/>
      <c r="AJ51" s="501"/>
      <c r="AO51" s="79">
        <v>3</v>
      </c>
      <c r="AP51" s="80">
        <v>0</v>
      </c>
    </row>
    <row r="52" spans="11:42">
      <c r="K52" s="219"/>
      <c r="AG52" s="31" t="s">
        <v>3218</v>
      </c>
      <c r="AH52" s="31" t="s">
        <v>3219</v>
      </c>
      <c r="AI52" s="31" t="s">
        <v>3220</v>
      </c>
      <c r="AJ52" s="31" t="s">
        <v>3221</v>
      </c>
      <c r="AO52" s="79">
        <v>3</v>
      </c>
      <c r="AP52" s="80">
        <v>0</v>
      </c>
    </row>
    <row r="53" spans="11:42">
      <c r="K53" s="219"/>
      <c r="AF53" s="30" t="s">
        <v>3222</v>
      </c>
      <c r="AG53" s="59"/>
      <c r="AH53" s="59">
        <v>193399</v>
      </c>
      <c r="AI53" s="59">
        <v>199397</v>
      </c>
      <c r="AJ53" s="34">
        <f>AVERAGE(AG53:AI53)</f>
        <v>196398</v>
      </c>
      <c r="AO53" s="79">
        <v>97</v>
      </c>
      <c r="AP53" s="80">
        <v>0</v>
      </c>
    </row>
    <row r="54" spans="11:42">
      <c r="K54" s="219"/>
      <c r="AF54" s="30" t="s">
        <v>3223</v>
      </c>
      <c r="AG54" s="59">
        <v>200628</v>
      </c>
      <c r="AH54" s="59">
        <v>200887</v>
      </c>
      <c r="AI54" s="59">
        <v>200687</v>
      </c>
      <c r="AJ54" s="34">
        <f>AVERAGE(AG54:AI54)</f>
        <v>200734</v>
      </c>
      <c r="AO54" s="79">
        <v>3</v>
      </c>
      <c r="AP54" s="80">
        <v>0</v>
      </c>
    </row>
    <row r="55" spans="11:42">
      <c r="K55" s="219"/>
      <c r="AF55" s="30" t="s">
        <v>3224</v>
      </c>
      <c r="AG55" s="59">
        <v>200671</v>
      </c>
      <c r="AH55" s="59">
        <v>200684</v>
      </c>
      <c r="AI55" s="59">
        <v>200631</v>
      </c>
      <c r="AJ55" s="34">
        <f>AVERAGE(AG55:AI55)</f>
        <v>200662</v>
      </c>
      <c r="AO55" s="79">
        <v>527</v>
      </c>
      <c r="AP55" s="80">
        <v>0</v>
      </c>
    </row>
    <row r="56" spans="11:42">
      <c r="K56" s="219"/>
      <c r="AF56" s="30" t="s">
        <v>3225</v>
      </c>
      <c r="AG56" s="59">
        <v>197620</v>
      </c>
      <c r="AH56" s="59">
        <v>197620</v>
      </c>
      <c r="AI56" s="59"/>
      <c r="AJ56" s="34">
        <f>AVERAGE(AG56:AI56)</f>
        <v>197620</v>
      </c>
      <c r="AO56" s="79">
        <v>100</v>
      </c>
      <c r="AP56" s="80">
        <v>0</v>
      </c>
    </row>
    <row r="57" spans="11:42">
      <c r="K57" s="219"/>
      <c r="AG57" s="32"/>
      <c r="AH57" s="32"/>
      <c r="AI57" s="33" t="s">
        <v>3226</v>
      </c>
      <c r="AJ57" s="35">
        <f>AVERAGE(AJ53:AJ56)</f>
        <v>198853.5</v>
      </c>
      <c r="AO57" s="79">
        <v>3</v>
      </c>
      <c r="AP57" s="80">
        <v>0</v>
      </c>
    </row>
    <row r="58" spans="11:42">
      <c r="K58" s="219"/>
      <c r="AO58" s="79">
        <v>100</v>
      </c>
      <c r="AP58" s="80">
        <v>0</v>
      </c>
    </row>
    <row r="59" spans="11:42">
      <c r="K59" s="219"/>
      <c r="AF59" s="501" t="s">
        <v>3299</v>
      </c>
      <c r="AG59" s="501"/>
      <c r="AH59" s="501"/>
      <c r="AI59" s="501"/>
      <c r="AJ59" s="501"/>
      <c r="AO59" s="79">
        <v>2</v>
      </c>
      <c r="AP59" s="80">
        <v>0</v>
      </c>
    </row>
    <row r="60" spans="11:42">
      <c r="K60" s="219"/>
      <c r="AG60" s="31" t="s">
        <v>3218</v>
      </c>
      <c r="AH60" s="31" t="s">
        <v>3219</v>
      </c>
      <c r="AI60" s="31" t="s">
        <v>3220</v>
      </c>
      <c r="AJ60" s="31" t="s">
        <v>3221</v>
      </c>
      <c r="AO60" s="79">
        <v>15</v>
      </c>
      <c r="AP60" s="80">
        <v>0</v>
      </c>
    </row>
    <row r="61" spans="11:42">
      <c r="K61" s="219"/>
      <c r="AF61" s="30" t="s">
        <v>3222</v>
      </c>
      <c r="AG61" s="59">
        <v>100</v>
      </c>
      <c r="AH61" s="59">
        <v>100</v>
      </c>
      <c r="AI61" s="59">
        <v>100</v>
      </c>
      <c r="AJ61" s="34">
        <f>AVERAGE(AG61:AI61)</f>
        <v>100</v>
      </c>
      <c r="AO61" s="79">
        <v>2</v>
      </c>
      <c r="AP61" s="80">
        <v>0</v>
      </c>
    </row>
    <row r="62" spans="11:42">
      <c r="K62" s="219"/>
      <c r="AF62" s="30" t="s">
        <v>3223</v>
      </c>
      <c r="AG62" s="59">
        <v>100</v>
      </c>
      <c r="AH62" s="59">
        <v>100</v>
      </c>
      <c r="AI62" s="59">
        <v>100</v>
      </c>
      <c r="AJ62" s="34">
        <f>AVERAGE(AG62:AI62)</f>
        <v>100</v>
      </c>
      <c r="AO62" s="79">
        <v>2</v>
      </c>
      <c r="AP62" s="80">
        <v>0</v>
      </c>
    </row>
    <row r="63" spans="11:42">
      <c r="K63" s="219"/>
      <c r="AF63" s="30" t="s">
        <v>3224</v>
      </c>
      <c r="AG63" s="59">
        <v>100</v>
      </c>
      <c r="AH63" s="59">
        <v>100</v>
      </c>
      <c r="AI63" s="59">
        <v>100</v>
      </c>
      <c r="AJ63" s="34">
        <f>AVERAGE(AG63:AI63)</f>
        <v>100</v>
      </c>
      <c r="AO63" s="79">
        <v>75</v>
      </c>
      <c r="AP63" s="80">
        <v>0</v>
      </c>
    </row>
    <row r="64" spans="11:42">
      <c r="K64" s="219"/>
      <c r="AF64" s="30" t="s">
        <v>3225</v>
      </c>
      <c r="AG64" s="59">
        <v>100</v>
      </c>
      <c r="AH64" s="59">
        <v>100</v>
      </c>
      <c r="AI64" s="59"/>
      <c r="AJ64" s="34">
        <f>AVERAGE(AG64:AI64)</f>
        <v>100</v>
      </c>
    </row>
    <row r="65" spans="11:36">
      <c r="K65" s="219"/>
      <c r="AG65" s="32"/>
      <c r="AH65" s="32"/>
      <c r="AI65" s="33" t="s">
        <v>3226</v>
      </c>
      <c r="AJ65" s="35">
        <f>AVERAGE(AJ61:AJ64)</f>
        <v>100</v>
      </c>
    </row>
    <row r="66" spans="11:36">
      <c r="K66" s="219"/>
    </row>
    <row r="67" spans="11:36">
      <c r="K67" s="219"/>
      <c r="AF67" s="501" t="s">
        <v>3300</v>
      </c>
      <c r="AG67" s="501"/>
      <c r="AH67" s="501"/>
      <c r="AI67" s="501"/>
      <c r="AJ67" s="501"/>
    </row>
    <row r="68" spans="11:36">
      <c r="K68" s="219"/>
      <c r="AG68" s="31" t="s">
        <v>3218</v>
      </c>
      <c r="AH68" s="31" t="s">
        <v>3219</v>
      </c>
      <c r="AI68" s="31" t="s">
        <v>3220</v>
      </c>
      <c r="AJ68" s="31" t="s">
        <v>3221</v>
      </c>
    </row>
    <row r="69" spans="11:36">
      <c r="K69" s="219"/>
      <c r="AF69" s="30" t="s">
        <v>3222</v>
      </c>
      <c r="AG69" s="59">
        <v>100</v>
      </c>
      <c r="AH69" s="59">
        <v>100</v>
      </c>
      <c r="AI69" s="59">
        <v>100</v>
      </c>
      <c r="AJ69" s="34">
        <f>AVERAGE(AG69:AI69)</f>
        <v>100</v>
      </c>
    </row>
    <row r="70" spans="11:36">
      <c r="AF70" s="30" t="s">
        <v>3223</v>
      </c>
      <c r="AG70" s="59">
        <v>100</v>
      </c>
      <c r="AH70" s="59">
        <v>100</v>
      </c>
      <c r="AI70" s="59">
        <v>100</v>
      </c>
      <c r="AJ70" s="34">
        <f>AVERAGE(AG70:AI70)</f>
        <v>100</v>
      </c>
    </row>
    <row r="71" spans="11:36">
      <c r="AF71" s="30" t="s">
        <v>3224</v>
      </c>
      <c r="AG71" s="59">
        <v>100</v>
      </c>
      <c r="AH71" s="59">
        <v>100</v>
      </c>
      <c r="AI71" s="59">
        <v>100</v>
      </c>
      <c r="AJ71" s="34">
        <f>AVERAGE(AG71:AI71)</f>
        <v>100</v>
      </c>
    </row>
    <row r="72" spans="11:36">
      <c r="AF72" s="30" t="s">
        <v>3225</v>
      </c>
      <c r="AG72" s="59">
        <v>100</v>
      </c>
      <c r="AH72" s="59">
        <v>100</v>
      </c>
      <c r="AI72" s="59"/>
      <c r="AJ72" s="34">
        <f>AVERAGE(AG72:AI72)</f>
        <v>100</v>
      </c>
    </row>
    <row r="73" spans="11:36">
      <c r="AG73" s="32"/>
      <c r="AH73" s="32"/>
      <c r="AI73" s="33" t="s">
        <v>3226</v>
      </c>
      <c r="AJ73" s="35">
        <f>AVERAGE(AJ69:AJ72)</f>
        <v>100</v>
      </c>
    </row>
  </sheetData>
  <sheetProtection autoFilter="0"/>
  <autoFilter ref="A12:IZ40" xr:uid="{00000000-0009-0000-0000-000007000000}">
    <filterColumn colId="10">
      <filters>
        <filter val="098"/>
      </filters>
    </filterColumn>
  </autoFilter>
  <customSheetViews>
    <customSheetView guid="{75629C99-8367-48E9-A2A2-D8C49A9E68E3}" scale="70" showAutoFilter="1" hiddenRows="1" topLeftCell="F7">
      <pane ySplit="6" topLeftCell="A18" activePane="bottomLeft" state="frozen"/>
      <selection pane="bottomLeft" activeCell="S21" sqref="S21"/>
      <pageMargins left="0" right="0" top="0" bottom="0" header="0" footer="0"/>
      <pageSetup orientation="portrait" r:id="rId1"/>
      <autoFilter ref="A12:IZ50" xr:uid="{05D2E2B3-F1A7-45B8-AA87-C2DABC277642}"/>
    </customSheetView>
  </customSheetViews>
  <mergeCells count="26">
    <mergeCell ref="AF51:AJ51"/>
    <mergeCell ref="AF59:AJ59"/>
    <mergeCell ref="AF67:AJ67"/>
    <mergeCell ref="AF42:AJ42"/>
    <mergeCell ref="T11:AC11"/>
    <mergeCell ref="AD11:AK11"/>
    <mergeCell ref="AO11:AP11"/>
    <mergeCell ref="AQ11:AR11"/>
    <mergeCell ref="AS11:AT11"/>
    <mergeCell ref="AF43:AJ43"/>
    <mergeCell ref="A6:C6"/>
    <mergeCell ref="A7:C7"/>
    <mergeCell ref="A9:P11"/>
    <mergeCell ref="Q9:AT9"/>
    <mergeCell ref="Q10:S11"/>
    <mergeCell ref="T10:AC10"/>
    <mergeCell ref="AD10:AK10"/>
    <mergeCell ref="AO10:AP10"/>
    <mergeCell ref="AQ10:AR10"/>
    <mergeCell ref="AS10:AT10"/>
    <mergeCell ref="A1:D4"/>
    <mergeCell ref="E1:I2"/>
    <mergeCell ref="J1:L1"/>
    <mergeCell ref="J2:L3"/>
    <mergeCell ref="E3:I4"/>
    <mergeCell ref="J4:L4"/>
  </mergeCells>
  <conditionalFormatting sqref="K1:K12 K41:K1048576">
    <cfRule type="duplicateValues" dxfId="15" priority="2"/>
  </conditionalFormatting>
  <conditionalFormatting sqref="K13:K40">
    <cfRule type="duplicateValues" dxfId="14" priority="1"/>
  </conditionalFormatting>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T20"/>
  <sheetViews>
    <sheetView topLeftCell="A9" zoomScale="80" zoomScaleNormal="80" workbookViewId="0">
      <selection activeCell="I15" sqref="I15"/>
    </sheetView>
  </sheetViews>
  <sheetFormatPr defaultColWidth="11.42578125" defaultRowHeight="14.45"/>
  <cols>
    <col min="1" max="4" width="12.7109375" customWidth="1"/>
    <col min="5" max="5" width="9.42578125" customWidth="1"/>
    <col min="6" max="6" width="20" customWidth="1"/>
    <col min="7" max="7" width="17.42578125" customWidth="1"/>
    <col min="8" max="8" width="12.7109375" customWidth="1"/>
    <col min="9" max="9" width="31" customWidth="1"/>
    <col min="10" max="10" width="7.7109375" customWidth="1"/>
    <col min="11" max="11" width="7.42578125" customWidth="1"/>
    <col min="12" max="12" width="52.5703125" style="4" customWidth="1"/>
    <col min="13" max="18" width="12.7109375" customWidth="1"/>
    <col min="19" max="19" width="18.7109375" customWidth="1"/>
    <col min="20" max="34" width="12.7109375" customWidth="1"/>
    <col min="35" max="35" width="28.28515625" customWidth="1"/>
    <col min="36" max="38" width="16.7109375" customWidth="1"/>
    <col min="39" max="39" width="16.7109375" style="119" customWidth="1"/>
    <col min="40" max="40" width="16.7109375" customWidth="1"/>
    <col min="41" max="46" width="12.7109375" customWidth="1"/>
  </cols>
  <sheetData>
    <row r="1" spans="1:46">
      <c r="A1" s="502"/>
      <c r="B1" s="502"/>
      <c r="C1" s="502"/>
      <c r="D1" s="502"/>
      <c r="E1" s="486" t="s">
        <v>0</v>
      </c>
      <c r="F1" s="487"/>
      <c r="G1" s="487"/>
      <c r="H1" s="487"/>
      <c r="I1" s="488"/>
      <c r="J1" s="492" t="s">
        <v>1</v>
      </c>
      <c r="K1" s="493"/>
      <c r="L1" s="494"/>
    </row>
    <row r="2" spans="1:46">
      <c r="A2" s="502"/>
      <c r="B2" s="502"/>
      <c r="C2" s="502"/>
      <c r="D2" s="502"/>
      <c r="E2" s="489"/>
      <c r="F2" s="490"/>
      <c r="G2" s="490"/>
      <c r="H2" s="490"/>
      <c r="I2" s="491"/>
      <c r="J2" s="486" t="s">
        <v>2</v>
      </c>
      <c r="K2" s="487"/>
      <c r="L2" s="495"/>
    </row>
    <row r="3" spans="1:46">
      <c r="A3" s="502"/>
      <c r="B3" s="502"/>
      <c r="C3" s="502"/>
      <c r="D3" s="502"/>
      <c r="E3" s="486" t="s">
        <v>3</v>
      </c>
      <c r="F3" s="487"/>
      <c r="G3" s="487"/>
      <c r="H3" s="487"/>
      <c r="I3" s="488"/>
      <c r="J3" s="489"/>
      <c r="K3" s="490"/>
      <c r="L3" s="496"/>
    </row>
    <row r="4" spans="1:46" ht="15" thickBot="1">
      <c r="A4" s="502"/>
      <c r="B4" s="502"/>
      <c r="C4" s="502"/>
      <c r="D4" s="502"/>
      <c r="E4" s="489"/>
      <c r="F4" s="490"/>
      <c r="G4" s="490"/>
      <c r="H4" s="490"/>
      <c r="I4" s="491"/>
      <c r="J4" s="492" t="s">
        <v>3146</v>
      </c>
      <c r="K4" s="493"/>
      <c r="L4" s="494"/>
    </row>
    <row r="5" spans="1:46" ht="15" hidden="1" thickBot="1"/>
    <row r="6" spans="1:46" ht="15" hidden="1" thickBot="1">
      <c r="A6" s="503" t="s">
        <v>3125</v>
      </c>
      <c r="B6" s="503"/>
      <c r="C6" s="503"/>
      <c r="D6" s="1">
        <v>44218</v>
      </c>
    </row>
    <row r="7" spans="1:46" ht="15" thickBot="1">
      <c r="A7" s="503" t="s">
        <v>5</v>
      </c>
      <c r="B7" s="503"/>
      <c r="C7" s="503"/>
      <c r="D7" s="1">
        <v>44255</v>
      </c>
    </row>
    <row r="8" spans="1:46" ht="15" hidden="1" thickBot="1"/>
    <row r="9" spans="1:46" ht="26.45" thickBot="1">
      <c r="A9" s="454" t="s">
        <v>7</v>
      </c>
      <c r="B9" s="455"/>
      <c r="C9" s="455"/>
      <c r="D9" s="455"/>
      <c r="E9" s="455"/>
      <c r="F9" s="455"/>
      <c r="G9" s="455"/>
      <c r="H9" s="455"/>
      <c r="I9" s="455"/>
      <c r="J9" s="455"/>
      <c r="K9" s="455"/>
      <c r="L9" s="456"/>
      <c r="M9" s="455"/>
      <c r="N9" s="455"/>
      <c r="O9" s="455"/>
      <c r="P9" s="457"/>
      <c r="Q9" s="466" t="s">
        <v>8</v>
      </c>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7"/>
    </row>
    <row r="10" spans="1:46" ht="20.25" customHeight="1" thickBot="1">
      <c r="A10" s="458"/>
      <c r="B10" s="459"/>
      <c r="C10" s="459"/>
      <c r="D10" s="459"/>
      <c r="E10" s="459"/>
      <c r="F10" s="459"/>
      <c r="G10" s="459"/>
      <c r="H10" s="459"/>
      <c r="I10" s="459"/>
      <c r="J10" s="459"/>
      <c r="K10" s="459"/>
      <c r="L10" s="460"/>
      <c r="M10" s="459"/>
      <c r="N10" s="459"/>
      <c r="O10" s="459"/>
      <c r="P10" s="461"/>
      <c r="Q10" s="434" t="s">
        <v>13</v>
      </c>
      <c r="R10" s="435"/>
      <c r="S10" s="436"/>
      <c r="T10" s="440">
        <v>2020</v>
      </c>
      <c r="U10" s="441"/>
      <c r="V10" s="441"/>
      <c r="W10" s="441"/>
      <c r="X10" s="441"/>
      <c r="Y10" s="441"/>
      <c r="Z10" s="441"/>
      <c r="AA10" s="441"/>
      <c r="AB10" s="441"/>
      <c r="AC10" s="441"/>
      <c r="AD10" s="440">
        <v>2021</v>
      </c>
      <c r="AE10" s="441"/>
      <c r="AF10" s="441"/>
      <c r="AG10" s="441"/>
      <c r="AH10" s="441"/>
      <c r="AI10" s="441"/>
      <c r="AJ10" s="441"/>
      <c r="AK10" s="441"/>
      <c r="AL10" s="269"/>
      <c r="AM10" s="120"/>
      <c r="AN10" s="269"/>
      <c r="AO10" s="441">
        <v>2022</v>
      </c>
      <c r="AP10" s="441"/>
      <c r="AQ10" s="440">
        <v>2023</v>
      </c>
      <c r="AR10" s="442"/>
      <c r="AS10" s="441">
        <v>2024</v>
      </c>
      <c r="AT10" s="441"/>
    </row>
    <row r="11" spans="1:46" ht="20.25" customHeight="1" thickBot="1">
      <c r="A11" s="462"/>
      <c r="B11" s="463"/>
      <c r="C11" s="463"/>
      <c r="D11" s="463"/>
      <c r="E11" s="463"/>
      <c r="F11" s="463"/>
      <c r="G11" s="463"/>
      <c r="H11" s="463"/>
      <c r="I11" s="463"/>
      <c r="J11" s="463"/>
      <c r="K11" s="463"/>
      <c r="L11" s="464"/>
      <c r="M11" s="463"/>
      <c r="N11" s="463"/>
      <c r="O11" s="463"/>
      <c r="P11" s="465"/>
      <c r="Q11" s="437"/>
      <c r="R11" s="438"/>
      <c r="S11" s="439"/>
      <c r="T11" s="440" t="s">
        <v>14</v>
      </c>
      <c r="U11" s="441"/>
      <c r="V11" s="441"/>
      <c r="W11" s="441"/>
      <c r="X11" s="441"/>
      <c r="Y11" s="441"/>
      <c r="Z11" s="441"/>
      <c r="AA11" s="441"/>
      <c r="AB11" s="441"/>
      <c r="AC11" s="442"/>
      <c r="AD11" s="440" t="s">
        <v>14</v>
      </c>
      <c r="AE11" s="441"/>
      <c r="AF11" s="441"/>
      <c r="AG11" s="441"/>
      <c r="AH11" s="441"/>
      <c r="AI11" s="441"/>
      <c r="AJ11" s="441"/>
      <c r="AK11" s="441"/>
      <c r="AL11" s="269"/>
      <c r="AM11" s="120"/>
      <c r="AN11" s="269"/>
      <c r="AO11" s="441" t="s">
        <v>14</v>
      </c>
      <c r="AP11" s="441"/>
      <c r="AQ11" s="441" t="s">
        <v>14</v>
      </c>
      <c r="AR11" s="441"/>
      <c r="AS11" s="441" t="s">
        <v>14</v>
      </c>
      <c r="AT11" s="441"/>
    </row>
    <row r="12" spans="1:46" ht="72.599999999999994" thickBot="1">
      <c r="A12" s="21" t="s">
        <v>15</v>
      </c>
      <c r="B12" s="21" t="s">
        <v>16</v>
      </c>
      <c r="C12" s="21" t="s">
        <v>17</v>
      </c>
      <c r="D12" s="21" t="s">
        <v>18</v>
      </c>
      <c r="E12" s="21" t="s">
        <v>19</v>
      </c>
      <c r="F12" s="21" t="s">
        <v>20</v>
      </c>
      <c r="G12" s="21" t="s">
        <v>21</v>
      </c>
      <c r="H12" s="21" t="s">
        <v>22</v>
      </c>
      <c r="I12" s="21" t="s">
        <v>23</v>
      </c>
      <c r="J12" s="21" t="s">
        <v>24</v>
      </c>
      <c r="K12" s="21" t="s">
        <v>25</v>
      </c>
      <c r="L12" s="21" t="s">
        <v>26</v>
      </c>
      <c r="M12" s="21" t="s">
        <v>27</v>
      </c>
      <c r="N12" s="21" t="s">
        <v>28</v>
      </c>
      <c r="O12" s="21" t="s">
        <v>29</v>
      </c>
      <c r="P12" s="22" t="s">
        <v>30</v>
      </c>
      <c r="Q12" s="20" t="s">
        <v>31</v>
      </c>
      <c r="R12" s="20" t="s">
        <v>32</v>
      </c>
      <c r="S12" s="23" t="s">
        <v>33</v>
      </c>
      <c r="T12" s="2" t="s">
        <v>34</v>
      </c>
      <c r="U12" s="2" t="s">
        <v>35</v>
      </c>
      <c r="V12" s="2" t="s">
        <v>36</v>
      </c>
      <c r="W12" s="2" t="s">
        <v>37</v>
      </c>
      <c r="X12" s="18" t="s">
        <v>38</v>
      </c>
      <c r="Y12" s="18" t="s">
        <v>39</v>
      </c>
      <c r="Z12" s="18" t="s">
        <v>40</v>
      </c>
      <c r="AA12" s="18" t="s">
        <v>41</v>
      </c>
      <c r="AB12" s="18" t="s">
        <v>42</v>
      </c>
      <c r="AC12" s="18" t="s">
        <v>43</v>
      </c>
      <c r="AD12" s="19" t="s">
        <v>44</v>
      </c>
      <c r="AE12" s="19" t="s">
        <v>45</v>
      </c>
      <c r="AF12" s="23" t="s">
        <v>46</v>
      </c>
      <c r="AG12" s="23" t="s">
        <v>47</v>
      </c>
      <c r="AH12" s="19" t="s">
        <v>48</v>
      </c>
      <c r="AI12" s="23" t="s">
        <v>41</v>
      </c>
      <c r="AJ12" s="23" t="s">
        <v>42</v>
      </c>
      <c r="AK12" s="23" t="s">
        <v>43</v>
      </c>
      <c r="AL12" s="23" t="s">
        <v>3126</v>
      </c>
      <c r="AM12" s="117" t="s">
        <v>3127</v>
      </c>
      <c r="AN12" s="117" t="s">
        <v>3128</v>
      </c>
      <c r="AO12" s="2" t="s">
        <v>49</v>
      </c>
      <c r="AP12" s="2" t="s">
        <v>50</v>
      </c>
      <c r="AQ12" s="2" t="s">
        <v>51</v>
      </c>
      <c r="AR12" s="2" t="s">
        <v>52</v>
      </c>
      <c r="AS12" s="2" t="s">
        <v>53</v>
      </c>
      <c r="AT12" s="2" t="s">
        <v>54</v>
      </c>
    </row>
    <row r="13" spans="1:46" ht="18" customHeight="1">
      <c r="A13" s="260" t="s">
        <v>2335</v>
      </c>
      <c r="B13" s="260" t="s">
        <v>2336</v>
      </c>
      <c r="C13" s="260" t="s">
        <v>2129</v>
      </c>
      <c r="D13" s="260" t="s">
        <v>2313</v>
      </c>
      <c r="E13" s="260" t="s">
        <v>2327</v>
      </c>
      <c r="F13" s="260" t="s">
        <v>2328</v>
      </c>
      <c r="G13" s="260" t="s">
        <v>2329</v>
      </c>
      <c r="H13" s="260" t="s">
        <v>2337</v>
      </c>
      <c r="I13" s="260"/>
      <c r="J13" s="260"/>
      <c r="K13" s="260" t="s">
        <v>2338</v>
      </c>
      <c r="L13" s="260" t="s">
        <v>2339</v>
      </c>
      <c r="M13" s="260" t="s">
        <v>2340</v>
      </c>
      <c r="N13" s="260" t="s">
        <v>111</v>
      </c>
      <c r="O13" s="260" t="s">
        <v>124</v>
      </c>
      <c r="P13" s="10">
        <v>0</v>
      </c>
      <c r="Q13" s="11">
        <v>180</v>
      </c>
      <c r="R13" s="11">
        <f>Z13+AH13</f>
        <v>13</v>
      </c>
      <c r="S13" s="84" t="s">
        <v>3301</v>
      </c>
      <c r="T13" s="11">
        <v>0</v>
      </c>
      <c r="U13" s="11">
        <v>0</v>
      </c>
      <c r="V13" s="11">
        <v>0</v>
      </c>
      <c r="W13" s="11">
        <v>0</v>
      </c>
      <c r="X13" s="11">
        <v>0</v>
      </c>
      <c r="Y13" s="11">
        <v>0</v>
      </c>
      <c r="Z13" s="11">
        <v>0</v>
      </c>
      <c r="AA13" s="11"/>
      <c r="AB13" s="11"/>
      <c r="AC13" s="11"/>
      <c r="AD13" s="11">
        <v>180</v>
      </c>
      <c r="AE13" s="11">
        <v>0</v>
      </c>
      <c r="AF13" s="275">
        <v>13</v>
      </c>
      <c r="AG13" s="275"/>
      <c r="AH13" s="9">
        <f t="shared" ref="AH13:AH15" si="0">AF13</f>
        <v>13</v>
      </c>
      <c r="AI13" s="307" t="s">
        <v>3302</v>
      </c>
      <c r="AJ13" s="307" t="s">
        <v>3303</v>
      </c>
      <c r="AK13" s="307" t="s">
        <v>3304</v>
      </c>
      <c r="AL13" s="307" t="s">
        <v>3305</v>
      </c>
      <c r="AM13" s="84" t="s">
        <v>3151</v>
      </c>
      <c r="AN13" s="84" t="s">
        <v>3151</v>
      </c>
      <c r="AO13" s="11">
        <v>180</v>
      </c>
      <c r="AP13" s="11">
        <v>0</v>
      </c>
      <c r="AQ13" s="11">
        <v>0</v>
      </c>
      <c r="AR13" s="11">
        <v>180</v>
      </c>
      <c r="AS13" s="11">
        <v>0</v>
      </c>
      <c r="AT13" s="11">
        <v>0</v>
      </c>
    </row>
    <row r="14" spans="1:46" ht="18" customHeight="1">
      <c r="A14" s="260" t="s">
        <v>2335</v>
      </c>
      <c r="B14" s="260" t="s">
        <v>2336</v>
      </c>
      <c r="C14" s="260" t="s">
        <v>2129</v>
      </c>
      <c r="D14" s="260" t="s">
        <v>2313</v>
      </c>
      <c r="E14" s="260" t="s">
        <v>2360</v>
      </c>
      <c r="F14" s="260" t="s">
        <v>2361</v>
      </c>
      <c r="G14" s="260" t="s">
        <v>2362</v>
      </c>
      <c r="H14" s="260" t="s">
        <v>2363</v>
      </c>
      <c r="I14" s="260"/>
      <c r="J14" s="260"/>
      <c r="K14" s="260" t="s">
        <v>2364</v>
      </c>
      <c r="L14" s="260" t="s">
        <v>2365</v>
      </c>
      <c r="M14" s="260" t="s">
        <v>2366</v>
      </c>
      <c r="N14" s="260" t="s">
        <v>123</v>
      </c>
      <c r="O14" s="260" t="s">
        <v>112</v>
      </c>
      <c r="P14" s="10">
        <v>55</v>
      </c>
      <c r="Q14" s="11">
        <v>100</v>
      </c>
      <c r="R14" s="11">
        <f t="shared" ref="R14:R16" si="1">Z14+AH14</f>
        <v>8</v>
      </c>
      <c r="S14" s="79" t="s">
        <v>3306</v>
      </c>
      <c r="T14" s="11">
        <v>0</v>
      </c>
      <c r="U14" s="11">
        <v>0</v>
      </c>
      <c r="V14" s="11">
        <v>0</v>
      </c>
      <c r="W14" s="11">
        <v>0</v>
      </c>
      <c r="X14" s="11">
        <v>0</v>
      </c>
      <c r="Y14" s="11">
        <v>0</v>
      </c>
      <c r="Z14" s="11">
        <v>0</v>
      </c>
      <c r="AA14" s="11"/>
      <c r="AB14" s="11"/>
      <c r="AC14" s="11"/>
      <c r="AD14" s="11">
        <v>35</v>
      </c>
      <c r="AE14" s="11">
        <v>0</v>
      </c>
      <c r="AF14" s="272">
        <v>8</v>
      </c>
      <c r="AG14" s="272" t="s">
        <v>3151</v>
      </c>
      <c r="AH14" s="9">
        <f t="shared" si="0"/>
        <v>8</v>
      </c>
      <c r="AI14" s="308" t="s">
        <v>3307</v>
      </c>
      <c r="AJ14" s="308" t="s">
        <v>3308</v>
      </c>
      <c r="AK14" s="308" t="s">
        <v>3309</v>
      </c>
      <c r="AL14" s="308" t="s">
        <v>3310</v>
      </c>
      <c r="AM14" s="272">
        <v>499181039</v>
      </c>
      <c r="AN14" s="272" t="s">
        <v>3151</v>
      </c>
      <c r="AO14" s="11">
        <v>40</v>
      </c>
      <c r="AP14" s="11">
        <v>0</v>
      </c>
      <c r="AQ14" s="11">
        <v>25</v>
      </c>
      <c r="AR14" s="11">
        <v>0</v>
      </c>
      <c r="AS14" s="11">
        <v>0</v>
      </c>
      <c r="AT14" s="11">
        <v>0</v>
      </c>
    </row>
    <row r="15" spans="1:46" ht="28.5" customHeight="1">
      <c r="A15" s="260" t="s">
        <v>2335</v>
      </c>
      <c r="B15" s="260" t="s">
        <v>2336</v>
      </c>
      <c r="C15" s="260" t="s">
        <v>2129</v>
      </c>
      <c r="D15" s="260" t="s">
        <v>2313</v>
      </c>
      <c r="E15" s="260" t="s">
        <v>2360</v>
      </c>
      <c r="F15" s="260" t="s">
        <v>2361</v>
      </c>
      <c r="G15" s="260" t="s">
        <v>2362</v>
      </c>
      <c r="H15" s="260" t="s">
        <v>2367</v>
      </c>
      <c r="I15" s="260"/>
      <c r="J15" s="260"/>
      <c r="K15" s="260" t="s">
        <v>2368</v>
      </c>
      <c r="L15" s="260" t="s">
        <v>2369</v>
      </c>
      <c r="M15" s="260" t="s">
        <v>2370</v>
      </c>
      <c r="N15" s="260" t="s">
        <v>111</v>
      </c>
      <c r="O15" s="260" t="s">
        <v>112</v>
      </c>
      <c r="P15" s="10">
        <v>62</v>
      </c>
      <c r="Q15" s="11">
        <v>116</v>
      </c>
      <c r="R15" s="11">
        <f t="shared" si="1"/>
        <v>90</v>
      </c>
      <c r="S15" s="276" t="s">
        <v>3311</v>
      </c>
      <c r="T15" s="11">
        <v>4</v>
      </c>
      <c r="U15" s="11">
        <v>0</v>
      </c>
      <c r="V15" s="11">
        <v>0</v>
      </c>
      <c r="W15" s="11">
        <v>0</v>
      </c>
      <c r="X15" s="11">
        <v>0</v>
      </c>
      <c r="Y15" s="11">
        <v>0</v>
      </c>
      <c r="Z15" s="11">
        <v>0</v>
      </c>
      <c r="AA15" s="11"/>
      <c r="AB15" s="11"/>
      <c r="AC15" s="11"/>
      <c r="AD15" s="11">
        <v>83</v>
      </c>
      <c r="AE15" s="11">
        <v>0</v>
      </c>
      <c r="AF15" s="276">
        <v>90</v>
      </c>
      <c r="AG15" s="276"/>
      <c r="AH15" s="9">
        <f t="shared" si="0"/>
        <v>90</v>
      </c>
      <c r="AI15" s="407" t="s">
        <v>3312</v>
      </c>
      <c r="AJ15" s="407" t="s">
        <v>3313</v>
      </c>
      <c r="AK15" s="407" t="s">
        <v>3314</v>
      </c>
      <c r="AL15" s="407" t="s">
        <v>3315</v>
      </c>
      <c r="AM15" s="276">
        <v>0</v>
      </c>
      <c r="AN15" s="276" t="s">
        <v>3316</v>
      </c>
      <c r="AO15" s="11">
        <v>33</v>
      </c>
      <c r="AP15" s="11">
        <v>0</v>
      </c>
      <c r="AQ15" s="11">
        <v>0</v>
      </c>
      <c r="AR15" s="11">
        <v>0</v>
      </c>
      <c r="AS15" s="11">
        <v>0</v>
      </c>
      <c r="AT15" s="11">
        <v>0</v>
      </c>
    </row>
    <row r="16" spans="1:46" ht="18" customHeight="1">
      <c r="A16" s="260" t="s">
        <v>2335</v>
      </c>
      <c r="B16" s="260" t="s">
        <v>2336</v>
      </c>
      <c r="C16" s="260" t="s">
        <v>2371</v>
      </c>
      <c r="D16" s="260" t="s">
        <v>2372</v>
      </c>
      <c r="E16" s="260" t="s">
        <v>2373</v>
      </c>
      <c r="F16" s="260" t="s">
        <v>2374</v>
      </c>
      <c r="G16" s="260" t="s">
        <v>2375</v>
      </c>
      <c r="H16" s="260" t="s">
        <v>2396</v>
      </c>
      <c r="I16" s="260"/>
      <c r="J16" s="260"/>
      <c r="K16" s="260" t="s">
        <v>2397</v>
      </c>
      <c r="L16" s="260" t="s">
        <v>2398</v>
      </c>
      <c r="M16" s="260" t="s">
        <v>2399</v>
      </c>
      <c r="N16" s="260" t="s">
        <v>111</v>
      </c>
      <c r="O16" s="260" t="s">
        <v>112</v>
      </c>
      <c r="P16" s="10">
        <v>0</v>
      </c>
      <c r="Q16" s="11">
        <v>1</v>
      </c>
      <c r="R16" s="11">
        <f t="shared" si="1"/>
        <v>100.05</v>
      </c>
      <c r="S16" s="79" t="s">
        <v>3317</v>
      </c>
      <c r="T16" s="11">
        <v>0.05</v>
      </c>
      <c r="U16" s="11">
        <v>0</v>
      </c>
      <c r="V16" s="11">
        <v>0.05</v>
      </c>
      <c r="W16" s="11">
        <v>0</v>
      </c>
      <c r="X16" s="11">
        <v>0.05</v>
      </c>
      <c r="Y16" s="11">
        <v>0</v>
      </c>
      <c r="Z16" s="11">
        <v>0.05</v>
      </c>
      <c r="AA16" s="11" t="s">
        <v>2400</v>
      </c>
      <c r="AB16" s="11" t="s">
        <v>2401</v>
      </c>
      <c r="AC16" s="11" t="s">
        <v>2402</v>
      </c>
      <c r="AD16" s="11">
        <v>0.35</v>
      </c>
      <c r="AE16" s="11">
        <v>0</v>
      </c>
      <c r="AF16" s="272">
        <v>100</v>
      </c>
      <c r="AG16" s="272" t="s">
        <v>3151</v>
      </c>
      <c r="AH16" s="9">
        <f t="shared" ref="AH16:AH17" si="2">AF16</f>
        <v>100</v>
      </c>
      <c r="AI16" s="308" t="s">
        <v>3318</v>
      </c>
      <c r="AJ16" s="308" t="s">
        <v>3319</v>
      </c>
      <c r="AK16" s="308" t="s">
        <v>3320</v>
      </c>
      <c r="AL16" s="308" t="s">
        <v>3321</v>
      </c>
      <c r="AM16" s="272" t="s">
        <v>3151</v>
      </c>
      <c r="AN16" s="272" t="s">
        <v>3151</v>
      </c>
      <c r="AO16" s="11">
        <v>0.35</v>
      </c>
      <c r="AP16" s="11">
        <v>0</v>
      </c>
      <c r="AQ16" s="11">
        <v>0.25</v>
      </c>
      <c r="AR16" s="11">
        <v>0</v>
      </c>
      <c r="AS16" s="11">
        <v>0</v>
      </c>
      <c r="AT16" s="11">
        <v>0</v>
      </c>
    </row>
    <row r="17" spans="1:46" ht="18" customHeight="1">
      <c r="A17" s="260" t="s">
        <v>2335</v>
      </c>
      <c r="B17" s="260" t="s">
        <v>2336</v>
      </c>
      <c r="C17" s="260" t="s">
        <v>2371</v>
      </c>
      <c r="D17" s="260" t="s">
        <v>2372</v>
      </c>
      <c r="E17" s="260" t="s">
        <v>2458</v>
      </c>
      <c r="F17" s="260" t="s">
        <v>2459</v>
      </c>
      <c r="G17" s="260" t="s">
        <v>2460</v>
      </c>
      <c r="H17" s="260" t="s">
        <v>2471</v>
      </c>
      <c r="I17" s="260"/>
      <c r="J17" s="260"/>
      <c r="K17" s="260" t="s">
        <v>2472</v>
      </c>
      <c r="L17" s="260" t="s">
        <v>2473</v>
      </c>
      <c r="M17" s="260" t="s">
        <v>2474</v>
      </c>
      <c r="N17" s="260" t="s">
        <v>111</v>
      </c>
      <c r="O17" s="260" t="s">
        <v>124</v>
      </c>
      <c r="P17" s="10">
        <v>1</v>
      </c>
      <c r="Q17" s="11">
        <v>1</v>
      </c>
      <c r="R17" s="11">
        <f t="shared" ref="R17" si="3">(Z17+AH17)/2</f>
        <v>1</v>
      </c>
      <c r="S17" s="79" t="s">
        <v>3151</v>
      </c>
      <c r="T17" s="11">
        <v>0</v>
      </c>
      <c r="U17" s="11">
        <v>1</v>
      </c>
      <c r="V17" s="11">
        <v>0</v>
      </c>
      <c r="W17" s="11">
        <v>1</v>
      </c>
      <c r="X17" s="11" t="s">
        <v>115</v>
      </c>
      <c r="Y17" s="11">
        <v>1</v>
      </c>
      <c r="Z17" s="11">
        <v>1</v>
      </c>
      <c r="AA17" s="11">
        <v>0</v>
      </c>
      <c r="AB17" s="11" t="s">
        <v>3322</v>
      </c>
      <c r="AC17" s="11">
        <v>0</v>
      </c>
      <c r="AD17" s="11">
        <v>0</v>
      </c>
      <c r="AE17" s="11">
        <v>1</v>
      </c>
      <c r="AF17" s="272">
        <v>1</v>
      </c>
      <c r="AG17" s="272">
        <v>0.85</v>
      </c>
      <c r="AH17" s="9">
        <f t="shared" si="2"/>
        <v>1</v>
      </c>
      <c r="AI17" s="308" t="s">
        <v>3323</v>
      </c>
      <c r="AJ17" s="308" t="s">
        <v>3324</v>
      </c>
      <c r="AK17" s="308" t="s">
        <v>3325</v>
      </c>
      <c r="AL17" s="308" t="s">
        <v>3326</v>
      </c>
      <c r="AM17" s="272">
        <v>0</v>
      </c>
      <c r="AN17" s="272" t="s">
        <v>3327</v>
      </c>
      <c r="AO17" s="11">
        <v>0</v>
      </c>
      <c r="AP17" s="11">
        <v>1</v>
      </c>
      <c r="AQ17" s="11">
        <v>0</v>
      </c>
      <c r="AR17" s="11">
        <v>1</v>
      </c>
      <c r="AS17" s="11">
        <v>0</v>
      </c>
      <c r="AT17" s="11">
        <v>0</v>
      </c>
    </row>
    <row r="18" spans="1:46" ht="18" customHeight="1">
      <c r="A18" s="260" t="s">
        <v>2335</v>
      </c>
      <c r="B18" s="260" t="s">
        <v>2336</v>
      </c>
      <c r="C18" s="260" t="s">
        <v>2371</v>
      </c>
      <c r="D18" s="260" t="s">
        <v>2372</v>
      </c>
      <c r="E18" s="260" t="s">
        <v>2535</v>
      </c>
      <c r="F18" s="260" t="s">
        <v>2536</v>
      </c>
      <c r="G18" s="260" t="s">
        <v>2537</v>
      </c>
      <c r="H18" s="260" t="s">
        <v>2545</v>
      </c>
      <c r="I18" s="260"/>
      <c r="J18" s="260"/>
      <c r="K18" s="260" t="s">
        <v>2546</v>
      </c>
      <c r="L18" s="260" t="s">
        <v>2547</v>
      </c>
      <c r="M18" s="260" t="s">
        <v>2548</v>
      </c>
      <c r="N18" s="260" t="s">
        <v>123</v>
      </c>
      <c r="O18" s="260" t="s">
        <v>124</v>
      </c>
      <c r="P18" s="10">
        <v>100</v>
      </c>
      <c r="Q18" s="11">
        <v>100</v>
      </c>
      <c r="R18" s="11">
        <f>(Z18+AH18)/2</f>
        <v>95</v>
      </c>
      <c r="S18" s="277" t="s">
        <v>3328</v>
      </c>
      <c r="T18" s="11">
        <v>0</v>
      </c>
      <c r="U18" s="11">
        <v>100</v>
      </c>
      <c r="V18" s="11">
        <v>0</v>
      </c>
      <c r="W18" s="11">
        <v>100</v>
      </c>
      <c r="X18" s="11" t="s">
        <v>115</v>
      </c>
      <c r="Y18" s="11">
        <v>100</v>
      </c>
      <c r="Z18" s="11">
        <v>100</v>
      </c>
      <c r="AA18" s="11">
        <v>0</v>
      </c>
      <c r="AB18" s="11" t="s">
        <v>2549</v>
      </c>
      <c r="AC18" s="11">
        <v>0</v>
      </c>
      <c r="AD18" s="11">
        <v>0</v>
      </c>
      <c r="AE18" s="11">
        <v>100</v>
      </c>
      <c r="AF18" s="79">
        <v>0</v>
      </c>
      <c r="AG18" s="79">
        <v>90</v>
      </c>
      <c r="AH18" s="11">
        <f>AG18</f>
        <v>90</v>
      </c>
      <c r="AI18" s="315" t="s">
        <v>3329</v>
      </c>
      <c r="AJ18" s="315" t="s">
        <v>3330</v>
      </c>
      <c r="AK18" s="315"/>
      <c r="AL18" s="315" t="s">
        <v>3331</v>
      </c>
      <c r="AM18" s="277" t="s">
        <v>3151</v>
      </c>
      <c r="AN18" s="277" t="s">
        <v>3151</v>
      </c>
      <c r="AO18" s="11">
        <v>0</v>
      </c>
      <c r="AP18" s="11">
        <v>100</v>
      </c>
      <c r="AQ18" s="11">
        <v>0</v>
      </c>
      <c r="AR18" s="11">
        <v>100</v>
      </c>
      <c r="AS18" s="11">
        <v>0</v>
      </c>
      <c r="AT18" s="11">
        <v>0</v>
      </c>
    </row>
    <row r="19" spans="1:46" ht="18" customHeight="1">
      <c r="A19" s="260" t="s">
        <v>2335</v>
      </c>
      <c r="B19" s="260" t="s">
        <v>2336</v>
      </c>
      <c r="C19" s="260" t="s">
        <v>2371</v>
      </c>
      <c r="D19" s="260" t="s">
        <v>2588</v>
      </c>
      <c r="E19" s="260" t="s">
        <v>2606</v>
      </c>
      <c r="F19" s="260" t="s">
        <v>2607</v>
      </c>
      <c r="G19" s="260" t="s">
        <v>2608</v>
      </c>
      <c r="H19" s="260" t="s">
        <v>2652</v>
      </c>
      <c r="I19" s="260"/>
      <c r="J19" s="260"/>
      <c r="K19" s="260" t="s">
        <v>2653</v>
      </c>
      <c r="L19" s="260" t="s">
        <v>2654</v>
      </c>
      <c r="M19" s="260" t="s">
        <v>2655</v>
      </c>
      <c r="N19" s="260" t="s">
        <v>111</v>
      </c>
      <c r="O19" s="260" t="s">
        <v>124</v>
      </c>
      <c r="P19" s="10">
        <v>1</v>
      </c>
      <c r="Q19" s="11">
        <v>1</v>
      </c>
      <c r="R19" s="11">
        <f>(Z19+AH19)/2</f>
        <v>0.82499999999999996</v>
      </c>
      <c r="S19" s="276" t="s">
        <v>3332</v>
      </c>
      <c r="T19" s="11">
        <v>0</v>
      </c>
      <c r="U19" s="11">
        <v>1</v>
      </c>
      <c r="V19" s="11">
        <v>0</v>
      </c>
      <c r="W19" s="11">
        <v>1</v>
      </c>
      <c r="X19" s="11" t="s">
        <v>115</v>
      </c>
      <c r="Y19" s="11">
        <v>1</v>
      </c>
      <c r="Z19" s="11">
        <v>1</v>
      </c>
      <c r="AA19" s="11" t="s">
        <v>2656</v>
      </c>
      <c r="AB19" s="11" t="s">
        <v>2657</v>
      </c>
      <c r="AC19" s="11" t="s">
        <v>2658</v>
      </c>
      <c r="AD19" s="11">
        <v>0</v>
      </c>
      <c r="AE19" s="11">
        <v>1</v>
      </c>
      <c r="AF19" s="276">
        <v>0.65</v>
      </c>
      <c r="AG19" s="276">
        <v>0.65</v>
      </c>
      <c r="AH19" s="11">
        <f>AG19</f>
        <v>0.65</v>
      </c>
      <c r="AI19" s="276" t="s">
        <v>3333</v>
      </c>
      <c r="AJ19" s="84" t="s">
        <v>3334</v>
      </c>
      <c r="AK19" s="276" t="s">
        <v>3335</v>
      </c>
      <c r="AL19" s="276" t="s">
        <v>3336</v>
      </c>
      <c r="AM19" s="276" t="s">
        <v>3151</v>
      </c>
      <c r="AN19" s="276" t="s">
        <v>3151</v>
      </c>
      <c r="AO19" s="11">
        <v>0</v>
      </c>
      <c r="AP19" s="11">
        <v>1</v>
      </c>
      <c r="AQ19" s="11">
        <v>0</v>
      </c>
      <c r="AR19" s="11">
        <v>1</v>
      </c>
      <c r="AS19" s="11">
        <v>0</v>
      </c>
      <c r="AT19" s="11">
        <v>0</v>
      </c>
    </row>
    <row r="20" spans="1:46" s="3" customFormat="1">
      <c r="L20" s="5"/>
      <c r="AM20" s="124"/>
    </row>
  </sheetData>
  <sheetProtection autoFilter="0"/>
  <autoFilter ref="A12:IZ19" xr:uid="{00000000-0009-0000-0000-000008000000}"/>
  <customSheetViews>
    <customSheetView guid="{75629C99-8367-48E9-A2A2-D8C49A9E68E3}" scale="80" showAutoFilter="1" hiddenRows="1">
      <selection activeCell="A19" sqref="A19:XFD19"/>
      <pageMargins left="0" right="0" top="0" bottom="0" header="0" footer="0"/>
      <pageSetup orientation="portrait" r:id="rId1"/>
      <autoFilter ref="A12:IZ19" xr:uid="{CE85638B-6F05-4F3D-B375-C8AF3697149D}"/>
    </customSheetView>
  </customSheetViews>
  <mergeCells count="21">
    <mergeCell ref="A6:C6"/>
    <mergeCell ref="A7:C7"/>
    <mergeCell ref="A9:P11"/>
    <mergeCell ref="Q9:AT9"/>
    <mergeCell ref="Q10:S11"/>
    <mergeCell ref="T10:AC10"/>
    <mergeCell ref="AD10:AK10"/>
    <mergeCell ref="AO10:AP10"/>
    <mergeCell ref="AQ10:AR10"/>
    <mergeCell ref="AS10:AT10"/>
    <mergeCell ref="T11:AC11"/>
    <mergeCell ref="AD11:AK11"/>
    <mergeCell ref="AO11:AP11"/>
    <mergeCell ref="AQ11:AR11"/>
    <mergeCell ref="AS11:AT11"/>
    <mergeCell ref="A1:D4"/>
    <mergeCell ref="E1:I2"/>
    <mergeCell ref="J1:L1"/>
    <mergeCell ref="J2:L3"/>
    <mergeCell ref="E3:I4"/>
    <mergeCell ref="J4:L4"/>
  </mergeCells>
  <conditionalFormatting sqref="K13:K19">
    <cfRule type="duplicateValues" dxfId="13" priority="1"/>
  </conditionalFormatting>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 Online</Application>
  <Manager/>
  <Company>Hewlett-Packard Company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Seguimiento Y Evaluación</dc:creator>
  <cp:keywords/>
  <dc:description/>
  <cp:lastModifiedBy>Usuario invitado</cp:lastModifiedBy>
  <cp:revision/>
  <dcterms:created xsi:type="dcterms:W3CDTF">2021-01-22T14:09:30Z</dcterms:created>
  <dcterms:modified xsi:type="dcterms:W3CDTF">2021-12-22T20:23:04Z</dcterms:modified>
  <cp:category/>
  <cp:contentStatus/>
</cp:coreProperties>
</file>